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4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5E8F9A35-5440-46A3-B1D7-5AEA88175F0A}" xr6:coauthVersionLast="45" xr6:coauthVersionMax="45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SERT RESISTOR" sheetId="78" state="hidden" r:id="rId1"/>
    <sheet name="Sert Stopwatch" sheetId="76" r:id="rId2"/>
    <sheet name="LK" sheetId="35" r:id="rId3"/>
    <sheet name="Riwayat Revisi" sheetId="69" state="hidden" r:id="rId4"/>
    <sheet name="ID" sheetId="23" r:id="rId5"/>
    <sheet name="Ktps" sheetId="75" r:id="rId6"/>
    <sheet name="PENYELIA" sheetId="57" r:id="rId7"/>
    <sheet name="LH" sheetId="58" r:id="rId8"/>
    <sheet name="ESA" sheetId="72" state="hidden" r:id="rId9"/>
    <sheet name=" LH Laragon" sheetId="80" state="hidden" r:id="rId10"/>
    <sheet name="kata-kata" sheetId="68" state="hidden" r:id="rId11"/>
    <sheet name="SCOPE" sheetId="81" state="hidden" r:id="rId12"/>
    <sheet name="Sheet1" sheetId="79" state="hidden" r:id="rId13"/>
    <sheet name="SERTIFIKAT" sheetId="71" r:id="rId14"/>
    <sheet name="Surat Keterangan" sheetId="73" state="hidden" r:id="rId15"/>
    <sheet name="DB Thermohygro " sheetId="67" state="hidden" r:id="rId16"/>
  </sheets>
  <externalReferences>
    <externalReference r:id="rId17"/>
  </externalReferences>
  <definedNames>
    <definedName name="_xlnm._FilterDatabase" localSheetId="4" hidden="1">ID!$F$98:$F$102</definedName>
    <definedName name="_xlnm._FilterDatabase" localSheetId="2" hidden="1">LK!$F$116:$F$120</definedName>
    <definedName name="_xlnm.Criteria" localSheetId="4">ID!$F$98:$F$102</definedName>
    <definedName name="_xlnm.Criteria" localSheetId="2">LK!$F$116:$F$120</definedName>
    <definedName name="_xlnm.Print_Area" localSheetId="9">' LH Laragon'!$A$1:$J$108</definedName>
    <definedName name="_xlnm.Print_Area" localSheetId="15">'DB Thermohygro '!$A$1:$O$199,'DB Thermohygro '!$A$337:$O$351</definedName>
    <definedName name="_xlnm.Print_Area" localSheetId="8">ESA!$AA$184:$AN$219</definedName>
    <definedName name="_xlnm.Print_Area" localSheetId="4">ID!$A$1:$L$98</definedName>
    <definedName name="_xlnm.Print_Area" localSheetId="5">Ktps!$B$1:$X$88</definedName>
    <definedName name="_xlnm.Print_Area" localSheetId="7">LH!$A$1:$J$107</definedName>
    <definedName name="_xlnm.Print_Area" localSheetId="2">LK!$A$1:$L$107</definedName>
    <definedName name="_xlnm.Print_Area" localSheetId="6">PENYELIA!$A$1:$K$94</definedName>
    <definedName name="_xlnm.Print_Area" localSheetId="1">'Sert Stopwatch'!$A$2:$Q$86,'Sert Stopwatch'!$A$174:$M$195</definedName>
    <definedName name="_xlnm.Print_Area" localSheetId="13">SERTIFIKAT!$A$1:$F$33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3" i="58" l="1"/>
  <c r="G73" i="58"/>
  <c r="G72" i="58"/>
  <c r="F73" i="58"/>
  <c r="F72" i="58"/>
  <c r="J72" i="58"/>
  <c r="E73" i="58"/>
  <c r="E72" i="58"/>
  <c r="H58" i="57"/>
  <c r="H48" i="57"/>
  <c r="D182" i="76"/>
  <c r="D181" i="76"/>
  <c r="D180" i="76"/>
  <c r="D179" i="76"/>
  <c r="D178" i="76"/>
  <c r="D177" i="76"/>
  <c r="M178" i="76"/>
  <c r="M177" i="76"/>
  <c r="J178" i="76"/>
  <c r="J177" i="76"/>
  <c r="M214" i="76"/>
  <c r="F63" i="58"/>
  <c r="M206" i="81"/>
  <c r="P203" i="81"/>
  <c r="P204" i="81"/>
  <c r="P205" i="81"/>
  <c r="P202" i="81"/>
  <c r="O205" i="81"/>
  <c r="O203" i="81"/>
  <c r="O204" i="81"/>
  <c r="O202" i="81"/>
  <c r="M202" i="81"/>
  <c r="M203" i="81"/>
  <c r="M204" i="81"/>
  <c r="M205" i="81"/>
  <c r="W13" i="81"/>
  <c r="W12" i="81"/>
  <c r="W11" i="81"/>
  <c r="W10" i="81"/>
  <c r="W9" i="81"/>
  <c r="W8" i="81"/>
  <c r="W7" i="81"/>
  <c r="W6" i="81"/>
  <c r="O13" i="81"/>
  <c r="O12" i="81"/>
  <c r="O11" i="81"/>
  <c r="O10" i="81"/>
  <c r="O9" i="81"/>
  <c r="O8" i="81"/>
  <c r="O7" i="81"/>
  <c r="O6" i="81"/>
  <c r="G13" i="81"/>
  <c r="G12" i="81"/>
  <c r="G11" i="81"/>
  <c r="G10" i="81"/>
  <c r="G9" i="81"/>
  <c r="G8" i="81"/>
  <c r="G7" i="81"/>
  <c r="G6" i="81"/>
  <c r="G23" i="81"/>
  <c r="G22" i="81"/>
  <c r="G21" i="81"/>
  <c r="G20" i="81"/>
  <c r="G19" i="81"/>
  <c r="G18" i="81"/>
  <c r="G17" i="81"/>
  <c r="O23" i="81"/>
  <c r="O22" i="81"/>
  <c r="O21" i="81"/>
  <c r="O20" i="81"/>
  <c r="O19" i="81"/>
  <c r="O18" i="81"/>
  <c r="O17" i="81"/>
  <c r="W23" i="81"/>
  <c r="W22" i="81"/>
  <c r="W21" i="81"/>
  <c r="W20" i="81"/>
  <c r="W19" i="81"/>
  <c r="W18" i="81"/>
  <c r="W17" i="81"/>
  <c r="G35" i="81"/>
  <c r="G34" i="81"/>
  <c r="G33" i="81"/>
  <c r="G32" i="81"/>
  <c r="G31" i="81"/>
  <c r="G30" i="81"/>
  <c r="G29" i="81"/>
  <c r="G28" i="81"/>
  <c r="G27" i="81"/>
  <c r="O35" i="81"/>
  <c r="O34" i="81"/>
  <c r="O33" i="81"/>
  <c r="O32" i="81"/>
  <c r="O31" i="81"/>
  <c r="O30" i="81"/>
  <c r="O29" i="81"/>
  <c r="O28" i="81"/>
  <c r="O27" i="81"/>
  <c r="W35" i="81"/>
  <c r="W34" i="81"/>
  <c r="W33" i="81"/>
  <c r="W32" i="81"/>
  <c r="W31" i="81"/>
  <c r="W30" i="81"/>
  <c r="W29" i="81"/>
  <c r="W28" i="81"/>
  <c r="W27" i="81"/>
  <c r="G49" i="81"/>
  <c r="G48" i="81"/>
  <c r="G47" i="81"/>
  <c r="G46" i="81"/>
  <c r="G45" i="81"/>
  <c r="G44" i="81"/>
  <c r="G43" i="81"/>
  <c r="G42" i="81"/>
  <c r="O49" i="81"/>
  <c r="O48" i="81"/>
  <c r="O47" i="81"/>
  <c r="O46" i="81"/>
  <c r="O45" i="81"/>
  <c r="O44" i="81"/>
  <c r="O43" i="81"/>
  <c r="O42" i="81"/>
  <c r="W49" i="81"/>
  <c r="W48" i="81"/>
  <c r="W47" i="81"/>
  <c r="W46" i="81"/>
  <c r="W45" i="81"/>
  <c r="W44" i="81"/>
  <c r="W43" i="81"/>
  <c r="W42" i="81"/>
  <c r="W59" i="81"/>
  <c r="W58" i="81"/>
  <c r="W57" i="81"/>
  <c r="W56" i="81"/>
  <c r="W55" i="81"/>
  <c r="W54" i="81"/>
  <c r="W53" i="81"/>
  <c r="O59" i="81"/>
  <c r="O58" i="81"/>
  <c r="O57" i="81"/>
  <c r="O56" i="81"/>
  <c r="O55" i="81"/>
  <c r="O54" i="81"/>
  <c r="O53" i="81"/>
  <c r="G59" i="81"/>
  <c r="G58" i="81"/>
  <c r="G57" i="81"/>
  <c r="G56" i="81"/>
  <c r="G55" i="81"/>
  <c r="G54" i="81"/>
  <c r="G53" i="81"/>
  <c r="G71" i="81"/>
  <c r="G70" i="81"/>
  <c r="G69" i="81"/>
  <c r="G68" i="81"/>
  <c r="G67" i="81"/>
  <c r="G66" i="81"/>
  <c r="G65" i="81"/>
  <c r="G64" i="81"/>
  <c r="G63" i="81"/>
  <c r="O71" i="81"/>
  <c r="O70" i="81"/>
  <c r="O69" i="81"/>
  <c r="O68" i="81"/>
  <c r="O67" i="81"/>
  <c r="O66" i="81"/>
  <c r="O65" i="81"/>
  <c r="O64" i="81"/>
  <c r="O63" i="81"/>
  <c r="W71" i="81"/>
  <c r="W70" i="81"/>
  <c r="W69" i="81"/>
  <c r="W68" i="81"/>
  <c r="W67" i="81"/>
  <c r="W66" i="81"/>
  <c r="W65" i="81"/>
  <c r="W64" i="81"/>
  <c r="W63" i="81"/>
  <c r="G85" i="81"/>
  <c r="G84" i="81"/>
  <c r="G83" i="81"/>
  <c r="G82" i="81"/>
  <c r="G81" i="81"/>
  <c r="G80" i="81"/>
  <c r="G79" i="81"/>
  <c r="G78" i="81"/>
  <c r="W85" i="81"/>
  <c r="W84" i="81"/>
  <c r="W83" i="81"/>
  <c r="W82" i="81"/>
  <c r="W81" i="81"/>
  <c r="W80" i="81"/>
  <c r="W79" i="81"/>
  <c r="W78" i="81"/>
  <c r="W95" i="81"/>
  <c r="W94" i="81"/>
  <c r="W93" i="81"/>
  <c r="W92" i="81"/>
  <c r="W91" i="81"/>
  <c r="W90" i="81"/>
  <c r="W89" i="81"/>
  <c r="O95" i="81"/>
  <c r="O94" i="81"/>
  <c r="O93" i="81"/>
  <c r="O92" i="81"/>
  <c r="O91" i="81"/>
  <c r="O90" i="81"/>
  <c r="O89" i="81"/>
  <c r="G95" i="81"/>
  <c r="G94" i="81"/>
  <c r="G93" i="81"/>
  <c r="G92" i="81"/>
  <c r="G91" i="81"/>
  <c r="G90" i="81"/>
  <c r="G89" i="81"/>
  <c r="G107" i="81"/>
  <c r="G106" i="81"/>
  <c r="G105" i="81"/>
  <c r="G104" i="81"/>
  <c r="G103" i="81"/>
  <c r="G102" i="81"/>
  <c r="G101" i="81"/>
  <c r="G100" i="81"/>
  <c r="G99" i="81"/>
  <c r="O107" i="81"/>
  <c r="O106" i="81"/>
  <c r="O105" i="81"/>
  <c r="O104" i="81"/>
  <c r="O103" i="81"/>
  <c r="O102" i="81"/>
  <c r="O101" i="81"/>
  <c r="O100" i="81"/>
  <c r="O99" i="81"/>
  <c r="W107" i="81"/>
  <c r="W106" i="81"/>
  <c r="W105" i="81"/>
  <c r="W104" i="81"/>
  <c r="W103" i="81"/>
  <c r="W102" i="81"/>
  <c r="W101" i="81"/>
  <c r="W100" i="81"/>
  <c r="W99" i="81"/>
  <c r="G121" i="81"/>
  <c r="G120" i="81"/>
  <c r="G119" i="81"/>
  <c r="G118" i="81"/>
  <c r="G117" i="81"/>
  <c r="G116" i="81"/>
  <c r="G115" i="81"/>
  <c r="G114" i="81"/>
  <c r="O121" i="81"/>
  <c r="O120" i="81"/>
  <c r="O119" i="81"/>
  <c r="O118" i="81"/>
  <c r="O117" i="81"/>
  <c r="O116" i="81"/>
  <c r="O115" i="81"/>
  <c r="O114" i="81"/>
  <c r="W121" i="81"/>
  <c r="W120" i="81"/>
  <c r="W119" i="81"/>
  <c r="W118" i="81"/>
  <c r="W117" i="81"/>
  <c r="W116" i="81"/>
  <c r="W115" i="81"/>
  <c r="W114" i="81"/>
  <c r="W131" i="81"/>
  <c r="W130" i="81"/>
  <c r="W129" i="81"/>
  <c r="W128" i="81"/>
  <c r="W127" i="81"/>
  <c r="W126" i="81"/>
  <c r="W125" i="81"/>
  <c r="O131" i="81"/>
  <c r="O130" i="81"/>
  <c r="O129" i="81"/>
  <c r="O128" i="81"/>
  <c r="O127" i="81"/>
  <c r="O126" i="81"/>
  <c r="O125" i="81"/>
  <c r="G131" i="81"/>
  <c r="G130" i="81"/>
  <c r="G129" i="81"/>
  <c r="G128" i="81"/>
  <c r="G127" i="81"/>
  <c r="G126" i="81"/>
  <c r="G125" i="81"/>
  <c r="W143" i="81"/>
  <c r="W142" i="81"/>
  <c r="W141" i="81"/>
  <c r="W140" i="81"/>
  <c r="W139" i="81"/>
  <c r="W138" i="81"/>
  <c r="W137" i="81"/>
  <c r="W136" i="81"/>
  <c r="W135" i="81"/>
  <c r="O143" i="81"/>
  <c r="O142" i="81"/>
  <c r="O141" i="81"/>
  <c r="O140" i="81"/>
  <c r="O139" i="81"/>
  <c r="O138" i="81"/>
  <c r="O137" i="81"/>
  <c r="O136" i="81"/>
  <c r="O135" i="81"/>
  <c r="G136" i="81"/>
  <c r="G137" i="81"/>
  <c r="G138" i="81"/>
  <c r="G139" i="81"/>
  <c r="G140" i="81"/>
  <c r="G141" i="81"/>
  <c r="G142" i="81"/>
  <c r="G143" i="81"/>
  <c r="G135" i="81"/>
  <c r="L345" i="67"/>
  <c r="E16" i="58" s="1"/>
  <c r="E17" i="58"/>
  <c r="L346" i="67"/>
  <c r="G16" i="58"/>
  <c r="G17" i="58"/>
  <c r="L177" i="76" l="1"/>
  <c r="L178" i="76"/>
  <c r="E15" i="57"/>
  <c r="E14" i="57"/>
  <c r="B86" i="58"/>
  <c r="G38" i="58"/>
  <c r="H30" i="58"/>
  <c r="H29" i="58"/>
  <c r="C29" i="58"/>
  <c r="O178" i="72" l="1"/>
  <c r="K143" i="72"/>
  <c r="O141" i="72"/>
  <c r="O140" i="72"/>
  <c r="O139" i="72"/>
  <c r="O138" i="72"/>
  <c r="K141" i="72"/>
  <c r="K139" i="72"/>
  <c r="K137" i="72"/>
  <c r="A165" i="72" l="1"/>
  <c r="A178" i="72" s="1"/>
  <c r="N165" i="72" s="1"/>
  <c r="W68" i="72"/>
  <c r="O90" i="72"/>
  <c r="W90" i="72"/>
  <c r="W91" i="72"/>
  <c r="W92" i="72"/>
  <c r="W93" i="72"/>
  <c r="H17" i="58" l="1"/>
  <c r="H16" i="58"/>
  <c r="L341" i="67"/>
  <c r="G98" i="58" l="1"/>
  <c r="H105" i="58"/>
  <c r="D11" i="73" l="1"/>
  <c r="L161" i="81"/>
  <c r="C51" i="57" l="1"/>
  <c r="C55" i="58" s="1"/>
  <c r="C52" i="57"/>
  <c r="C56" i="58" s="1"/>
  <c r="C61" i="57"/>
  <c r="C65" i="58" s="1"/>
  <c r="C62" i="57"/>
  <c r="C66" i="58" s="1"/>
  <c r="L46" i="23"/>
  <c r="K46" i="23"/>
  <c r="G42" i="57" l="1"/>
  <c r="G46" i="58" s="1"/>
  <c r="F82" i="75"/>
  <c r="C82" i="75"/>
  <c r="F81" i="75"/>
  <c r="C81" i="75"/>
  <c r="G80" i="75"/>
  <c r="C80" i="75"/>
  <c r="F79" i="75"/>
  <c r="C79" i="75"/>
  <c r="H195" i="81"/>
  <c r="E82" i="75" s="1"/>
  <c r="H82" i="75" s="1"/>
  <c r="J82" i="75" s="1"/>
  <c r="K82" i="75" s="1"/>
  <c r="L82" i="75" s="1"/>
  <c r="G195" i="81"/>
  <c r="E79" i="75" s="1"/>
  <c r="H79" i="75" s="1"/>
  <c r="J79" i="75" s="1"/>
  <c r="K79" i="75" s="1"/>
  <c r="D195" i="81"/>
  <c r="B46" i="23"/>
  <c r="C195" i="81" s="1"/>
  <c r="B45" i="23"/>
  <c r="B41" i="57" s="1"/>
  <c r="C45" i="58" s="1"/>
  <c r="C40" i="23"/>
  <c r="C36" i="57" s="1"/>
  <c r="C40" i="58" s="1"/>
  <c r="B40" i="23"/>
  <c r="B36" i="57" s="1"/>
  <c r="B40" i="58" s="1"/>
  <c r="B42" i="57" l="1"/>
  <c r="C46" i="58" s="1"/>
  <c r="C77" i="75"/>
  <c r="L79" i="75"/>
  <c r="C73" i="58"/>
  <c r="C72" i="58"/>
  <c r="R53" i="75"/>
  <c r="R41" i="75"/>
  <c r="R29" i="75"/>
  <c r="R17" i="75"/>
  <c r="R5" i="75"/>
  <c r="F53" i="75"/>
  <c r="F41" i="75"/>
  <c r="F29" i="75"/>
  <c r="F17" i="75"/>
  <c r="F5" i="75"/>
  <c r="C210" i="81"/>
  <c r="H210" i="81"/>
  <c r="C211" i="81"/>
  <c r="H211" i="81"/>
  <c r="C212" i="81"/>
  <c r="H212" i="81"/>
  <c r="C213" i="81"/>
  <c r="H213" i="81"/>
  <c r="C214" i="81"/>
  <c r="H214" i="81"/>
  <c r="K52" i="23"/>
  <c r="D190" i="81" s="1"/>
  <c r="H190" i="81"/>
  <c r="C190" i="81"/>
  <c r="L181" i="81" s="1"/>
  <c r="C191" i="81"/>
  <c r="L182" i="81" s="1"/>
  <c r="H191" i="81"/>
  <c r="C192" i="81"/>
  <c r="L183" i="81" s="1"/>
  <c r="H192" i="81"/>
  <c r="C193" i="81"/>
  <c r="L184" i="81" s="1"/>
  <c r="H193" i="81"/>
  <c r="C194" i="81"/>
  <c r="L185" i="81" s="1"/>
  <c r="H194" i="81"/>
  <c r="L186" i="81"/>
  <c r="N16" i="81"/>
  <c r="N26" i="81" s="1"/>
  <c r="M16" i="81"/>
  <c r="M26" i="81" s="1"/>
  <c r="L16" i="81"/>
  <c r="L26" i="81" s="1"/>
  <c r="E16" i="81"/>
  <c r="E26" i="81" s="1"/>
  <c r="F16" i="81"/>
  <c r="F26" i="81" s="1"/>
  <c r="D16" i="81"/>
  <c r="D26" i="81" s="1"/>
  <c r="T16" i="81"/>
  <c r="T26" i="81" s="1"/>
  <c r="V16" i="81"/>
  <c r="V26" i="81" s="1"/>
  <c r="U16" i="81"/>
  <c r="U26" i="81" s="1"/>
  <c r="V52" i="81"/>
  <c r="V62" i="81" s="1"/>
  <c r="U52" i="81"/>
  <c r="U62" i="81" s="1"/>
  <c r="T52" i="81"/>
  <c r="T62" i="81" s="1"/>
  <c r="N52" i="81"/>
  <c r="N62" i="81" s="1"/>
  <c r="M52" i="81"/>
  <c r="M62" i="81" s="1"/>
  <c r="L52" i="81"/>
  <c r="L62" i="81" s="1"/>
  <c r="F52" i="81"/>
  <c r="F62" i="81" s="1"/>
  <c r="E52" i="81"/>
  <c r="E62" i="81" s="1"/>
  <c r="D52" i="81"/>
  <c r="D62" i="81" s="1"/>
  <c r="V88" i="81"/>
  <c r="V98" i="81" s="1"/>
  <c r="U88" i="81"/>
  <c r="U98" i="81" s="1"/>
  <c r="T88" i="81"/>
  <c r="T98" i="81" s="1"/>
  <c r="N88" i="81"/>
  <c r="N98" i="81" s="1"/>
  <c r="M88" i="81"/>
  <c r="M98" i="81" s="1"/>
  <c r="L88" i="81"/>
  <c r="L98" i="81" s="1"/>
  <c r="F88" i="81"/>
  <c r="F98" i="81" s="1"/>
  <c r="E88" i="81"/>
  <c r="E98" i="81" s="1"/>
  <c r="D88" i="81"/>
  <c r="D98" i="81" s="1"/>
  <c r="T124" i="81"/>
  <c r="T134" i="81" s="1"/>
  <c r="V124" i="81"/>
  <c r="V134" i="81" s="1"/>
  <c r="U124" i="81"/>
  <c r="U134" i="81" s="1"/>
  <c r="N124" i="81"/>
  <c r="N134" i="81" s="1"/>
  <c r="M124" i="81"/>
  <c r="M134" i="81" s="1"/>
  <c r="L124" i="81"/>
  <c r="L134" i="81" s="1"/>
  <c r="E124" i="81"/>
  <c r="V171" i="81" s="1"/>
  <c r="F124" i="81"/>
  <c r="W171" i="81" s="1"/>
  <c r="D124" i="81"/>
  <c r="D134" i="81" s="1"/>
  <c r="V162" i="81"/>
  <c r="W162" i="81"/>
  <c r="V163" i="81"/>
  <c r="W163" i="81"/>
  <c r="V164" i="81"/>
  <c r="W164" i="81"/>
  <c r="V165" i="81"/>
  <c r="W165" i="81"/>
  <c r="V166" i="81"/>
  <c r="W166" i="81"/>
  <c r="V167" i="81"/>
  <c r="W167" i="81"/>
  <c r="V168" i="81"/>
  <c r="W168" i="81"/>
  <c r="V169" i="81"/>
  <c r="W169" i="81"/>
  <c r="V170" i="81"/>
  <c r="W170" i="81"/>
  <c r="V172" i="81"/>
  <c r="W172" i="81"/>
  <c r="V173" i="81"/>
  <c r="W173" i="81"/>
  <c r="U173" i="81"/>
  <c r="U172" i="81"/>
  <c r="U170" i="81"/>
  <c r="U169" i="81"/>
  <c r="U168" i="81"/>
  <c r="U167" i="81"/>
  <c r="U166" i="81"/>
  <c r="U165" i="81"/>
  <c r="U164" i="81"/>
  <c r="U163" i="81"/>
  <c r="U162" i="81"/>
  <c r="L173" i="81"/>
  <c r="L172" i="81"/>
  <c r="L171" i="81"/>
  <c r="L170" i="81"/>
  <c r="L169" i="81"/>
  <c r="L168" i="81"/>
  <c r="L167" i="81"/>
  <c r="L166" i="81"/>
  <c r="L165" i="81"/>
  <c r="L164" i="81"/>
  <c r="L163" i="81"/>
  <c r="L162" i="81"/>
  <c r="Y135" i="81"/>
  <c r="Q135" i="81"/>
  <c r="I135" i="81"/>
  <c r="Y125" i="81"/>
  <c r="Q125" i="81"/>
  <c r="I125" i="81"/>
  <c r="I114" i="81"/>
  <c r="Q114" i="81" s="1"/>
  <c r="Y114" i="81" s="1"/>
  <c r="Y99" i="81"/>
  <c r="Q99" i="81"/>
  <c r="I99" i="81"/>
  <c r="V95" i="81"/>
  <c r="N95" i="81"/>
  <c r="V94" i="81"/>
  <c r="Y89" i="81"/>
  <c r="Q89" i="81"/>
  <c r="I89" i="81"/>
  <c r="O85" i="81"/>
  <c r="O84" i="81"/>
  <c r="O83" i="81"/>
  <c r="O82" i="81"/>
  <c r="O81" i="81"/>
  <c r="O80" i="81"/>
  <c r="O79" i="81"/>
  <c r="O78" i="81"/>
  <c r="I78" i="81"/>
  <c r="Q78" i="81" s="1"/>
  <c r="Y78" i="81" s="1"/>
  <c r="Y63" i="81"/>
  <c r="Q63" i="81"/>
  <c r="I63" i="81"/>
  <c r="Y53" i="81"/>
  <c r="Q53" i="81"/>
  <c r="I53" i="81"/>
  <c r="Y27" i="81"/>
  <c r="P142" i="81" s="1"/>
  <c r="Y17" i="81"/>
  <c r="H58" i="81" s="1"/>
  <c r="Y6" i="81"/>
  <c r="X6" i="81" s="1"/>
  <c r="U171" i="81" l="1"/>
  <c r="F134" i="81"/>
  <c r="X54" i="81"/>
  <c r="P135" i="81"/>
  <c r="X27" i="81"/>
  <c r="P57" i="81"/>
  <c r="X17" i="81"/>
  <c r="H63" i="81"/>
  <c r="H99" i="81"/>
  <c r="H143" i="81"/>
  <c r="H54" i="81"/>
  <c r="X56" i="81"/>
  <c r="P59" i="81"/>
  <c r="H56" i="81"/>
  <c r="X58" i="81"/>
  <c r="H89" i="81"/>
  <c r="X137" i="81"/>
  <c r="E134" i="81"/>
  <c r="P55" i="81"/>
  <c r="P140" i="81"/>
  <c r="X8" i="81"/>
  <c r="X11" i="81"/>
  <c r="X13" i="81"/>
  <c r="X131" i="81"/>
  <c r="H131" i="81"/>
  <c r="P130" i="81"/>
  <c r="X129" i="81"/>
  <c r="H129" i="81"/>
  <c r="P128" i="81"/>
  <c r="X127" i="81"/>
  <c r="H127" i="81"/>
  <c r="P126" i="81"/>
  <c r="P125" i="81"/>
  <c r="P95" i="81"/>
  <c r="P94" i="81"/>
  <c r="X93" i="81"/>
  <c r="H93" i="81"/>
  <c r="P92" i="81"/>
  <c r="X91" i="81"/>
  <c r="H91" i="81"/>
  <c r="X125" i="81"/>
  <c r="X95" i="81"/>
  <c r="P131" i="81"/>
  <c r="X130" i="81"/>
  <c r="H130" i="81"/>
  <c r="P129" i="81"/>
  <c r="X128" i="81"/>
  <c r="H128" i="81"/>
  <c r="P127" i="81"/>
  <c r="X126" i="81"/>
  <c r="H126" i="81"/>
  <c r="H94" i="81"/>
  <c r="P93" i="81"/>
  <c r="X92" i="81"/>
  <c r="H92" i="81"/>
  <c r="P91" i="81"/>
  <c r="X90" i="81"/>
  <c r="X18" i="81"/>
  <c r="X19" i="81"/>
  <c r="X20" i="81"/>
  <c r="X21" i="81"/>
  <c r="X22" i="81"/>
  <c r="X23" i="81"/>
  <c r="I42" i="81"/>
  <c r="X53" i="81"/>
  <c r="H64" i="81"/>
  <c r="X64" i="81"/>
  <c r="P65" i="81"/>
  <c r="H66" i="81"/>
  <c r="X66" i="81"/>
  <c r="P67" i="81"/>
  <c r="H68" i="81"/>
  <c r="X68" i="81"/>
  <c r="P69" i="81"/>
  <c r="H70" i="81"/>
  <c r="X70" i="81"/>
  <c r="P71" i="81"/>
  <c r="H90" i="81"/>
  <c r="X94" i="81"/>
  <c r="H125" i="81"/>
  <c r="H137" i="81"/>
  <c r="X139" i="81"/>
  <c r="X9" i="81"/>
  <c r="X12" i="81"/>
  <c r="X135" i="81"/>
  <c r="X107" i="81"/>
  <c r="H107" i="81"/>
  <c r="P106" i="81"/>
  <c r="X105" i="81"/>
  <c r="H105" i="81"/>
  <c r="P104" i="81"/>
  <c r="X103" i="81"/>
  <c r="H103" i="81"/>
  <c r="P102" i="81"/>
  <c r="X101" i="81"/>
  <c r="H101" i="81"/>
  <c r="P100" i="81"/>
  <c r="P99" i="81"/>
  <c r="P143" i="81"/>
  <c r="X142" i="81"/>
  <c r="H142" i="81"/>
  <c r="P141" i="81"/>
  <c r="X140" i="81"/>
  <c r="H140" i="81"/>
  <c r="P139" i="81"/>
  <c r="X138" i="81"/>
  <c r="H138" i="81"/>
  <c r="P137" i="81"/>
  <c r="X136" i="81"/>
  <c r="H136" i="81"/>
  <c r="X99" i="81"/>
  <c r="H135" i="81"/>
  <c r="P107" i="81"/>
  <c r="X106" i="81"/>
  <c r="H106" i="81"/>
  <c r="P105" i="81"/>
  <c r="X104" i="81"/>
  <c r="H104" i="81"/>
  <c r="P103" i="81"/>
  <c r="X102" i="81"/>
  <c r="H102" i="81"/>
  <c r="P101" i="81"/>
  <c r="X100" i="81"/>
  <c r="H100" i="81"/>
  <c r="X28" i="81"/>
  <c r="X29" i="81"/>
  <c r="X30" i="81"/>
  <c r="X31" i="81"/>
  <c r="X32" i="81"/>
  <c r="X33" i="81"/>
  <c r="X34" i="81"/>
  <c r="X35" i="81"/>
  <c r="P53" i="81"/>
  <c r="P54" i="81"/>
  <c r="H55" i="81"/>
  <c r="X55" i="81"/>
  <c r="P56" i="81"/>
  <c r="H57" i="81"/>
  <c r="X57" i="81"/>
  <c r="P58" i="81"/>
  <c r="H59" i="81"/>
  <c r="X59" i="81"/>
  <c r="X63" i="81"/>
  <c r="X89" i="81"/>
  <c r="P136" i="81"/>
  <c r="H139" i="81"/>
  <c r="X141" i="81"/>
  <c r="X7" i="81"/>
  <c r="X10" i="81"/>
  <c r="H53" i="81"/>
  <c r="P63" i="81"/>
  <c r="P64" i="81"/>
  <c r="H65" i="81"/>
  <c r="X65" i="81"/>
  <c r="P66" i="81"/>
  <c r="H67" i="81"/>
  <c r="X67" i="81"/>
  <c r="P68" i="81"/>
  <c r="H69" i="81"/>
  <c r="X69" i="81"/>
  <c r="P70" i="81"/>
  <c r="H71" i="81"/>
  <c r="X71" i="81"/>
  <c r="P89" i="81"/>
  <c r="P90" i="81"/>
  <c r="H95" i="81"/>
  <c r="P138" i="81"/>
  <c r="H141" i="81"/>
  <c r="X143" i="81"/>
  <c r="E11" i="57"/>
  <c r="H121" i="81" l="1"/>
  <c r="H119" i="81"/>
  <c r="H117" i="81"/>
  <c r="H115" i="81"/>
  <c r="H114" i="81"/>
  <c r="H118" i="81"/>
  <c r="H48" i="81"/>
  <c r="H46" i="81"/>
  <c r="H44" i="81"/>
  <c r="H84" i="81"/>
  <c r="H82" i="81"/>
  <c r="H80" i="81"/>
  <c r="H116" i="81"/>
  <c r="H85" i="81"/>
  <c r="H83" i="81"/>
  <c r="H81" i="81"/>
  <c r="H79" i="81"/>
  <c r="H120" i="81"/>
  <c r="H42" i="81"/>
  <c r="H78" i="81"/>
  <c r="H49" i="81"/>
  <c r="H47" i="81"/>
  <c r="H45" i="81"/>
  <c r="H43" i="81"/>
  <c r="Q42" i="81"/>
  <c r="P120" i="81" l="1"/>
  <c r="P118" i="81"/>
  <c r="P116" i="81"/>
  <c r="P115" i="81"/>
  <c r="P49" i="81"/>
  <c r="P47" i="81"/>
  <c r="P45" i="81"/>
  <c r="P43" i="81"/>
  <c r="Y42" i="81"/>
  <c r="P42" i="81"/>
  <c r="P85" i="81"/>
  <c r="P78" i="81"/>
  <c r="P121" i="81"/>
  <c r="P84" i="81"/>
  <c r="P82" i="81"/>
  <c r="P80" i="81"/>
  <c r="P117" i="81"/>
  <c r="P119" i="81"/>
  <c r="P114" i="81"/>
  <c r="P48" i="81"/>
  <c r="P46" i="81"/>
  <c r="P44" i="81"/>
  <c r="P83" i="81"/>
  <c r="P81" i="81"/>
  <c r="P79" i="81"/>
  <c r="F34" i="57"/>
  <c r="I38" i="23"/>
  <c r="G34" i="57" s="1"/>
  <c r="G33" i="57"/>
  <c r="B80" i="57"/>
  <c r="I72" i="80"/>
  <c r="F72" i="80"/>
  <c r="E72" i="80"/>
  <c r="I71" i="80"/>
  <c r="F71" i="80"/>
  <c r="E71" i="80"/>
  <c r="G43" i="80"/>
  <c r="G42" i="80"/>
  <c r="G38" i="80"/>
  <c r="G37" i="80"/>
  <c r="J31" i="80"/>
  <c r="C31" i="80"/>
  <c r="J30" i="80"/>
  <c r="J29" i="80"/>
  <c r="J28" i="80"/>
  <c r="C28" i="80"/>
  <c r="B18" i="80"/>
  <c r="B17" i="80"/>
  <c r="B16" i="80"/>
  <c r="E12" i="80"/>
  <c r="A12" i="80"/>
  <c r="A11" i="80"/>
  <c r="A10" i="80"/>
  <c r="A9" i="80"/>
  <c r="A7" i="80"/>
  <c r="A6" i="80"/>
  <c r="A5" i="80"/>
  <c r="A1" i="80"/>
  <c r="O47" i="57" l="1"/>
  <c r="H38" i="58"/>
  <c r="H37" i="58"/>
  <c r="M34" i="57"/>
  <c r="X114" i="81"/>
  <c r="X121" i="81"/>
  <c r="X119" i="81"/>
  <c r="X117" i="81"/>
  <c r="X115" i="81"/>
  <c r="X120" i="81"/>
  <c r="X78" i="81"/>
  <c r="X48" i="81"/>
  <c r="X46" i="81"/>
  <c r="X44" i="81"/>
  <c r="X118" i="81"/>
  <c r="X85" i="81"/>
  <c r="X83" i="81"/>
  <c r="X81" i="81"/>
  <c r="X79" i="81"/>
  <c r="X42" i="81"/>
  <c r="X84" i="81"/>
  <c r="X82" i="81"/>
  <c r="X80" i="81"/>
  <c r="X116" i="81"/>
  <c r="X49" i="81"/>
  <c r="X47" i="81"/>
  <c r="X45" i="81"/>
  <c r="X43" i="81"/>
  <c r="E12" i="58"/>
  <c r="F9" i="68" l="1"/>
  <c r="G9" i="68" s="1"/>
  <c r="K53" i="23"/>
  <c r="D191" i="81" s="1"/>
  <c r="Q56" i="75"/>
  <c r="C57" i="57"/>
  <c r="C56" i="57"/>
  <c r="C47" i="57"/>
  <c r="C46" i="57"/>
  <c r="K66" i="23"/>
  <c r="D214" i="81" s="1"/>
  <c r="L206" i="81" s="1"/>
  <c r="K63" i="23"/>
  <c r="D211" i="81" s="1"/>
  <c r="L203" i="81" s="1"/>
  <c r="L63" i="23"/>
  <c r="G211" i="81" s="1"/>
  <c r="K64" i="23"/>
  <c r="D212" i="81" s="1"/>
  <c r="L204" i="81" s="1"/>
  <c r="L64" i="23"/>
  <c r="G212" i="81" s="1"/>
  <c r="K65" i="23"/>
  <c r="D213" i="81" s="1"/>
  <c r="L205" i="81" s="1"/>
  <c r="L65" i="23"/>
  <c r="L66" i="23"/>
  <c r="G214" i="81" s="1"/>
  <c r="L62" i="23"/>
  <c r="G210" i="81" s="1"/>
  <c r="K62" i="23"/>
  <c r="D210" i="81" s="1"/>
  <c r="L202" i="81" s="1"/>
  <c r="R56" i="75"/>
  <c r="R55" i="75"/>
  <c r="S54" i="75"/>
  <c r="O53" i="75"/>
  <c r="X61" i="75" s="1"/>
  <c r="C58" i="23"/>
  <c r="O39" i="75"/>
  <c r="C60" i="57"/>
  <c r="O15" i="75"/>
  <c r="C58" i="57"/>
  <c r="B60" i="23"/>
  <c r="B56" i="57" s="1"/>
  <c r="L53" i="23"/>
  <c r="G191" i="81" s="1"/>
  <c r="L54" i="23"/>
  <c r="G192" i="81" s="1"/>
  <c r="L55" i="23"/>
  <c r="G193" i="81" s="1"/>
  <c r="L56" i="23"/>
  <c r="G194" i="81" s="1"/>
  <c r="L52" i="23"/>
  <c r="G190" i="81" s="1"/>
  <c r="K54" i="23"/>
  <c r="D192" i="81" s="1"/>
  <c r="K55" i="23"/>
  <c r="D193" i="81" s="1"/>
  <c r="K56" i="23"/>
  <c r="D194" i="81" s="1"/>
  <c r="G213" i="81" l="1"/>
  <c r="Q53" i="75" s="1"/>
  <c r="T53" i="75" s="1"/>
  <c r="V53" i="75" s="1"/>
  <c r="W53" i="75" s="1"/>
  <c r="X53" i="75" s="1"/>
  <c r="C54" i="57"/>
  <c r="C58" i="58" s="1"/>
  <c r="C208" i="81"/>
  <c r="H9" i="68"/>
  <c r="B67" i="80"/>
  <c r="D42" i="80"/>
  <c r="B59" i="80"/>
  <c r="B69" i="80" s="1"/>
  <c r="B60" i="58"/>
  <c r="B70" i="58" s="1"/>
  <c r="C59" i="80"/>
  <c r="C60" i="58"/>
  <c r="C50" i="80"/>
  <c r="C51" i="58"/>
  <c r="C49" i="80"/>
  <c r="C50" i="58"/>
  <c r="C60" i="80"/>
  <c r="C61" i="58"/>
  <c r="O51" i="75"/>
  <c r="C63" i="80"/>
  <c r="C64" i="58"/>
  <c r="O27" i="75"/>
  <c r="C59" i="57"/>
  <c r="C61" i="80"/>
  <c r="C62" i="58"/>
  <c r="O3" i="75"/>
  <c r="D43" i="80"/>
  <c r="T56" i="75"/>
  <c r="V56" i="75" s="1"/>
  <c r="W56" i="75" s="1"/>
  <c r="X56" i="75" s="1"/>
  <c r="O56" i="75"/>
  <c r="O55" i="75"/>
  <c r="O54" i="75"/>
  <c r="C51" i="23"/>
  <c r="C50" i="23"/>
  <c r="B50" i="23"/>
  <c r="B46" i="57" s="1"/>
  <c r="B44" i="58" s="1"/>
  <c r="C48" i="23"/>
  <c r="C188" i="81" s="1"/>
  <c r="B44" i="23"/>
  <c r="B40" i="57" s="1"/>
  <c r="C42" i="23"/>
  <c r="C38" i="57" s="1"/>
  <c r="D37" i="23"/>
  <c r="D33" i="57" s="1"/>
  <c r="D38" i="23"/>
  <c r="D34" i="57" s="1"/>
  <c r="G37" i="23"/>
  <c r="F33" i="57" s="1"/>
  <c r="B38" i="23"/>
  <c r="B34" i="57" s="1"/>
  <c r="B37" i="23"/>
  <c r="B33" i="57" s="1"/>
  <c r="C31" i="57"/>
  <c r="B35" i="23"/>
  <c r="B31" i="57" s="1"/>
  <c r="C31" i="58"/>
  <c r="C28" i="58"/>
  <c r="J27" i="57"/>
  <c r="B17" i="58"/>
  <c r="B18" i="58"/>
  <c r="B16" i="58"/>
  <c r="A6" i="58"/>
  <c r="A7" i="58"/>
  <c r="A9" i="58"/>
  <c r="A10" i="58"/>
  <c r="A11" i="58"/>
  <c r="A12" i="58"/>
  <c r="A5" i="58"/>
  <c r="A1" i="58"/>
  <c r="B89" i="57"/>
  <c r="B81" i="57"/>
  <c r="B82" i="57"/>
  <c r="B83" i="57"/>
  <c r="B79" i="57"/>
  <c r="N141" i="72"/>
  <c r="B85" i="58" l="1"/>
  <c r="G37" i="58"/>
  <c r="C57" i="80"/>
  <c r="B96" i="80"/>
  <c r="B95" i="58"/>
  <c r="B87" i="80"/>
  <c r="B84" i="80"/>
  <c r="I31" i="80"/>
  <c r="J31" i="58"/>
  <c r="B86" i="80"/>
  <c r="B87" i="58"/>
  <c r="C40" i="80"/>
  <c r="C42" i="58"/>
  <c r="B2" i="75"/>
  <c r="C44" i="57"/>
  <c r="C35" i="80"/>
  <c r="C35" i="58"/>
  <c r="B43" i="80"/>
  <c r="B49" i="80"/>
  <c r="B50" i="58"/>
  <c r="B38" i="80"/>
  <c r="B38" i="58"/>
  <c r="B35" i="80"/>
  <c r="B35" i="58"/>
  <c r="B42" i="80"/>
  <c r="B37" i="80"/>
  <c r="B37" i="58"/>
  <c r="D37" i="80"/>
  <c r="D37" i="58"/>
  <c r="B45" i="80"/>
  <c r="C65" i="80"/>
  <c r="C64" i="80"/>
  <c r="C62" i="80"/>
  <c r="C63" i="58"/>
  <c r="C51" i="75"/>
  <c r="C39" i="75"/>
  <c r="C50" i="57"/>
  <c r="C27" i="75"/>
  <c r="C49" i="57"/>
  <c r="C15" i="75"/>
  <c r="C3" i="75"/>
  <c r="C48" i="57"/>
  <c r="D38" i="80"/>
  <c r="D38" i="58"/>
  <c r="B72" i="57"/>
  <c r="I31" i="23"/>
  <c r="A44" i="78"/>
  <c r="C64" i="57"/>
  <c r="Q20" i="75"/>
  <c r="Q32" i="75"/>
  <c r="Q44" i="75"/>
  <c r="Q8" i="75"/>
  <c r="C67" i="80" l="1"/>
  <c r="C68" i="58"/>
  <c r="B76" i="80"/>
  <c r="B77" i="58"/>
  <c r="C45" i="80"/>
  <c r="C47" i="80"/>
  <c r="C48" i="58"/>
  <c r="C55" i="80"/>
  <c r="C54" i="80"/>
  <c r="C53" i="80"/>
  <c r="C54" i="58"/>
  <c r="C52" i="80"/>
  <c r="C53" i="58"/>
  <c r="C51" i="80"/>
  <c r="C52" i="58"/>
  <c r="A197" i="76"/>
  <c r="L214" i="76" s="1"/>
  <c r="J194" i="76" s="1"/>
  <c r="E69" i="75" s="1"/>
  <c r="X74" i="75"/>
  <c r="L74" i="75"/>
  <c r="O64" i="75"/>
  <c r="C64" i="75"/>
  <c r="E56" i="75"/>
  <c r="E20" i="75"/>
  <c r="E32" i="75"/>
  <c r="E44" i="75"/>
  <c r="E8" i="75"/>
  <c r="L73" i="23"/>
  <c r="E195" i="76" s="1"/>
  <c r="Q66" i="75" s="1"/>
  <c r="L72" i="23"/>
  <c r="E194" i="76" s="1"/>
  <c r="E66" i="75" s="1"/>
  <c r="Q29" i="75"/>
  <c r="D19" i="68"/>
  <c r="D18" i="68"/>
  <c r="K73" i="23"/>
  <c r="B195" i="76" s="1"/>
  <c r="I178" i="76" s="1"/>
  <c r="K72" i="23"/>
  <c r="B194" i="76" s="1"/>
  <c r="I177" i="76" s="1"/>
  <c r="Q41" i="75"/>
  <c r="Q17" i="75"/>
  <c r="Q5" i="75"/>
  <c r="E41" i="75"/>
  <c r="J50" i="78"/>
  <c r="I50" i="78"/>
  <c r="J49" i="78"/>
  <c r="I49" i="78"/>
  <c r="J48" i="78"/>
  <c r="I48" i="78"/>
  <c r="J47" i="78"/>
  <c r="I47" i="78"/>
  <c r="J46" i="78"/>
  <c r="I46" i="78"/>
  <c r="J45" i="78"/>
  <c r="I45" i="78"/>
  <c r="A51" i="78"/>
  <c r="B39" i="78"/>
  <c r="B38" i="78"/>
  <c r="B37" i="78"/>
  <c r="A36" i="78"/>
  <c r="D35" i="78"/>
  <c r="A34" i="78"/>
  <c r="P23" i="78"/>
  <c r="J23" i="78"/>
  <c r="D23" i="78"/>
  <c r="D39" i="78" s="1"/>
  <c r="J38" i="78" s="1"/>
  <c r="P22" i="78"/>
  <c r="J22" i="78"/>
  <c r="D22" i="78"/>
  <c r="P8" i="78"/>
  <c r="J8" i="78"/>
  <c r="D8" i="78"/>
  <c r="P7" i="78"/>
  <c r="J7" i="78"/>
  <c r="D7" i="78"/>
  <c r="J213" i="76"/>
  <c r="J212" i="76"/>
  <c r="J211" i="76"/>
  <c r="I211" i="76"/>
  <c r="J210" i="76"/>
  <c r="I210" i="76"/>
  <c r="J209" i="76"/>
  <c r="I209" i="76"/>
  <c r="J208" i="76"/>
  <c r="I208" i="76"/>
  <c r="J207" i="76"/>
  <c r="I207" i="76"/>
  <c r="J206" i="76"/>
  <c r="I206" i="76"/>
  <c r="J205" i="76"/>
  <c r="I205" i="76"/>
  <c r="J204" i="76"/>
  <c r="I204" i="76"/>
  <c r="J203" i="76"/>
  <c r="I203" i="76"/>
  <c r="J202" i="76"/>
  <c r="I202" i="76"/>
  <c r="J201" i="76"/>
  <c r="I201" i="76"/>
  <c r="J200" i="76"/>
  <c r="I200" i="76"/>
  <c r="J199" i="76"/>
  <c r="I199" i="76"/>
  <c r="J198" i="76"/>
  <c r="I198" i="76"/>
  <c r="G171" i="76"/>
  <c r="E171" i="76"/>
  <c r="D171" i="76"/>
  <c r="C171" i="76"/>
  <c r="G170" i="76"/>
  <c r="E170" i="76"/>
  <c r="D170" i="76"/>
  <c r="C170" i="76"/>
  <c r="G169" i="76"/>
  <c r="E169" i="76"/>
  <c r="D169" i="76"/>
  <c r="C169" i="76"/>
  <c r="G168" i="76"/>
  <c r="E168" i="76"/>
  <c r="D168" i="76"/>
  <c r="C168" i="76"/>
  <c r="G167" i="76"/>
  <c r="E167" i="76"/>
  <c r="D167" i="76"/>
  <c r="C167" i="76"/>
  <c r="G166" i="76"/>
  <c r="E166" i="76"/>
  <c r="D166" i="76"/>
  <c r="C166" i="76"/>
  <c r="G165" i="76"/>
  <c r="E165" i="76"/>
  <c r="D165" i="76"/>
  <c r="C165" i="76"/>
  <c r="G164" i="76"/>
  <c r="E164" i="76"/>
  <c r="D164" i="76"/>
  <c r="C164" i="76"/>
  <c r="G163" i="76"/>
  <c r="F163" i="76"/>
  <c r="E163" i="76"/>
  <c r="D163" i="76"/>
  <c r="C163" i="76"/>
  <c r="G162" i="76"/>
  <c r="E162" i="76"/>
  <c r="D162" i="76"/>
  <c r="C162" i="76"/>
  <c r="G161" i="76"/>
  <c r="E161" i="76"/>
  <c r="D161" i="76"/>
  <c r="C161" i="76"/>
  <c r="G160" i="76"/>
  <c r="E160" i="76"/>
  <c r="D160" i="76"/>
  <c r="C160" i="76"/>
  <c r="G159" i="76"/>
  <c r="E159" i="76"/>
  <c r="D159" i="76"/>
  <c r="C159" i="76"/>
  <c r="G158" i="76"/>
  <c r="E158" i="76"/>
  <c r="D158" i="76"/>
  <c r="C158" i="76"/>
  <c r="G157" i="76"/>
  <c r="E157" i="76"/>
  <c r="D157" i="76"/>
  <c r="C157" i="76"/>
  <c r="G156" i="76"/>
  <c r="E156" i="76"/>
  <c r="D156" i="76"/>
  <c r="C156" i="76"/>
  <c r="G155" i="76"/>
  <c r="E155" i="76"/>
  <c r="D155" i="76"/>
  <c r="C155" i="76"/>
  <c r="G154" i="76"/>
  <c r="E154" i="76"/>
  <c r="D154" i="76"/>
  <c r="C154" i="76"/>
  <c r="G153" i="76"/>
  <c r="E153" i="76"/>
  <c r="D153" i="76"/>
  <c r="C153" i="76"/>
  <c r="G152" i="76"/>
  <c r="E152" i="76"/>
  <c r="D152" i="76"/>
  <c r="C152" i="76"/>
  <c r="G151" i="76"/>
  <c r="E151" i="76"/>
  <c r="D151" i="76"/>
  <c r="C151" i="76"/>
  <c r="G150" i="76"/>
  <c r="E150" i="76"/>
  <c r="D150" i="76"/>
  <c r="C150" i="76"/>
  <c r="P149" i="76"/>
  <c r="N149" i="76"/>
  <c r="M149" i="76"/>
  <c r="L149" i="76"/>
  <c r="G149" i="76"/>
  <c r="E149" i="76"/>
  <c r="D149" i="76"/>
  <c r="C149" i="76"/>
  <c r="P148" i="76"/>
  <c r="N148" i="76"/>
  <c r="M148" i="76"/>
  <c r="L148" i="76"/>
  <c r="G148" i="76"/>
  <c r="E148" i="76"/>
  <c r="D148" i="76"/>
  <c r="C148" i="76"/>
  <c r="P147" i="76"/>
  <c r="N147" i="76"/>
  <c r="M147" i="76"/>
  <c r="L147" i="76"/>
  <c r="G147" i="76"/>
  <c r="E147" i="76"/>
  <c r="D147" i="76"/>
  <c r="C147" i="76"/>
  <c r="P146" i="76"/>
  <c r="N146" i="76"/>
  <c r="M146" i="76"/>
  <c r="L146" i="76"/>
  <c r="G146" i="76"/>
  <c r="E146" i="76"/>
  <c r="D146" i="76"/>
  <c r="C146" i="76"/>
  <c r="P145" i="76"/>
  <c r="N145" i="76"/>
  <c r="M145" i="76"/>
  <c r="L145" i="76"/>
  <c r="G145" i="76"/>
  <c r="E145" i="76"/>
  <c r="D145" i="76"/>
  <c r="C145" i="76"/>
  <c r="P144" i="76"/>
  <c r="N144" i="76"/>
  <c r="M144" i="76"/>
  <c r="L144" i="76"/>
  <c r="G144" i="76"/>
  <c r="E144" i="76"/>
  <c r="D144" i="76"/>
  <c r="C144" i="76"/>
  <c r="P143" i="76"/>
  <c r="N143" i="76"/>
  <c r="M143" i="76"/>
  <c r="L143" i="76"/>
  <c r="G143" i="76"/>
  <c r="E143" i="76"/>
  <c r="D143" i="76"/>
  <c r="C143" i="76"/>
  <c r="P142" i="76"/>
  <c r="N142" i="76"/>
  <c r="M142" i="76"/>
  <c r="L142" i="76"/>
  <c r="G142" i="76"/>
  <c r="E142" i="76"/>
  <c r="D142" i="76"/>
  <c r="C142" i="76"/>
  <c r="P141" i="76"/>
  <c r="N141" i="76"/>
  <c r="M141" i="76"/>
  <c r="L141" i="76"/>
  <c r="G141" i="76"/>
  <c r="E141" i="76"/>
  <c r="D141" i="76"/>
  <c r="C141" i="76"/>
  <c r="P140" i="76"/>
  <c r="N140" i="76"/>
  <c r="M140" i="76"/>
  <c r="L140" i="76"/>
  <c r="G140" i="76"/>
  <c r="E140" i="76"/>
  <c r="D140" i="76"/>
  <c r="C140" i="76"/>
  <c r="G139" i="76"/>
  <c r="E139" i="76"/>
  <c r="D139" i="76"/>
  <c r="C139" i="76"/>
  <c r="G138" i="76"/>
  <c r="E138" i="76"/>
  <c r="D138" i="76"/>
  <c r="C138" i="76"/>
  <c r="G137" i="76"/>
  <c r="E137" i="76"/>
  <c r="D137" i="76"/>
  <c r="C137" i="76"/>
  <c r="G136" i="76"/>
  <c r="E136" i="76"/>
  <c r="D136" i="76"/>
  <c r="C136" i="76"/>
  <c r="G135" i="76"/>
  <c r="E135" i="76"/>
  <c r="D135" i="76"/>
  <c r="C135" i="76"/>
  <c r="G134" i="76"/>
  <c r="E134" i="76"/>
  <c r="D134" i="76"/>
  <c r="C134" i="76"/>
  <c r="P133" i="76"/>
  <c r="N133" i="76"/>
  <c r="M133" i="76"/>
  <c r="L133" i="76"/>
  <c r="G133" i="76"/>
  <c r="E133" i="76"/>
  <c r="D133" i="76"/>
  <c r="C133" i="76"/>
  <c r="P132" i="76"/>
  <c r="N132" i="76"/>
  <c r="M132" i="76"/>
  <c r="L132" i="76"/>
  <c r="G132" i="76"/>
  <c r="E132" i="76"/>
  <c r="D132" i="76"/>
  <c r="C132" i="76"/>
  <c r="P131" i="76"/>
  <c r="N131" i="76"/>
  <c r="M131" i="76"/>
  <c r="L131" i="76"/>
  <c r="G131" i="76"/>
  <c r="E131" i="76"/>
  <c r="D131" i="76"/>
  <c r="C131" i="76"/>
  <c r="P130" i="76"/>
  <c r="N130" i="76"/>
  <c r="M130" i="76"/>
  <c r="L130" i="76"/>
  <c r="G130" i="76"/>
  <c r="E130" i="76"/>
  <c r="D130" i="76"/>
  <c r="C130" i="76"/>
  <c r="P129" i="76"/>
  <c r="O129" i="76"/>
  <c r="N129" i="76"/>
  <c r="M129" i="76"/>
  <c r="L129" i="76"/>
  <c r="G129" i="76"/>
  <c r="E129" i="76"/>
  <c r="D129" i="76"/>
  <c r="C129" i="76"/>
  <c r="P128" i="76"/>
  <c r="N128" i="76"/>
  <c r="M128" i="76"/>
  <c r="L128" i="76"/>
  <c r="G128" i="76"/>
  <c r="E128" i="76"/>
  <c r="D128" i="76"/>
  <c r="C128" i="76"/>
  <c r="P127" i="76"/>
  <c r="N127" i="76"/>
  <c r="M127" i="76"/>
  <c r="L127" i="76"/>
  <c r="G127" i="76"/>
  <c r="E127" i="76"/>
  <c r="D127" i="76"/>
  <c r="C127" i="76"/>
  <c r="P126" i="76"/>
  <c r="N126" i="76"/>
  <c r="M126" i="76"/>
  <c r="L126" i="76"/>
  <c r="G126" i="76"/>
  <c r="E126" i="76"/>
  <c r="D126" i="76"/>
  <c r="C126" i="76"/>
  <c r="P125" i="76"/>
  <c r="N125" i="76"/>
  <c r="M125" i="76"/>
  <c r="L125" i="76"/>
  <c r="G125" i="76"/>
  <c r="E125" i="76"/>
  <c r="D125" i="76"/>
  <c r="C125" i="76"/>
  <c r="P124" i="76"/>
  <c r="N124" i="76"/>
  <c r="M124" i="76"/>
  <c r="L124" i="76"/>
  <c r="G124" i="76"/>
  <c r="E124" i="76"/>
  <c r="D124" i="76"/>
  <c r="C124" i="76"/>
  <c r="G123" i="76"/>
  <c r="E123" i="76"/>
  <c r="D123" i="76"/>
  <c r="C123" i="76"/>
  <c r="G122" i="76"/>
  <c r="E122" i="76"/>
  <c r="D122" i="76"/>
  <c r="C122" i="76"/>
  <c r="G121" i="76"/>
  <c r="E121" i="76"/>
  <c r="D121" i="76"/>
  <c r="C121" i="76"/>
  <c r="G120" i="76"/>
  <c r="E120" i="76"/>
  <c r="D120" i="76"/>
  <c r="C120" i="76"/>
  <c r="G119" i="76"/>
  <c r="E119" i="76"/>
  <c r="D119" i="76"/>
  <c r="C119" i="76"/>
  <c r="G118" i="76"/>
  <c r="E118" i="76"/>
  <c r="D118" i="76"/>
  <c r="C118" i="76"/>
  <c r="P117" i="76"/>
  <c r="N117" i="76"/>
  <c r="M117" i="76"/>
  <c r="L117" i="76"/>
  <c r="G117" i="76"/>
  <c r="E117" i="76"/>
  <c r="D117" i="76"/>
  <c r="C117" i="76"/>
  <c r="P116" i="76"/>
  <c r="N116" i="76"/>
  <c r="M116" i="76"/>
  <c r="L116" i="76"/>
  <c r="G116" i="76"/>
  <c r="E116" i="76"/>
  <c r="D116" i="76"/>
  <c r="C116" i="76"/>
  <c r="P115" i="76"/>
  <c r="N115" i="76"/>
  <c r="M115" i="76"/>
  <c r="L115" i="76"/>
  <c r="G115" i="76"/>
  <c r="E115" i="76"/>
  <c r="D115" i="76"/>
  <c r="C115" i="76"/>
  <c r="P114" i="76"/>
  <c r="N114" i="76"/>
  <c r="M114" i="76"/>
  <c r="L114" i="76"/>
  <c r="G114" i="76"/>
  <c r="E114" i="76"/>
  <c r="D114" i="76"/>
  <c r="C114" i="76"/>
  <c r="P113" i="76"/>
  <c r="N113" i="76"/>
  <c r="M113" i="76"/>
  <c r="L113" i="76"/>
  <c r="G113" i="76"/>
  <c r="E113" i="76"/>
  <c r="D113" i="76"/>
  <c r="C113" i="76"/>
  <c r="P112" i="76"/>
  <c r="N112" i="76"/>
  <c r="M112" i="76"/>
  <c r="L112" i="76"/>
  <c r="G112" i="76"/>
  <c r="E112" i="76"/>
  <c r="D112" i="76"/>
  <c r="C112" i="76"/>
  <c r="P111" i="76"/>
  <c r="N111" i="76"/>
  <c r="M111" i="76"/>
  <c r="L111" i="76"/>
  <c r="G111" i="76"/>
  <c r="E111" i="76"/>
  <c r="D111" i="76"/>
  <c r="C111" i="76"/>
  <c r="P110" i="76"/>
  <c r="N110" i="76"/>
  <c r="M110" i="76"/>
  <c r="L110" i="76"/>
  <c r="G110" i="76"/>
  <c r="E110" i="76"/>
  <c r="D110" i="76"/>
  <c r="C110" i="76"/>
  <c r="P109" i="76"/>
  <c r="N109" i="76"/>
  <c r="M109" i="76"/>
  <c r="L109" i="76"/>
  <c r="G109" i="76"/>
  <c r="E109" i="76"/>
  <c r="D109" i="76"/>
  <c r="C109" i="76"/>
  <c r="P108" i="76"/>
  <c r="N108" i="76"/>
  <c r="M108" i="76"/>
  <c r="L108" i="76"/>
  <c r="G108" i="76"/>
  <c r="E108" i="76"/>
  <c r="D108" i="76"/>
  <c r="C108" i="76"/>
  <c r="P107" i="76"/>
  <c r="N107" i="76"/>
  <c r="M107" i="76"/>
  <c r="L107" i="76"/>
  <c r="G107" i="76"/>
  <c r="E107" i="76"/>
  <c r="D107" i="76"/>
  <c r="C107" i="76"/>
  <c r="P106" i="76"/>
  <c r="N106" i="76"/>
  <c r="M106" i="76"/>
  <c r="L106" i="76"/>
  <c r="G106" i="76"/>
  <c r="E106" i="76"/>
  <c r="D106" i="76"/>
  <c r="C106" i="76"/>
  <c r="P105" i="76"/>
  <c r="N105" i="76"/>
  <c r="M105" i="76"/>
  <c r="L105" i="76"/>
  <c r="G105" i="76"/>
  <c r="E105" i="76"/>
  <c r="D105" i="76"/>
  <c r="C105" i="76"/>
  <c r="P104" i="76"/>
  <c r="N104" i="76"/>
  <c r="M104" i="76"/>
  <c r="L104" i="76"/>
  <c r="G104" i="76"/>
  <c r="E104" i="76"/>
  <c r="D104" i="76"/>
  <c r="C104" i="76"/>
  <c r="P103" i="76"/>
  <c r="N103" i="76"/>
  <c r="M103" i="76"/>
  <c r="L103" i="76"/>
  <c r="G103" i="76"/>
  <c r="E103" i="76"/>
  <c r="D103" i="76"/>
  <c r="C103" i="76"/>
  <c r="P102" i="76"/>
  <c r="N102" i="76"/>
  <c r="M102" i="76"/>
  <c r="L102" i="76"/>
  <c r="G102" i="76"/>
  <c r="E102" i="76"/>
  <c r="D102" i="76"/>
  <c r="C102" i="76"/>
  <c r="P101" i="76"/>
  <c r="N101" i="76"/>
  <c r="M101" i="76"/>
  <c r="L101" i="76"/>
  <c r="G101" i="76"/>
  <c r="E101" i="76"/>
  <c r="D101" i="76"/>
  <c r="C101" i="76"/>
  <c r="P100" i="76"/>
  <c r="N100" i="76"/>
  <c r="M100" i="76"/>
  <c r="L100" i="76"/>
  <c r="G100" i="76"/>
  <c r="E100" i="76"/>
  <c r="D100" i="76"/>
  <c r="C100" i="76"/>
  <c r="P99" i="76"/>
  <c r="N99" i="76"/>
  <c r="M99" i="76"/>
  <c r="L99" i="76"/>
  <c r="G99" i="76"/>
  <c r="E99" i="76"/>
  <c r="D99" i="76"/>
  <c r="C99" i="76"/>
  <c r="P98" i="76"/>
  <c r="N98" i="76"/>
  <c r="M98" i="76"/>
  <c r="L98" i="76"/>
  <c r="G98" i="76"/>
  <c r="E98" i="76"/>
  <c r="D98" i="76"/>
  <c r="C98" i="76"/>
  <c r="P97" i="76"/>
  <c r="N97" i="76"/>
  <c r="M97" i="76"/>
  <c r="L97" i="76"/>
  <c r="G97" i="76"/>
  <c r="E97" i="76"/>
  <c r="D97" i="76"/>
  <c r="C97" i="76"/>
  <c r="P96" i="76"/>
  <c r="N96" i="76"/>
  <c r="M96" i="76"/>
  <c r="L96" i="76"/>
  <c r="G96" i="76"/>
  <c r="E96" i="76"/>
  <c r="D96" i="76"/>
  <c r="C96" i="76"/>
  <c r="P95" i="76"/>
  <c r="N95" i="76"/>
  <c r="M95" i="76"/>
  <c r="L95" i="76"/>
  <c r="G95" i="76"/>
  <c r="E95" i="76"/>
  <c r="D95" i="76"/>
  <c r="C95" i="76"/>
  <c r="P94" i="76"/>
  <c r="N94" i="76"/>
  <c r="M94" i="76"/>
  <c r="L94" i="76"/>
  <c r="G94" i="76"/>
  <c r="E94" i="76"/>
  <c r="D94" i="76"/>
  <c r="C94" i="76"/>
  <c r="P93" i="76"/>
  <c r="N93" i="76"/>
  <c r="M93" i="76"/>
  <c r="L93" i="76"/>
  <c r="G93" i="76"/>
  <c r="E93" i="76"/>
  <c r="D93" i="76"/>
  <c r="C93" i="76"/>
  <c r="P92" i="76"/>
  <c r="N92" i="76"/>
  <c r="M92" i="76"/>
  <c r="L92" i="76"/>
  <c r="G92" i="76"/>
  <c r="E92" i="76"/>
  <c r="D92" i="76"/>
  <c r="C92" i="76"/>
  <c r="J89" i="76"/>
  <c r="D80" i="76"/>
  <c r="D79" i="76"/>
  <c r="D78" i="76"/>
  <c r="D77" i="76"/>
  <c r="O107" i="76" s="1"/>
  <c r="D76" i="76"/>
  <c r="F171" i="76" s="1"/>
  <c r="D75" i="76"/>
  <c r="F155" i="76" s="1"/>
  <c r="D74" i="76"/>
  <c r="F139" i="76" s="1"/>
  <c r="D73" i="76"/>
  <c r="F123" i="76" s="1"/>
  <c r="D72" i="76"/>
  <c r="F107" i="76" s="1"/>
  <c r="P67" i="76"/>
  <c r="J67" i="76"/>
  <c r="D67" i="76"/>
  <c r="P66" i="76"/>
  <c r="J66" i="76"/>
  <c r="D66" i="76"/>
  <c r="P65" i="76"/>
  <c r="J65" i="76"/>
  <c r="D65" i="76"/>
  <c r="P64" i="76"/>
  <c r="O106" i="76" s="1"/>
  <c r="J64" i="76"/>
  <c r="O105" i="76" s="1"/>
  <c r="D64" i="76"/>
  <c r="O104" i="76" s="1"/>
  <c r="P63" i="76"/>
  <c r="F170" i="76" s="1"/>
  <c r="J63" i="76"/>
  <c r="F169" i="76" s="1"/>
  <c r="D63" i="76"/>
  <c r="F168" i="76" s="1"/>
  <c r="P62" i="76"/>
  <c r="F154" i="76" s="1"/>
  <c r="J62" i="76"/>
  <c r="F153" i="76" s="1"/>
  <c r="D62" i="76"/>
  <c r="F152" i="76" s="1"/>
  <c r="P61" i="76"/>
  <c r="F138" i="76" s="1"/>
  <c r="J61" i="76"/>
  <c r="F137" i="76" s="1"/>
  <c r="D61" i="76"/>
  <c r="F136" i="76" s="1"/>
  <c r="P60" i="76"/>
  <c r="F122" i="76" s="1"/>
  <c r="J60" i="76"/>
  <c r="F121" i="76" s="1"/>
  <c r="D60" i="76"/>
  <c r="F120" i="76" s="1"/>
  <c r="P59" i="76"/>
  <c r="F106" i="76" s="1"/>
  <c r="J59" i="76"/>
  <c r="F105" i="76" s="1"/>
  <c r="D59" i="76"/>
  <c r="F104" i="76" s="1"/>
  <c r="P54" i="76"/>
  <c r="J54" i="76"/>
  <c r="O149" i="76" s="1"/>
  <c r="D54" i="76"/>
  <c r="O148" i="76" s="1"/>
  <c r="P53" i="76"/>
  <c r="J53" i="76"/>
  <c r="O133" i="76" s="1"/>
  <c r="D53" i="76"/>
  <c r="O132" i="76" s="1"/>
  <c r="P52" i="76"/>
  <c r="J52" i="76"/>
  <c r="O117" i="76" s="1"/>
  <c r="D52" i="76"/>
  <c r="O116" i="76" s="1"/>
  <c r="P51" i="76"/>
  <c r="O103" i="76" s="1"/>
  <c r="J51" i="76"/>
  <c r="D51" i="76"/>
  <c r="O100" i="76" s="1"/>
  <c r="P50" i="76"/>
  <c r="F167" i="76" s="1"/>
  <c r="J50" i="76"/>
  <c r="F166" i="76" s="1"/>
  <c r="D50" i="76"/>
  <c r="F165" i="76" s="1"/>
  <c r="P49" i="76"/>
  <c r="F151" i="76" s="1"/>
  <c r="J49" i="76"/>
  <c r="F150" i="76" s="1"/>
  <c r="D49" i="76"/>
  <c r="F149" i="76" s="1"/>
  <c r="P48" i="76"/>
  <c r="F135" i="76" s="1"/>
  <c r="J48" i="76"/>
  <c r="F134" i="76" s="1"/>
  <c r="D48" i="76"/>
  <c r="F133" i="76" s="1"/>
  <c r="P47" i="76"/>
  <c r="F119" i="76" s="1"/>
  <c r="J47" i="76"/>
  <c r="F118" i="76" s="1"/>
  <c r="D47" i="76"/>
  <c r="F117" i="76" s="1"/>
  <c r="P46" i="76"/>
  <c r="F103" i="76" s="1"/>
  <c r="J46" i="76"/>
  <c r="F102" i="76" s="1"/>
  <c r="D46" i="76"/>
  <c r="F101" i="76" s="1"/>
  <c r="P41" i="76"/>
  <c r="J41" i="76"/>
  <c r="O147" i="76" s="1"/>
  <c r="D41" i="76"/>
  <c r="O146" i="76" s="1"/>
  <c r="P40" i="76"/>
  <c r="J40" i="76"/>
  <c r="O131" i="76" s="1"/>
  <c r="D40" i="76"/>
  <c r="O130" i="76" s="1"/>
  <c r="P39" i="76"/>
  <c r="J39" i="76"/>
  <c r="O115" i="76" s="1"/>
  <c r="D39" i="76"/>
  <c r="O114" i="76" s="1"/>
  <c r="P38" i="76"/>
  <c r="J38" i="76"/>
  <c r="O99" i="76" s="1"/>
  <c r="D38" i="76"/>
  <c r="O98" i="76" s="1"/>
  <c r="P37" i="76"/>
  <c r="F164" i="76" s="1"/>
  <c r="J37" i="76"/>
  <c r="D37" i="76"/>
  <c r="F162" i="76" s="1"/>
  <c r="P36" i="76"/>
  <c r="F148" i="76" s="1"/>
  <c r="J36" i="76"/>
  <c r="F147" i="76" s="1"/>
  <c r="D36" i="76"/>
  <c r="F146" i="76" s="1"/>
  <c r="P35" i="76"/>
  <c r="F132" i="76" s="1"/>
  <c r="J35" i="76"/>
  <c r="F131" i="76" s="1"/>
  <c r="D35" i="76"/>
  <c r="F130" i="76" s="1"/>
  <c r="P34" i="76"/>
  <c r="F116" i="76" s="1"/>
  <c r="J34" i="76"/>
  <c r="F115" i="76" s="1"/>
  <c r="D34" i="76"/>
  <c r="F114" i="76" s="1"/>
  <c r="P33" i="76"/>
  <c r="F100" i="76" s="1"/>
  <c r="J33" i="76"/>
  <c r="F99" i="76" s="1"/>
  <c r="D33" i="76"/>
  <c r="F98" i="76" s="1"/>
  <c r="P27" i="76"/>
  <c r="O145" i="76" s="1"/>
  <c r="J27" i="76"/>
  <c r="O144" i="76" s="1"/>
  <c r="D27" i="76"/>
  <c r="O143" i="76" s="1"/>
  <c r="P26" i="76"/>
  <c r="J26" i="76"/>
  <c r="O128" i="76" s="1"/>
  <c r="D26" i="76"/>
  <c r="O127" i="76" s="1"/>
  <c r="P25" i="76"/>
  <c r="O113" i="76" s="1"/>
  <c r="J25" i="76"/>
  <c r="O112" i="76" s="1"/>
  <c r="D25" i="76"/>
  <c r="O111" i="76" s="1"/>
  <c r="P24" i="76"/>
  <c r="O97" i="76" s="1"/>
  <c r="J24" i="76"/>
  <c r="O96" i="76" s="1"/>
  <c r="D24" i="76"/>
  <c r="O95" i="76" s="1"/>
  <c r="P23" i="76"/>
  <c r="F161" i="76" s="1"/>
  <c r="J23" i="76"/>
  <c r="F160" i="76" s="1"/>
  <c r="D23" i="76"/>
  <c r="F159" i="76" s="1"/>
  <c r="P22" i="76"/>
  <c r="F145" i="76" s="1"/>
  <c r="J22" i="76"/>
  <c r="F144" i="76" s="1"/>
  <c r="D22" i="76"/>
  <c r="F143" i="76" s="1"/>
  <c r="P21" i="76"/>
  <c r="F129" i="76" s="1"/>
  <c r="J21" i="76"/>
  <c r="F128" i="76" s="1"/>
  <c r="D21" i="76"/>
  <c r="F127" i="76" s="1"/>
  <c r="P20" i="76"/>
  <c r="F113" i="76" s="1"/>
  <c r="J20" i="76"/>
  <c r="F112" i="76" s="1"/>
  <c r="D20" i="76"/>
  <c r="F111" i="76" s="1"/>
  <c r="P19" i="76"/>
  <c r="F97" i="76" s="1"/>
  <c r="J19" i="76"/>
  <c r="F96" i="76" s="1"/>
  <c r="D19" i="76"/>
  <c r="F95" i="76" s="1"/>
  <c r="A18" i="76"/>
  <c r="A32" i="76" s="1"/>
  <c r="A17" i="76"/>
  <c r="G17" i="76" s="1"/>
  <c r="M17" i="76" s="1"/>
  <c r="E16" i="76"/>
  <c r="E30" i="76" s="1"/>
  <c r="K30" i="76" s="1"/>
  <c r="K43" i="76" s="1"/>
  <c r="K56" i="76" s="1"/>
  <c r="P14" i="76"/>
  <c r="O142" i="76" s="1"/>
  <c r="J14" i="76"/>
  <c r="O141" i="76" s="1"/>
  <c r="D14" i="76"/>
  <c r="O140" i="76" s="1"/>
  <c r="P13" i="76"/>
  <c r="O126" i="76" s="1"/>
  <c r="J13" i="76"/>
  <c r="O125" i="76" s="1"/>
  <c r="D13" i="76"/>
  <c r="O124" i="76" s="1"/>
  <c r="P12" i="76"/>
  <c r="O110" i="76" s="1"/>
  <c r="J12" i="76"/>
  <c r="O109" i="76" s="1"/>
  <c r="D12" i="76"/>
  <c r="O108" i="76" s="1"/>
  <c r="P11" i="76"/>
  <c r="O94" i="76" s="1"/>
  <c r="J11" i="76"/>
  <c r="O93" i="76" s="1"/>
  <c r="D11" i="76"/>
  <c r="O92" i="76" s="1"/>
  <c r="P10" i="76"/>
  <c r="F158" i="76" s="1"/>
  <c r="J10" i="76"/>
  <c r="F157" i="76" s="1"/>
  <c r="D10" i="76"/>
  <c r="F156" i="76" s="1"/>
  <c r="P9" i="76"/>
  <c r="F142" i="76" s="1"/>
  <c r="J9" i="76"/>
  <c r="F141" i="76" s="1"/>
  <c r="D9" i="76"/>
  <c r="F140" i="76" s="1"/>
  <c r="P8" i="76"/>
  <c r="F126" i="76" s="1"/>
  <c r="J8" i="76"/>
  <c r="F125" i="76" s="1"/>
  <c r="D8" i="76"/>
  <c r="F124" i="76" s="1"/>
  <c r="P7" i="76"/>
  <c r="F110" i="76" s="1"/>
  <c r="J7" i="76"/>
  <c r="F109" i="76" s="1"/>
  <c r="D7" i="76"/>
  <c r="F108" i="76" s="1"/>
  <c r="P6" i="76"/>
  <c r="F94" i="76" s="1"/>
  <c r="J6" i="76"/>
  <c r="F93" i="76" s="1"/>
  <c r="D6" i="76"/>
  <c r="F92" i="76" s="1"/>
  <c r="G5" i="76"/>
  <c r="M5" i="76" s="1"/>
  <c r="G4" i="76"/>
  <c r="M4" i="76" s="1"/>
  <c r="K3" i="76"/>
  <c r="Q3" i="76" s="1"/>
  <c r="R69" i="75"/>
  <c r="R68" i="75"/>
  <c r="S67" i="75"/>
  <c r="R66" i="75"/>
  <c r="O66" i="75"/>
  <c r="F69" i="75"/>
  <c r="F68" i="75"/>
  <c r="G67" i="75"/>
  <c r="F66" i="75"/>
  <c r="C66" i="75"/>
  <c r="C69" i="75" s="1"/>
  <c r="R44" i="75"/>
  <c r="T44" i="75"/>
  <c r="V44" i="75" s="1"/>
  <c r="W44" i="75" s="1"/>
  <c r="X44" i="75" s="1"/>
  <c r="R43" i="75"/>
  <c r="S42" i="75"/>
  <c r="O41" i="75"/>
  <c r="X49" i="75" s="1"/>
  <c r="R32" i="75"/>
  <c r="T32" i="75" s="1"/>
  <c r="V32" i="75" s="1"/>
  <c r="W32" i="75" s="1"/>
  <c r="X32" i="75" s="1"/>
  <c r="R31" i="75"/>
  <c r="S30" i="75"/>
  <c r="O29" i="75"/>
  <c r="O31" i="75" s="1"/>
  <c r="R20" i="75"/>
  <c r="T20" i="75" s="1"/>
  <c r="V20" i="75" s="1"/>
  <c r="W20" i="75" s="1"/>
  <c r="X20" i="75" s="1"/>
  <c r="R19" i="75"/>
  <c r="S18" i="75"/>
  <c r="O17" i="75"/>
  <c r="X25" i="75" s="1"/>
  <c r="R8" i="75"/>
  <c r="T8" i="75" s="1"/>
  <c r="V8" i="75" s="1"/>
  <c r="W8" i="75" s="1"/>
  <c r="X8" i="75" s="1"/>
  <c r="R7" i="75"/>
  <c r="S6" i="75"/>
  <c r="O5" i="75"/>
  <c r="X13" i="75" s="1"/>
  <c r="F56" i="75"/>
  <c r="C56" i="75"/>
  <c r="F55" i="75"/>
  <c r="C55" i="75"/>
  <c r="G54" i="75"/>
  <c r="C54" i="75"/>
  <c r="C53" i="75"/>
  <c r="F44" i="75"/>
  <c r="C44" i="75"/>
  <c r="F43" i="75"/>
  <c r="C43" i="75"/>
  <c r="G42" i="75"/>
  <c r="C42" i="75"/>
  <c r="C41" i="75"/>
  <c r="F32" i="75"/>
  <c r="C32" i="75"/>
  <c r="F31" i="75"/>
  <c r="C31" i="75"/>
  <c r="G30" i="75"/>
  <c r="C30" i="75"/>
  <c r="C29" i="75"/>
  <c r="F20" i="75"/>
  <c r="C20" i="75"/>
  <c r="F19" i="75"/>
  <c r="C19" i="75"/>
  <c r="G18" i="75"/>
  <c r="C18" i="75"/>
  <c r="C17" i="75"/>
  <c r="F8" i="75"/>
  <c r="C8" i="75"/>
  <c r="F7" i="75"/>
  <c r="C7" i="75"/>
  <c r="G6" i="75"/>
  <c r="C6" i="75"/>
  <c r="C5" i="75"/>
  <c r="G71" i="80" l="1"/>
  <c r="G72" i="80"/>
  <c r="D38" i="78"/>
  <c r="J37" i="78" s="1"/>
  <c r="K16" i="76"/>
  <c r="Q16" i="76" s="1"/>
  <c r="T41" i="75"/>
  <c r="V41" i="75" s="1"/>
  <c r="W41" i="75" s="1"/>
  <c r="X41" i="75" s="1"/>
  <c r="H66" i="75"/>
  <c r="J66" i="75" s="1"/>
  <c r="K66" i="75" s="1"/>
  <c r="L66" i="75" s="1"/>
  <c r="O19" i="75"/>
  <c r="T17" i="75"/>
  <c r="V17" i="75" s="1"/>
  <c r="W17" i="75" s="1"/>
  <c r="X17" i="75" s="1"/>
  <c r="T66" i="75"/>
  <c r="V66" i="75" s="1"/>
  <c r="W66" i="75" s="1"/>
  <c r="X66" i="75" s="1"/>
  <c r="T29" i="75"/>
  <c r="V29" i="75" s="1"/>
  <c r="W29" i="75" s="1"/>
  <c r="X29" i="75" s="1"/>
  <c r="H8" i="75"/>
  <c r="J8" i="75" s="1"/>
  <c r="K8" i="75" s="1"/>
  <c r="L8" i="75" s="1"/>
  <c r="G18" i="76"/>
  <c r="M18" i="76" s="1"/>
  <c r="T5" i="75"/>
  <c r="V5" i="75" s="1"/>
  <c r="W5" i="75" s="1"/>
  <c r="X5" i="75" s="1"/>
  <c r="X37" i="75"/>
  <c r="O20" i="75"/>
  <c r="O43" i="75"/>
  <c r="N2" i="75"/>
  <c r="E5" i="75"/>
  <c r="E53" i="75"/>
  <c r="E17" i="75"/>
  <c r="E29" i="75"/>
  <c r="B174" i="76"/>
  <c r="C176" i="76" s="1"/>
  <c r="Q69" i="75"/>
  <c r="T69" i="75" s="1"/>
  <c r="V69" i="75" s="1"/>
  <c r="W69" i="75" s="1"/>
  <c r="X69" i="75" s="1"/>
  <c r="H69" i="75"/>
  <c r="J69" i="75" s="1"/>
  <c r="K69" i="75" s="1"/>
  <c r="L69" i="75" s="1"/>
  <c r="A189" i="76"/>
  <c r="E35" i="78"/>
  <c r="C37" i="78"/>
  <c r="C38" i="78"/>
  <c r="H37" i="78" s="1"/>
  <c r="A39" i="78"/>
  <c r="G38" i="78" s="1"/>
  <c r="E39" i="78"/>
  <c r="K38" i="78" s="1"/>
  <c r="A35" i="78"/>
  <c r="A37" i="78"/>
  <c r="A38" i="78"/>
  <c r="G37" i="78" s="1"/>
  <c r="E38" i="78"/>
  <c r="K37" i="78" s="1"/>
  <c r="C39" i="78"/>
  <c r="H38" i="78" s="1"/>
  <c r="J195" i="76"/>
  <c r="E43" i="76"/>
  <c r="E56" i="76" s="1"/>
  <c r="E69" i="76" s="1"/>
  <c r="Q30" i="76"/>
  <c r="Q43" i="76" s="1"/>
  <c r="Q56" i="76" s="1"/>
  <c r="M32" i="76"/>
  <c r="M45" i="76" s="1"/>
  <c r="M58" i="76" s="1"/>
  <c r="G32" i="76"/>
  <c r="G45" i="76" s="1"/>
  <c r="G58" i="76" s="1"/>
  <c r="A45" i="76"/>
  <c r="A58" i="76" s="1"/>
  <c r="A71" i="76" s="1"/>
  <c r="C91" i="76" s="1"/>
  <c r="O102" i="76"/>
  <c r="O101" i="76"/>
  <c r="A214" i="76"/>
  <c r="A31" i="76"/>
  <c r="H20" i="75"/>
  <c r="J20" i="75" s="1"/>
  <c r="K20" i="75" s="1"/>
  <c r="L20" i="75" s="1"/>
  <c r="O7" i="75"/>
  <c r="O6" i="75"/>
  <c r="O8" i="75"/>
  <c r="O18" i="75"/>
  <c r="O32" i="75"/>
  <c r="O42" i="75"/>
  <c r="O67" i="75"/>
  <c r="C67" i="75"/>
  <c r="C68" i="75"/>
  <c r="O68" i="75"/>
  <c r="O69" i="75"/>
  <c r="O30" i="75"/>
  <c r="O44" i="75"/>
  <c r="I37" i="78" l="1"/>
  <c r="I38" i="78"/>
  <c r="B176" i="76"/>
  <c r="G31" i="76"/>
  <c r="G44" i="76" s="1"/>
  <c r="G57" i="76" s="1"/>
  <c r="A44" i="76"/>
  <c r="A57" i="76" s="1"/>
  <c r="A70" i="76" s="1"/>
  <c r="C89" i="76" s="1"/>
  <c r="M31" i="76"/>
  <c r="M44" i="76" s="1"/>
  <c r="M57" i="76" s="1"/>
  <c r="M197" i="76"/>
  <c r="A174" i="76"/>
  <c r="L91" i="76"/>
  <c r="A176" i="76"/>
  <c r="H32" i="75"/>
  <c r="J32" i="75" s="1"/>
  <c r="K32" i="75" s="1"/>
  <c r="L32" i="75" s="1"/>
  <c r="D4" i="71"/>
  <c r="G2" i="73" s="1"/>
  <c r="B79" i="23" l="1"/>
  <c r="B75" i="57" s="1"/>
  <c r="A175" i="76"/>
  <c r="L89" i="76"/>
  <c r="B185" i="76"/>
  <c r="C184" i="76"/>
  <c r="D183" i="76"/>
  <c r="E182" i="76"/>
  <c r="A182" i="76"/>
  <c r="B181" i="76"/>
  <c r="C180" i="76"/>
  <c r="B178" i="76"/>
  <c r="D184" i="76"/>
  <c r="B182" i="76"/>
  <c r="E179" i="76"/>
  <c r="C178" i="76"/>
  <c r="A177" i="76"/>
  <c r="E185" i="76"/>
  <c r="A185" i="76"/>
  <c r="B184" i="76"/>
  <c r="C183" i="76"/>
  <c r="E181" i="76"/>
  <c r="A181" i="76"/>
  <c r="B180" i="76"/>
  <c r="C179" i="76"/>
  <c r="E178" i="76"/>
  <c r="A178" i="76"/>
  <c r="C177" i="76"/>
  <c r="E177" i="76"/>
  <c r="D185" i="76"/>
  <c r="E184" i="76"/>
  <c r="A184" i="76"/>
  <c r="B183" i="76"/>
  <c r="C182" i="76"/>
  <c r="E180" i="76"/>
  <c r="A180" i="76"/>
  <c r="B179" i="76"/>
  <c r="B177" i="76"/>
  <c r="C185" i="76"/>
  <c r="E183" i="76"/>
  <c r="A183" i="76"/>
  <c r="C181" i="76"/>
  <c r="A179" i="76"/>
  <c r="H56" i="75"/>
  <c r="J56" i="75" s="1"/>
  <c r="K56" i="75" s="1"/>
  <c r="L56" i="75" s="1"/>
  <c r="H44" i="75"/>
  <c r="J44" i="75" s="1"/>
  <c r="K44" i="75" s="1"/>
  <c r="L44" i="75" s="1"/>
  <c r="D10" i="73"/>
  <c r="B18" i="73"/>
  <c r="G26" i="73"/>
  <c r="B79" i="80" l="1"/>
  <c r="B80" i="58"/>
  <c r="K177" i="76"/>
  <c r="B188" i="76"/>
  <c r="D190" i="76"/>
  <c r="D188" i="76"/>
  <c r="B190" i="76"/>
  <c r="J30" i="23"/>
  <c r="J26" i="57" s="1"/>
  <c r="J30" i="58" l="1"/>
  <c r="I30" i="80"/>
  <c r="C194" i="76"/>
  <c r="D194" i="76" s="1"/>
  <c r="C195" i="76"/>
  <c r="D195" i="76" s="1"/>
  <c r="K178" i="76"/>
  <c r="C189" i="76"/>
  <c r="E69" i="57" l="1"/>
  <c r="I194" i="76"/>
  <c r="E68" i="57"/>
  <c r="H194" i="76"/>
  <c r="F194" i="76"/>
  <c r="G194" i="76" s="1"/>
  <c r="E68" i="75"/>
  <c r="F189" i="76"/>
  <c r="E67" i="75"/>
  <c r="H195" i="76"/>
  <c r="Q67" i="75"/>
  <c r="F195" i="76"/>
  <c r="G195" i="76" s="1"/>
  <c r="I195" i="76"/>
  <c r="H12" i="68"/>
  <c r="F12" i="68" s="1"/>
  <c r="F13" i="68" l="1"/>
  <c r="J25" i="57" s="1"/>
  <c r="J29" i="58" s="1"/>
  <c r="F69" i="57"/>
  <c r="G68" i="57"/>
  <c r="G69" i="57"/>
  <c r="F68" i="57"/>
  <c r="L195" i="76"/>
  <c r="Q68" i="75"/>
  <c r="I190" i="76"/>
  <c r="I188" i="76"/>
  <c r="G190" i="76"/>
  <c r="G188" i="76"/>
  <c r="I29" i="80" l="1"/>
  <c r="H189" i="76"/>
  <c r="N142" i="72" l="1"/>
  <c r="N140" i="72"/>
  <c r="N139" i="72"/>
  <c r="N138" i="72"/>
  <c r="N137" i="72"/>
  <c r="I135" i="72" s="1"/>
  <c r="B160" i="72"/>
  <c r="K177" i="72"/>
  <c r="J177" i="72"/>
  <c r="I177" i="72"/>
  <c r="K176" i="72"/>
  <c r="J176" i="72"/>
  <c r="I176" i="72"/>
  <c r="K175" i="72"/>
  <c r="J175" i="72"/>
  <c r="I175" i="72"/>
  <c r="K174" i="72"/>
  <c r="J174" i="72"/>
  <c r="I174" i="72"/>
  <c r="K173" i="72"/>
  <c r="J173" i="72"/>
  <c r="I173" i="72"/>
  <c r="K172" i="72"/>
  <c r="J172" i="72"/>
  <c r="I172" i="72"/>
  <c r="K171" i="72"/>
  <c r="J171" i="72"/>
  <c r="I171" i="72"/>
  <c r="K170" i="72"/>
  <c r="J170" i="72"/>
  <c r="I170" i="72"/>
  <c r="K169" i="72"/>
  <c r="J169" i="72"/>
  <c r="I169" i="72"/>
  <c r="K168" i="72"/>
  <c r="J168" i="72"/>
  <c r="I168" i="72"/>
  <c r="K167" i="72"/>
  <c r="J167" i="72"/>
  <c r="I167" i="72"/>
  <c r="K166" i="72"/>
  <c r="J166" i="72"/>
  <c r="I166" i="72"/>
  <c r="I143" i="72"/>
  <c r="V124" i="72"/>
  <c r="N124" i="72"/>
  <c r="F124" i="72"/>
  <c r="V123" i="72"/>
  <c r="N123" i="72"/>
  <c r="F123" i="72"/>
  <c r="V122" i="72"/>
  <c r="N122" i="72"/>
  <c r="F122" i="72"/>
  <c r="V121" i="72"/>
  <c r="N121" i="72"/>
  <c r="F121" i="72"/>
  <c r="U120" i="72"/>
  <c r="T120" i="72"/>
  <c r="S120" i="72"/>
  <c r="M120" i="72"/>
  <c r="L120" i="72"/>
  <c r="K120" i="72"/>
  <c r="E120" i="72"/>
  <c r="D120" i="72"/>
  <c r="C120" i="72"/>
  <c r="R119" i="72"/>
  <c r="V118" i="72"/>
  <c r="N118" i="72"/>
  <c r="F118" i="72"/>
  <c r="V117" i="72"/>
  <c r="N117" i="72"/>
  <c r="F117" i="72"/>
  <c r="V116" i="72"/>
  <c r="N116" i="72"/>
  <c r="F116" i="72"/>
  <c r="V115" i="72"/>
  <c r="N115" i="72"/>
  <c r="F115" i="72"/>
  <c r="U114" i="72"/>
  <c r="T114" i="72"/>
  <c r="S114" i="72"/>
  <c r="M114" i="72"/>
  <c r="L114" i="72"/>
  <c r="K114" i="72"/>
  <c r="V112" i="72"/>
  <c r="N112" i="72"/>
  <c r="F112" i="72"/>
  <c r="V111" i="72"/>
  <c r="N111" i="72"/>
  <c r="F111" i="72"/>
  <c r="V110" i="72"/>
  <c r="N110" i="72"/>
  <c r="F110" i="72"/>
  <c r="V109" i="72"/>
  <c r="N109" i="72"/>
  <c r="F109" i="72"/>
  <c r="V108" i="72"/>
  <c r="N108" i="72"/>
  <c r="F108" i="72"/>
  <c r="V107" i="72"/>
  <c r="N107" i="72"/>
  <c r="F107" i="72"/>
  <c r="U106" i="72"/>
  <c r="T106" i="72"/>
  <c r="S106" i="72"/>
  <c r="M106" i="72"/>
  <c r="L106" i="72"/>
  <c r="K106" i="72"/>
  <c r="E106" i="72"/>
  <c r="D106" i="72"/>
  <c r="C106" i="72"/>
  <c r="V104" i="72"/>
  <c r="N104" i="72"/>
  <c r="F104" i="72"/>
  <c r="V103" i="72"/>
  <c r="N103" i="72"/>
  <c r="F103" i="72"/>
  <c r="V102" i="72"/>
  <c r="N102" i="72"/>
  <c r="F102" i="72"/>
  <c r="V101" i="72"/>
  <c r="N101" i="72"/>
  <c r="F101" i="72"/>
  <c r="V100" i="72"/>
  <c r="N100" i="72"/>
  <c r="F100" i="72"/>
  <c r="V99" i="72"/>
  <c r="N99" i="72"/>
  <c r="F99" i="72"/>
  <c r="R95" i="72"/>
  <c r="J95" i="72"/>
  <c r="B95" i="72"/>
  <c r="V93" i="72"/>
  <c r="N93" i="72"/>
  <c r="F93" i="72"/>
  <c r="V92" i="72"/>
  <c r="N92" i="72"/>
  <c r="F92" i="72"/>
  <c r="V91" i="72"/>
  <c r="N91" i="72"/>
  <c r="F91" i="72"/>
  <c r="X90" i="72"/>
  <c r="V90" i="72"/>
  <c r="P90" i="72"/>
  <c r="O93" i="72" s="1"/>
  <c r="N90" i="72"/>
  <c r="H90" i="72"/>
  <c r="G93" i="72" s="1"/>
  <c r="F90" i="72"/>
  <c r="U89" i="72"/>
  <c r="T89" i="72"/>
  <c r="S89" i="72"/>
  <c r="M89" i="72"/>
  <c r="L89" i="72"/>
  <c r="K89" i="72"/>
  <c r="E89" i="72"/>
  <c r="D89" i="72"/>
  <c r="C89" i="72"/>
  <c r="R88" i="72"/>
  <c r="W87" i="72"/>
  <c r="V87" i="72"/>
  <c r="N87" i="72"/>
  <c r="F87" i="72"/>
  <c r="W86" i="72"/>
  <c r="V86" i="72"/>
  <c r="N86" i="72"/>
  <c r="F86" i="72"/>
  <c r="W85" i="72"/>
  <c r="V85" i="72"/>
  <c r="N85" i="72"/>
  <c r="F85" i="72"/>
  <c r="W84" i="72"/>
  <c r="V84" i="72"/>
  <c r="P84" i="72"/>
  <c r="O86" i="72" s="1"/>
  <c r="N84" i="72"/>
  <c r="H84" i="72"/>
  <c r="F84" i="72"/>
  <c r="U83" i="72"/>
  <c r="T83" i="72"/>
  <c r="S83" i="72"/>
  <c r="M83" i="72"/>
  <c r="L83" i="72"/>
  <c r="K83" i="72"/>
  <c r="R82" i="72"/>
  <c r="V81" i="72"/>
  <c r="N81" i="72"/>
  <c r="F81" i="72"/>
  <c r="V80" i="72"/>
  <c r="N80" i="72"/>
  <c r="F80" i="72"/>
  <c r="V79" i="72"/>
  <c r="N79" i="72"/>
  <c r="F79" i="72"/>
  <c r="V78" i="72"/>
  <c r="N78" i="72"/>
  <c r="F78" i="72"/>
  <c r="V77" i="72"/>
  <c r="N77" i="72"/>
  <c r="F77" i="72"/>
  <c r="X76" i="72"/>
  <c r="W81" i="72" s="1"/>
  <c r="V76" i="72"/>
  <c r="P76" i="72"/>
  <c r="O80" i="72" s="1"/>
  <c r="N76" i="72"/>
  <c r="H76" i="72"/>
  <c r="G81" i="72" s="1"/>
  <c r="F76" i="72"/>
  <c r="U75" i="72"/>
  <c r="T75" i="72"/>
  <c r="S75" i="72"/>
  <c r="M75" i="72"/>
  <c r="L75" i="72"/>
  <c r="K75" i="72"/>
  <c r="E75" i="72"/>
  <c r="E83" i="72" s="1"/>
  <c r="D75" i="72"/>
  <c r="D83" i="72" s="1"/>
  <c r="C75" i="72"/>
  <c r="C83" i="72" s="1"/>
  <c r="V73" i="72"/>
  <c r="N73" i="72"/>
  <c r="F73" i="72"/>
  <c r="V72" i="72"/>
  <c r="N72" i="72"/>
  <c r="F72" i="72"/>
  <c r="V71" i="72"/>
  <c r="N71" i="72"/>
  <c r="F71" i="72"/>
  <c r="V70" i="72"/>
  <c r="N70" i="72"/>
  <c r="F70" i="72"/>
  <c r="V69" i="72"/>
  <c r="N69" i="72"/>
  <c r="F69" i="72"/>
  <c r="X68" i="72"/>
  <c r="W72" i="72" s="1"/>
  <c r="V68" i="72"/>
  <c r="P68" i="72"/>
  <c r="O73" i="72" s="1"/>
  <c r="N68" i="72"/>
  <c r="H68" i="72"/>
  <c r="G71" i="72" s="1"/>
  <c r="F68" i="72"/>
  <c r="R64" i="72"/>
  <c r="J64" i="72"/>
  <c r="B64" i="72"/>
  <c r="V62" i="72"/>
  <c r="N62" i="72"/>
  <c r="F62" i="72"/>
  <c r="V61" i="72"/>
  <c r="N61" i="72"/>
  <c r="F61" i="72"/>
  <c r="V60" i="72"/>
  <c r="N60" i="72"/>
  <c r="F60" i="72"/>
  <c r="X59" i="72"/>
  <c r="V59" i="72"/>
  <c r="P59" i="72"/>
  <c r="O61" i="72" s="1"/>
  <c r="N59" i="72"/>
  <c r="H59" i="72"/>
  <c r="G62" i="72" s="1"/>
  <c r="F59" i="72"/>
  <c r="U58" i="72"/>
  <c r="T58" i="72"/>
  <c r="S58" i="72"/>
  <c r="M58" i="72"/>
  <c r="L58" i="72"/>
  <c r="K58" i="72"/>
  <c r="E58" i="72"/>
  <c r="D58" i="72"/>
  <c r="C58" i="72"/>
  <c r="B57" i="72"/>
  <c r="J57" i="72" s="1"/>
  <c r="R57" i="72" s="1"/>
  <c r="V56" i="72"/>
  <c r="N56" i="72"/>
  <c r="F56" i="72"/>
  <c r="V55" i="72"/>
  <c r="N55" i="72"/>
  <c r="F55" i="72"/>
  <c r="V54" i="72"/>
  <c r="N54" i="72"/>
  <c r="F54" i="72"/>
  <c r="X53" i="72"/>
  <c r="W55" i="72" s="1"/>
  <c r="V53" i="72"/>
  <c r="P53" i="72"/>
  <c r="O56" i="72" s="1"/>
  <c r="N53" i="72"/>
  <c r="H53" i="72"/>
  <c r="G56" i="72" s="1"/>
  <c r="F53" i="72"/>
  <c r="U52" i="72"/>
  <c r="T52" i="72"/>
  <c r="S52" i="72"/>
  <c r="M52" i="72"/>
  <c r="L52" i="72"/>
  <c r="K52" i="72"/>
  <c r="E52" i="72"/>
  <c r="D52" i="72"/>
  <c r="C52" i="72"/>
  <c r="B51" i="72"/>
  <c r="J51" i="72" s="1"/>
  <c r="R51" i="72" s="1"/>
  <c r="V50" i="72"/>
  <c r="N50" i="72"/>
  <c r="F50" i="72"/>
  <c r="V49" i="72"/>
  <c r="N49" i="72"/>
  <c r="F49" i="72"/>
  <c r="V48" i="72"/>
  <c r="N48" i="72"/>
  <c r="F48" i="72"/>
  <c r="V47" i="72"/>
  <c r="N47" i="72"/>
  <c r="F47" i="72"/>
  <c r="V46" i="72"/>
  <c r="N46" i="72"/>
  <c r="F46" i="72"/>
  <c r="X45" i="72"/>
  <c r="W49" i="72" s="1"/>
  <c r="V45" i="72"/>
  <c r="P45" i="72"/>
  <c r="O50" i="72" s="1"/>
  <c r="N45" i="72"/>
  <c r="H45" i="72"/>
  <c r="G46" i="72" s="1"/>
  <c r="F45" i="72"/>
  <c r="U44" i="72"/>
  <c r="T44" i="72"/>
  <c r="S44" i="72"/>
  <c r="M44" i="72"/>
  <c r="L44" i="72"/>
  <c r="K44" i="72"/>
  <c r="E44" i="72"/>
  <c r="D44" i="72"/>
  <c r="C44" i="72"/>
  <c r="V42" i="72"/>
  <c r="N42" i="72"/>
  <c r="F42" i="72"/>
  <c r="V41" i="72"/>
  <c r="N41" i="72"/>
  <c r="F41" i="72"/>
  <c r="V40" i="72"/>
  <c r="N40" i="72"/>
  <c r="F40" i="72"/>
  <c r="V39" i="72"/>
  <c r="N39" i="72"/>
  <c r="F39" i="72"/>
  <c r="V38" i="72"/>
  <c r="N38" i="72"/>
  <c r="F38" i="72"/>
  <c r="X37" i="72"/>
  <c r="W41" i="72" s="1"/>
  <c r="V37" i="72"/>
  <c r="P37" i="72"/>
  <c r="O39" i="72" s="1"/>
  <c r="N37" i="72"/>
  <c r="H37" i="72"/>
  <c r="G38" i="72" s="1"/>
  <c r="F37" i="72"/>
  <c r="R33" i="72"/>
  <c r="J33" i="72"/>
  <c r="B33" i="72"/>
  <c r="V31" i="72"/>
  <c r="N31" i="72"/>
  <c r="F31" i="72"/>
  <c r="V30" i="72"/>
  <c r="N30" i="72"/>
  <c r="F30" i="72"/>
  <c r="V29" i="72"/>
  <c r="N29" i="72"/>
  <c r="F29" i="72"/>
  <c r="X28" i="72"/>
  <c r="W30" i="72" s="1"/>
  <c r="V28" i="72"/>
  <c r="P28" i="72"/>
  <c r="O30" i="72" s="1"/>
  <c r="O28" i="72"/>
  <c r="N28" i="72"/>
  <c r="H28" i="72"/>
  <c r="G31" i="72" s="1"/>
  <c r="F28" i="72"/>
  <c r="U27" i="72"/>
  <c r="T27" i="72"/>
  <c r="S27" i="72"/>
  <c r="M27" i="72"/>
  <c r="L27" i="72"/>
  <c r="K27" i="72"/>
  <c r="E27" i="72"/>
  <c r="D27" i="72"/>
  <c r="C27" i="72"/>
  <c r="R26" i="72"/>
  <c r="J26" i="72"/>
  <c r="V25" i="72"/>
  <c r="N25" i="72"/>
  <c r="F25" i="72"/>
  <c r="V24" i="72"/>
  <c r="N24" i="72"/>
  <c r="F24" i="72"/>
  <c r="V23" i="72"/>
  <c r="N23" i="72"/>
  <c r="F23" i="72"/>
  <c r="X22" i="72"/>
  <c r="W24" i="72" s="1"/>
  <c r="V22" i="72"/>
  <c r="P22" i="72"/>
  <c r="O25" i="72" s="1"/>
  <c r="N22" i="72"/>
  <c r="F22" i="72"/>
  <c r="U21" i="72"/>
  <c r="T21" i="72"/>
  <c r="S21" i="72"/>
  <c r="M21" i="72"/>
  <c r="L21" i="72"/>
  <c r="K21" i="72"/>
  <c r="R20" i="72"/>
  <c r="J20" i="72"/>
  <c r="V19" i="72"/>
  <c r="N19" i="72"/>
  <c r="F19" i="72"/>
  <c r="V18" i="72"/>
  <c r="N18" i="72"/>
  <c r="F18" i="72"/>
  <c r="V17" i="72"/>
  <c r="N17" i="72"/>
  <c r="F17" i="72"/>
  <c r="V16" i="72"/>
  <c r="N16" i="72"/>
  <c r="F16" i="72"/>
  <c r="V15" i="72"/>
  <c r="N15" i="72"/>
  <c r="F15" i="72"/>
  <c r="X14" i="72"/>
  <c r="W18" i="72" s="1"/>
  <c r="V14" i="72"/>
  <c r="P14" i="72"/>
  <c r="O18" i="72" s="1"/>
  <c r="N14" i="72"/>
  <c r="H14" i="72"/>
  <c r="G19" i="72" s="1"/>
  <c r="F14" i="72"/>
  <c r="U13" i="72"/>
  <c r="T13" i="72"/>
  <c r="S13" i="72"/>
  <c r="M13" i="72"/>
  <c r="L13" i="72"/>
  <c r="K13" i="72"/>
  <c r="E13" i="72"/>
  <c r="D13" i="72"/>
  <c r="C13" i="72"/>
  <c r="V11" i="72"/>
  <c r="N11" i="72"/>
  <c r="F11" i="72"/>
  <c r="V10" i="72"/>
  <c r="N10" i="72"/>
  <c r="F10" i="72"/>
  <c r="V9" i="72"/>
  <c r="N9" i="72"/>
  <c r="F9" i="72"/>
  <c r="V8" i="72"/>
  <c r="N8" i="72"/>
  <c r="F8" i="72"/>
  <c r="V7" i="72"/>
  <c r="N7" i="72"/>
  <c r="F7" i="72"/>
  <c r="X6" i="72"/>
  <c r="W10" i="72" s="1"/>
  <c r="V6" i="72"/>
  <c r="P6" i="72"/>
  <c r="O10" i="72" s="1"/>
  <c r="N6" i="72"/>
  <c r="H6" i="72"/>
  <c r="G11" i="72" s="1"/>
  <c r="F6" i="72"/>
  <c r="R2" i="72"/>
  <c r="J2" i="72"/>
  <c r="B2" i="72"/>
  <c r="G6" i="72" l="1"/>
  <c r="G76" i="72"/>
  <c r="O84" i="72"/>
  <c r="I145" i="72"/>
  <c r="W42" i="72"/>
  <c r="O92" i="72"/>
  <c r="W50" i="72"/>
  <c r="O29" i="72"/>
  <c r="W37" i="72"/>
  <c r="F149" i="72"/>
  <c r="O59" i="72"/>
  <c r="C153" i="72"/>
  <c r="W54" i="72"/>
  <c r="O70" i="72"/>
  <c r="G10" i="72"/>
  <c r="G18" i="72"/>
  <c r="O47" i="72"/>
  <c r="G8" i="72"/>
  <c r="W38" i="72"/>
  <c r="G91" i="72"/>
  <c r="O14" i="72"/>
  <c r="W22" i="72"/>
  <c r="O23" i="72"/>
  <c r="G28" i="72"/>
  <c r="G30" i="72"/>
  <c r="O55" i="72"/>
  <c r="O72" i="72"/>
  <c r="C145" i="72"/>
  <c r="E147" i="72"/>
  <c r="W71" i="72"/>
  <c r="O62" i="72"/>
  <c r="W77" i="72"/>
  <c r="O7" i="72"/>
  <c r="B157" i="72"/>
  <c r="O9" i="72"/>
  <c r="W25" i="72"/>
  <c r="G48" i="72"/>
  <c r="O17" i="72"/>
  <c r="W69" i="72"/>
  <c r="O15" i="72"/>
  <c r="O60" i="72"/>
  <c r="D159" i="72"/>
  <c r="W40" i="72"/>
  <c r="W48" i="72"/>
  <c r="C139" i="72"/>
  <c r="O11" i="72"/>
  <c r="G14" i="72"/>
  <c r="G16" i="72"/>
  <c r="O24" i="72"/>
  <c r="W53" i="72"/>
  <c r="G152" i="72" s="1"/>
  <c r="G61" i="72"/>
  <c r="D140" i="72"/>
  <c r="E136" i="72"/>
  <c r="D161" i="72"/>
  <c r="O31" i="72"/>
  <c r="O19" i="72"/>
  <c r="O22" i="72"/>
  <c r="W46" i="72"/>
  <c r="O49" i="72"/>
  <c r="W56" i="72"/>
  <c r="O6" i="72"/>
  <c r="W76" i="72"/>
  <c r="W79" i="72"/>
  <c r="B143" i="72"/>
  <c r="B134" i="72"/>
  <c r="G150" i="72"/>
  <c r="G42" i="72"/>
  <c r="G87" i="72"/>
  <c r="G85" i="72"/>
  <c r="G84" i="72"/>
  <c r="G86" i="72"/>
  <c r="I141" i="72"/>
  <c r="G7" i="72"/>
  <c r="W7" i="72"/>
  <c r="O8" i="72"/>
  <c r="G9" i="72"/>
  <c r="W9" i="72"/>
  <c r="W11" i="72"/>
  <c r="G15" i="72"/>
  <c r="W15" i="72"/>
  <c r="O16" i="72"/>
  <c r="G17" i="72"/>
  <c r="W17" i="72"/>
  <c r="W19" i="72"/>
  <c r="W23" i="72"/>
  <c r="G29" i="72"/>
  <c r="W29" i="72"/>
  <c r="W31" i="72"/>
  <c r="O42" i="72"/>
  <c r="O40" i="72"/>
  <c r="O38" i="72"/>
  <c r="O37" i="72"/>
  <c r="O41" i="72"/>
  <c r="W59" i="72"/>
  <c r="W62" i="72"/>
  <c r="G161" i="72" s="1"/>
  <c r="W60" i="72"/>
  <c r="G69" i="72"/>
  <c r="G90" i="72"/>
  <c r="G92" i="72"/>
  <c r="C135" i="72"/>
  <c r="C137" i="72"/>
  <c r="D138" i="72"/>
  <c r="C141" i="72"/>
  <c r="G142" i="72"/>
  <c r="B144" i="72"/>
  <c r="C146" i="72"/>
  <c r="D148" i="72"/>
  <c r="E151" i="72"/>
  <c r="E154" i="72"/>
  <c r="B158" i="72"/>
  <c r="F160" i="72"/>
  <c r="W6" i="72"/>
  <c r="W14" i="72"/>
  <c r="W28" i="72"/>
  <c r="G37" i="72"/>
  <c r="G45" i="72"/>
  <c r="G49" i="72"/>
  <c r="G47" i="72"/>
  <c r="G50" i="72"/>
  <c r="W61" i="72"/>
  <c r="G160" i="72" s="1"/>
  <c r="I137" i="72"/>
  <c r="G141" i="72"/>
  <c r="F144" i="72"/>
  <c r="B149" i="72"/>
  <c r="E152" i="72"/>
  <c r="C155" i="72"/>
  <c r="F158" i="72"/>
  <c r="W8" i="72"/>
  <c r="W16" i="72"/>
  <c r="G41" i="72"/>
  <c r="G39" i="72"/>
  <c r="G40" i="72"/>
  <c r="G68" i="72"/>
  <c r="G72" i="72"/>
  <c r="G70" i="72"/>
  <c r="G73" i="72"/>
  <c r="C161" i="72"/>
  <c r="E160" i="72"/>
  <c r="C159" i="72"/>
  <c r="E158" i="72"/>
  <c r="E157" i="72"/>
  <c r="G156" i="72"/>
  <c r="F155" i="72"/>
  <c r="B155" i="72"/>
  <c r="D154" i="72"/>
  <c r="F153" i="72"/>
  <c r="B153" i="72"/>
  <c r="D152" i="72"/>
  <c r="D151" i="72"/>
  <c r="F150" i="72"/>
  <c r="E149" i="72"/>
  <c r="C148" i="72"/>
  <c r="D147" i="72"/>
  <c r="F146" i="72"/>
  <c r="B146" i="72"/>
  <c r="F145" i="72"/>
  <c r="B145" i="72"/>
  <c r="E144" i="72"/>
  <c r="E143" i="72"/>
  <c r="F142" i="72"/>
  <c r="F141" i="72"/>
  <c r="B141" i="72"/>
  <c r="G140" i="72"/>
  <c r="C140" i="72"/>
  <c r="F139" i="72"/>
  <c r="B139" i="72"/>
  <c r="C138" i="72"/>
  <c r="F137" i="72"/>
  <c r="B137" i="72"/>
  <c r="D136" i="72"/>
  <c r="B135" i="72"/>
  <c r="B133" i="72"/>
  <c r="F161" i="72"/>
  <c r="B161" i="72"/>
  <c r="D160" i="72"/>
  <c r="F159" i="72"/>
  <c r="B159" i="72"/>
  <c r="D158" i="72"/>
  <c r="D157" i="72"/>
  <c r="F156" i="72"/>
  <c r="E155" i="72"/>
  <c r="G154" i="72"/>
  <c r="C154" i="72"/>
  <c r="E153" i="72"/>
  <c r="C152" i="72"/>
  <c r="C151" i="72"/>
  <c r="B150" i="72"/>
  <c r="D149" i="72"/>
  <c r="F148" i="72"/>
  <c r="B148" i="72"/>
  <c r="C147" i="72"/>
  <c r="E146" i="72"/>
  <c r="E145" i="72"/>
  <c r="D144" i="72"/>
  <c r="D143" i="72"/>
  <c r="B142" i="72"/>
  <c r="E141" i="72"/>
  <c r="F140" i="72"/>
  <c r="B140" i="72"/>
  <c r="E139" i="72"/>
  <c r="F138" i="72"/>
  <c r="B138" i="72"/>
  <c r="E137" i="72"/>
  <c r="G136" i="72"/>
  <c r="C136" i="72"/>
  <c r="E135" i="72"/>
  <c r="G134" i="72"/>
  <c r="B132" i="72"/>
  <c r="E161" i="72"/>
  <c r="C160" i="72"/>
  <c r="E159" i="72"/>
  <c r="C158" i="72"/>
  <c r="C157" i="72"/>
  <c r="B156" i="72"/>
  <c r="D155" i="72"/>
  <c r="F154" i="72"/>
  <c r="B154" i="72"/>
  <c r="D153" i="72"/>
  <c r="F152" i="72"/>
  <c r="B152" i="72"/>
  <c r="B151" i="72"/>
  <c r="G149" i="72"/>
  <c r="C149" i="72"/>
  <c r="E148" i="72"/>
  <c r="F147" i="72"/>
  <c r="B147" i="72"/>
  <c r="D146" i="72"/>
  <c r="D145" i="72"/>
  <c r="C144" i="72"/>
  <c r="C143" i="72"/>
  <c r="D141" i="72"/>
  <c r="E140" i="72"/>
  <c r="D139" i="72"/>
  <c r="E138" i="72"/>
  <c r="D137" i="72"/>
  <c r="F136" i="72"/>
  <c r="B136" i="72"/>
  <c r="D135" i="72"/>
  <c r="F134" i="72"/>
  <c r="A132" i="72"/>
  <c r="W45" i="72"/>
  <c r="O53" i="72"/>
  <c r="O54" i="72"/>
  <c r="G55" i="72"/>
  <c r="G59" i="72"/>
  <c r="O76" i="72"/>
  <c r="O77" i="72"/>
  <c r="G78" i="72"/>
  <c r="W78" i="72"/>
  <c r="O79" i="72"/>
  <c r="G80" i="72"/>
  <c r="W80" i="72"/>
  <c r="G148" i="72" s="1"/>
  <c r="O81" i="72"/>
  <c r="O85" i="72"/>
  <c r="O87" i="72"/>
  <c r="I139" i="72"/>
  <c r="W39" i="72"/>
  <c r="O45" i="72"/>
  <c r="O46" i="72"/>
  <c r="W47" i="72"/>
  <c r="O48" i="72"/>
  <c r="G53" i="72"/>
  <c r="G60" i="72"/>
  <c r="O68" i="72"/>
  <c r="O69" i="72"/>
  <c r="W70" i="72"/>
  <c r="O71" i="72"/>
  <c r="O91" i="72"/>
  <c r="G54" i="72"/>
  <c r="G77" i="72"/>
  <c r="O78" i="72"/>
  <c r="G146" i="72" s="1"/>
  <c r="G79" i="72"/>
  <c r="B45" i="71"/>
  <c r="B46" i="71" s="1"/>
  <c r="B43" i="71"/>
  <c r="A17" i="71"/>
  <c r="D23" i="71"/>
  <c r="A3" i="71"/>
  <c r="E26" i="71"/>
  <c r="F11" i="71"/>
  <c r="D11" i="71"/>
  <c r="K135" i="72" l="1"/>
  <c r="O137" i="72" s="1"/>
  <c r="K145" i="72"/>
  <c r="O142" i="72" s="1"/>
  <c r="P140" i="72"/>
  <c r="H26" i="57" s="1"/>
  <c r="P26" i="57" s="1"/>
  <c r="P137" i="72"/>
  <c r="Q137" i="72" s="1"/>
  <c r="E18" i="58" s="1"/>
  <c r="P142" i="72"/>
  <c r="Q9" i="57" s="1"/>
  <c r="G158" i="72"/>
  <c r="G138" i="72"/>
  <c r="G139" i="72"/>
  <c r="G144" i="72"/>
  <c r="F6" i="71"/>
  <c r="D12" i="73" s="1"/>
  <c r="A4" i="73"/>
  <c r="J3" i="73" s="1"/>
  <c r="G159" i="72"/>
  <c r="G153" i="72"/>
  <c r="G147" i="72"/>
  <c r="G137" i="72"/>
  <c r="G145" i="72"/>
  <c r="G155" i="72"/>
  <c r="P141" i="72"/>
  <c r="H27" i="57" s="1"/>
  <c r="P139" i="72"/>
  <c r="B50" i="71"/>
  <c r="N143" i="72" l="1"/>
  <c r="O143" i="72" s="1"/>
  <c r="H31" i="58"/>
  <c r="P27" i="57"/>
  <c r="H25" i="57"/>
  <c r="I27" i="57"/>
  <c r="G31" i="80"/>
  <c r="I26" i="57"/>
  <c r="G30" i="80"/>
  <c r="O147" i="72"/>
  <c r="A21" i="71"/>
  <c r="A20" i="71"/>
  <c r="A19" i="71"/>
  <c r="A22" i="71"/>
  <c r="P138" i="72" l="1"/>
  <c r="H24" i="57" s="1"/>
  <c r="Q143" i="72"/>
  <c r="G18" i="58" s="1"/>
  <c r="H18" i="58"/>
  <c r="H31" i="80"/>
  <c r="I31" i="58"/>
  <c r="H30" i="80"/>
  <c r="I30" i="58"/>
  <c r="G29" i="80"/>
  <c r="I25" i="57"/>
  <c r="N144" i="72" l="1"/>
  <c r="E16" i="57" s="1"/>
  <c r="E18" i="80" s="1"/>
  <c r="I24" i="57"/>
  <c r="I28" i="58" s="1"/>
  <c r="H28" i="58"/>
  <c r="G28" i="80"/>
  <c r="H29" i="80"/>
  <c r="I29" i="58"/>
  <c r="N147" i="72" l="1"/>
  <c r="P147" i="72" s="1"/>
  <c r="J24" i="57"/>
  <c r="P24" i="57" l="1"/>
  <c r="I28" i="80"/>
  <c r="J28" i="58"/>
  <c r="P220" i="67"/>
  <c r="P204" i="67"/>
  <c r="P203" i="67"/>
  <c r="P9" i="57" l="1"/>
  <c r="N7" i="57" l="1"/>
  <c r="E7" i="57" l="1"/>
  <c r="A7" i="57"/>
  <c r="E8" i="57"/>
  <c r="E9" i="80" l="1"/>
  <c r="E9" i="58"/>
  <c r="D19" i="71" s="1"/>
  <c r="A8" i="58"/>
  <c r="A8" i="80"/>
  <c r="E8" i="80"/>
  <c r="E8" i="58"/>
  <c r="D18" i="71" s="1"/>
  <c r="G18" i="73" l="1"/>
  <c r="B54" i="71"/>
  <c r="B55" i="71" s="1"/>
  <c r="B59" i="71" s="1"/>
  <c r="B58" i="71" l="1"/>
  <c r="B57" i="71" s="1"/>
  <c r="A356" i="67" l="1"/>
  <c r="N342" i="67"/>
  <c r="N341" i="67"/>
  <c r="L342" i="67"/>
  <c r="J374" i="67" l="1"/>
  <c r="I374" i="67"/>
  <c r="J373" i="67"/>
  <c r="I373" i="67"/>
  <c r="J372" i="67"/>
  <c r="I372" i="67"/>
  <c r="J371" i="67"/>
  <c r="I371" i="67"/>
  <c r="J370" i="67"/>
  <c r="I370" i="67"/>
  <c r="J369" i="67"/>
  <c r="I369" i="67"/>
  <c r="J368" i="67"/>
  <c r="I368" i="67"/>
  <c r="J367" i="67"/>
  <c r="I367" i="67"/>
  <c r="J366" i="67"/>
  <c r="I366" i="67"/>
  <c r="J365" i="67"/>
  <c r="I365" i="67"/>
  <c r="J364" i="67"/>
  <c r="I364" i="67"/>
  <c r="J363" i="67"/>
  <c r="I363" i="67"/>
  <c r="J362" i="67"/>
  <c r="I362" i="67"/>
  <c r="J361" i="67"/>
  <c r="I361" i="67"/>
  <c r="J360" i="67"/>
  <c r="I360" i="67"/>
  <c r="J359" i="67"/>
  <c r="I359" i="67"/>
  <c r="J358" i="67"/>
  <c r="I358" i="67"/>
  <c r="J357" i="67"/>
  <c r="I357" i="67"/>
  <c r="F350" i="67"/>
  <c r="L335" i="67"/>
  <c r="K335" i="67"/>
  <c r="J335" i="67"/>
  <c r="E335" i="67"/>
  <c r="D335" i="67"/>
  <c r="C335" i="67"/>
  <c r="L334" i="67"/>
  <c r="K334" i="67"/>
  <c r="J334" i="67"/>
  <c r="E334" i="67"/>
  <c r="D334" i="67"/>
  <c r="C334" i="67"/>
  <c r="L333" i="67"/>
  <c r="K333" i="67"/>
  <c r="J333" i="67"/>
  <c r="E333" i="67"/>
  <c r="D333" i="67"/>
  <c r="C333" i="67"/>
  <c r="L332" i="67"/>
  <c r="K332" i="67"/>
  <c r="J332" i="67"/>
  <c r="E332" i="67"/>
  <c r="D332" i="67"/>
  <c r="C332" i="67"/>
  <c r="L331" i="67"/>
  <c r="K331" i="67"/>
  <c r="J331" i="67"/>
  <c r="E331" i="67"/>
  <c r="D331" i="67"/>
  <c r="C331" i="67"/>
  <c r="L330" i="67"/>
  <c r="K330" i="67"/>
  <c r="J330" i="67"/>
  <c r="E330" i="67"/>
  <c r="D330" i="67"/>
  <c r="C330" i="67"/>
  <c r="L329" i="67"/>
  <c r="K329" i="67"/>
  <c r="J329" i="67"/>
  <c r="E329" i="67"/>
  <c r="D329" i="67"/>
  <c r="C329" i="67"/>
  <c r="L328" i="67"/>
  <c r="K328" i="67"/>
  <c r="J328" i="67"/>
  <c r="E328" i="67"/>
  <c r="D328" i="67"/>
  <c r="C328" i="67"/>
  <c r="L327" i="67"/>
  <c r="K327" i="67"/>
  <c r="J327" i="67"/>
  <c r="E327" i="67"/>
  <c r="D327" i="67"/>
  <c r="C327" i="67"/>
  <c r="L326" i="67"/>
  <c r="K326" i="67"/>
  <c r="J326" i="67"/>
  <c r="E326" i="67"/>
  <c r="D326" i="67"/>
  <c r="C326" i="67"/>
  <c r="L325" i="67"/>
  <c r="K325" i="67"/>
  <c r="J325" i="67"/>
  <c r="E325" i="67"/>
  <c r="D325" i="67"/>
  <c r="C325" i="67"/>
  <c r="L324" i="67"/>
  <c r="K324" i="67"/>
  <c r="J324" i="67"/>
  <c r="E324" i="67"/>
  <c r="D324" i="67"/>
  <c r="C324" i="67"/>
  <c r="L323" i="67"/>
  <c r="K323" i="67"/>
  <c r="J323" i="67"/>
  <c r="E323" i="67"/>
  <c r="D323" i="67"/>
  <c r="C323" i="67"/>
  <c r="L322" i="67"/>
  <c r="K322" i="67"/>
  <c r="J322" i="67"/>
  <c r="E322" i="67"/>
  <c r="D322" i="67"/>
  <c r="C322" i="67"/>
  <c r="L321" i="67"/>
  <c r="K321" i="67"/>
  <c r="J321" i="67"/>
  <c r="E321" i="67"/>
  <c r="D321" i="67"/>
  <c r="C321" i="67"/>
  <c r="L320" i="67"/>
  <c r="K320" i="67"/>
  <c r="J320" i="67"/>
  <c r="E320" i="67"/>
  <c r="D320" i="67"/>
  <c r="C320" i="67"/>
  <c r="L319" i="67"/>
  <c r="K319" i="67"/>
  <c r="J319" i="67"/>
  <c r="E319" i="67"/>
  <c r="D319" i="67"/>
  <c r="C319" i="67"/>
  <c r="L318" i="67"/>
  <c r="K318" i="67"/>
  <c r="J318" i="67"/>
  <c r="E318" i="67"/>
  <c r="D318" i="67"/>
  <c r="C318" i="67"/>
  <c r="L316" i="67"/>
  <c r="K316" i="67"/>
  <c r="J316" i="67"/>
  <c r="E316" i="67"/>
  <c r="D316" i="67"/>
  <c r="C316" i="67"/>
  <c r="L315" i="67"/>
  <c r="K315" i="67"/>
  <c r="J315" i="67"/>
  <c r="E315" i="67"/>
  <c r="D315" i="67"/>
  <c r="C315" i="67"/>
  <c r="L314" i="67"/>
  <c r="K314" i="67"/>
  <c r="J314" i="67"/>
  <c r="E314" i="67"/>
  <c r="D314" i="67"/>
  <c r="C314" i="67"/>
  <c r="L313" i="67"/>
  <c r="K313" i="67"/>
  <c r="J313" i="67"/>
  <c r="E313" i="67"/>
  <c r="D313" i="67"/>
  <c r="C313" i="67"/>
  <c r="L312" i="67"/>
  <c r="K312" i="67"/>
  <c r="J312" i="67"/>
  <c r="E312" i="67"/>
  <c r="D312" i="67"/>
  <c r="C312" i="67"/>
  <c r="L311" i="67"/>
  <c r="K311" i="67"/>
  <c r="J311" i="67"/>
  <c r="E311" i="67"/>
  <c r="D311" i="67"/>
  <c r="C311" i="67"/>
  <c r="L310" i="67"/>
  <c r="K310" i="67"/>
  <c r="J310" i="67"/>
  <c r="E310" i="67"/>
  <c r="D310" i="67"/>
  <c r="C310" i="67"/>
  <c r="L309" i="67"/>
  <c r="K309" i="67"/>
  <c r="J309" i="67"/>
  <c r="E309" i="67"/>
  <c r="D309" i="67"/>
  <c r="C309" i="67"/>
  <c r="L308" i="67"/>
  <c r="K308" i="67"/>
  <c r="J308" i="67"/>
  <c r="E308" i="67"/>
  <c r="D308" i="67"/>
  <c r="C308" i="67"/>
  <c r="L307" i="67"/>
  <c r="K307" i="67"/>
  <c r="J307" i="67"/>
  <c r="E307" i="67"/>
  <c r="D307" i="67"/>
  <c r="C307" i="67"/>
  <c r="L306" i="67"/>
  <c r="K306" i="67"/>
  <c r="J306" i="67"/>
  <c r="E306" i="67"/>
  <c r="D306" i="67"/>
  <c r="C306" i="67"/>
  <c r="L305" i="67"/>
  <c r="K305" i="67"/>
  <c r="J305" i="67"/>
  <c r="E305" i="67"/>
  <c r="D305" i="67"/>
  <c r="C305" i="67"/>
  <c r="L304" i="67"/>
  <c r="K304" i="67"/>
  <c r="J304" i="67"/>
  <c r="E304" i="67"/>
  <c r="D304" i="67"/>
  <c r="C304" i="67"/>
  <c r="L303" i="67"/>
  <c r="K303" i="67"/>
  <c r="J303" i="67"/>
  <c r="E303" i="67"/>
  <c r="D303" i="67"/>
  <c r="C303" i="67"/>
  <c r="L302" i="67"/>
  <c r="K302" i="67"/>
  <c r="J302" i="67"/>
  <c r="E302" i="67"/>
  <c r="D302" i="67"/>
  <c r="C302" i="67"/>
  <c r="L301" i="67"/>
  <c r="K301" i="67"/>
  <c r="J301" i="67"/>
  <c r="E301" i="67"/>
  <c r="D301" i="67"/>
  <c r="C301" i="67"/>
  <c r="L300" i="67"/>
  <c r="K300" i="67"/>
  <c r="J300" i="67"/>
  <c r="E300" i="67"/>
  <c r="D300" i="67"/>
  <c r="C300" i="67"/>
  <c r="L299" i="67"/>
  <c r="K299" i="67"/>
  <c r="J299" i="67"/>
  <c r="E299" i="67"/>
  <c r="D299" i="67"/>
  <c r="C299" i="67"/>
  <c r="L297" i="67"/>
  <c r="K297" i="67"/>
  <c r="J297" i="67"/>
  <c r="E297" i="67"/>
  <c r="D297" i="67"/>
  <c r="C297" i="67"/>
  <c r="L296" i="67"/>
  <c r="K296" i="67"/>
  <c r="J296" i="67"/>
  <c r="E296" i="67"/>
  <c r="D296" i="67"/>
  <c r="C296" i="67"/>
  <c r="L295" i="67"/>
  <c r="K295" i="67"/>
  <c r="J295" i="67"/>
  <c r="E295" i="67"/>
  <c r="D295" i="67"/>
  <c r="C295" i="67"/>
  <c r="L294" i="67"/>
  <c r="K294" i="67"/>
  <c r="J294" i="67"/>
  <c r="E294" i="67"/>
  <c r="D294" i="67"/>
  <c r="C294" i="67"/>
  <c r="L293" i="67"/>
  <c r="K293" i="67"/>
  <c r="J293" i="67"/>
  <c r="E293" i="67"/>
  <c r="D293" i="67"/>
  <c r="C293" i="67"/>
  <c r="L292" i="67"/>
  <c r="K292" i="67"/>
  <c r="J292" i="67"/>
  <c r="E292" i="67"/>
  <c r="D292" i="67"/>
  <c r="C292" i="67"/>
  <c r="L291" i="67"/>
  <c r="K291" i="67"/>
  <c r="J291" i="67"/>
  <c r="E291" i="67"/>
  <c r="D291" i="67"/>
  <c r="C291" i="67"/>
  <c r="L290" i="67"/>
  <c r="K290" i="67"/>
  <c r="J290" i="67"/>
  <c r="E290" i="67"/>
  <c r="D290" i="67"/>
  <c r="C290" i="67"/>
  <c r="L289" i="67"/>
  <c r="K289" i="67"/>
  <c r="J289" i="67"/>
  <c r="E289" i="67"/>
  <c r="D289" i="67"/>
  <c r="C289" i="67"/>
  <c r="L288" i="67"/>
  <c r="K288" i="67"/>
  <c r="J288" i="67"/>
  <c r="E288" i="67"/>
  <c r="D288" i="67"/>
  <c r="C288" i="67"/>
  <c r="L287" i="67"/>
  <c r="K287" i="67"/>
  <c r="J287" i="67"/>
  <c r="E287" i="67"/>
  <c r="D287" i="67"/>
  <c r="C287" i="67"/>
  <c r="L286" i="67"/>
  <c r="K286" i="67"/>
  <c r="J286" i="67"/>
  <c r="E286" i="67"/>
  <c r="D286" i="67"/>
  <c r="C286" i="67"/>
  <c r="L285" i="67"/>
  <c r="K285" i="67"/>
  <c r="J285" i="67"/>
  <c r="E285" i="67"/>
  <c r="D285" i="67"/>
  <c r="C285" i="67"/>
  <c r="L284" i="67"/>
  <c r="K284" i="67"/>
  <c r="J284" i="67"/>
  <c r="E284" i="67"/>
  <c r="D284" i="67"/>
  <c r="C284" i="67"/>
  <c r="L283" i="67"/>
  <c r="K283" i="67"/>
  <c r="J283" i="67"/>
  <c r="E283" i="67"/>
  <c r="D283" i="67"/>
  <c r="C283" i="67"/>
  <c r="L282" i="67"/>
  <c r="K282" i="67"/>
  <c r="J282" i="67"/>
  <c r="E282" i="67"/>
  <c r="D282" i="67"/>
  <c r="C282" i="67"/>
  <c r="L281" i="67"/>
  <c r="K281" i="67"/>
  <c r="J281" i="67"/>
  <c r="E281" i="67"/>
  <c r="D281" i="67"/>
  <c r="C281" i="67"/>
  <c r="L280" i="67"/>
  <c r="K280" i="67"/>
  <c r="J280" i="67"/>
  <c r="E280" i="67"/>
  <c r="D280" i="67"/>
  <c r="C280" i="67"/>
  <c r="L278" i="67"/>
  <c r="K278" i="67"/>
  <c r="J278" i="67"/>
  <c r="E278" i="67"/>
  <c r="D278" i="67"/>
  <c r="C278" i="67"/>
  <c r="L277" i="67"/>
  <c r="K277" i="67"/>
  <c r="J277" i="67"/>
  <c r="E277" i="67"/>
  <c r="D277" i="67"/>
  <c r="C277" i="67"/>
  <c r="L276" i="67"/>
  <c r="K276" i="67"/>
  <c r="J276" i="67"/>
  <c r="E276" i="67"/>
  <c r="D276" i="67"/>
  <c r="C276" i="67"/>
  <c r="L275" i="67"/>
  <c r="K275" i="67"/>
  <c r="J275" i="67"/>
  <c r="E275" i="67"/>
  <c r="D275" i="67"/>
  <c r="C275" i="67"/>
  <c r="L274" i="67"/>
  <c r="K274" i="67"/>
  <c r="J274" i="67"/>
  <c r="E274" i="67"/>
  <c r="D274" i="67"/>
  <c r="C274" i="67"/>
  <c r="L273" i="67"/>
  <c r="K273" i="67"/>
  <c r="J273" i="67"/>
  <c r="E273" i="67"/>
  <c r="D273" i="67"/>
  <c r="C273" i="67"/>
  <c r="L272" i="67"/>
  <c r="K272" i="67"/>
  <c r="J272" i="67"/>
  <c r="E272" i="67"/>
  <c r="D272" i="67"/>
  <c r="C272" i="67"/>
  <c r="L271" i="67"/>
  <c r="K271" i="67"/>
  <c r="J271" i="67"/>
  <c r="E271" i="67"/>
  <c r="D271" i="67"/>
  <c r="C271" i="67"/>
  <c r="L270" i="67"/>
  <c r="K270" i="67"/>
  <c r="J270" i="67"/>
  <c r="E270" i="67"/>
  <c r="D270" i="67"/>
  <c r="C270" i="67"/>
  <c r="L269" i="67"/>
  <c r="K269" i="67"/>
  <c r="J269" i="67"/>
  <c r="E269" i="67"/>
  <c r="D269" i="67"/>
  <c r="C269" i="67"/>
  <c r="L268" i="67"/>
  <c r="K268" i="67"/>
  <c r="J268" i="67"/>
  <c r="E268" i="67"/>
  <c r="D268" i="67"/>
  <c r="C268" i="67"/>
  <c r="L267" i="67"/>
  <c r="K267" i="67"/>
  <c r="J267" i="67"/>
  <c r="E267" i="67"/>
  <c r="D267" i="67"/>
  <c r="C267" i="67"/>
  <c r="L266" i="67"/>
  <c r="K266" i="67"/>
  <c r="J266" i="67"/>
  <c r="E266" i="67"/>
  <c r="D266" i="67"/>
  <c r="C266" i="67"/>
  <c r="L265" i="67"/>
  <c r="K265" i="67"/>
  <c r="J265" i="67"/>
  <c r="E265" i="67"/>
  <c r="D265" i="67"/>
  <c r="C265" i="67"/>
  <c r="L264" i="67"/>
  <c r="K264" i="67"/>
  <c r="J264" i="67"/>
  <c r="E264" i="67"/>
  <c r="D264" i="67"/>
  <c r="C264" i="67"/>
  <c r="L263" i="67"/>
  <c r="K263" i="67"/>
  <c r="J263" i="67"/>
  <c r="E263" i="67"/>
  <c r="D263" i="67"/>
  <c r="C263" i="67"/>
  <c r="L262" i="67"/>
  <c r="K262" i="67"/>
  <c r="J262" i="67"/>
  <c r="E262" i="67"/>
  <c r="D262" i="67"/>
  <c r="C262" i="67"/>
  <c r="L261" i="67"/>
  <c r="K261" i="67"/>
  <c r="J261" i="67"/>
  <c r="E261" i="67"/>
  <c r="D261" i="67"/>
  <c r="C261" i="67"/>
  <c r="L259" i="67"/>
  <c r="K259" i="67"/>
  <c r="J259" i="67"/>
  <c r="E259" i="67"/>
  <c r="D259" i="67"/>
  <c r="C259" i="67"/>
  <c r="L258" i="67"/>
  <c r="K258" i="67"/>
  <c r="J258" i="67"/>
  <c r="E258" i="67"/>
  <c r="D258" i="67"/>
  <c r="C258" i="67"/>
  <c r="L257" i="67"/>
  <c r="K257" i="67"/>
  <c r="J257" i="67"/>
  <c r="E257" i="67"/>
  <c r="D257" i="67"/>
  <c r="C257" i="67"/>
  <c r="L256" i="67"/>
  <c r="K256" i="67"/>
  <c r="J256" i="67"/>
  <c r="E256" i="67"/>
  <c r="D256" i="67"/>
  <c r="C256" i="67"/>
  <c r="L255" i="67"/>
  <c r="K255" i="67"/>
  <c r="J255" i="67"/>
  <c r="E255" i="67"/>
  <c r="D255" i="67"/>
  <c r="C255" i="67"/>
  <c r="L254" i="67"/>
  <c r="K254" i="67"/>
  <c r="J254" i="67"/>
  <c r="E254" i="67"/>
  <c r="D254" i="67"/>
  <c r="C254" i="67"/>
  <c r="L253" i="67"/>
  <c r="K253" i="67"/>
  <c r="J253" i="67"/>
  <c r="E253" i="67"/>
  <c r="D253" i="67"/>
  <c r="C253" i="67"/>
  <c r="L252" i="67"/>
  <c r="K252" i="67"/>
  <c r="J252" i="67"/>
  <c r="E252" i="67"/>
  <c r="D252" i="67"/>
  <c r="C252" i="67"/>
  <c r="L251" i="67"/>
  <c r="K251" i="67"/>
  <c r="J251" i="67"/>
  <c r="E251" i="67"/>
  <c r="D251" i="67"/>
  <c r="C251" i="67"/>
  <c r="L250" i="67"/>
  <c r="K250" i="67"/>
  <c r="J250" i="67"/>
  <c r="E250" i="67"/>
  <c r="D250" i="67"/>
  <c r="C250" i="67"/>
  <c r="L249" i="67"/>
  <c r="K249" i="67"/>
  <c r="J249" i="67"/>
  <c r="E249" i="67"/>
  <c r="D249" i="67"/>
  <c r="C249" i="67"/>
  <c r="L248" i="67"/>
  <c r="K248" i="67"/>
  <c r="J248" i="67"/>
  <c r="E248" i="67"/>
  <c r="D248" i="67"/>
  <c r="C248" i="67"/>
  <c r="L247" i="67"/>
  <c r="K247" i="67"/>
  <c r="J247" i="67"/>
  <c r="E247" i="67"/>
  <c r="D247" i="67"/>
  <c r="C247" i="67"/>
  <c r="L246" i="67"/>
  <c r="K246" i="67"/>
  <c r="J246" i="67"/>
  <c r="E246" i="67"/>
  <c r="D246" i="67"/>
  <c r="C246" i="67"/>
  <c r="L245" i="67"/>
  <c r="K245" i="67"/>
  <c r="J245" i="67"/>
  <c r="E245" i="67"/>
  <c r="D245" i="67"/>
  <c r="C245" i="67"/>
  <c r="L244" i="67"/>
  <c r="K244" i="67"/>
  <c r="J244" i="67"/>
  <c r="E244" i="67"/>
  <c r="D244" i="67"/>
  <c r="C244" i="67"/>
  <c r="L243" i="67"/>
  <c r="K243" i="67"/>
  <c r="J243" i="67"/>
  <c r="E243" i="67"/>
  <c r="D243" i="67"/>
  <c r="C243" i="67"/>
  <c r="Q220" i="67"/>
  <c r="L242" i="67"/>
  <c r="K242" i="67"/>
  <c r="J242" i="67"/>
  <c r="E242" i="67"/>
  <c r="D242" i="67"/>
  <c r="C242" i="67"/>
  <c r="Q219" i="67"/>
  <c r="Q218" i="67"/>
  <c r="L240" i="67"/>
  <c r="K240" i="67"/>
  <c r="J240" i="67"/>
  <c r="E240" i="67"/>
  <c r="D240" i="67"/>
  <c r="C240" i="67"/>
  <c r="Q217" i="67"/>
  <c r="L239" i="67"/>
  <c r="K239" i="67"/>
  <c r="J239" i="67"/>
  <c r="E239" i="67"/>
  <c r="D239" i="67"/>
  <c r="C239" i="67"/>
  <c r="Q216" i="67"/>
  <c r="L238" i="67"/>
  <c r="K238" i="67"/>
  <c r="J238" i="67"/>
  <c r="E238" i="67"/>
  <c r="D238" i="67"/>
  <c r="C238" i="67"/>
  <c r="Q215" i="67"/>
  <c r="L237" i="67"/>
  <c r="K237" i="67"/>
  <c r="J237" i="67"/>
  <c r="E237" i="67"/>
  <c r="D237" i="67"/>
  <c r="C237" i="67"/>
  <c r="Q214" i="67"/>
  <c r="L236" i="67"/>
  <c r="K236" i="67"/>
  <c r="J236" i="67"/>
  <c r="E236" i="67"/>
  <c r="D236" i="67"/>
  <c r="C236" i="67"/>
  <c r="Q213" i="67"/>
  <c r="L235" i="67"/>
  <c r="K235" i="67"/>
  <c r="J235" i="67"/>
  <c r="E235" i="67"/>
  <c r="D235" i="67"/>
  <c r="C235" i="67"/>
  <c r="Q212" i="67"/>
  <c r="L234" i="67"/>
  <c r="K234" i="67"/>
  <c r="J234" i="67"/>
  <c r="E234" i="67"/>
  <c r="D234" i="67"/>
  <c r="C234" i="67"/>
  <c r="Q211" i="67"/>
  <c r="L233" i="67"/>
  <c r="K233" i="67"/>
  <c r="J233" i="67"/>
  <c r="E233" i="67"/>
  <c r="D233" i="67"/>
  <c r="C233" i="67"/>
  <c r="Q210" i="67"/>
  <c r="L232" i="67"/>
  <c r="K232" i="67"/>
  <c r="J232" i="67"/>
  <c r="E232" i="67"/>
  <c r="D232" i="67"/>
  <c r="C232" i="67"/>
  <c r="Q209" i="67"/>
  <c r="L231" i="67"/>
  <c r="K231" i="67"/>
  <c r="J231" i="67"/>
  <c r="E231" i="67"/>
  <c r="D231" i="67"/>
  <c r="C231" i="67"/>
  <c r="Q208" i="67"/>
  <c r="L230" i="67"/>
  <c r="K230" i="67"/>
  <c r="J230" i="67"/>
  <c r="E230" i="67"/>
  <c r="D230" i="67"/>
  <c r="C230" i="67"/>
  <c r="Q207" i="67"/>
  <c r="L229" i="67"/>
  <c r="K229" i="67"/>
  <c r="J229" i="67"/>
  <c r="E229" i="67"/>
  <c r="D229" i="67"/>
  <c r="C229" i="67"/>
  <c r="Q206" i="67"/>
  <c r="L228" i="67"/>
  <c r="K228" i="67"/>
  <c r="J228" i="67"/>
  <c r="E228" i="67"/>
  <c r="D228" i="67"/>
  <c r="C228" i="67"/>
  <c r="Q205" i="67"/>
  <c r="L227" i="67"/>
  <c r="K227" i="67"/>
  <c r="J227" i="67"/>
  <c r="E227" i="67"/>
  <c r="D227" i="67"/>
  <c r="C227" i="67"/>
  <c r="Q204" i="67"/>
  <c r="L226" i="67"/>
  <c r="K226" i="67"/>
  <c r="J226" i="67"/>
  <c r="E226" i="67"/>
  <c r="D226" i="67"/>
  <c r="C226" i="67"/>
  <c r="Q203" i="67"/>
  <c r="L225" i="67"/>
  <c r="K225" i="67"/>
  <c r="J225" i="67"/>
  <c r="E225" i="67"/>
  <c r="D225" i="67"/>
  <c r="C225" i="67"/>
  <c r="L224" i="67"/>
  <c r="K224" i="67"/>
  <c r="J224" i="67"/>
  <c r="E224" i="67"/>
  <c r="D224" i="67"/>
  <c r="C224" i="67"/>
  <c r="L223" i="67"/>
  <c r="K223" i="67"/>
  <c r="J223" i="67"/>
  <c r="E223" i="67"/>
  <c r="D223" i="67"/>
  <c r="C223" i="67"/>
  <c r="L221" i="67"/>
  <c r="K221" i="67"/>
  <c r="J221" i="67"/>
  <c r="E221" i="67"/>
  <c r="D221" i="67"/>
  <c r="C221" i="67"/>
  <c r="L220" i="67"/>
  <c r="K220" i="67"/>
  <c r="J220" i="67"/>
  <c r="E220" i="67"/>
  <c r="D220" i="67"/>
  <c r="C220" i="67"/>
  <c r="P219" i="67"/>
  <c r="L219" i="67"/>
  <c r="K219" i="67"/>
  <c r="J219" i="67"/>
  <c r="E219" i="67"/>
  <c r="D219" i="67"/>
  <c r="C219" i="67"/>
  <c r="P218" i="67"/>
  <c r="L218" i="67"/>
  <c r="K218" i="67"/>
  <c r="J218" i="67"/>
  <c r="E218" i="67"/>
  <c r="D218" i="67"/>
  <c r="C218" i="67"/>
  <c r="P217" i="67"/>
  <c r="L217" i="67"/>
  <c r="K217" i="67"/>
  <c r="J217" i="67"/>
  <c r="E217" i="67"/>
  <c r="D217" i="67"/>
  <c r="C217" i="67"/>
  <c r="P216" i="67"/>
  <c r="L216" i="67"/>
  <c r="K216" i="67"/>
  <c r="J216" i="67"/>
  <c r="E216" i="67"/>
  <c r="D216" i="67"/>
  <c r="C216" i="67"/>
  <c r="P215" i="67"/>
  <c r="L215" i="67"/>
  <c r="K215" i="67"/>
  <c r="J215" i="67"/>
  <c r="E215" i="67"/>
  <c r="D215" i="67"/>
  <c r="C215" i="67"/>
  <c r="P214" i="67"/>
  <c r="L214" i="67"/>
  <c r="K214" i="67"/>
  <c r="J214" i="67"/>
  <c r="E214" i="67"/>
  <c r="D214" i="67"/>
  <c r="C214" i="67"/>
  <c r="P213" i="67"/>
  <c r="L213" i="67"/>
  <c r="K213" i="67"/>
  <c r="J213" i="67"/>
  <c r="E213" i="67"/>
  <c r="D213" i="67"/>
  <c r="C213" i="67"/>
  <c r="P212" i="67"/>
  <c r="L212" i="67"/>
  <c r="K212" i="67"/>
  <c r="J212" i="67"/>
  <c r="E212" i="67"/>
  <c r="D212" i="67"/>
  <c r="C212" i="67"/>
  <c r="P211" i="67"/>
  <c r="L211" i="67"/>
  <c r="K211" i="67"/>
  <c r="J211" i="67"/>
  <c r="E211" i="67"/>
  <c r="D211" i="67"/>
  <c r="C211" i="67"/>
  <c r="P210" i="67"/>
  <c r="L210" i="67"/>
  <c r="K210" i="67"/>
  <c r="J210" i="67"/>
  <c r="E210" i="67"/>
  <c r="D210" i="67"/>
  <c r="C210" i="67"/>
  <c r="P209" i="67"/>
  <c r="L209" i="67"/>
  <c r="K209" i="67"/>
  <c r="J209" i="67"/>
  <c r="E209" i="67"/>
  <c r="D209" i="67"/>
  <c r="C209" i="67"/>
  <c r="P208" i="67"/>
  <c r="L208" i="67"/>
  <c r="K208" i="67"/>
  <c r="J208" i="67"/>
  <c r="E208" i="67"/>
  <c r="D208" i="67"/>
  <c r="C208" i="67"/>
  <c r="P207" i="67"/>
  <c r="L207" i="67"/>
  <c r="K207" i="67"/>
  <c r="J207" i="67"/>
  <c r="E207" i="67"/>
  <c r="D207" i="67"/>
  <c r="C207" i="67"/>
  <c r="P206" i="67"/>
  <c r="L206" i="67"/>
  <c r="K206" i="67"/>
  <c r="J206" i="67"/>
  <c r="E206" i="67"/>
  <c r="D206" i="67"/>
  <c r="C206" i="67"/>
  <c r="P205" i="67"/>
  <c r="L205" i="67"/>
  <c r="K205" i="67"/>
  <c r="J205" i="67"/>
  <c r="E205" i="67"/>
  <c r="D205" i="67"/>
  <c r="C205" i="67"/>
  <c r="L204" i="67"/>
  <c r="K204" i="67"/>
  <c r="J204" i="67"/>
  <c r="E204" i="67"/>
  <c r="D204" i="67"/>
  <c r="C204" i="67"/>
  <c r="L198" i="67"/>
  <c r="M335" i="67" s="1"/>
  <c r="F198" i="67"/>
  <c r="F335" i="67" s="1"/>
  <c r="L197" i="67"/>
  <c r="M316" i="67" s="1"/>
  <c r="F197" i="67"/>
  <c r="F316" i="67" s="1"/>
  <c r="L196" i="67"/>
  <c r="M297" i="67" s="1"/>
  <c r="F196" i="67"/>
  <c r="F297" i="67" s="1"/>
  <c r="L195" i="67"/>
  <c r="M278" i="67" s="1"/>
  <c r="F195" i="67"/>
  <c r="F278" i="67" s="1"/>
  <c r="L194" i="67"/>
  <c r="M259" i="67" s="1"/>
  <c r="F194" i="67"/>
  <c r="F259" i="67" s="1"/>
  <c r="L193" i="67"/>
  <c r="M240" i="67" s="1"/>
  <c r="F193" i="67"/>
  <c r="F240" i="67" s="1"/>
  <c r="L192" i="67"/>
  <c r="M221" i="67" s="1"/>
  <c r="F192" i="67"/>
  <c r="F221" i="67" s="1"/>
  <c r="K191" i="67"/>
  <c r="J191" i="67"/>
  <c r="H189" i="67"/>
  <c r="L187" i="67"/>
  <c r="M334" i="67" s="1"/>
  <c r="F187" i="67"/>
  <c r="F334" i="67" s="1"/>
  <c r="L186" i="67"/>
  <c r="M315" i="67" s="1"/>
  <c r="F186" i="67"/>
  <c r="F315" i="67" s="1"/>
  <c r="L185" i="67"/>
  <c r="M296" i="67" s="1"/>
  <c r="F185" i="67"/>
  <c r="F296" i="67" s="1"/>
  <c r="L184" i="67"/>
  <c r="M277" i="67" s="1"/>
  <c r="F184" i="67"/>
  <c r="F277" i="67" s="1"/>
  <c r="L183" i="67"/>
  <c r="M258" i="67" s="1"/>
  <c r="F183" i="67"/>
  <c r="F258" i="67" s="1"/>
  <c r="L182" i="67"/>
  <c r="M239" i="67" s="1"/>
  <c r="F182" i="67"/>
  <c r="F239" i="67" s="1"/>
  <c r="L181" i="67"/>
  <c r="M220" i="67" s="1"/>
  <c r="F181" i="67"/>
  <c r="F220" i="67" s="1"/>
  <c r="K180" i="67"/>
  <c r="J180" i="67"/>
  <c r="H178" i="67"/>
  <c r="L176" i="67"/>
  <c r="M333" i="67" s="1"/>
  <c r="F176" i="67"/>
  <c r="F333" i="67" s="1"/>
  <c r="L175" i="67"/>
  <c r="M314" i="67" s="1"/>
  <c r="F175" i="67"/>
  <c r="F314" i="67" s="1"/>
  <c r="L174" i="67"/>
  <c r="M295" i="67" s="1"/>
  <c r="F174" i="67"/>
  <c r="F295" i="67" s="1"/>
  <c r="L173" i="67"/>
  <c r="M276" i="67" s="1"/>
  <c r="F173" i="67"/>
  <c r="F276" i="67" s="1"/>
  <c r="L172" i="67"/>
  <c r="M257" i="67" s="1"/>
  <c r="F172" i="67"/>
  <c r="F257" i="67" s="1"/>
  <c r="L171" i="67"/>
  <c r="M238" i="67" s="1"/>
  <c r="F171" i="67"/>
  <c r="F238" i="67" s="1"/>
  <c r="L170" i="67"/>
  <c r="M219" i="67" s="1"/>
  <c r="F170" i="67"/>
  <c r="F219" i="67" s="1"/>
  <c r="K169" i="67"/>
  <c r="J169" i="67"/>
  <c r="H167" i="67"/>
  <c r="L165" i="67"/>
  <c r="M332" i="67" s="1"/>
  <c r="F165" i="67"/>
  <c r="F332" i="67" s="1"/>
  <c r="L164" i="67"/>
  <c r="M313" i="67" s="1"/>
  <c r="F164" i="67"/>
  <c r="F313" i="67" s="1"/>
  <c r="L163" i="67"/>
  <c r="M294" i="67" s="1"/>
  <c r="F163" i="67"/>
  <c r="F294" i="67" s="1"/>
  <c r="L162" i="67"/>
  <c r="M275" i="67" s="1"/>
  <c r="F162" i="67"/>
  <c r="F275" i="67" s="1"/>
  <c r="L161" i="67"/>
  <c r="M256" i="67" s="1"/>
  <c r="F161" i="67"/>
  <c r="F256" i="67" s="1"/>
  <c r="L160" i="67"/>
  <c r="M237" i="67" s="1"/>
  <c r="F160" i="67"/>
  <c r="F237" i="67" s="1"/>
  <c r="L159" i="67"/>
  <c r="M218" i="67" s="1"/>
  <c r="F159" i="67"/>
  <c r="F218" i="67" s="1"/>
  <c r="K158" i="67"/>
  <c r="J158" i="67"/>
  <c r="H156" i="67"/>
  <c r="L154" i="67"/>
  <c r="M331" i="67" s="1"/>
  <c r="F154" i="67"/>
  <c r="F331" i="67" s="1"/>
  <c r="L153" i="67"/>
  <c r="M312" i="67" s="1"/>
  <c r="F153" i="67"/>
  <c r="F312" i="67" s="1"/>
  <c r="L152" i="67"/>
  <c r="M293" i="67" s="1"/>
  <c r="F152" i="67"/>
  <c r="F293" i="67" s="1"/>
  <c r="L151" i="67"/>
  <c r="M274" i="67" s="1"/>
  <c r="F151" i="67"/>
  <c r="F274" i="67" s="1"/>
  <c r="L150" i="67"/>
  <c r="M255" i="67" s="1"/>
  <c r="F150" i="67"/>
  <c r="F255" i="67" s="1"/>
  <c r="L149" i="67"/>
  <c r="M236" i="67" s="1"/>
  <c r="F149" i="67"/>
  <c r="F236" i="67" s="1"/>
  <c r="L148" i="67"/>
  <c r="M217" i="67" s="1"/>
  <c r="F148" i="67"/>
  <c r="F217" i="67" s="1"/>
  <c r="K147" i="67"/>
  <c r="J147" i="67"/>
  <c r="H145" i="67"/>
  <c r="L143" i="67"/>
  <c r="M330" i="67" s="1"/>
  <c r="F143" i="67"/>
  <c r="F330" i="67" s="1"/>
  <c r="L142" i="67"/>
  <c r="M311" i="67" s="1"/>
  <c r="F142" i="67"/>
  <c r="F311" i="67" s="1"/>
  <c r="L141" i="67"/>
  <c r="M292" i="67" s="1"/>
  <c r="F141" i="67"/>
  <c r="F292" i="67" s="1"/>
  <c r="L140" i="67"/>
  <c r="M273" i="67" s="1"/>
  <c r="F140" i="67"/>
  <c r="F273" i="67" s="1"/>
  <c r="L139" i="67"/>
  <c r="M254" i="67" s="1"/>
  <c r="F139" i="67"/>
  <c r="F254" i="67" s="1"/>
  <c r="L138" i="67"/>
  <c r="M235" i="67" s="1"/>
  <c r="F138" i="67"/>
  <c r="F235" i="67" s="1"/>
  <c r="L137" i="67"/>
  <c r="M216" i="67" s="1"/>
  <c r="F137" i="67"/>
  <c r="F216" i="67" s="1"/>
  <c r="K136" i="67"/>
  <c r="J136" i="67"/>
  <c r="H134" i="67"/>
  <c r="L132" i="67"/>
  <c r="M329" i="67" s="1"/>
  <c r="F132" i="67"/>
  <c r="F329" i="67" s="1"/>
  <c r="L131" i="67"/>
  <c r="M310" i="67" s="1"/>
  <c r="F131" i="67"/>
  <c r="F310" i="67" s="1"/>
  <c r="L130" i="67"/>
  <c r="M291" i="67" s="1"/>
  <c r="F130" i="67"/>
  <c r="F291" i="67" s="1"/>
  <c r="L129" i="67"/>
  <c r="M272" i="67" s="1"/>
  <c r="F129" i="67"/>
  <c r="F272" i="67" s="1"/>
  <c r="L128" i="67"/>
  <c r="M253" i="67" s="1"/>
  <c r="F128" i="67"/>
  <c r="F253" i="67" s="1"/>
  <c r="L127" i="67"/>
  <c r="M234" i="67" s="1"/>
  <c r="F127" i="67"/>
  <c r="F234" i="67" s="1"/>
  <c r="L126" i="67"/>
  <c r="M215" i="67" s="1"/>
  <c r="F126" i="67"/>
  <c r="F215" i="67" s="1"/>
  <c r="K125" i="67"/>
  <c r="J125" i="67"/>
  <c r="H123" i="67"/>
  <c r="L121" i="67"/>
  <c r="M328" i="67" s="1"/>
  <c r="F121" i="67"/>
  <c r="F328" i="67" s="1"/>
  <c r="L120" i="67"/>
  <c r="M309" i="67" s="1"/>
  <c r="F120" i="67"/>
  <c r="F309" i="67" s="1"/>
  <c r="L119" i="67"/>
  <c r="M290" i="67" s="1"/>
  <c r="F119" i="67"/>
  <c r="F290" i="67" s="1"/>
  <c r="L118" i="67"/>
  <c r="M271" i="67" s="1"/>
  <c r="F118" i="67"/>
  <c r="F271" i="67" s="1"/>
  <c r="L117" i="67"/>
  <c r="M252" i="67" s="1"/>
  <c r="F117" i="67"/>
  <c r="F252" i="67" s="1"/>
  <c r="L116" i="67"/>
  <c r="M233" i="67" s="1"/>
  <c r="F116" i="67"/>
  <c r="F233" i="67" s="1"/>
  <c r="L115" i="67"/>
  <c r="M214" i="67" s="1"/>
  <c r="F115" i="67"/>
  <c r="F214" i="67" s="1"/>
  <c r="K114" i="67"/>
  <c r="J114" i="67"/>
  <c r="H112" i="67"/>
  <c r="L110" i="67"/>
  <c r="M327" i="67" s="1"/>
  <c r="F110" i="67"/>
  <c r="F327" i="67" s="1"/>
  <c r="L109" i="67"/>
  <c r="M308" i="67" s="1"/>
  <c r="F109" i="67"/>
  <c r="F308" i="67" s="1"/>
  <c r="L108" i="67"/>
  <c r="M289" i="67" s="1"/>
  <c r="F108" i="67"/>
  <c r="F289" i="67" s="1"/>
  <c r="L107" i="67"/>
  <c r="M270" i="67" s="1"/>
  <c r="F107" i="67"/>
  <c r="F270" i="67" s="1"/>
  <c r="L106" i="67"/>
  <c r="M251" i="67" s="1"/>
  <c r="F106" i="67"/>
  <c r="F251" i="67" s="1"/>
  <c r="L105" i="67"/>
  <c r="M232" i="67" s="1"/>
  <c r="F105" i="67"/>
  <c r="F232" i="67" s="1"/>
  <c r="L104" i="67"/>
  <c r="M213" i="67" s="1"/>
  <c r="F104" i="67"/>
  <c r="F213" i="67" s="1"/>
  <c r="K103" i="67"/>
  <c r="J103" i="67"/>
  <c r="H101" i="67"/>
  <c r="L99" i="67"/>
  <c r="M326" i="67" s="1"/>
  <c r="F99" i="67"/>
  <c r="F326" i="67" s="1"/>
  <c r="L98" i="67"/>
  <c r="M307" i="67" s="1"/>
  <c r="F98" i="67"/>
  <c r="F307" i="67" s="1"/>
  <c r="L97" i="67"/>
  <c r="M288" i="67" s="1"/>
  <c r="F97" i="67"/>
  <c r="F288" i="67" s="1"/>
  <c r="L96" i="67"/>
  <c r="M269" i="67" s="1"/>
  <c r="F96" i="67"/>
  <c r="F269" i="67" s="1"/>
  <c r="L95" i="67"/>
  <c r="M250" i="67" s="1"/>
  <c r="F95" i="67"/>
  <c r="F250" i="67" s="1"/>
  <c r="L94" i="67"/>
  <c r="M231" i="67" s="1"/>
  <c r="F94" i="67"/>
  <c r="F231" i="67" s="1"/>
  <c r="L93" i="67"/>
  <c r="M212" i="67" s="1"/>
  <c r="F93" i="67"/>
  <c r="F212" i="67" s="1"/>
  <c r="K92" i="67"/>
  <c r="J92" i="67"/>
  <c r="H90" i="67"/>
  <c r="L88" i="67"/>
  <c r="M325" i="67" s="1"/>
  <c r="F88" i="67"/>
  <c r="F325" i="67" s="1"/>
  <c r="L87" i="67"/>
  <c r="M306" i="67" s="1"/>
  <c r="F87" i="67"/>
  <c r="F306" i="67" s="1"/>
  <c r="L86" i="67"/>
  <c r="M287" i="67" s="1"/>
  <c r="F86" i="67"/>
  <c r="F287" i="67" s="1"/>
  <c r="L85" i="67"/>
  <c r="M268" i="67" s="1"/>
  <c r="F85" i="67"/>
  <c r="F268" i="67" s="1"/>
  <c r="L84" i="67"/>
  <c r="M249" i="67" s="1"/>
  <c r="F84" i="67"/>
  <c r="F249" i="67" s="1"/>
  <c r="L83" i="67"/>
  <c r="M230" i="67" s="1"/>
  <c r="F83" i="67"/>
  <c r="F230" i="67" s="1"/>
  <c r="L82" i="67"/>
  <c r="M211" i="67" s="1"/>
  <c r="F82" i="67"/>
  <c r="F211" i="67" s="1"/>
  <c r="K81" i="67"/>
  <c r="J81" i="67"/>
  <c r="H79" i="67"/>
  <c r="L77" i="67"/>
  <c r="M324" i="67" s="1"/>
  <c r="F77" i="67"/>
  <c r="F324" i="67" s="1"/>
  <c r="L76" i="67"/>
  <c r="M305" i="67" s="1"/>
  <c r="F76" i="67"/>
  <c r="F305" i="67" s="1"/>
  <c r="L75" i="67"/>
  <c r="M286" i="67" s="1"/>
  <c r="F75" i="67"/>
  <c r="F286" i="67" s="1"/>
  <c r="L74" i="67"/>
  <c r="M267" i="67" s="1"/>
  <c r="F74" i="67"/>
  <c r="F267" i="67" s="1"/>
  <c r="L73" i="67"/>
  <c r="M248" i="67" s="1"/>
  <c r="F73" i="67"/>
  <c r="F248" i="67" s="1"/>
  <c r="L72" i="67"/>
  <c r="M229" i="67" s="1"/>
  <c r="F72" i="67"/>
  <c r="F229" i="67" s="1"/>
  <c r="L71" i="67"/>
  <c r="M210" i="67" s="1"/>
  <c r="F71" i="67"/>
  <c r="F210" i="67" s="1"/>
  <c r="K70" i="67"/>
  <c r="J70" i="67"/>
  <c r="H68" i="67"/>
  <c r="L66" i="67"/>
  <c r="M323" i="67" s="1"/>
  <c r="F66" i="67"/>
  <c r="F323" i="67" s="1"/>
  <c r="L65" i="67"/>
  <c r="M304" i="67" s="1"/>
  <c r="F65" i="67"/>
  <c r="F304" i="67" s="1"/>
  <c r="L64" i="67"/>
  <c r="M285" i="67" s="1"/>
  <c r="F64" i="67"/>
  <c r="F285" i="67" s="1"/>
  <c r="L63" i="67"/>
  <c r="M266" i="67" s="1"/>
  <c r="F63" i="67"/>
  <c r="F266" i="67" s="1"/>
  <c r="L62" i="67"/>
  <c r="M247" i="67" s="1"/>
  <c r="F62" i="67"/>
  <c r="F247" i="67" s="1"/>
  <c r="L61" i="67"/>
  <c r="M228" i="67" s="1"/>
  <c r="F61" i="67"/>
  <c r="F228" i="67" s="1"/>
  <c r="L60" i="67"/>
  <c r="M209" i="67" s="1"/>
  <c r="F60" i="67"/>
  <c r="F209" i="67" s="1"/>
  <c r="K59" i="67"/>
  <c r="J59" i="67"/>
  <c r="H57" i="67"/>
  <c r="L55" i="67"/>
  <c r="M322" i="67" s="1"/>
  <c r="F55" i="67"/>
  <c r="F322" i="67" s="1"/>
  <c r="L54" i="67"/>
  <c r="M303" i="67" s="1"/>
  <c r="F54" i="67"/>
  <c r="F303" i="67" s="1"/>
  <c r="L53" i="67"/>
  <c r="M284" i="67" s="1"/>
  <c r="F53" i="67"/>
  <c r="F284" i="67" s="1"/>
  <c r="L52" i="67"/>
  <c r="M265" i="67" s="1"/>
  <c r="F52" i="67"/>
  <c r="F265" i="67" s="1"/>
  <c r="L51" i="67"/>
  <c r="M246" i="67" s="1"/>
  <c r="F51" i="67"/>
  <c r="F246" i="67" s="1"/>
  <c r="L50" i="67"/>
  <c r="M227" i="67" s="1"/>
  <c r="F50" i="67"/>
  <c r="F227" i="67" s="1"/>
  <c r="L49" i="67"/>
  <c r="M208" i="67" s="1"/>
  <c r="F49" i="67"/>
  <c r="F208" i="67" s="1"/>
  <c r="K48" i="67"/>
  <c r="J48" i="67"/>
  <c r="H46" i="67"/>
  <c r="L44" i="67"/>
  <c r="M321" i="67" s="1"/>
  <c r="F44" i="67"/>
  <c r="F321" i="67" s="1"/>
  <c r="L43" i="67"/>
  <c r="M302" i="67" s="1"/>
  <c r="F43" i="67"/>
  <c r="F302" i="67" s="1"/>
  <c r="L42" i="67"/>
  <c r="M283" i="67" s="1"/>
  <c r="F42" i="67"/>
  <c r="F283" i="67" s="1"/>
  <c r="L41" i="67"/>
  <c r="M264" i="67" s="1"/>
  <c r="F41" i="67"/>
  <c r="F264" i="67" s="1"/>
  <c r="L40" i="67"/>
  <c r="M245" i="67" s="1"/>
  <c r="F40" i="67"/>
  <c r="F245" i="67" s="1"/>
  <c r="L39" i="67"/>
  <c r="M226" i="67" s="1"/>
  <c r="F39" i="67"/>
  <c r="F226" i="67" s="1"/>
  <c r="L38" i="67"/>
  <c r="M207" i="67" s="1"/>
  <c r="F38" i="67"/>
  <c r="F207" i="67" s="1"/>
  <c r="K37" i="67"/>
  <c r="J37" i="67"/>
  <c r="H35" i="67"/>
  <c r="L33" i="67"/>
  <c r="M320" i="67" s="1"/>
  <c r="F33" i="67"/>
  <c r="F320" i="67" s="1"/>
  <c r="L32" i="67"/>
  <c r="M301" i="67" s="1"/>
  <c r="F32" i="67"/>
  <c r="F301" i="67" s="1"/>
  <c r="L31" i="67"/>
  <c r="M282" i="67" s="1"/>
  <c r="F31" i="67"/>
  <c r="F282" i="67" s="1"/>
  <c r="L30" i="67"/>
  <c r="M263" i="67" s="1"/>
  <c r="F30" i="67"/>
  <c r="F263" i="67" s="1"/>
  <c r="L29" i="67"/>
  <c r="M244" i="67" s="1"/>
  <c r="F29" i="67"/>
  <c r="F244" i="67" s="1"/>
  <c r="L28" i="67"/>
  <c r="M225" i="67" s="1"/>
  <c r="F28" i="67"/>
  <c r="F225" i="67" s="1"/>
  <c r="L27" i="67"/>
  <c r="M206" i="67" s="1"/>
  <c r="F27" i="67"/>
  <c r="F206" i="67" s="1"/>
  <c r="K26" i="67"/>
  <c r="J26" i="67"/>
  <c r="H24" i="67"/>
  <c r="L22" i="67"/>
  <c r="M319" i="67" s="1"/>
  <c r="F22" i="67"/>
  <c r="F319" i="67" s="1"/>
  <c r="L21" i="67"/>
  <c r="M300" i="67" s="1"/>
  <c r="F21" i="67"/>
  <c r="F300" i="67" s="1"/>
  <c r="L20" i="67"/>
  <c r="F20" i="67"/>
  <c r="F281" i="67" s="1"/>
  <c r="L19" i="67"/>
  <c r="M262" i="67" s="1"/>
  <c r="F19" i="67"/>
  <c r="F262" i="67" s="1"/>
  <c r="L18" i="67"/>
  <c r="M243" i="67" s="1"/>
  <c r="F18" i="67"/>
  <c r="F243" i="67" s="1"/>
  <c r="L17" i="67"/>
  <c r="M224" i="67" s="1"/>
  <c r="F17" i="67"/>
  <c r="F224" i="67" s="1"/>
  <c r="L16" i="67"/>
  <c r="M205" i="67" s="1"/>
  <c r="F16" i="67"/>
  <c r="F205" i="67" s="1"/>
  <c r="K15" i="67"/>
  <c r="J15" i="67"/>
  <c r="H13" i="67"/>
  <c r="L11" i="67"/>
  <c r="M318" i="67" s="1"/>
  <c r="F11" i="67"/>
  <c r="F318" i="67" s="1"/>
  <c r="L10" i="67"/>
  <c r="M299" i="67" s="1"/>
  <c r="F10" i="67"/>
  <c r="F299" i="67" s="1"/>
  <c r="L9" i="67"/>
  <c r="F9" i="67"/>
  <c r="F280" i="67" s="1"/>
  <c r="L8" i="67"/>
  <c r="M261" i="67" s="1"/>
  <c r="F8" i="67"/>
  <c r="F261" i="67" s="1"/>
  <c r="L7" i="67"/>
  <c r="M242" i="67" s="1"/>
  <c r="F7" i="67"/>
  <c r="F242" i="67" s="1"/>
  <c r="L6" i="67"/>
  <c r="F6" i="67"/>
  <c r="F223" i="67" s="1"/>
  <c r="L5" i="67"/>
  <c r="M204" i="67" s="1"/>
  <c r="F5" i="67"/>
  <c r="F204" i="67" s="1"/>
  <c r="K4" i="67"/>
  <c r="J4" i="67"/>
  <c r="H2" i="67"/>
  <c r="M223" i="67" l="1"/>
  <c r="A375" i="67"/>
  <c r="A337" i="67" s="1"/>
  <c r="O341" i="67" s="1"/>
  <c r="N357" i="67" s="1"/>
  <c r="B337" i="67"/>
  <c r="M281" i="67"/>
  <c r="M280" i="67"/>
  <c r="A350" i="67"/>
  <c r="O342" i="67" l="1"/>
  <c r="N358" i="67" s="1"/>
  <c r="D342" i="67"/>
  <c r="B342" i="67"/>
  <c r="D346" i="67"/>
  <c r="A342" i="67"/>
  <c r="A346" i="67"/>
  <c r="B345" i="67"/>
  <c r="B344" i="67"/>
  <c r="B343" i="67"/>
  <c r="B341" i="67"/>
  <c r="B340" i="67"/>
  <c r="B346" i="67"/>
  <c r="C344" i="67"/>
  <c r="D341" i="67"/>
  <c r="A344" i="67"/>
  <c r="C341" i="67"/>
  <c r="K337" i="67"/>
  <c r="A341" i="67"/>
  <c r="F337" i="67"/>
  <c r="D345" i="67"/>
  <c r="D343" i="67"/>
  <c r="C342" i="67"/>
  <c r="C345" i="67"/>
  <c r="C343" i="67"/>
  <c r="D340" i="67"/>
  <c r="D344" i="67"/>
  <c r="A345" i="67"/>
  <c r="A343" i="67"/>
  <c r="C340" i="67"/>
  <c r="A340" i="67"/>
  <c r="C346" i="67"/>
  <c r="C339" i="67"/>
  <c r="H339" i="67" s="1"/>
  <c r="B339" i="67"/>
  <c r="G339" i="67" s="1"/>
  <c r="G337" i="67"/>
  <c r="L337" i="67" s="1"/>
  <c r="E350" i="67" l="1"/>
  <c r="M341" i="67" s="1"/>
  <c r="M357" i="67" s="1"/>
  <c r="H346" i="67"/>
  <c r="I345" i="67"/>
  <c r="I344" i="67"/>
  <c r="I343" i="67"/>
  <c r="I341" i="67"/>
  <c r="I340" i="67"/>
  <c r="F346" i="67"/>
  <c r="G345" i="67"/>
  <c r="G344" i="67"/>
  <c r="G343" i="67"/>
  <c r="G341" i="67"/>
  <c r="G340" i="67"/>
  <c r="F345" i="67"/>
  <c r="F344" i="67"/>
  <c r="F343" i="67"/>
  <c r="F341" i="67"/>
  <c r="F340" i="67"/>
  <c r="G342" i="67"/>
  <c r="I342" i="67"/>
  <c r="H342" i="67"/>
  <c r="H341" i="67"/>
  <c r="H345" i="67"/>
  <c r="H343" i="67"/>
  <c r="F342" i="67"/>
  <c r="H340" i="67"/>
  <c r="I346" i="67"/>
  <c r="G346" i="67"/>
  <c r="H344" i="67"/>
  <c r="J350" i="67" l="1"/>
  <c r="M342" i="67" s="1"/>
  <c r="G16" i="23" l="1"/>
  <c r="M358" i="67" l="1"/>
  <c r="G17" i="23"/>
  <c r="E16" i="80" l="1"/>
  <c r="E17" i="80" l="1"/>
  <c r="C25" i="57" l="1"/>
  <c r="C29" i="80" l="1"/>
  <c r="B13" i="57"/>
  <c r="B82" i="23"/>
  <c r="B33" i="23"/>
  <c r="B29" i="57" s="1"/>
  <c r="B22" i="57"/>
  <c r="B20" i="23"/>
  <c r="B18" i="57" s="1"/>
  <c r="B14" i="58" l="1"/>
  <c r="B14" i="80"/>
  <c r="B25" i="58"/>
  <c r="B25" i="80"/>
  <c r="B33" i="58"/>
  <c r="B33" i="80"/>
  <c r="B20" i="58"/>
  <c r="B20" i="80"/>
  <c r="B33" i="68"/>
  <c r="B82" i="80" l="1"/>
  <c r="B83" i="58"/>
  <c r="D20" i="71"/>
  <c r="D92" i="57" l="1"/>
  <c r="G92" i="57"/>
  <c r="E5" i="57" l="1"/>
  <c r="E6" i="57"/>
  <c r="E9" i="57"/>
  <c r="E10" i="57"/>
  <c r="E4" i="57"/>
  <c r="C26" i="57"/>
  <c r="P25" i="57" l="1"/>
  <c r="C30" i="58"/>
  <c r="T7" i="57"/>
  <c r="B73" i="57" s="1"/>
  <c r="B78" i="58" s="1"/>
  <c r="N15" i="57"/>
  <c r="E10" i="80"/>
  <c r="E10" i="58"/>
  <c r="D21" i="71" s="1"/>
  <c r="C30" i="80"/>
  <c r="E7" i="80"/>
  <c r="E7" i="58"/>
  <c r="D10" i="71" s="1"/>
  <c r="F18" i="73" s="1"/>
  <c r="E11" i="80"/>
  <c r="E11" i="58"/>
  <c r="D17" i="71" s="1"/>
  <c r="E5" i="80"/>
  <c r="E5" i="58"/>
  <c r="D8" i="71" s="1"/>
  <c r="C18" i="73" s="1"/>
  <c r="E6" i="80"/>
  <c r="E6" i="58"/>
  <c r="D9" i="71" s="1"/>
  <c r="E18" i="73" s="1"/>
  <c r="O15" i="57"/>
  <c r="V8" i="68"/>
  <c r="E20" i="57"/>
  <c r="E19" i="57"/>
  <c r="P20" i="57" l="1"/>
  <c r="E23" i="80"/>
  <c r="E23" i="58"/>
  <c r="P19" i="57"/>
  <c r="E22" i="80"/>
  <c r="E22" i="58"/>
  <c r="Q20" i="57" l="1"/>
  <c r="B77" i="80"/>
  <c r="B85" i="80" l="1"/>
  <c r="H28" i="80" l="1"/>
  <c r="M20" i="57"/>
  <c r="V7" i="68"/>
  <c r="I29" i="23" l="1"/>
  <c r="I30" i="23"/>
  <c r="I28" i="23"/>
  <c r="I17" i="23"/>
  <c r="I16" i="23"/>
  <c r="B80" i="23" l="1"/>
  <c r="B76" i="57" l="1"/>
  <c r="B80" i="80" l="1"/>
  <c r="B81" i="58"/>
  <c r="T67" i="75" l="1"/>
  <c r="V67" i="75" s="1"/>
  <c r="W67" i="75" s="1"/>
  <c r="T68" i="75"/>
  <c r="V68" i="75" s="1"/>
  <c r="W68" i="75" s="1"/>
  <c r="X68" i="75" s="1"/>
  <c r="H68" i="75" l="1"/>
  <c r="J68" i="75" s="1"/>
  <c r="K68" i="75" s="1"/>
  <c r="L68" i="75" s="1"/>
  <c r="H67" i="75"/>
  <c r="J67" i="75" s="1"/>
  <c r="K67" i="75" s="1"/>
  <c r="X67" i="75"/>
  <c r="X70" i="75" s="1"/>
  <c r="W70" i="75"/>
  <c r="W71" i="75" s="1"/>
  <c r="W72" i="75" l="1"/>
  <c r="X73" i="75" s="1"/>
  <c r="L67" i="75"/>
  <c r="L70" i="75" s="1"/>
  <c r="K70" i="75"/>
  <c r="K71" i="75" s="1"/>
  <c r="W73" i="75" l="1"/>
  <c r="W74" i="75" s="1"/>
  <c r="W75" i="75" s="1"/>
  <c r="K195" i="76" s="1"/>
  <c r="K72" i="75"/>
  <c r="L73" i="75" s="1"/>
  <c r="I69" i="57" l="1"/>
  <c r="K73" i="75"/>
  <c r="K74" i="75" s="1"/>
  <c r="K75" i="75" s="1"/>
  <c r="K194" i="76" s="1"/>
  <c r="M69" i="57" l="1"/>
  <c r="N69" i="57" s="1"/>
  <c r="I73" i="58"/>
  <c r="I68" i="57"/>
  <c r="M68" i="57" l="1"/>
  <c r="I72" i="58"/>
  <c r="N68" i="57" l="1"/>
  <c r="O52" i="57" s="1"/>
  <c r="P52" i="57" s="1"/>
  <c r="H5" i="75" l="1"/>
  <c r="J5" i="75" s="1"/>
  <c r="K5" i="75" s="1"/>
  <c r="L5" i="75" l="1"/>
  <c r="H17" i="75"/>
  <c r="J17" i="75" s="1"/>
  <c r="K17" i="75" s="1"/>
  <c r="L17" i="75" s="1"/>
  <c r="H29" i="75"/>
  <c r="J29" i="75" s="1"/>
  <c r="K29" i="75" s="1"/>
  <c r="L29" i="75" s="1"/>
  <c r="H41" i="75"/>
  <c r="J41" i="75" s="1"/>
  <c r="K41" i="75" s="1"/>
  <c r="L41" i="75" s="1"/>
  <c r="H53" i="75"/>
  <c r="J53" i="75" s="1"/>
  <c r="K53" i="75" s="1"/>
  <c r="L53" i="75" l="1"/>
  <c r="F181" i="81" l="1"/>
  <c r="H156" i="81" l="1"/>
  <c r="H182" i="81"/>
  <c r="E161" i="81"/>
  <c r="H162" i="81"/>
  <c r="E157" i="81"/>
  <c r="C176" i="81"/>
  <c r="E168" i="81"/>
  <c r="F167" i="81"/>
  <c r="C163" i="81"/>
  <c r="E177" i="81"/>
  <c r="F157" i="81"/>
  <c r="E165" i="81"/>
  <c r="F155" i="81"/>
  <c r="H177" i="81"/>
  <c r="D154" i="81"/>
  <c r="H173" i="81"/>
  <c r="H183" i="81"/>
  <c r="E169" i="81"/>
  <c r="D158" i="81"/>
  <c r="F182" i="81"/>
  <c r="D159" i="81"/>
  <c r="C161" i="81"/>
  <c r="C184" i="81"/>
  <c r="G156" i="81"/>
  <c r="L174" i="81"/>
  <c r="Y161" i="81" s="1"/>
  <c r="Y174" i="81" s="1"/>
  <c r="B78" i="23" s="1"/>
  <c r="B74" i="57" s="1"/>
  <c r="H159" i="81"/>
  <c r="H158" i="81"/>
  <c r="H176" i="81"/>
  <c r="G169" i="81"/>
  <c r="C170" i="81"/>
  <c r="D180" i="81"/>
  <c r="E155" i="81"/>
  <c r="D183" i="81"/>
  <c r="H168" i="81"/>
  <c r="G168" i="81"/>
  <c r="C164" i="81"/>
  <c r="C174" i="81"/>
  <c r="C162" i="81"/>
  <c r="D179" i="81"/>
  <c r="E182" i="81"/>
  <c r="C171" i="81"/>
  <c r="C158" i="81"/>
  <c r="D165" i="81"/>
  <c r="D161" i="81"/>
  <c r="F159" i="81"/>
  <c r="G178" i="81"/>
  <c r="F158" i="81"/>
  <c r="E178" i="81"/>
  <c r="H152" i="81"/>
  <c r="D174" i="81"/>
  <c r="H179" i="81"/>
  <c r="F166" i="81"/>
  <c r="F179" i="81"/>
  <c r="G161" i="81"/>
  <c r="F170" i="81"/>
  <c r="H161" i="81"/>
  <c r="H160" i="81"/>
  <c r="H167" i="81"/>
  <c r="G163" i="81"/>
  <c r="C181" i="81"/>
  <c r="F177" i="81"/>
  <c r="G166" i="81"/>
  <c r="C175" i="81"/>
  <c r="C166" i="81"/>
  <c r="E156" i="81"/>
  <c r="G182" i="81"/>
  <c r="H170" i="81"/>
  <c r="G159" i="81"/>
  <c r="F176" i="81"/>
  <c r="G179" i="81"/>
  <c r="D168" i="81"/>
  <c r="D167" i="81"/>
  <c r="G173" i="81"/>
  <c r="C172" i="81"/>
  <c r="D169" i="81"/>
  <c r="F172" i="81"/>
  <c r="F180" i="81"/>
  <c r="D172" i="81"/>
  <c r="F162" i="81"/>
  <c r="C178" i="81"/>
  <c r="H171" i="81"/>
  <c r="F154" i="81"/>
  <c r="E179" i="81"/>
  <c r="D184" i="81"/>
  <c r="C154" i="81"/>
  <c r="C168" i="81"/>
  <c r="H178" i="81"/>
  <c r="E160" i="81"/>
  <c r="G177" i="81"/>
  <c r="E167" i="81"/>
  <c r="G170" i="81"/>
  <c r="H155" i="81"/>
  <c r="H157" i="81"/>
  <c r="H181" i="81"/>
  <c r="E181" i="81"/>
  <c r="G183" i="81"/>
  <c r="E175" i="81"/>
  <c r="D157" i="81"/>
  <c r="C153" i="81"/>
  <c r="C169" i="81"/>
  <c r="H169" i="81"/>
  <c r="E170" i="81"/>
  <c r="C180" i="81"/>
  <c r="F168" i="81"/>
  <c r="H184" i="81"/>
  <c r="D171" i="81"/>
  <c r="C177" i="81"/>
  <c r="C165" i="81"/>
  <c r="D155" i="81"/>
  <c r="C151" i="81"/>
  <c r="F184" i="81"/>
  <c r="D182" i="81"/>
  <c r="H166" i="81"/>
  <c r="E172" i="81"/>
  <c r="C167" i="81"/>
  <c r="D178" i="81"/>
  <c r="D166" i="81"/>
  <c r="F183" i="81"/>
  <c r="H180" i="81"/>
  <c r="C173" i="81"/>
  <c r="F178" i="81"/>
  <c r="G181" i="81"/>
  <c r="F161" i="81"/>
  <c r="E162" i="81"/>
  <c r="E176" i="81"/>
  <c r="D156" i="81"/>
  <c r="D153" i="81"/>
  <c r="E166" i="81"/>
  <c r="C152" i="81"/>
  <c r="F165" i="81"/>
  <c r="E183" i="81"/>
  <c r="F171" i="81"/>
  <c r="G157" i="81"/>
  <c r="E171" i="81"/>
  <c r="C183" i="81"/>
  <c r="F169" i="81"/>
  <c r="G171" i="81"/>
  <c r="H163" i="81"/>
  <c r="G158" i="81"/>
  <c r="G176" i="81"/>
  <c r="D164" i="81"/>
  <c r="D181" i="81"/>
  <c r="G184" i="81"/>
  <c r="H172" i="81"/>
  <c r="E184" i="81"/>
  <c r="C160" i="81"/>
  <c r="E158" i="81"/>
  <c r="F156" i="81"/>
  <c r="G152" i="81"/>
  <c r="G155" i="81"/>
  <c r="C155" i="81"/>
  <c r="F160" i="81"/>
  <c r="E154" i="81"/>
  <c r="C156" i="81"/>
  <c r="D162" i="81"/>
  <c r="E159" i="81"/>
  <c r="G180" i="81"/>
  <c r="G162" i="81"/>
  <c r="D177" i="81"/>
  <c r="E180" i="81"/>
  <c r="G160" i="81"/>
  <c r="D160" i="81"/>
  <c r="C182" i="81"/>
  <c r="D170" i="81"/>
  <c r="C159" i="81"/>
  <c r="F175" i="81"/>
  <c r="C179" i="81"/>
  <c r="G167" i="81"/>
  <c r="B151" i="81"/>
  <c r="D175" i="81"/>
  <c r="D176" i="81"/>
  <c r="G172" i="81"/>
  <c r="C157" i="81"/>
  <c r="M186" i="81" l="1"/>
  <c r="E195" i="81" s="1"/>
  <c r="F195" i="81" s="1"/>
  <c r="M181" i="81"/>
  <c r="M183" i="81"/>
  <c r="M184" i="81"/>
  <c r="E193" i="81" s="1"/>
  <c r="F193" i="81" s="1"/>
  <c r="E51" i="57" s="1"/>
  <c r="M185" i="81"/>
  <c r="E194" i="81" s="1"/>
  <c r="F194" i="81" s="1"/>
  <c r="E52" i="57" s="1"/>
  <c r="M182" i="81"/>
  <c r="E212" i="81"/>
  <c r="F212" i="81" s="1"/>
  <c r="E214" i="81"/>
  <c r="F214" i="81" s="1"/>
  <c r="E213" i="81"/>
  <c r="F213" i="81" s="1"/>
  <c r="E210" i="81"/>
  <c r="F210" i="81" s="1"/>
  <c r="E211" i="81"/>
  <c r="F211" i="81" s="1"/>
  <c r="E192" i="81"/>
  <c r="F192" i="81" s="1"/>
  <c r="B79" i="58"/>
  <c r="B78" i="80"/>
  <c r="E62" i="57" l="1"/>
  <c r="I214" i="81"/>
  <c r="J214" i="81" s="1"/>
  <c r="K214" i="81"/>
  <c r="F62" i="57" s="1"/>
  <c r="L214" i="81"/>
  <c r="G62" i="57" s="1"/>
  <c r="N206" i="81"/>
  <c r="K211" i="81"/>
  <c r="F59" i="57" s="1"/>
  <c r="L211" i="81"/>
  <c r="G59" i="57" s="1"/>
  <c r="I211" i="81"/>
  <c r="J211" i="81" s="1"/>
  <c r="E59" i="57"/>
  <c r="N203" i="81"/>
  <c r="I212" i="81"/>
  <c r="J212" i="81" s="1"/>
  <c r="K212" i="81"/>
  <c r="F60" i="57" s="1"/>
  <c r="L212" i="81"/>
  <c r="G60" i="57" s="1"/>
  <c r="E60" i="57"/>
  <c r="N204" i="81"/>
  <c r="E61" i="57"/>
  <c r="K213" i="81"/>
  <c r="F61" i="57" s="1"/>
  <c r="L213" i="81"/>
  <c r="G61" i="57" s="1"/>
  <c r="I213" i="81"/>
  <c r="J213" i="81" s="1"/>
  <c r="N205" i="81"/>
  <c r="I210" i="81"/>
  <c r="J210" i="81" s="1"/>
  <c r="L210" i="81"/>
  <c r="G58" i="57" s="1"/>
  <c r="K210" i="81"/>
  <c r="F58" i="57" s="1"/>
  <c r="N202" i="81"/>
  <c r="E58" i="57"/>
  <c r="E62" i="58" s="1"/>
  <c r="E56" i="58"/>
  <c r="E55" i="58"/>
  <c r="N186" i="81"/>
  <c r="K195" i="81"/>
  <c r="E191" i="81"/>
  <c r="F191" i="81" s="1"/>
  <c r="E190" i="81"/>
  <c r="L193" i="81"/>
  <c r="G51" i="57" s="1"/>
  <c r="G55" i="58" s="1"/>
  <c r="I193" i="81"/>
  <c r="J193" i="81" s="1"/>
  <c r="K193" i="81"/>
  <c r="F51" i="57" s="1"/>
  <c r="N184" i="81"/>
  <c r="K194" i="81"/>
  <c r="F52" i="57" s="1"/>
  <c r="L194" i="81"/>
  <c r="G52" i="57" s="1"/>
  <c r="I194" i="81"/>
  <c r="J194" i="81" s="1"/>
  <c r="N185" i="81"/>
  <c r="I192" i="81"/>
  <c r="J192" i="81" s="1"/>
  <c r="L192" i="81"/>
  <c r="G50" i="57" s="1"/>
  <c r="K192" i="81"/>
  <c r="F50" i="57" s="1"/>
  <c r="N183" i="81"/>
  <c r="E50" i="57"/>
  <c r="O206" i="81" l="1"/>
  <c r="P206" i="81"/>
  <c r="P185" i="81"/>
  <c r="O185" i="81"/>
  <c r="O186" i="81"/>
  <c r="M195" i="81" s="1"/>
  <c r="P186" i="81"/>
  <c r="E80" i="75" s="1"/>
  <c r="H80" i="75" s="1"/>
  <c r="J80" i="75" s="1"/>
  <c r="K80" i="75" s="1"/>
  <c r="O183" i="81"/>
  <c r="P183" i="81"/>
  <c r="O184" i="81"/>
  <c r="P184" i="81"/>
  <c r="E42" i="75" s="1"/>
  <c r="H42" i="75" s="1"/>
  <c r="J42" i="75" s="1"/>
  <c r="K42" i="75" s="1"/>
  <c r="Q6" i="75"/>
  <c r="T6" i="75" s="1"/>
  <c r="V6" i="75" s="1"/>
  <c r="W6" i="75" s="1"/>
  <c r="Q54" i="75"/>
  <c r="T54" i="75" s="1"/>
  <c r="V54" i="75" s="1"/>
  <c r="W54" i="75" s="1"/>
  <c r="F63" i="80"/>
  <c r="F64" i="58"/>
  <c r="G66" i="58"/>
  <c r="G65" i="80"/>
  <c r="F62" i="58"/>
  <c r="F61" i="80"/>
  <c r="Q30" i="75"/>
  <c r="T30" i="75" s="1"/>
  <c r="V30" i="75" s="1"/>
  <c r="W30" i="75" s="1"/>
  <c r="G63" i="58"/>
  <c r="G62" i="80"/>
  <c r="F66" i="58"/>
  <c r="F65" i="80"/>
  <c r="G62" i="58"/>
  <c r="G61" i="80"/>
  <c r="G65" i="58"/>
  <c r="G64" i="80"/>
  <c r="E63" i="80"/>
  <c r="E64" i="58"/>
  <c r="Q18" i="75"/>
  <c r="T18" i="75" s="1"/>
  <c r="V18" i="75" s="1"/>
  <c r="W18" i="75" s="1"/>
  <c r="F62" i="80"/>
  <c r="E65" i="58"/>
  <c r="E64" i="80"/>
  <c r="E61" i="80"/>
  <c r="F65" i="58"/>
  <c r="F64" i="80"/>
  <c r="G63" i="80"/>
  <c r="G64" i="58"/>
  <c r="E63" i="58"/>
  <c r="E62" i="80"/>
  <c r="Q42" i="75"/>
  <c r="T42" i="75" s="1"/>
  <c r="V42" i="75" s="1"/>
  <c r="W42" i="75" s="1"/>
  <c r="E66" i="58"/>
  <c r="E65" i="80"/>
  <c r="F56" i="58"/>
  <c r="F55" i="58"/>
  <c r="G56" i="58"/>
  <c r="E42" i="57"/>
  <c r="E46" i="58" s="1"/>
  <c r="F42" i="57"/>
  <c r="I195" i="81"/>
  <c r="J195" i="81" s="1"/>
  <c r="J9" i="68"/>
  <c r="I9" i="68" s="1"/>
  <c r="L195" i="81"/>
  <c r="E30" i="75"/>
  <c r="H30" i="75" s="1"/>
  <c r="J30" i="75" s="1"/>
  <c r="K30" i="75" s="1"/>
  <c r="E54" i="75"/>
  <c r="H54" i="75" s="1"/>
  <c r="J54" i="75" s="1"/>
  <c r="K54" i="75" s="1"/>
  <c r="F190" i="81"/>
  <c r="L190" i="81" s="1"/>
  <c r="L191" i="81"/>
  <c r="G49" i="57" s="1"/>
  <c r="G53" i="58" s="1"/>
  <c r="N182" i="81"/>
  <c r="K191" i="81"/>
  <c r="I191" i="81"/>
  <c r="J191" i="81" s="1"/>
  <c r="E49" i="57"/>
  <c r="G53" i="80"/>
  <c r="G54" i="58"/>
  <c r="E53" i="80"/>
  <c r="E54" i="58"/>
  <c r="G55" i="80"/>
  <c r="F54" i="80"/>
  <c r="F53" i="80"/>
  <c r="F54" i="58"/>
  <c r="E54" i="80"/>
  <c r="G54" i="80"/>
  <c r="E55" i="80"/>
  <c r="F55" i="80"/>
  <c r="E81" i="75" l="1"/>
  <c r="H81" i="75" s="1"/>
  <c r="J81" i="75" s="1"/>
  <c r="K81" i="75" s="1"/>
  <c r="L81" i="75" s="1"/>
  <c r="P182" i="81"/>
  <c r="O182" i="81"/>
  <c r="M212" i="81"/>
  <c r="Q31" i="75"/>
  <c r="T31" i="75" s="1"/>
  <c r="V31" i="75" s="1"/>
  <c r="W31" i="75" s="1"/>
  <c r="X31" i="75" s="1"/>
  <c r="X42" i="75"/>
  <c r="M211" i="81"/>
  <c r="Q19" i="75"/>
  <c r="T19" i="75" s="1"/>
  <c r="V19" i="75" s="1"/>
  <c r="W19" i="75" s="1"/>
  <c r="X19" i="75" s="1"/>
  <c r="Q55" i="75"/>
  <c r="T55" i="75" s="1"/>
  <c r="V55" i="75" s="1"/>
  <c r="W55" i="75" s="1"/>
  <c r="X55" i="75" s="1"/>
  <c r="M213" i="81"/>
  <c r="X18" i="75"/>
  <c r="M214" i="81"/>
  <c r="Q43" i="75"/>
  <c r="T43" i="75" s="1"/>
  <c r="V43" i="75" s="1"/>
  <c r="W43" i="75" s="1"/>
  <c r="X43" i="75" s="1"/>
  <c r="X6" i="75"/>
  <c r="X54" i="75"/>
  <c r="X30" i="75"/>
  <c r="M210" i="81"/>
  <c r="Q7" i="75"/>
  <c r="T7" i="75" s="1"/>
  <c r="V7" i="75" s="1"/>
  <c r="W7" i="75" s="1"/>
  <c r="X7" i="75" s="1"/>
  <c r="E52" i="80"/>
  <c r="F46" i="58"/>
  <c r="F49" i="57"/>
  <c r="L80" i="75"/>
  <c r="L83" i="75" s="1"/>
  <c r="K83" i="75"/>
  <c r="K84" i="75" s="1"/>
  <c r="G52" i="80"/>
  <c r="N181" i="81"/>
  <c r="E53" i="58"/>
  <c r="M191" i="81"/>
  <c r="E18" i="75"/>
  <c r="H18" i="75" s="1"/>
  <c r="J18" i="75" s="1"/>
  <c r="K18" i="75" s="1"/>
  <c r="L18" i="75" s="1"/>
  <c r="I190" i="81"/>
  <c r="J190" i="81" s="1"/>
  <c r="K190" i="81"/>
  <c r="F48" i="57" s="1"/>
  <c r="G48" i="57"/>
  <c r="E48" i="57"/>
  <c r="L30" i="75"/>
  <c r="L42" i="75"/>
  <c r="M194" i="81"/>
  <c r="E55" i="75"/>
  <c r="H55" i="75" s="1"/>
  <c r="J55" i="75" s="1"/>
  <c r="K55" i="75" s="1"/>
  <c r="L55" i="75" s="1"/>
  <c r="L54" i="75"/>
  <c r="M193" i="81"/>
  <c r="E43" i="75"/>
  <c r="H43" i="75" s="1"/>
  <c r="J43" i="75" s="1"/>
  <c r="K43" i="75" s="1"/>
  <c r="L43" i="75" s="1"/>
  <c r="M192" i="81"/>
  <c r="E31" i="75"/>
  <c r="H31" i="75" s="1"/>
  <c r="J31" i="75" s="1"/>
  <c r="K31" i="75" s="1"/>
  <c r="L31" i="75" s="1"/>
  <c r="O181" i="81" l="1"/>
  <c r="P181" i="81"/>
  <c r="E6" i="75" s="1"/>
  <c r="H6" i="75" s="1"/>
  <c r="J6" i="75" s="1"/>
  <c r="K6" i="75" s="1"/>
  <c r="L6" i="75" s="1"/>
  <c r="W21" i="75"/>
  <c r="W22" i="75" s="1"/>
  <c r="W57" i="75"/>
  <c r="W58" i="75" s="1"/>
  <c r="X33" i="75"/>
  <c r="W45" i="75"/>
  <c r="W46" i="75" s="1"/>
  <c r="X57" i="75"/>
  <c r="X45" i="75"/>
  <c r="W9" i="75"/>
  <c r="W10" i="75" s="1"/>
  <c r="W33" i="75"/>
  <c r="W34" i="75" s="1"/>
  <c r="X9" i="75"/>
  <c r="X21" i="75"/>
  <c r="F52" i="80"/>
  <c r="F53" i="58"/>
  <c r="K85" i="75"/>
  <c r="L86" i="75" s="1"/>
  <c r="M190" i="81"/>
  <c r="E19" i="75"/>
  <c r="H19" i="75" s="1"/>
  <c r="J19" i="75" s="1"/>
  <c r="K19" i="75" s="1"/>
  <c r="L19" i="75" s="1"/>
  <c r="L21" i="75" s="1"/>
  <c r="K57" i="75"/>
  <c r="K58" i="75" s="1"/>
  <c r="K45" i="75"/>
  <c r="K46" i="75" s="1"/>
  <c r="K33" i="75"/>
  <c r="K34" i="75" s="1"/>
  <c r="E51" i="80"/>
  <c r="E52" i="58"/>
  <c r="G52" i="58"/>
  <c r="G51" i="80"/>
  <c r="F52" i="58"/>
  <c r="F51" i="80"/>
  <c r="L33" i="75"/>
  <c r="L45" i="75"/>
  <c r="L57" i="75"/>
  <c r="W23" i="75" l="1"/>
  <c r="W24" i="75" s="1"/>
  <c r="W25" i="75" s="1"/>
  <c r="W26" i="75" s="1"/>
  <c r="N211" i="81" s="1"/>
  <c r="I59" i="57" s="1"/>
  <c r="W59" i="75"/>
  <c r="W60" i="75" s="1"/>
  <c r="W61" i="75" s="1"/>
  <c r="W62" i="75" s="1"/>
  <c r="N213" i="81" s="1"/>
  <c r="I61" i="57" s="1"/>
  <c r="W35" i="75"/>
  <c r="X36" i="75" s="1"/>
  <c r="W47" i="75"/>
  <c r="W48" i="75" s="1"/>
  <c r="W49" i="75" s="1"/>
  <c r="W50" i="75" s="1"/>
  <c r="N214" i="81" s="1"/>
  <c r="I62" i="57" s="1"/>
  <c r="W11" i="75"/>
  <c r="K86" i="75"/>
  <c r="K87" i="75" s="1"/>
  <c r="N195" i="81" s="1"/>
  <c r="H42" i="57" s="1"/>
  <c r="I46" i="58" s="1"/>
  <c r="E7" i="75"/>
  <c r="H7" i="75" s="1"/>
  <c r="J7" i="75" s="1"/>
  <c r="K7" i="75" s="1"/>
  <c r="L7" i="75" s="1"/>
  <c r="L9" i="75" s="1"/>
  <c r="K47" i="75"/>
  <c r="K48" i="75" s="1"/>
  <c r="K49" i="75" s="1"/>
  <c r="K50" i="75" s="1"/>
  <c r="N193" i="81" s="1"/>
  <c r="I51" i="57" s="1"/>
  <c r="K21" i="75"/>
  <c r="K22" i="75" s="1"/>
  <c r="K23" i="75" s="1"/>
  <c r="K35" i="75"/>
  <c r="K36" i="75" s="1"/>
  <c r="K37" i="75" s="1"/>
  <c r="K38" i="75" s="1"/>
  <c r="N192" i="81" s="1"/>
  <c r="I50" i="57" s="1"/>
  <c r="K59" i="75"/>
  <c r="L60" i="75" s="1"/>
  <c r="M59" i="57" l="1"/>
  <c r="N59" i="57" s="1"/>
  <c r="J63" i="58"/>
  <c r="X24" i="75"/>
  <c r="W36" i="75"/>
  <c r="W37" i="75" s="1"/>
  <c r="W38" i="75" s="1"/>
  <c r="N212" i="81" s="1"/>
  <c r="I60" i="57" s="1"/>
  <c r="M60" i="57" s="1"/>
  <c r="N60" i="57" s="1"/>
  <c r="X60" i="75"/>
  <c r="X48" i="75"/>
  <c r="W12" i="75"/>
  <c r="W13" i="75" s="1"/>
  <c r="W14" i="75" s="1"/>
  <c r="N210" i="81" s="1"/>
  <c r="I58" i="57" s="1"/>
  <c r="M58" i="57" s="1"/>
  <c r="N58" i="57" s="1"/>
  <c r="X12" i="75"/>
  <c r="I62" i="80"/>
  <c r="I63" i="58"/>
  <c r="J66" i="58"/>
  <c r="I66" i="58" s="1"/>
  <c r="I65" i="80"/>
  <c r="M62" i="57"/>
  <c r="N62" i="57" s="1"/>
  <c r="J65" i="58"/>
  <c r="I65" i="58" s="1"/>
  <c r="I64" i="80"/>
  <c r="M61" i="57"/>
  <c r="N61" i="57" s="1"/>
  <c r="M50" i="57"/>
  <c r="N50" i="57" s="1"/>
  <c r="J55" i="58"/>
  <c r="I55" i="58" s="1"/>
  <c r="M51" i="57"/>
  <c r="N51" i="57" s="1"/>
  <c r="K88" i="75"/>
  <c r="K9" i="75"/>
  <c r="K10" i="75" s="1"/>
  <c r="K11" i="75" s="1"/>
  <c r="L12" i="75" s="1"/>
  <c r="L36" i="75"/>
  <c r="L48" i="75"/>
  <c r="K60" i="75"/>
  <c r="K61" i="75" s="1"/>
  <c r="K62" i="75" s="1"/>
  <c r="N194" i="81" s="1"/>
  <c r="I52" i="57" s="1"/>
  <c r="K24" i="75"/>
  <c r="K25" i="75" s="1"/>
  <c r="K26" i="75" s="1"/>
  <c r="N191" i="81" s="1"/>
  <c r="I49" i="57" s="1"/>
  <c r="L24" i="75"/>
  <c r="I54" i="80"/>
  <c r="I53" i="80"/>
  <c r="J54" i="58"/>
  <c r="I54" i="58" s="1"/>
  <c r="I63" i="80" l="1"/>
  <c r="M42" i="57"/>
  <c r="N42" i="57" s="1"/>
  <c r="P47" i="57" s="1"/>
  <c r="H46" i="58"/>
  <c r="J64" i="58"/>
  <c r="I64" i="58" s="1"/>
  <c r="O50" i="57"/>
  <c r="I61" i="80"/>
  <c r="J62" i="58"/>
  <c r="I62" i="58" s="1"/>
  <c r="J56" i="58"/>
  <c r="I56" i="58" s="1"/>
  <c r="M52" i="57"/>
  <c r="N52" i="57" s="1"/>
  <c r="K12" i="75"/>
  <c r="K13" i="75" s="1"/>
  <c r="K14" i="75" s="1"/>
  <c r="N190" i="81" s="1"/>
  <c r="I48" i="57" s="1"/>
  <c r="J52" i="58" s="1"/>
  <c r="J53" i="58"/>
  <c r="I53" i="58" s="1"/>
  <c r="M49" i="57"/>
  <c r="N49" i="57" s="1"/>
  <c r="I52" i="80"/>
  <c r="I55" i="80"/>
  <c r="P50" i="57" l="1"/>
  <c r="I52" i="58"/>
  <c r="I51" i="80"/>
  <c r="M48" i="57"/>
  <c r="N48" i="57" l="1"/>
  <c r="O48" i="57" s="1"/>
  <c r="P48" i="57" l="1"/>
  <c r="P49" i="57" s="1"/>
  <c r="Q49" i="57" s="1"/>
  <c r="Q27" i="57" l="1"/>
  <c r="J91" i="57" s="1"/>
  <c r="X10" i="68" l="1"/>
  <c r="F2" i="23" s="1"/>
  <c r="B90" i="23" s="1"/>
  <c r="B86" i="57" s="1"/>
  <c r="H1" i="71"/>
  <c r="A2" i="57" l="1"/>
  <c r="A2" i="80" s="1"/>
  <c r="B91" i="80"/>
  <c r="B91" i="58"/>
  <c r="A2" i="5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H30" authorId="0" shapeId="0" xr:uid="{00000000-0006-0000-0100-000002000000}">
      <text>
        <r>
          <rPr>
            <sz val="12"/>
            <color indexed="81"/>
            <rFont val="Tahoma"/>
            <family val="2"/>
          </rPr>
          <t>BILA HASILNYA KELUAR, MAKA LAKUKAN PENGUKURAN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 DAN HASILNYA INPUT PADA KOLOM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 shapeId="0" xr:uid="{64E5E60D-6CE2-4FD7-A63E-98E90FE9A930}">
      <text>
        <r>
          <rPr>
            <sz val="12"/>
            <color indexed="81"/>
            <rFont val="Tahoma"/>
            <family val="2"/>
          </rPr>
          <t>BILA HASILNYA KELUAR, MAKA LAKUKAN PENGUKURAN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 DAN HASILNYA INPUT PADA KOLOM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AAA55854-168A-44F8-AEB4-EE5927ED870E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DBC1117-A795-4743-8523-A63E671A0AD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<sst xmlns="http://schemas.openxmlformats.org/spreadsheetml/2006/main" count="3033" uniqueCount="573">
  <si>
    <t>Merek</t>
  </si>
  <si>
    <t>:</t>
  </si>
  <si>
    <t>Model/Tipe</t>
  </si>
  <si>
    <t>No. Seri</t>
  </si>
  <si>
    <t>Tanggal Penerimaan Alat</t>
  </si>
  <si>
    <t>Tanggal Pengujian</t>
  </si>
  <si>
    <t>Tempat Pengujian</t>
  </si>
  <si>
    <t>Nama Ruang</t>
  </si>
  <si>
    <t>Metode Kerja</t>
  </si>
  <si>
    <t xml:space="preserve">I. </t>
  </si>
  <si>
    <t>Kondisi Ruang</t>
  </si>
  <si>
    <t>Awal</t>
  </si>
  <si>
    <t>Akhir</t>
  </si>
  <si>
    <t xml:space="preserve">1. Suhu </t>
  </si>
  <si>
    <t>°C</t>
  </si>
  <si>
    <t xml:space="preserve">2. Kelembaban </t>
  </si>
  <si>
    <t>%RH</t>
  </si>
  <si>
    <t>3. Tegangan Jala-jala</t>
  </si>
  <si>
    <t>Volt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</si>
  <si>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</si>
  <si>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</si>
  <si>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</si>
  <si>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</si>
  <si>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</si>
  <si>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</si>
  <si>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Pengujian keselamatan listrik</t>
  </si>
  <si>
    <t>No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</si>
  <si>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</si>
  <si>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</si>
  <si>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</si>
  <si>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</si>
  <si>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</si>
  <si>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</si>
  <si>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</si>
  <si>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</si>
  <si>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</si>
  <si>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</si>
  <si>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</si>
  <si>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</si>
  <si>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</si>
  <si>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</si>
  <si>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</si>
  <si>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</si>
  <si>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</si>
  <si>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</si>
  <si>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</si>
  <si>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 xml:space="preserve">IV. </t>
  </si>
  <si>
    <t>Pengujian Kinerja</t>
  </si>
  <si>
    <t>No.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</si>
  <si>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</si>
  <si>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</si>
  <si>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</si>
  <si>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</si>
  <si>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</si>
  <si>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</si>
  <si>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</si>
  <si>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</si>
  <si>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V.</t>
  </si>
  <si>
    <t xml:space="preserve">Keterangan </t>
  </si>
  <si>
    <t xml:space="preserve"> </t>
  </si>
  <si>
    <t>1. Apakah di ruangan terdapat instalasi grounding ? Ya / Tidak</t>
  </si>
  <si>
    <t>2. Apakah hasil arus bocor peralatan untuk peralatan elektromedik keluar ? Ya / Tidak, "Ya" ukur NC = ……...…….?</t>
  </si>
  <si>
    <t>3. ...................................................................</t>
  </si>
  <si>
    <t>4. ...................................................................</t>
  </si>
  <si>
    <t>VI.</t>
  </si>
  <si>
    <t>Alat Ukur Yang Digunakan</t>
  </si>
  <si>
    <t>VII.</t>
  </si>
  <si>
    <t>Kesimpulan</t>
  </si>
  <si>
    <t>VIII.</t>
  </si>
  <si>
    <t>Petugas Pengujian</t>
  </si>
  <si>
    <t>Tanggal</t>
  </si>
  <si>
    <t>Revisi</t>
  </si>
  <si>
    <t>Oleh</t>
  </si>
  <si>
    <t>Update serti Tacho</t>
  </si>
  <si>
    <t>Sudah</t>
  </si>
  <si>
    <t>Iqbal</t>
  </si>
  <si>
    <t>Update DPM</t>
  </si>
  <si>
    <t>update kelistrikan</t>
  </si>
  <si>
    <t>sudah</t>
  </si>
  <si>
    <t>7 Maret 2022</t>
  </si>
  <si>
    <t>Update scoring arus</t>
  </si>
  <si>
    <t>Done</t>
  </si>
  <si>
    <t>12 Maret</t>
  </si>
  <si>
    <t>Update 1/1000000</t>
  </si>
  <si>
    <t>13 Maret</t>
  </si>
  <si>
    <t>Update Sertifikat ESA</t>
  </si>
  <si>
    <t>DRIFT</t>
  </si>
  <si>
    <t>U95 STD</t>
  </si>
  <si>
    <t>Tahun</t>
  </si>
  <si>
    <t>-</t>
  </si>
  <si>
    <t>U95</t>
  </si>
  <si>
    <t>Drift</t>
  </si>
  <si>
    <t>Rata-rata standar</t>
  </si>
  <si>
    <t>Rata-rata Terkoreksi</t>
  </si>
  <si>
    <t>STDEV</t>
  </si>
  <si>
    <t>Koreksi</t>
  </si>
  <si>
    <t>Hasil</t>
  </si>
  <si>
    <t>U95    STD</t>
  </si>
  <si>
    <t>Resolusi</t>
  </si>
  <si>
    <t>INPUT DATA SERTIFIKAT ESA</t>
  </si>
  <si>
    <t>A</t>
  </si>
  <si>
    <t>B</t>
  </si>
  <si>
    <t>C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</si>
  <si>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</si>
  <si>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</si>
  <si>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</si>
  <si>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</si>
  <si>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</si>
  <si>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</si>
  <si>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</si>
  <si>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</si>
  <si>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</si>
  <si>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</si>
  <si>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</si>
  <si>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</t>
  </si>
  <si>
    <t>F</t>
  </si>
  <si>
    <t>G</t>
  </si>
  <si>
    <t>Tegangan jala-jala listrik</t>
  </si>
  <si>
    <t>Pembacaan terkoreksi</t>
  </si>
  <si>
    <t>Tahanan isolasi kabel catu daya</t>
  </si>
  <si>
    <t>Resistansi pembumian protektif</t>
  </si>
  <si>
    <t>Arus bocor</t>
  </si>
  <si>
    <t>NC</t>
  </si>
  <si>
    <t>Tegangan U 95</t>
  </si>
  <si>
    <t xml:space="preserve">( </t>
  </si>
  <si>
    <t xml:space="preserve"> ± 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</si>
  <si>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</si>
  <si>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</si>
  <si>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</si>
  <si>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</si>
  <si>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</si>
  <si>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</si>
  <si>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</si>
  <si>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</si>
  <si>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</si>
  <si>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</si>
  <si>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</si>
  <si>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</si>
  <si>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</si>
  <si>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</si>
  <si>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19 / III - 25 / E - 009.678 DL</t>
  </si>
  <si>
    <t>Terkoreksi</t>
  </si>
  <si>
    <t>Baik</t>
  </si>
  <si>
    <t>NG</t>
  </si>
  <si>
    <t xml:space="preserve">Pengujian keselamatan listrik </t>
  </si>
  <si>
    <t>Resistansi Pembumian Protektif (kabel tidak dapat dilepas)</t>
  </si>
  <si>
    <t>Arus bocor peralatan untuk peralatan elektromedik kelas I</t>
  </si>
  <si>
    <t>Kelas I</t>
  </si>
  <si>
    <t>Input NC</t>
  </si>
  <si>
    <t>Setting Alat</t>
  </si>
  <si>
    <t>Thermohygrolight, Merek : Greisinger, Model : GFTB 200, SN : 34903051</t>
  </si>
  <si>
    <t>Wardimanul Abrar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</si>
  <si>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</si>
  <si>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</si>
  <si>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</si>
  <si>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</si>
  <si>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</si>
  <si>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</si>
  <si>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</si>
  <si>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</si>
  <si>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</si>
  <si>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</si>
  <si>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</si>
  <si>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</si>
  <si>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</si>
  <si>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</si>
  <si>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</si>
  <si>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</si>
  <si>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</si>
  <si>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</si>
  <si>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</si>
  <si>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</si>
  <si>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</si>
  <si>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</si>
  <si>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</si>
  <si>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</si>
  <si>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</si>
  <si>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</si>
  <si>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</si>
  <si>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</si>
  <si>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</si>
  <si>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</si>
  <si>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</si>
  <si>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</si>
  <si>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Komponen</t>
  </si>
  <si>
    <t>Satuan</t>
  </si>
  <si>
    <t>Distribusi</t>
  </si>
  <si>
    <t>U</t>
  </si>
  <si>
    <t>Pembagi</t>
  </si>
  <si>
    <t>normal</t>
  </si>
  <si>
    <t>Jumlah</t>
  </si>
  <si>
    <t>Ketidakpastian baku gabungan, Uc</t>
  </si>
  <si>
    <t>k</t>
  </si>
  <si>
    <t>U = k. Uc</t>
  </si>
  <si>
    <t>%</t>
  </si>
  <si>
    <t>Tidak terdapat grounding di ruangan</t>
  </si>
  <si>
    <t>Alat tidak boleh digunakan pada instalasi tanpa dilengkapi grounding</t>
  </si>
  <si>
    <t>Catu daya menggunakan baterai</t>
  </si>
  <si>
    <t>Arus Bocor</t>
  </si>
  <si>
    <t>Instalasi</t>
  </si>
  <si>
    <t>Resistansi Pembumian Protektif (kabel dapat dilepas)</t>
  </si>
  <si>
    <t>(kabel dapat dilepas)</t>
  </si>
  <si>
    <t>(kabel tidak dapat dilepas)</t>
  </si>
  <si>
    <t>Arus bocor peralatan untuk peralatan elektromedik kelas II</t>
  </si>
  <si>
    <t>II.</t>
  </si>
  <si>
    <t xml:space="preserve">NILAI </t>
  </si>
  <si>
    <t>Nama</t>
  </si>
  <si>
    <t>Paraf</t>
  </si>
  <si>
    <t>Dibuat :</t>
  </si>
  <si>
    <t xml:space="preserve">Penyelia : </t>
  </si>
  <si>
    <t>Menyetujui,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</si>
  <si>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</si>
  <si>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</si>
  <si>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</si>
  <si>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</si>
  <si>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</si>
  <si>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Tidak Baik</t>
  </si>
  <si>
    <t>Alat tidak boleh digunakan pada ruangan yang tidak dilengkapi instalasi grounding</t>
  </si>
  <si>
    <t>Tidak terdapat instalasi grounding di ruangan</t>
  </si>
  <si>
    <t>≤ 0.2</t>
  </si>
  <si>
    <t>Resistensi Pembumian Protektif (kabel dapat dilepas)</t>
  </si>
  <si>
    <t>Di ruangan tidak terdapat instalasi grounding</t>
  </si>
  <si>
    <t>Alat tidak boleh digunakan pada ruangan tidak dilengkapi instalasi grounding</t>
  </si>
  <si>
    <t>Resistensi Pembumian Protektif (kabel tidak dapat dilepas)</t>
  </si>
  <si>
    <t>√</t>
  </si>
  <si>
    <t>Choirul Huda</t>
  </si>
  <si>
    <t>Siti Fathul Jannah</t>
  </si>
  <si>
    <t>Donny Martha</t>
  </si>
  <si>
    <t>Baterai</t>
  </si>
  <si>
    <t>Rangga Setya Hantoko</t>
  </si>
  <si>
    <t>Adaptor</t>
  </si>
  <si>
    <t>Hamdan Syarif</t>
  </si>
  <si>
    <t>Isra Mahensa</t>
  </si>
  <si>
    <t>Muhammad Zaenuri Sugiasmoro</t>
  </si>
  <si>
    <t>Sholihatussa'diah</t>
  </si>
  <si>
    <t>Hary Ernanto</t>
  </si>
  <si>
    <t>Gusti Arya Dinata</t>
  </si>
  <si>
    <t>Muhammad Irfan Husnuzhzhan</t>
  </si>
  <si>
    <t>Fatimah Novrianisa</t>
  </si>
  <si>
    <t>Taufik Priawan</t>
  </si>
  <si>
    <t>Septia Khairunnisa</t>
  </si>
  <si>
    <t>Muhammad Iqbal Saiful Rahman</t>
  </si>
  <si>
    <t>Venna Filosofia</t>
  </si>
  <si>
    <t>Muhammad Alpian Hadi</t>
  </si>
  <si>
    <t>Azhar Alamsyah</t>
  </si>
  <si>
    <t>Ahmad Ghazali</t>
  </si>
  <si>
    <t>Ryan Rama Chaesar R</t>
  </si>
  <si>
    <t xml:space="preserve">Nama </t>
  </si>
  <si>
    <t>Model</t>
  </si>
  <si>
    <t>SN</t>
  </si>
  <si>
    <t>Digital Tachometer</t>
  </si>
  <si>
    <t>Compact Instrument</t>
  </si>
  <si>
    <t>CT6/LSR/ER</t>
  </si>
  <si>
    <t>Krisbow</t>
  </si>
  <si>
    <t>KW06-563</t>
  </si>
  <si>
    <t>KW06-564</t>
  </si>
  <si>
    <t>KW06-565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</si>
  <si>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</si>
  <si>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</si>
  <si>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</si>
  <si>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</si>
  <si>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</si>
  <si>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</si>
  <si>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</si>
  <si>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</si>
  <si>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</si>
  <si>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Lux HI Tester</t>
  </si>
  <si>
    <t>HIOKI</t>
  </si>
  <si>
    <t>Digital Lux Meter</t>
  </si>
  <si>
    <t>KIMO</t>
  </si>
  <si>
    <t>LX200</t>
  </si>
  <si>
    <t>EXTECH</t>
  </si>
  <si>
    <t>Easy View 30</t>
  </si>
  <si>
    <t>Easy View 31</t>
  </si>
  <si>
    <t>Easy View 32</t>
  </si>
  <si>
    <t>Easy View 33</t>
  </si>
  <si>
    <t>Easy View 34</t>
  </si>
  <si>
    <t>Easy View 35</t>
  </si>
  <si>
    <t>Digital Pressure Meter</t>
  </si>
  <si>
    <t>DPM 4 2G</t>
  </si>
  <si>
    <t>Universal Biometer</t>
  </si>
  <si>
    <t>Biotek Instrument</t>
  </si>
  <si>
    <t>DPM III</t>
  </si>
  <si>
    <t>DPM4 2H</t>
  </si>
  <si>
    <t>Thermohygrolight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</si>
  <si>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</si>
  <si>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</si>
  <si>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</si>
  <si>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</si>
  <si>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</si>
  <si>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</si>
  <si>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</si>
  <si>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</si>
  <si>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</si>
  <si>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</si>
  <si>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</si>
  <si>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</si>
  <si>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</si>
  <si>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</si>
  <si>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</si>
  <si>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</si>
  <si>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</si>
  <si>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</si>
  <si>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</si>
  <si>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</si>
  <si>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</si>
  <si>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</si>
  <si>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</si>
  <si>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</si>
  <si>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INPUT SERTIFIKAT THERMOHYGROMETER</t>
  </si>
  <si>
    <t>KOREKSI KIMO THERMOHYGROMETER 15062873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</si>
  <si>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</si>
  <si>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</si>
  <si>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</si>
  <si>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</si>
  <si>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</si>
  <si>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</si>
  <si>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</si>
  <si>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</si>
  <si>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</si>
  <si>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</si>
  <si>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</si>
  <si>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</si>
  <si>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</si>
  <si>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</si>
  <si>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</si>
  <si>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</si>
  <si>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</si>
  <si>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</si>
  <si>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</si>
  <si>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</si>
  <si>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</si>
  <si>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</si>
  <si>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</si>
  <si>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</si>
  <si>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INTERPOLASI KOREKSI SUHU</t>
  </si>
  <si>
    <t>INTERPOLASI KOREKSI KELEMBABAN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</si>
  <si>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</si>
  <si>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</si>
  <si>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</si>
  <si>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</si>
  <si>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</si>
  <si>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</si>
  <si>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)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</si>
  <si>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</si>
  <si>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</si>
  <si>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</si>
  <si>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</si>
  <si>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</si>
  <si>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</si>
  <si>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</si>
  <si>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</si>
  <si>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</si>
  <si>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</si>
  <si>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</si>
  <si>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</si>
  <si>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</si>
  <si>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</si>
  <si>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>Tidak dilakukan pengujian keselamatan listrik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</si>
  <si>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</si>
  <si>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</si>
  <si>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</si>
  <si>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</si>
  <si>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</si>
  <si>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</si>
  <si>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</si>
  <si>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</si>
  <si>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</si>
  <si>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</si>
  <si>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</si>
  <si>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</si>
  <si>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</si>
  <si>
    <t xml:space="preserve">a. </t>
  </si>
  <si>
    <t>Pembacaan Standar (Hz)</t>
  </si>
  <si>
    <t>(Hz)</t>
  </si>
  <si>
    <t>± 20 %</t>
  </si>
  <si>
    <t>(µs)</t>
  </si>
  <si>
    <t>Kalibrasi Waktu Therapy</t>
  </si>
  <si>
    <t>Pembacaan Standar (detik)</t>
  </si>
  <si>
    <t>(detik)</t>
  </si>
  <si>
    <t>2. Electical Safety Analyzer, Merek : Fluke, Model : ESA 620 (1837056) / (1834020)</t>
  </si>
  <si>
    <t>3. Stopwatch, Merek : Casio , Model : HS - 3 / HS - 80TW, SN : (611Q02R) / (510Q06R) / (207Q01R)</t>
  </si>
  <si>
    <t>4. Precision resistance Box, Merek : Time Electronics, Model : 1067 (1968F15)</t>
  </si>
  <si>
    <t>5. Thermohygrometer, Merek : KIMO, KH-210-AO (14082463) / (15062872) / (15062873) / (15062874) / (15062875)</t>
  </si>
  <si>
    <t>5. Thermohygrometer, Merek : SEKONIC, Model :  ST-50 A, SN : (HE21-000669) / (HE21-000670)</t>
  </si>
  <si>
    <t>KOREKSI VOLT/DIVISION</t>
  </si>
  <si>
    <t>Setting Volt</t>
  </si>
  <si>
    <t>KOREKSI TIME/DIVISION</t>
  </si>
  <si>
    <t>Setting Time</t>
  </si>
  <si>
    <t>us</t>
  </si>
  <si>
    <t>KOREKSI FREQUENCY</t>
  </si>
  <si>
    <t>Setting Frequency</t>
  </si>
  <si>
    <t>Hz</t>
  </si>
  <si>
    <t>koreksi</t>
  </si>
  <si>
    <t>Interpolasi Drift</t>
  </si>
  <si>
    <t>Interpolasi U95</t>
  </si>
  <si>
    <t>Pembacaan standar</t>
  </si>
  <si>
    <t>Interpolasi Koreksi</t>
  </si>
  <si>
    <t>Koreksi Relatif (%)</t>
  </si>
  <si>
    <t>Tahun Kalibrasi</t>
  </si>
  <si>
    <t>Pembacaan Terkoreksi</t>
  </si>
  <si>
    <t>Kesalahan</t>
  </si>
  <si>
    <t>Kesalahan Relatif (%)</t>
  </si>
  <si>
    <t>1. Medical Scope Meter, Merek : Fluke, Model : 190M-2 (27782606) / (48832901) / (48762901)</t>
  </si>
  <si>
    <t>Titik ukur</t>
  </si>
  <si>
    <t>v</t>
  </si>
  <si>
    <t>u</t>
  </si>
  <si>
    <t>c</t>
  </si>
  <si>
    <t>(u.c)</t>
  </si>
  <si>
    <t>(u.c)²</t>
  </si>
  <si>
    <t>(u.c)⁴/v</t>
  </si>
  <si>
    <t>Pembacaan berulang</t>
  </si>
  <si>
    <t xml:space="preserve">Sertifikat Standar </t>
  </si>
  <si>
    <t>Drift alat standar</t>
  </si>
  <si>
    <t>Segi 4</t>
  </si>
  <si>
    <t>resolusi UUT</t>
  </si>
  <si>
    <r>
      <t>Uc</t>
    </r>
    <r>
      <rPr>
        <sz val="9"/>
        <rFont val="Times New Roman"/>
        <family val="1"/>
      </rPr>
      <t xml:space="preserve"> = Ö [S(u</t>
    </r>
    <r>
      <rPr>
        <vertAlign val="subscript"/>
        <sz val="9"/>
        <rFont val="Times New Roman"/>
        <family val="1"/>
      </rPr>
      <t>i</t>
    </r>
    <r>
      <rPr>
        <sz val="9"/>
        <rFont val="Times New Roman"/>
        <family val="1"/>
      </rPr>
      <t xml:space="preserve"> c</t>
    </r>
    <r>
      <rPr>
        <vertAlign val="subscript"/>
        <sz val="9"/>
        <rFont val="Times New Roman"/>
        <family val="1"/>
      </rPr>
      <t>i</t>
    </r>
    <r>
      <rPr>
        <sz val="9"/>
        <rFont val="Times New Roman"/>
        <family val="1"/>
      </rPr>
      <t>)²]</t>
    </r>
  </si>
  <si>
    <r>
      <t>Uc</t>
    </r>
    <r>
      <rPr>
        <sz val="9"/>
        <rFont val="Calibri"/>
        <family val="2"/>
        <scheme val="minor"/>
      </rPr>
      <t xml:space="preserve"> = Ö [S(u</t>
    </r>
    <r>
      <rPr>
        <vertAlign val="subscript"/>
        <sz val="9"/>
        <rFont val="Calibri"/>
        <family val="2"/>
        <scheme val="minor"/>
      </rPr>
      <t>i</t>
    </r>
    <r>
      <rPr>
        <sz val="9"/>
        <rFont val="Calibri"/>
        <family val="2"/>
        <scheme val="minor"/>
      </rPr>
      <t xml:space="preserve"> c</t>
    </r>
    <r>
      <rPr>
        <vertAlign val="subscript"/>
        <sz val="9"/>
        <rFont val="Calibri"/>
        <family val="2"/>
        <scheme val="minor"/>
      </rPr>
      <t>i</t>
    </r>
    <r>
      <rPr>
        <sz val="9"/>
        <rFont val="Calibri"/>
        <family val="2"/>
        <scheme val="minor"/>
      </rPr>
      <t>)²]</t>
    </r>
  </si>
  <si>
    <t>Derajat kebebasan efektif, V eff</t>
  </si>
  <si>
    <r>
      <t>n</t>
    </r>
    <r>
      <rPr>
        <vertAlign val="subscript"/>
        <sz val="9"/>
        <rFont val="Times New Roman"/>
        <family val="1"/>
      </rPr>
      <t>eff</t>
    </r>
    <r>
      <rPr>
        <sz val="9"/>
        <rFont val="Times New Roman"/>
        <family val="1"/>
      </rPr>
      <t xml:space="preserve"> = u</t>
    </r>
    <r>
      <rPr>
        <vertAlign val="subscript"/>
        <sz val="9"/>
        <rFont val="Times New Roman"/>
        <family val="1"/>
      </rPr>
      <t>c</t>
    </r>
    <r>
      <rPr>
        <vertAlign val="superscript"/>
        <sz val="9"/>
        <rFont val="Times New Roman"/>
        <family val="1"/>
      </rPr>
      <t>4</t>
    </r>
    <r>
      <rPr>
        <sz val="9"/>
        <rFont val="Times New Roman"/>
        <family val="1"/>
      </rPr>
      <t xml:space="preserve"> / [S(u</t>
    </r>
    <r>
      <rPr>
        <vertAlign val="subscript"/>
        <sz val="9"/>
        <rFont val="Times New Roman"/>
        <family val="1"/>
      </rPr>
      <t>i</t>
    </r>
    <r>
      <rPr>
        <sz val="9"/>
        <rFont val="Times New Roman"/>
        <family val="1"/>
      </rPr>
      <t xml:space="preserve"> c</t>
    </r>
    <r>
      <rPr>
        <vertAlign val="subscript"/>
        <sz val="9"/>
        <rFont val="Times New Roman"/>
        <family val="1"/>
      </rPr>
      <t>i</t>
    </r>
    <r>
      <rPr>
        <sz val="9"/>
        <rFont val="Times New Roman"/>
        <family val="1"/>
      </rPr>
      <t>)</t>
    </r>
    <r>
      <rPr>
        <vertAlign val="superscript"/>
        <sz val="9"/>
        <rFont val="Times New Roman"/>
        <family val="1"/>
      </rPr>
      <t xml:space="preserve"> 4</t>
    </r>
    <r>
      <rPr>
        <sz val="9"/>
        <rFont val="Times New Roman"/>
        <family val="1"/>
      </rPr>
      <t>/n</t>
    </r>
    <r>
      <rPr>
        <vertAlign val="subscript"/>
        <sz val="9"/>
        <rFont val="Times New Roman"/>
        <family val="1"/>
      </rPr>
      <t>i</t>
    </r>
    <r>
      <rPr>
        <sz val="9"/>
        <rFont val="Times New Roman"/>
        <family val="1"/>
      </rPr>
      <t>]</t>
    </r>
  </si>
  <si>
    <r>
      <t>n</t>
    </r>
    <r>
      <rPr>
        <vertAlign val="subscript"/>
        <sz val="9"/>
        <rFont val="Calibri"/>
        <family val="2"/>
        <scheme val="minor"/>
      </rPr>
      <t>eff</t>
    </r>
    <r>
      <rPr>
        <sz val="9"/>
        <rFont val="Calibri"/>
        <family val="2"/>
        <scheme val="minor"/>
      </rPr>
      <t xml:space="preserve"> = u</t>
    </r>
    <r>
      <rPr>
        <vertAlign val="subscript"/>
        <sz val="9"/>
        <rFont val="Calibri"/>
        <family val="2"/>
        <scheme val="minor"/>
      </rPr>
      <t>c</t>
    </r>
    <r>
      <rPr>
        <vertAlign val="superscript"/>
        <sz val="9"/>
        <rFont val="Calibri"/>
        <family val="2"/>
        <scheme val="minor"/>
      </rPr>
      <t>4</t>
    </r>
    <r>
      <rPr>
        <sz val="9"/>
        <rFont val="Calibri"/>
        <family val="2"/>
        <scheme val="minor"/>
      </rPr>
      <t xml:space="preserve"> / [S(u</t>
    </r>
    <r>
      <rPr>
        <vertAlign val="subscript"/>
        <sz val="9"/>
        <rFont val="Calibri"/>
        <family val="2"/>
        <scheme val="minor"/>
      </rPr>
      <t>i</t>
    </r>
    <r>
      <rPr>
        <sz val="9"/>
        <rFont val="Calibri"/>
        <family val="2"/>
        <scheme val="minor"/>
      </rPr>
      <t xml:space="preserve"> c</t>
    </r>
    <r>
      <rPr>
        <vertAlign val="subscript"/>
        <sz val="9"/>
        <rFont val="Calibri"/>
        <family val="2"/>
        <scheme val="minor"/>
      </rPr>
      <t>i</t>
    </r>
    <r>
      <rPr>
        <sz val="9"/>
        <rFont val="Calibri"/>
        <family val="2"/>
        <scheme val="minor"/>
      </rPr>
      <t>)</t>
    </r>
    <r>
      <rPr>
        <vertAlign val="superscript"/>
        <sz val="9"/>
        <rFont val="Calibri"/>
        <family val="2"/>
        <scheme val="minor"/>
      </rPr>
      <t xml:space="preserve"> 4</t>
    </r>
    <r>
      <rPr>
        <sz val="9"/>
        <rFont val="Calibri"/>
        <family val="2"/>
        <scheme val="minor"/>
      </rPr>
      <t>/n</t>
    </r>
    <r>
      <rPr>
        <vertAlign val="subscript"/>
        <sz val="9"/>
        <rFont val="Calibri"/>
        <family val="2"/>
        <scheme val="minor"/>
      </rPr>
      <t>i</t>
    </r>
    <r>
      <rPr>
        <sz val="9"/>
        <rFont val="Calibri"/>
        <family val="2"/>
        <scheme val="minor"/>
      </rPr>
      <t>]</t>
    </r>
  </si>
  <si>
    <t>Faktor cakupan, k-student untuk Veff dan CL 95%</t>
  </si>
  <si>
    <t>Ketidakpastian bentangan, U=k.Uc</t>
  </si>
  <si>
    <t>µs</t>
  </si>
  <si>
    <t>INPUT SERTIFIKAT STOPWATCH</t>
  </si>
  <si>
    <t>1. SN. 611Q02R</t>
  </si>
  <si>
    <t>2. SN. 510Q06R</t>
  </si>
  <si>
    <t>3. SN. 207Q01R</t>
  </si>
  <si>
    <t>Timer</t>
  </si>
  <si>
    <t>s</t>
  </si>
  <si>
    <t xml:space="preserve">4. SN. 510Q061R </t>
  </si>
  <si>
    <t>5 SN. 001380</t>
  </si>
  <si>
    <t>6 SN. 001381</t>
  </si>
  <si>
    <t>;-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</si>
  <si>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</si>
  <si>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</si>
  <si>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</si>
  <si>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</si>
  <si>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</si>
  <si>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</si>
  <si>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</si>
  <si>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</si>
  <si>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</si>
  <si>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</si>
  <si>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No Urut Titik Ukur</t>
  </si>
  <si>
    <t>VII</t>
  </si>
  <si>
    <t>VIII</t>
  </si>
  <si>
    <t>IX</t>
  </si>
  <si>
    <t>INTERPOLASI KOREKSI</t>
  </si>
  <si>
    <t>INTERPOLASI DRIFT</t>
  </si>
  <si>
    <t>Daya Baca UUT</t>
  </si>
  <si>
    <t>U95 (%)</t>
  </si>
  <si>
    <t xml:space="preserve">Stopwatch, Merek : Casio, Model : HS - 3, SN : 611Q02R </t>
  </si>
  <si>
    <t>Hasil kalibrasi Waktu Therapy tertelusur ke Satuan Internasional ( SI ) melalui PPM LIPI</t>
  </si>
  <si>
    <t xml:space="preserve">Stopwatch, Merek : Casio, Model : HS - 80TW, SN : 510Q06R </t>
  </si>
  <si>
    <t xml:space="preserve">Stopwatch, Merek : Casio, Model : HS - 80TW, SN :510Q061R </t>
  </si>
  <si>
    <t>Hasil kalibrasi Waktu Therapy tertelusur ke Satuan Internasional ( SI ) melalui SNSU</t>
  </si>
  <si>
    <t>Stopwatch, Merek : EXTECH, Model : 365535, SN :001380</t>
  </si>
  <si>
    <t>Hasil kalibrasi Waktu Therapy tertelusur ke Satuan Internasional ( SI ) melalui PT KALIMAN (LK-032-IDN)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</si>
  <si>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</si>
  <si>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</si>
  <si>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</si>
  <si>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</si>
  <si>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</si>
  <si>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</si>
  <si>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</si>
  <si>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</si>
  <si>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</si>
  <si>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</si>
  <si>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</si>
  <si>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Precision resistance Box, Merek : Time Electronics, Model : 1067, SN : 1968F15</t>
  </si>
  <si>
    <t>Precision resistance Box, Merek : Time Electronics, Model : 1067, SN : A</t>
  </si>
  <si>
    <t>Precision resistance Box, Merek : Time Electronics, Model : 1067, SN : B</t>
  </si>
  <si>
    <t>KOREKSI RESISTANCE BOX</t>
  </si>
  <si>
    <t>U 95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</si>
  <si>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</si>
  <si>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Precision resistance Box, Merek : Time Electronics, Model : 1067, SN : C</t>
  </si>
  <si>
    <t>Precision resistance Box, Merek : Time Electronics, Model : 1067,SN : D</t>
  </si>
  <si>
    <t>Precision resistance Box, Merek : Time Electronics, Model : 1067, SN : E</t>
  </si>
  <si>
    <t>Kalibrasi Frekuensi (Hz) (Nerve Stimulator)</t>
  </si>
  <si>
    <t>Rata-rata</t>
  </si>
  <si>
    <t>Stdev</t>
  </si>
  <si>
    <t>Kalibrasi Frekuensi (Hz) (Muscle Stimulator)</t>
  </si>
  <si>
    <t>Koreksi Relatif
( % )</t>
  </si>
  <si>
    <t>Ketidakpastian Pengukuran 
( % )</t>
  </si>
  <si>
    <t>Pembacaan Standar (µs)</t>
  </si>
  <si>
    <t>Kalibrasi Pulse Duration (µs) (Nerve Stimulator)</t>
  </si>
  <si>
    <t>Kalibrasi Intensitas Therapy (mA) (Nerve Stimulator)</t>
  </si>
  <si>
    <t>Kalibrasi Pulse Duration (µs) (Muscle Stimulator)</t>
  </si>
  <si>
    <t>Kalibrasi Intensitas Therapy (mA) (Muscle Stimulator)</t>
  </si>
  <si>
    <t>U95
(%)</t>
  </si>
  <si>
    <t>Resolusi Std :</t>
  </si>
  <si>
    <t>Hasil pengujian Keselamatan Listrik tertelusur ke Satuan Internasional melalui PT. KALIMAN (LK-032-IDN)</t>
  </si>
  <si>
    <t>Ketidakpastian pengujian kinerja dilaporkan pada tingkat kepercayaan 95% dengan faktor cakupan (k) = 2</t>
  </si>
  <si>
    <t>(34903051) / (34903046)</t>
  </si>
  <si>
    <t xml:space="preserve">5. Thermo/hygro/barometer, Merek : GREISINGER, Model :  GFTB.200, SN : (34903053) / (34904091) </t>
  </si>
  <si>
    <t>2. Electical Safety Analyzer, Merek : Fluke, Model : ESA 615 (2853077) / (2853078) / (3148907) / (3148908)</t>
  </si>
  <si>
    <t xml:space="preserve"> / (3699030)</t>
  </si>
  <si>
    <t>5 Januari 2023</t>
  </si>
  <si>
    <t>LEMBAR KERJA KALIBRASI SHORT WAVE DIATHERMY</t>
  </si>
  <si>
    <t>INPUT DATA KALIBRASI KALIBRASI SHORT WAVE DIATHERMY</t>
  </si>
  <si>
    <t>HASIL KALIBRASI KALIBRASI SHORT WAVE DIATHERMY</t>
  </si>
  <si>
    <t>ENRAF NONIUS</t>
  </si>
  <si>
    <t>ITO</t>
  </si>
  <si>
    <t>Penunjukan</t>
  </si>
  <si>
    <t>Pengamatan</t>
  </si>
  <si>
    <t>Mati</t>
  </si>
  <si>
    <t>Menyala</t>
  </si>
  <si>
    <t xml:space="preserve">b. </t>
  </si>
  <si>
    <t>Max</t>
  </si>
  <si>
    <t>Min</t>
  </si>
  <si>
    <t>Petugas Kalibrasi</t>
  </si>
  <si>
    <t xml:space="preserve"> Ω</t>
  </si>
  <si>
    <t xml:space="preserve"> µA</t>
  </si>
  <si>
    <t>Enraf Nonius Curaplus 670</t>
  </si>
  <si>
    <t>Titik Pada Setting Alat mewakili nilai minimal, medium, maksimal</t>
  </si>
  <si>
    <t>*</t>
  </si>
  <si>
    <t xml:space="preserve"> LAIK PAKAI /  TIDAK LAIK PAKAI</t>
  </si>
  <si>
    <t>1. Electrostimulator Equipment Tester, Model : BK PRECISION, Model : 2567-MSO (497K19104)</t>
  </si>
  <si>
    <t>Medical Scope Meter, Merk : Fluke, Model 190M-2, SN :  27782606 CH : A</t>
  </si>
  <si>
    <t>Medical Scope Meter, Merk : Fluke, Model 190M-2, SN :  27782606 CH : B</t>
  </si>
  <si>
    <t>Medical Scope Meter, Merk : Fluke, Model 190M-4, SN : 48832901 CH : A</t>
  </si>
  <si>
    <t>Medical Scope Meter, Merk : Fluke, Model 190M-4, SN : 48832901 CH : B</t>
  </si>
  <si>
    <t>Medical Scope Meter, Merk : Fluke, Model 190M-4, SN : 48832901 CH : C</t>
  </si>
  <si>
    <t>Medical Scope Meter, Merk : Fluke, Model 190M-4, SN : 48832901 CH : D</t>
  </si>
  <si>
    <t>Medical Scope Meter, Merk : Fluke, Model 190M-4, SN : 48762901 CH : A</t>
  </si>
  <si>
    <t>Medical Scope Meter, Merk : Fluke, Model 190M-4, SN : 48762901 CH : B</t>
  </si>
  <si>
    <t>Medical Scope Meter, Merk : Fluke, Model 190M-4, SN : 48762901 CH : C</t>
  </si>
  <si>
    <t>Medical Scope Meter, Merk : Fluke, Model 190M-4, SN : 48762901 CH : D</t>
  </si>
  <si>
    <t>X</t>
  </si>
  <si>
    <t>Y</t>
  </si>
  <si>
    <t>Hasil kalibrasi Pulse Frekuensi dan Pulse Width tertelusur ke Satuan Internasional melalui PT. KALIMAN (LK-032-IDN)</t>
  </si>
  <si>
    <t>Koreksi Relatif
( % )</t>
  </si>
  <si>
    <t>Kalibrasi</t>
  </si>
  <si>
    <t>- Frekuensi Output</t>
  </si>
  <si>
    <t>Nilai Pengenal</t>
  </si>
  <si>
    <t>Setting pada kalibrasi SWD di nilai yang kecil (dalam Watt)</t>
  </si>
  <si>
    <t>FREQUENCE OUTPUT</t>
  </si>
  <si>
    <t>- Pulse Frekuensi (Hz)</t>
  </si>
  <si>
    <t xml:space="preserve">- Pulse Width (µs) </t>
  </si>
  <si>
    <t>- Waktu Therapy</t>
  </si>
  <si>
    <t>x</t>
  </si>
  <si>
    <t>d</t>
  </si>
  <si>
    <t>f</t>
  </si>
  <si>
    <t>g</t>
  </si>
  <si>
    <t>Lampu / Tabung Flourosen</t>
  </si>
  <si>
    <t>± 10 %</t>
  </si>
  <si>
    <t>Pengamatan Transmisi Energi Gelombang Pendek</t>
  </si>
  <si>
    <t>± 30 %</t>
  </si>
  <si>
    <t>KL.MK 13</t>
  </si>
  <si>
    <t>: KL.MK 13</t>
  </si>
  <si>
    <t>Alat yang dikalibrasi melebihi batas toleransi dan dinyatakan TIDAK LAIK PAKAI</t>
  </si>
  <si>
    <t>Alat yang dikalibrasi dalam batas toleransi dan dinyatakan LAIK PAKAI</t>
  </si>
  <si>
    <t>0 - 50 Watt / 0.5 dari nilai lampu / tabung flourosen</t>
  </si>
  <si>
    <t>(MHz)</t>
  </si>
  <si>
    <t>Pembacaan Standar (MHz)</t>
  </si>
  <si>
    <t>Nomor Sertifikat : 43 /</t>
  </si>
  <si>
    <t>Nomor Surat Keterangan : 43 / M -</t>
  </si>
  <si>
    <t>26.96 - 27.28</t>
  </si>
  <si>
    <t>no persen</t>
  </si>
  <si>
    <t>Frekuensi Output</t>
  </si>
  <si>
    <t>Farid Wajidi, SKM</t>
  </si>
  <si>
    <t>NIP 196712101990031012</t>
  </si>
  <si>
    <t>Choirul Huda, S.Tr. Kes</t>
  </si>
  <si>
    <t>KL.UB.13 / REV : 0</t>
  </si>
  <si>
    <t>Tempat Kalibrasi</t>
  </si>
  <si>
    <t>Tanggal Kalibrasi</t>
  </si>
  <si>
    <t>Nomor Sertifikat / Nomor Surat Keterangan : 43 /…......./ …….... - ............. / E - ..........</t>
  </si>
  <si>
    <t xml:space="preserve">Ketidakpastian Pengukuran 
</t>
  </si>
  <si>
    <t>1.9.2023</t>
  </si>
  <si>
    <t>Link formula tidak terconnect</t>
  </si>
  <si>
    <t>Venna</t>
  </si>
  <si>
    <t>Rev 1 : 1.9.2023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</si>
</sst>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\ \ \ &quot;Volt&quot;"/>
    <numFmt numFmtId="170" formatCode="0.0\ \ \ \ \ \ \±"/>
    <numFmt numFmtId="171" formatCode="0\ &quot;µA&quot;"/>
    <numFmt numFmtId="172" formatCode="[$-421]dd\ mmmm\ yyyy;@"/>
    <numFmt numFmtId="173" formatCode="\≤\ 0\ \µ\A"/>
    <numFmt numFmtId="174" formatCode="\≤\ 0"/>
    <numFmt numFmtId="175" formatCode="\≤\ 0.0"/>
    <numFmt numFmtId="176" formatCode="\&gt;\ 0"/>
    <numFmt numFmtId="177" formatCode="0\ &quot;BPM&quot;"/>
    <numFmt numFmtId="178" formatCode="[$-C09]d\ mmmm\ yyyy;@"/>
    <numFmt numFmtId="179" formatCode="0.000000000"/>
    <numFmt numFmtId="180" formatCode="0.00000000"/>
    <numFmt numFmtId="181" formatCode="&quot;±&quot;\ 0.0"/>
    <numFmt numFmtId="182" formatCode="&quot;±&quot;\ 0.00"/>
    <numFmt numFmtId="183" formatCode="&quot;±&quot;\ 0.000"/>
    <numFmt numFmtId="184" formatCode="\&gt;\ 0.0"/>
    <numFmt numFmtId="185" formatCode="\&gt;\ 0\ &quot;MΩ&quot;"/>
    <numFmt numFmtId="186" formatCode="\≤\ 0.0\ &quot;Ω&quot;"/>
    <numFmt numFmtId="187" formatCode="\≤\ 0\ &quot;Ω&quot;"/>
  </numFmts>
  <fonts count="1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i/>
      <sz val="10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8"/>
      <name val="Times New Roman"/>
      <family val="1"/>
    </font>
    <font>
      <sz val="10"/>
      <color theme="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11"/>
      <name val="Arial"/>
      <family val="2"/>
    </font>
    <font>
      <sz val="8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14"/>
      <name val="Calibri"/>
      <family val="2"/>
      <scheme val="minor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indexed="81"/>
      <name val="Tahoma"/>
      <family val="2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b/>
      <sz val="12"/>
      <name val="Arial"/>
      <family val="2"/>
    </font>
    <font>
      <sz val="10"/>
      <color theme="0"/>
      <name val="Times New Roman"/>
      <family val="1"/>
    </font>
    <font>
      <sz val="9"/>
      <name val="Times New Roman"/>
      <family val="1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8"/>
      <color theme="0"/>
      <name val="Times New Roman"/>
      <family val="1"/>
    </font>
    <font>
      <sz val="8"/>
      <color indexed="8"/>
      <name val="Arial"/>
      <family val="2"/>
    </font>
    <font>
      <sz val="28"/>
      <name val="Calibri"/>
      <family val="2"/>
      <scheme val="minor"/>
    </font>
    <font>
      <sz val="10"/>
      <color theme="0" tint="-0.249977111117893"/>
      <name val="Arial"/>
      <family val="2"/>
    </font>
    <font>
      <sz val="11"/>
      <color theme="0" tint="-0.34998626667073579"/>
      <name val="Arial"/>
      <family val="2"/>
    </font>
    <font>
      <b/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color theme="0" tint="-0.249977111117893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color rgb="FFFFFF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Calibri Light"/>
      <family val="2"/>
    </font>
    <font>
      <sz val="11"/>
      <name val="Calibri Light"/>
      <family val="2"/>
    </font>
    <font>
      <b/>
      <sz val="8"/>
      <name val="Calibri"/>
      <family val="2"/>
      <scheme val="minor"/>
    </font>
    <font>
      <vertAlign val="subscript"/>
      <sz val="9"/>
      <name val="Times New Roman"/>
      <family val="1"/>
    </font>
    <font>
      <vertAlign val="subscript"/>
      <sz val="9"/>
      <name val="Calibri"/>
      <family val="2"/>
      <scheme val="minor"/>
    </font>
    <font>
      <vertAlign val="superscript"/>
      <sz val="9"/>
      <name val="Times New Roman"/>
      <family val="1"/>
    </font>
    <font>
      <vertAlign val="superscript"/>
      <sz val="9"/>
      <name val="Calibri"/>
      <family val="2"/>
      <scheme val="minor"/>
    </font>
    <font>
      <sz val="11"/>
      <name val="Calibri"/>
      <family val="2"/>
    </font>
    <font>
      <sz val="48"/>
      <name val="Arial"/>
      <family val="2"/>
    </font>
    <font>
      <sz val="48"/>
      <name val="Times New Roman"/>
      <family val="1"/>
    </font>
    <font>
      <b/>
      <sz val="9"/>
      <name val="Times New Roman"/>
      <family val="1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6"/>
      <color indexed="8"/>
      <name val="Arial"/>
      <family val="2"/>
    </font>
    <font>
      <b/>
      <sz val="14"/>
      <name val="Arial"/>
      <family val="2"/>
    </font>
    <font>
      <sz val="9"/>
      <name val="Calibri"/>
      <family val="2"/>
    </font>
    <font>
      <b/>
      <u/>
      <sz val="14"/>
      <color theme="1"/>
      <name val="Arial"/>
      <family val="2"/>
    </font>
    <font>
      <b/>
      <sz val="13"/>
      <color theme="1"/>
      <name val="Arial"/>
      <family val="2"/>
    </font>
    <font>
      <b/>
      <u/>
      <sz val="12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u/>
      <sz val="12"/>
      <color theme="1"/>
      <name val="Arial"/>
      <family val="2"/>
    </font>
    <font>
      <u/>
      <sz val="11"/>
      <color theme="1"/>
      <name val="Arial"/>
      <family val="2"/>
    </font>
    <font>
      <sz val="10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8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</cellStyleXfs>
  <cellXfs count="2007">
    <xf numFmtId="0" fontId="0" fillId="0" borderId="0" xfId="0"/>
    <xf numFmtId="0" fontId="21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 wrapText="1" shrinkToFit="1"/>
    </xf>
    <xf numFmtId="0" fontId="24" fillId="0" borderId="5" xfId="0" applyFont="1" applyBorder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 shrinkToFit="1"/>
    </xf>
    <xf numFmtId="0" fontId="18" fillId="0" borderId="0" xfId="0" applyFont="1" applyAlignment="1">
      <alignment vertical="center"/>
    </xf>
    <xf numFmtId="0" fontId="32" fillId="0" borderId="0" xfId="0" applyFont="1" applyAlignment="1">
      <alignment horizontal="centerContinuous" vertical="center"/>
    </xf>
    <xf numFmtId="0" fontId="18" fillId="0" borderId="0" xfId="0" applyFont="1" applyAlignment="1">
      <alignment horizontal="centerContinuous" vertical="center"/>
    </xf>
    <xf numFmtId="0" fontId="24" fillId="0" borderId="0" xfId="0" applyFont="1" applyAlignment="1">
      <alignment vertical="center"/>
    </xf>
    <xf numFmtId="0" fontId="24" fillId="0" borderId="46" xfId="0" applyFont="1" applyBorder="1" applyAlignment="1">
      <alignment vertical="center"/>
    </xf>
    <xf numFmtId="1" fontId="24" fillId="0" borderId="46" xfId="0" applyNumberFormat="1" applyFont="1" applyBorder="1" applyAlignment="1">
      <alignment horizontal="left" vertical="center"/>
    </xf>
    <xf numFmtId="0" fontId="24" fillId="0" borderId="47" xfId="0" applyFont="1" applyBorder="1" applyAlignment="1">
      <alignment vertical="center"/>
    </xf>
    <xf numFmtId="1" fontId="24" fillId="0" borderId="47" xfId="0" applyNumberFormat="1" applyFont="1" applyBorder="1" applyAlignment="1">
      <alignment horizontal="left" vertical="center"/>
    </xf>
    <xf numFmtId="16" fontId="24" fillId="0" borderId="47" xfId="0" quotePrefix="1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1" fontId="24" fillId="0" borderId="0" xfId="0" applyNumberFormat="1" applyFont="1" applyAlignment="1">
      <alignment horizontal="left" vertical="center"/>
    </xf>
    <xf numFmtId="0" fontId="24" fillId="0" borderId="7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8" fillId="0" borderId="8" xfId="0" quotePrefix="1" applyFont="1" applyBorder="1" applyAlignment="1">
      <alignment horizontal="left" vertical="center"/>
    </xf>
    <xf numFmtId="1" fontId="24" fillId="0" borderId="8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4" fillId="0" borderId="0" xfId="0" quotePrefix="1" applyFont="1" applyAlignment="1">
      <alignment horizontal="center" vertical="center"/>
    </xf>
    <xf numFmtId="1" fontId="26" fillId="0" borderId="0" xfId="0" quotePrefix="1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164" fontId="24" fillId="0" borderId="0" xfId="0" applyNumberFormat="1" applyFont="1" applyAlignment="1">
      <alignment horizontal="left" vertical="center"/>
    </xf>
    <xf numFmtId="168" fontId="24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vertical="center"/>
    </xf>
    <xf numFmtId="2" fontId="24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26" fillId="0" borderId="0" xfId="1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1" applyFont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Continuous" vertical="center"/>
    </xf>
    <xf numFmtId="0" fontId="24" fillId="0" borderId="0" xfId="0" applyFont="1" applyAlignment="1">
      <alignment horizontal="centerContinuous" vertical="center"/>
    </xf>
    <xf numFmtId="0" fontId="21" fillId="0" borderId="0" xfId="0" applyFont="1" applyAlignment="1">
      <alignment horizontal="centerContinuous" vertical="center"/>
    </xf>
    <xf numFmtId="0" fontId="24" fillId="0" borderId="0" xfId="0" quotePrefix="1" applyFont="1" applyAlignment="1">
      <alignment horizontal="left" vertical="center"/>
    </xf>
    <xf numFmtId="1" fontId="24" fillId="0" borderId="0" xfId="0" quotePrefix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" fontId="34" fillId="0" borderId="0" xfId="0" quotePrefix="1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1" fontId="34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4" fillId="0" borderId="6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48" xfId="0" applyFont="1" applyBorder="1" applyAlignment="1">
      <alignment vertical="center"/>
    </xf>
    <xf numFmtId="164" fontId="24" fillId="0" borderId="48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4" fillId="0" borderId="5" xfId="0" applyFont="1" applyBorder="1" applyAlignment="1" applyProtection="1">
      <alignment vertical="center"/>
      <protection locked="0"/>
    </xf>
    <xf numFmtId="0" fontId="42" fillId="0" borderId="6" xfId="1" applyFont="1" applyBorder="1" applyAlignment="1">
      <alignment vertical="center"/>
    </xf>
    <xf numFmtId="0" fontId="42" fillId="0" borderId="9" xfId="0" applyFont="1" applyBorder="1" applyAlignment="1">
      <alignment horizontal="left" vertical="center"/>
    </xf>
    <xf numFmtId="0" fontId="42" fillId="0" borderId="7" xfId="0" applyFont="1" applyBorder="1" applyAlignment="1">
      <alignment horizontal="right"/>
    </xf>
    <xf numFmtId="0" fontId="42" fillId="0" borderId="9" xfId="0" applyFont="1" applyBorder="1" applyAlignment="1">
      <alignment horizontal="left"/>
    </xf>
    <xf numFmtId="0" fontId="29" fillId="0" borderId="6" xfId="0" applyFont="1" applyBorder="1" applyAlignment="1">
      <alignment horizontal="center" vertical="center"/>
    </xf>
    <xf numFmtId="0" fontId="24" fillId="0" borderId="56" xfId="0" applyFont="1" applyBorder="1" applyAlignment="1">
      <alignment vertical="center"/>
    </xf>
    <xf numFmtId="0" fontId="25" fillId="2" borderId="56" xfId="0" applyFont="1" applyFill="1" applyBorder="1" applyAlignment="1">
      <alignment vertical="center"/>
    </xf>
    <xf numFmtId="0" fontId="24" fillId="0" borderId="0" xfId="0" applyFont="1" applyAlignment="1" applyProtection="1">
      <alignment vertical="center" wrapText="1"/>
      <protection locked="0"/>
    </xf>
    <xf numFmtId="0" fontId="25" fillId="2" borderId="5" xfId="0" applyFont="1" applyFill="1" applyBorder="1" applyAlignment="1" applyProtection="1">
      <alignment vertical="center"/>
      <protection locked="0"/>
    </xf>
    <xf numFmtId="0" fontId="24" fillId="0" borderId="5" xfId="1" applyFont="1" applyBorder="1" applyAlignment="1" applyProtection="1">
      <alignment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right"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7" xfId="0" applyFont="1" applyBorder="1" applyAlignment="1" applyProtection="1">
      <alignment vertical="center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42" fillId="0" borderId="0" xfId="0" quotePrefix="1" applyFont="1" applyAlignment="1" applyProtection="1">
      <alignment horizontal="center" vertical="center"/>
      <protection locked="0"/>
    </xf>
    <xf numFmtId="164" fontId="42" fillId="0" borderId="0" xfId="0" applyNumberFormat="1" applyFont="1" applyAlignment="1" applyProtection="1">
      <alignment horizontal="center" vertical="center"/>
      <protection locked="0"/>
    </xf>
    <xf numFmtId="164" fontId="51" fillId="0" borderId="0" xfId="0" applyNumberFormat="1" applyFont="1" applyAlignment="1" applyProtection="1">
      <alignment horizontal="center" vertical="center"/>
      <protection locked="0"/>
    </xf>
    <xf numFmtId="2" fontId="51" fillId="0" borderId="0" xfId="0" applyNumberFormat="1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vertical="center" wrapText="1"/>
      <protection locked="0"/>
    </xf>
    <xf numFmtId="0" fontId="43" fillId="0" borderId="0" xfId="0" quotePrefix="1" applyFont="1" applyAlignment="1" applyProtection="1">
      <alignment horizontal="left" vertical="center"/>
      <protection locked="0"/>
    </xf>
    <xf numFmtId="0" fontId="42" fillId="0" borderId="0" xfId="0" quotePrefix="1" applyFont="1" applyAlignment="1" applyProtection="1">
      <alignment horizontal="right" vertical="center"/>
      <protection locked="0"/>
    </xf>
    <xf numFmtId="0" fontId="42" fillId="3" borderId="0" xfId="0" applyFont="1" applyFill="1" applyAlignment="1" applyProtection="1">
      <alignment horizontal="left" vertical="center"/>
      <protection locked="0"/>
    </xf>
    <xf numFmtId="0" fontId="42" fillId="2" borderId="0" xfId="0" applyFont="1" applyFill="1" applyAlignment="1" applyProtection="1">
      <alignment vertical="center"/>
      <protection locked="0"/>
    </xf>
    <xf numFmtId="0" fontId="42" fillId="2" borderId="0" xfId="0" applyFont="1" applyFill="1" applyAlignment="1" applyProtection="1">
      <alignment horizontal="left" vertical="center"/>
      <protection locked="0"/>
    </xf>
    <xf numFmtId="0" fontId="43" fillId="2" borderId="0" xfId="0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0" fontId="42" fillId="3" borderId="0" xfId="0" applyFont="1" applyFill="1" applyAlignment="1" applyProtection="1">
      <alignment horizontal="center" vertical="center"/>
      <protection locked="0"/>
    </xf>
    <xf numFmtId="0" fontId="43" fillId="3" borderId="0" xfId="1" applyFont="1" applyFill="1" applyAlignment="1" applyProtection="1">
      <alignment vertical="center"/>
      <protection locked="0"/>
    </xf>
    <xf numFmtId="0" fontId="42" fillId="3" borderId="0" xfId="1" applyFont="1" applyFill="1" applyAlignment="1" applyProtection="1">
      <alignment vertical="center"/>
      <protection locked="0"/>
    </xf>
    <xf numFmtId="0" fontId="42" fillId="0" borderId="0" xfId="0" applyFont="1" applyAlignment="1">
      <alignment horizontal="center" vertical="center"/>
    </xf>
    <xf numFmtId="0" fontId="42" fillId="4" borderId="0" xfId="0" quotePrefix="1" applyFont="1" applyFill="1" applyAlignment="1" applyProtection="1">
      <alignment horizontal="left" vertical="center"/>
      <protection locked="0"/>
    </xf>
    <xf numFmtId="0" fontId="56" fillId="0" borderId="9" xfId="0" applyFont="1" applyBorder="1" applyAlignment="1" applyProtection="1">
      <alignment horizontal="center" vertical="center"/>
      <protection locked="0"/>
    </xf>
    <xf numFmtId="0" fontId="16" fillId="3" borderId="16" xfId="3" applyFont="1" applyFill="1" applyBorder="1" applyAlignment="1">
      <alignment vertical="center"/>
    </xf>
    <xf numFmtId="0" fontId="16" fillId="3" borderId="16" xfId="3" applyFont="1" applyFill="1" applyBorder="1" applyAlignment="1">
      <alignment horizontal="center" vertical="center"/>
    </xf>
    <xf numFmtId="0" fontId="16" fillId="3" borderId="42" xfId="3" applyFont="1" applyFill="1" applyBorder="1" applyAlignment="1">
      <alignment horizontal="center" vertical="center"/>
    </xf>
    <xf numFmtId="0" fontId="16" fillId="3" borderId="16" xfId="3" applyFont="1" applyFill="1" applyBorder="1" applyAlignment="1">
      <alignment horizontal="left" vertical="center" wrapText="1"/>
    </xf>
    <xf numFmtId="0" fontId="15" fillId="3" borderId="25" xfId="3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/>
    </xf>
    <xf numFmtId="166" fontId="7" fillId="3" borderId="0" xfId="3" applyNumberFormat="1" applyFont="1" applyFill="1" applyAlignment="1">
      <alignment horizontal="center"/>
    </xf>
    <xf numFmtId="166" fontId="7" fillId="3" borderId="19" xfId="3" applyNumberFormat="1" applyFont="1" applyFill="1" applyBorder="1" applyAlignment="1">
      <alignment horizontal="center"/>
    </xf>
    <xf numFmtId="0" fontId="8" fillId="3" borderId="19" xfId="3" applyFont="1" applyFill="1" applyBorder="1"/>
    <xf numFmtId="0" fontId="6" fillId="3" borderId="5" xfId="3" applyFont="1" applyFill="1" applyBorder="1" applyAlignment="1">
      <alignment horizontal="center" vertical="center"/>
    </xf>
    <xf numFmtId="0" fontId="9" fillId="3" borderId="19" xfId="3" applyFont="1" applyFill="1" applyBorder="1"/>
    <xf numFmtId="0" fontId="16" fillId="3" borderId="0" xfId="3" applyFont="1" applyFill="1" applyAlignment="1">
      <alignment vertical="center"/>
    </xf>
    <xf numFmtId="0" fontId="6" fillId="3" borderId="0" xfId="3" applyFont="1" applyFill="1"/>
    <xf numFmtId="0" fontId="9" fillId="3" borderId="0" xfId="3" applyFont="1" applyFill="1"/>
    <xf numFmtId="0" fontId="0" fillId="0" borderId="0" xfId="0" applyAlignment="1">
      <alignment vertical="center"/>
    </xf>
    <xf numFmtId="0" fontId="24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2" fillId="0" borderId="5" xfId="0" applyFont="1" applyBorder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164" fontId="24" fillId="0" borderId="0" xfId="0" applyNumberFormat="1" applyFont="1" applyAlignment="1" applyProtection="1">
      <alignment horizontal="center" vertical="center"/>
      <protection locked="0"/>
    </xf>
    <xf numFmtId="0" fontId="42" fillId="2" borderId="0" xfId="0" applyFont="1" applyFill="1" applyAlignment="1" applyProtection="1">
      <alignment horizontal="left" vertical="center" wrapText="1"/>
      <protection hidden="1"/>
    </xf>
    <xf numFmtId="0" fontId="42" fillId="0" borderId="0" xfId="0" applyFont="1" applyAlignment="1">
      <alignment vertical="center"/>
    </xf>
    <xf numFmtId="0" fontId="54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39" fillId="0" borderId="5" xfId="0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42" fillId="0" borderId="0" xfId="1" applyFont="1"/>
    <xf numFmtId="0" fontId="68" fillId="0" borderId="0" xfId="1" applyFont="1"/>
    <xf numFmtId="0" fontId="23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69" fillId="3" borderId="0" xfId="0" applyFont="1" applyFill="1" applyAlignment="1" applyProtection="1">
      <alignment vertical="center"/>
      <protection locked="0"/>
    </xf>
    <xf numFmtId="1" fontId="70" fillId="3" borderId="0" xfId="0" applyNumberFormat="1" applyFont="1" applyFill="1" applyAlignment="1" applyProtection="1">
      <alignment horizontal="left" vertical="center"/>
      <protection locked="0"/>
    </xf>
    <xf numFmtId="164" fontId="70" fillId="3" borderId="5" xfId="0" applyNumberFormat="1" applyFont="1" applyFill="1" applyBorder="1" applyAlignment="1" applyProtection="1">
      <alignment horizontal="center" vertical="center"/>
      <protection locked="0"/>
    </xf>
    <xf numFmtId="0" fontId="70" fillId="3" borderId="5" xfId="0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 wrapText="1"/>
    </xf>
    <xf numFmtId="0" fontId="4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2" fillId="0" borderId="0" xfId="0" applyFont="1" applyAlignment="1" applyProtection="1">
      <alignment horizontal="center" vertical="center"/>
      <protection hidden="1"/>
    </xf>
    <xf numFmtId="0" fontId="72" fillId="0" borderId="0" xfId="0" applyFont="1" applyAlignment="1" applyProtection="1">
      <alignment horizontal="left" vertical="center"/>
      <protection hidden="1"/>
    </xf>
    <xf numFmtId="0" fontId="4" fillId="0" borderId="0" xfId="3"/>
    <xf numFmtId="0" fontId="4" fillId="6" borderId="30" xfId="3" applyFill="1" applyBorder="1" applyProtection="1">
      <protection locked="0"/>
    </xf>
    <xf numFmtId="0" fontId="4" fillId="6" borderId="52" xfId="3" applyFill="1" applyBorder="1" applyProtection="1">
      <protection locked="0"/>
    </xf>
    <xf numFmtId="0" fontId="4" fillId="0" borderId="18" xfId="3" applyBorder="1"/>
    <xf numFmtId="0" fontId="4" fillId="0" borderId="0" xfId="3" applyAlignment="1">
      <alignment horizontal="center" vertical="center"/>
    </xf>
    <xf numFmtId="0" fontId="4" fillId="0" borderId="0" xfId="3" applyAlignment="1">
      <alignment horizontal="center"/>
    </xf>
    <xf numFmtId="0" fontId="4" fillId="3" borderId="16" xfId="3" applyFill="1" applyBorder="1"/>
    <xf numFmtId="0" fontId="4" fillId="3" borderId="0" xfId="3" applyFill="1"/>
    <xf numFmtId="0" fontId="31" fillId="3" borderId="0" xfId="3" applyFont="1" applyFill="1" applyAlignment="1">
      <alignment vertical="center"/>
    </xf>
    <xf numFmtId="2" fontId="17" fillId="3" borderId="0" xfId="3" applyNumberFormat="1" applyFont="1" applyFill="1" applyAlignment="1">
      <alignment horizontal="center" vertical="center" wrapText="1"/>
    </xf>
    <xf numFmtId="2" fontId="67" fillId="3" borderId="0" xfId="3" applyNumberFormat="1" applyFont="1" applyFill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0" fontId="74" fillId="3" borderId="0" xfId="3" applyFont="1" applyFill="1" applyAlignment="1">
      <alignment horizontal="center" vertical="center"/>
    </xf>
    <xf numFmtId="2" fontId="74" fillId="3" borderId="0" xfId="3" applyNumberFormat="1" applyFont="1" applyFill="1" applyAlignment="1">
      <alignment horizontal="center" vertical="center"/>
    </xf>
    <xf numFmtId="0" fontId="4" fillId="3" borderId="18" xfId="3" applyFill="1" applyBorder="1"/>
    <xf numFmtId="0" fontId="4" fillId="3" borderId="20" xfId="3" applyFill="1" applyBorder="1"/>
    <xf numFmtId="0" fontId="4" fillId="3" borderId="21" xfId="3" applyFill="1" applyBorder="1"/>
    <xf numFmtId="0" fontId="4" fillId="0" borderId="0" xfId="3" applyProtection="1">
      <protection locked="0"/>
    </xf>
    <xf numFmtId="0" fontId="7" fillId="0" borderId="0" xfId="5" applyFont="1"/>
    <xf numFmtId="0" fontId="4" fillId="0" borderId="0" xfId="5"/>
    <xf numFmtId="0" fontId="4" fillId="0" borderId="16" xfId="5" applyBorder="1"/>
    <xf numFmtId="0" fontId="37" fillId="9" borderId="5" xfId="5" applyFont="1" applyFill="1" applyBorder="1" applyAlignment="1">
      <alignment horizontal="center" vertical="center"/>
    </xf>
    <xf numFmtId="164" fontId="37" fillId="7" borderId="5" xfId="5" applyNumberFormat="1" applyFont="1" applyFill="1" applyBorder="1" applyAlignment="1">
      <alignment horizontal="center" vertical="center"/>
    </xf>
    <xf numFmtId="0" fontId="14" fillId="7" borderId="5" xfId="5" applyFont="1" applyFill="1" applyBorder="1" applyAlignment="1">
      <alignment horizontal="center" vertical="center"/>
    </xf>
    <xf numFmtId="0" fontId="14" fillId="9" borderId="5" xfId="5" applyFont="1" applyFill="1" applyBorder="1" applyAlignment="1">
      <alignment horizontal="center" vertical="center"/>
    </xf>
    <xf numFmtId="0" fontId="4" fillId="0" borderId="5" xfId="5" applyBorder="1"/>
    <xf numFmtId="164" fontId="4" fillId="7" borderId="5" xfId="5" applyNumberFormat="1" applyFill="1" applyBorder="1" applyAlignment="1">
      <alignment horizontal="center" vertical="center"/>
    </xf>
    <xf numFmtId="2" fontId="4" fillId="9" borderId="5" xfId="5" applyNumberFormat="1" applyFill="1" applyBorder="1" applyAlignment="1">
      <alignment horizontal="center"/>
    </xf>
    <xf numFmtId="0" fontId="4" fillId="0" borderId="19" xfId="5" applyBorder="1"/>
    <xf numFmtId="164" fontId="4" fillId="7" borderId="5" xfId="5" applyNumberFormat="1" applyFill="1" applyBorder="1" applyAlignment="1">
      <alignment horizontal="center"/>
    </xf>
    <xf numFmtId="0" fontId="4" fillId="7" borderId="5" xfId="5" quotePrefix="1" applyFill="1" applyBorder="1" applyAlignment="1">
      <alignment horizontal="center"/>
    </xf>
    <xf numFmtId="0" fontId="4" fillId="0" borderId="21" xfId="5" applyBorder="1"/>
    <xf numFmtId="0" fontId="4" fillId="0" borderId="22" xfId="5" applyBorder="1"/>
    <xf numFmtId="0" fontId="4" fillId="0" borderId="18" xfId="5" applyBorder="1"/>
    <xf numFmtId="0" fontId="37" fillId="7" borderId="5" xfId="5" applyFont="1" applyFill="1" applyBorder="1" applyAlignment="1">
      <alignment horizontal="center" vertical="center"/>
    </xf>
    <xf numFmtId="164" fontId="4" fillId="7" borderId="5" xfId="5" quotePrefix="1" applyNumberFormat="1" applyFill="1" applyBorder="1" applyAlignment="1">
      <alignment horizontal="center"/>
    </xf>
    <xf numFmtId="0" fontId="4" fillId="7" borderId="0" xfId="5" applyFill="1" applyAlignment="1">
      <alignment horizontal="center"/>
    </xf>
    <xf numFmtId="0" fontId="37" fillId="9" borderId="42" xfId="5" applyFont="1" applyFill="1" applyBorder="1" applyAlignment="1">
      <alignment horizontal="center" vertical="center"/>
    </xf>
    <xf numFmtId="0" fontId="37" fillId="7" borderId="44" xfId="5" applyFont="1" applyFill="1" applyBorder="1" applyAlignment="1">
      <alignment horizontal="center" vertical="center"/>
    </xf>
    <xf numFmtId="0" fontId="14" fillId="7" borderId="53" xfId="5" applyFont="1" applyFill="1" applyBorder="1" applyAlignment="1">
      <alignment horizontal="center" vertical="center"/>
    </xf>
    <xf numFmtId="0" fontId="14" fillId="9" borderId="53" xfId="5" applyFont="1" applyFill="1" applyBorder="1" applyAlignment="1">
      <alignment horizontal="center" vertical="center"/>
    </xf>
    <xf numFmtId="0" fontId="37" fillId="9" borderId="38" xfId="5" applyFont="1" applyFill="1" applyBorder="1" applyAlignment="1">
      <alignment horizontal="center" vertical="center"/>
    </xf>
    <xf numFmtId="0" fontId="37" fillId="7" borderId="40" xfId="5" applyFont="1" applyFill="1" applyBorder="1" applyAlignment="1">
      <alignment horizontal="center" vertical="center"/>
    </xf>
    <xf numFmtId="164" fontId="4" fillId="7" borderId="54" xfId="5" applyNumberFormat="1" applyFill="1" applyBorder="1" applyAlignment="1">
      <alignment horizontal="center" vertical="center"/>
    </xf>
    <xf numFmtId="164" fontId="4" fillId="7" borderId="4" xfId="5" applyNumberFormat="1" applyFill="1" applyBorder="1" applyAlignment="1">
      <alignment horizontal="center" vertical="center"/>
    </xf>
    <xf numFmtId="2" fontId="4" fillId="9" borderId="37" xfId="5" applyNumberFormat="1" applyFill="1" applyBorder="1" applyAlignment="1">
      <alignment horizontal="center"/>
    </xf>
    <xf numFmtId="164" fontId="4" fillId="7" borderId="25" xfId="5" applyNumberFormat="1" applyFill="1" applyBorder="1" applyAlignment="1">
      <alignment horizontal="center" vertical="center"/>
    </xf>
    <xf numFmtId="2" fontId="4" fillId="9" borderId="26" xfId="5" applyNumberFormat="1" applyFill="1" applyBorder="1" applyAlignment="1">
      <alignment horizontal="center"/>
    </xf>
    <xf numFmtId="164" fontId="4" fillId="7" borderId="23" xfId="5" applyNumberFormat="1" applyFill="1" applyBorder="1" applyAlignment="1">
      <alignment horizontal="center"/>
    </xf>
    <xf numFmtId="164" fontId="4" fillId="7" borderId="41" xfId="5" applyNumberFormat="1" applyFill="1" applyBorder="1" applyAlignment="1">
      <alignment horizontal="center"/>
    </xf>
    <xf numFmtId="164" fontId="4" fillId="7" borderId="39" xfId="5" applyNumberFormat="1" applyFill="1" applyBorder="1" applyAlignment="1">
      <alignment horizontal="center"/>
    </xf>
    <xf numFmtId="2" fontId="4" fillId="9" borderId="40" xfId="5" applyNumberFormat="1" applyFill="1" applyBorder="1" applyAlignment="1">
      <alignment horizontal="center"/>
    </xf>
    <xf numFmtId="0" fontId="4" fillId="0" borderId="20" xfId="5" applyBorder="1"/>
    <xf numFmtId="0" fontId="4" fillId="7" borderId="39" xfId="5" quotePrefix="1" applyFill="1" applyBorder="1" applyAlignment="1">
      <alignment horizontal="center"/>
    </xf>
    <xf numFmtId="0" fontId="4" fillId="3" borderId="18" xfId="5" applyFill="1" applyBorder="1" applyAlignment="1">
      <alignment horizontal="center" vertical="center"/>
    </xf>
    <xf numFmtId="164" fontId="4" fillId="3" borderId="0" xfId="5" applyNumberFormat="1" applyFill="1" applyAlignment="1">
      <alignment horizontal="center"/>
    </xf>
    <xf numFmtId="0" fontId="4" fillId="3" borderId="0" xfId="5" quotePrefix="1" applyFill="1" applyAlignment="1">
      <alignment horizontal="center"/>
    </xf>
    <xf numFmtId="165" fontId="4" fillId="3" borderId="0" xfId="5" applyNumberFormat="1" applyFill="1" applyAlignment="1">
      <alignment horizontal="center"/>
    </xf>
    <xf numFmtId="0" fontId="4" fillId="3" borderId="0" xfId="5" applyFill="1"/>
    <xf numFmtId="164" fontId="37" fillId="7" borderId="40" xfId="5" applyNumberFormat="1" applyFont="1" applyFill="1" applyBorder="1" applyAlignment="1">
      <alignment horizontal="center" vertical="center"/>
    </xf>
    <xf numFmtId="164" fontId="37" fillId="7" borderId="44" xfId="5" applyNumberFormat="1" applyFont="1" applyFill="1" applyBorder="1" applyAlignment="1">
      <alignment horizontal="center" vertical="center"/>
    </xf>
    <xf numFmtId="1" fontId="4" fillId="7" borderId="54" xfId="5" applyNumberFormat="1" applyFill="1" applyBorder="1" applyAlignment="1">
      <alignment horizontal="center" vertical="center"/>
    </xf>
    <xf numFmtId="1" fontId="4" fillId="7" borderId="25" xfId="5" applyNumberFormat="1" applyFill="1" applyBorder="1" applyAlignment="1">
      <alignment horizontal="center" vertical="center"/>
    </xf>
    <xf numFmtId="1" fontId="4" fillId="7" borderId="23" xfId="5" applyNumberFormat="1" applyFill="1" applyBorder="1" applyAlignment="1">
      <alignment horizontal="center"/>
    </xf>
    <xf numFmtId="1" fontId="4" fillId="7" borderId="41" xfId="5" applyNumberFormat="1" applyFill="1" applyBorder="1" applyAlignment="1">
      <alignment horizontal="center"/>
    </xf>
    <xf numFmtId="2" fontId="4" fillId="3" borderId="0" xfId="5" applyNumberFormat="1" applyFill="1" applyAlignment="1">
      <alignment horizontal="center"/>
    </xf>
    <xf numFmtId="0" fontId="14" fillId="7" borderId="53" xfId="5" quotePrefix="1" applyFont="1" applyFill="1" applyBorder="1" applyAlignment="1">
      <alignment horizontal="center" vertical="center"/>
    </xf>
    <xf numFmtId="165" fontId="4" fillId="7" borderId="4" xfId="5" applyNumberFormat="1" applyFill="1" applyBorder="1" applyAlignment="1">
      <alignment horizontal="center" vertical="center"/>
    </xf>
    <xf numFmtId="165" fontId="4" fillId="7" borderId="5" xfId="5" applyNumberFormat="1" applyFill="1" applyBorder="1" applyAlignment="1">
      <alignment horizontal="center" vertical="center"/>
    </xf>
    <xf numFmtId="164" fontId="4" fillId="7" borderId="62" xfId="5" applyNumberFormat="1" applyFill="1" applyBorder="1" applyAlignment="1">
      <alignment horizontal="center" vertical="center"/>
    </xf>
    <xf numFmtId="164" fontId="4" fillId="7" borderId="41" xfId="5" applyNumberFormat="1" applyFill="1" applyBorder="1" applyAlignment="1">
      <alignment horizontal="center" vertical="center"/>
    </xf>
    <xf numFmtId="0" fontId="7" fillId="6" borderId="20" xfId="5" applyFont="1" applyFill="1" applyBorder="1"/>
    <xf numFmtId="0" fontId="7" fillId="6" borderId="21" xfId="5" applyFont="1" applyFill="1" applyBorder="1"/>
    <xf numFmtId="0" fontId="7" fillId="6" borderId="22" xfId="5" applyFont="1" applyFill="1" applyBorder="1"/>
    <xf numFmtId="0" fontId="64" fillId="9" borderId="5" xfId="5" applyFont="1" applyFill="1" applyBorder="1" applyAlignment="1">
      <alignment horizontal="center" vertical="center"/>
    </xf>
    <xf numFmtId="0" fontId="15" fillId="9" borderId="5" xfId="3" applyFont="1" applyFill="1" applyBorder="1" applyAlignment="1">
      <alignment horizontal="center" vertical="center"/>
    </xf>
    <xf numFmtId="0" fontId="7" fillId="5" borderId="5" xfId="5" applyFont="1" applyFill="1" applyBorder="1" applyAlignment="1">
      <alignment horizontal="center" vertical="center"/>
    </xf>
    <xf numFmtId="0" fontId="7" fillId="9" borderId="5" xfId="5" applyFont="1" applyFill="1" applyBorder="1" applyAlignment="1">
      <alignment horizontal="center" vertical="center"/>
    </xf>
    <xf numFmtId="2" fontId="7" fillId="9" borderId="5" xfId="5" applyNumberFormat="1" applyFont="1" applyFill="1" applyBorder="1" applyAlignment="1">
      <alignment horizontal="center" vertical="center"/>
    </xf>
    <xf numFmtId="0" fontId="7" fillId="5" borderId="5" xfId="5" applyFont="1" applyFill="1" applyBorder="1" applyAlignment="1">
      <alignment horizontal="center"/>
    </xf>
    <xf numFmtId="2" fontId="7" fillId="9" borderId="5" xfId="5" applyNumberFormat="1" applyFont="1" applyFill="1" applyBorder="1" applyAlignment="1">
      <alignment horizontal="center"/>
    </xf>
    <xf numFmtId="164" fontId="8" fillId="5" borderId="5" xfId="5" applyNumberFormat="1" applyFont="1" applyFill="1" applyBorder="1" applyAlignment="1">
      <alignment horizontal="center" vertical="center"/>
    </xf>
    <xf numFmtId="1" fontId="7" fillId="9" borderId="5" xfId="5" applyNumberFormat="1" applyFont="1" applyFill="1" applyBorder="1" applyAlignment="1">
      <alignment horizontal="center" vertical="center"/>
    </xf>
    <xf numFmtId="0" fontId="7" fillId="0" borderId="5" xfId="5" applyFont="1" applyBorder="1"/>
    <xf numFmtId="0" fontId="7" fillId="3" borderId="50" xfId="5" applyFont="1" applyFill="1" applyBorder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2" fontId="7" fillId="3" borderId="57" xfId="5" applyNumberFormat="1" applyFont="1" applyFill="1" applyBorder="1" applyAlignment="1">
      <alignment horizontal="center"/>
    </xf>
    <xf numFmtId="2" fontId="7" fillId="3" borderId="19" xfId="5" applyNumberFormat="1" applyFont="1" applyFill="1" applyBorder="1" applyAlignment="1">
      <alignment horizontal="center"/>
    </xf>
    <xf numFmtId="0" fontId="7" fillId="3" borderId="0" xfId="5" applyFont="1" applyFill="1"/>
    <xf numFmtId="0" fontId="7" fillId="3" borderId="5" xfId="5" applyFont="1" applyFill="1" applyBorder="1" applyAlignment="1">
      <alignment horizontal="center" vertical="center"/>
    </xf>
    <xf numFmtId="2" fontId="7" fillId="3" borderId="5" xfId="5" applyNumberFormat="1" applyFont="1" applyFill="1" applyBorder="1" applyAlignment="1">
      <alignment horizontal="center"/>
    </xf>
    <xf numFmtId="0" fontId="7" fillId="5" borderId="0" xfId="5" applyFont="1" applyFill="1" applyAlignment="1">
      <alignment horizontal="center" vertical="center"/>
    </xf>
    <xf numFmtId="2" fontId="7" fillId="3" borderId="2" xfId="5" applyNumberFormat="1" applyFont="1" applyFill="1" applyBorder="1" applyAlignment="1">
      <alignment horizontal="center" vertical="center"/>
    </xf>
    <xf numFmtId="2" fontId="7" fillId="3" borderId="27" xfId="5" applyNumberFormat="1" applyFont="1" applyFill="1" applyBorder="1" applyAlignment="1">
      <alignment horizontal="center" vertical="center"/>
    </xf>
    <xf numFmtId="0" fontId="7" fillId="3" borderId="57" xfId="5" applyFont="1" applyFill="1" applyBorder="1" applyAlignment="1">
      <alignment horizontal="center" vertical="center"/>
    </xf>
    <xf numFmtId="0" fontId="7" fillId="3" borderId="18" xfId="5" applyFont="1" applyFill="1" applyBorder="1" applyAlignment="1">
      <alignment horizontal="center" vertical="center"/>
    </xf>
    <xf numFmtId="0" fontId="7" fillId="0" borderId="18" xfId="5" applyFont="1" applyBorder="1" applyAlignment="1">
      <alignment horizontal="center" vertical="center"/>
    </xf>
    <xf numFmtId="0" fontId="7" fillId="3" borderId="0" xfId="5" applyFont="1" applyFill="1" applyAlignment="1">
      <alignment horizontal="center" vertical="center"/>
    </xf>
    <xf numFmtId="0" fontId="7" fillId="0" borderId="0" xfId="5" applyFont="1" applyAlignment="1">
      <alignment horizontal="center" vertical="center"/>
    </xf>
    <xf numFmtId="0" fontId="64" fillId="3" borderId="25" xfId="5" applyFont="1" applyFill="1" applyBorder="1" applyAlignment="1">
      <alignment horizontal="center" vertical="center"/>
    </xf>
    <xf numFmtId="0" fontId="64" fillId="3" borderId="5" xfId="5" applyFont="1" applyFill="1" applyBorder="1" applyAlignment="1">
      <alignment horizontal="center" vertical="center"/>
    </xf>
    <xf numFmtId="164" fontId="7" fillId="3" borderId="25" xfId="5" applyNumberFormat="1" applyFont="1" applyFill="1" applyBorder="1" applyAlignment="1">
      <alignment horizontal="center" vertical="center"/>
    </xf>
    <xf numFmtId="164" fontId="7" fillId="3" borderId="5" xfId="5" applyNumberFormat="1" applyFont="1" applyFill="1" applyBorder="1" applyAlignment="1">
      <alignment horizontal="center" vertical="center"/>
    </xf>
    <xf numFmtId="164" fontId="7" fillId="3" borderId="26" xfId="5" applyNumberFormat="1" applyFont="1" applyFill="1" applyBorder="1" applyAlignment="1">
      <alignment horizontal="center" vertical="center"/>
    </xf>
    <xf numFmtId="1" fontId="7" fillId="3" borderId="25" xfId="5" applyNumberFormat="1" applyFont="1" applyFill="1" applyBorder="1" applyAlignment="1">
      <alignment horizontal="center"/>
    </xf>
    <xf numFmtId="164" fontId="7" fillId="7" borderId="5" xfId="5" applyNumberFormat="1" applyFont="1" applyFill="1" applyBorder="1" applyAlignment="1">
      <alignment horizontal="center"/>
    </xf>
    <xf numFmtId="164" fontId="7" fillId="3" borderId="5" xfId="5" applyNumberFormat="1" applyFont="1" applyFill="1" applyBorder="1" applyAlignment="1">
      <alignment horizontal="center"/>
    </xf>
    <xf numFmtId="11" fontId="7" fillId="3" borderId="0" xfId="3" applyNumberFormat="1" applyFont="1" applyFill="1" applyAlignment="1">
      <alignment horizontal="center"/>
    </xf>
    <xf numFmtId="1" fontId="7" fillId="3" borderId="38" xfId="5" applyNumberFormat="1" applyFont="1" applyFill="1" applyBorder="1" applyAlignment="1">
      <alignment horizontal="center"/>
    </xf>
    <xf numFmtId="164" fontId="7" fillId="3" borderId="39" xfId="5" applyNumberFormat="1" applyFont="1" applyFill="1" applyBorder="1" applyAlignment="1">
      <alignment horizontal="center"/>
    </xf>
    <xf numFmtId="0" fontId="4" fillId="0" borderId="17" xfId="5" applyBorder="1"/>
    <xf numFmtId="167" fontId="6" fillId="3" borderId="0" xfId="3" applyNumberFormat="1" applyFont="1" applyFill="1" applyAlignment="1">
      <alignment horizontal="center"/>
    </xf>
    <xf numFmtId="164" fontId="7" fillId="3" borderId="38" xfId="5" applyNumberFormat="1" applyFont="1" applyFill="1" applyBorder="1" applyAlignment="1">
      <alignment horizontal="center" vertical="center"/>
    </xf>
    <xf numFmtId="164" fontId="7" fillId="3" borderId="39" xfId="5" applyNumberFormat="1" applyFont="1" applyFill="1" applyBorder="1" applyAlignment="1">
      <alignment horizontal="center" vertical="center"/>
    </xf>
    <xf numFmtId="164" fontId="7" fillId="3" borderId="40" xfId="5" applyNumberFormat="1" applyFont="1" applyFill="1" applyBorder="1" applyAlignment="1">
      <alignment horizontal="center" vertical="center"/>
    </xf>
    <xf numFmtId="0" fontId="7" fillId="3" borderId="18" xfId="5" applyFont="1" applyFill="1" applyBorder="1"/>
    <xf numFmtId="165" fontId="13" fillId="3" borderId="0" xfId="3" applyNumberFormat="1" applyFont="1" applyFill="1" applyAlignment="1">
      <alignment horizontal="center"/>
    </xf>
    <xf numFmtId="166" fontId="9" fillId="3" borderId="0" xfId="3" applyNumberFormat="1" applyFont="1" applyFill="1" applyAlignment="1">
      <alignment horizontal="center"/>
    </xf>
    <xf numFmtId="0" fontId="16" fillId="3" borderId="42" xfId="5" applyFont="1" applyFill="1" applyBorder="1" applyAlignment="1">
      <alignment horizontal="center" vertical="center"/>
    </xf>
    <xf numFmtId="164" fontId="16" fillId="3" borderId="43" xfId="5" applyNumberFormat="1" applyFont="1" applyFill="1" applyBorder="1" applyAlignment="1">
      <alignment horizontal="center"/>
    </xf>
    <xf numFmtId="164" fontId="16" fillId="3" borderId="44" xfId="5" applyNumberFormat="1" applyFont="1" applyFill="1" applyBorder="1" applyAlignment="1">
      <alignment horizontal="center"/>
    </xf>
    <xf numFmtId="0" fontId="64" fillId="3" borderId="0" xfId="5" applyFont="1" applyFill="1" applyAlignment="1">
      <alignment vertical="center"/>
    </xf>
    <xf numFmtId="0" fontId="16" fillId="3" borderId="54" xfId="5" applyFont="1" applyFill="1" applyBorder="1" applyAlignment="1">
      <alignment horizontal="center" vertical="center"/>
    </xf>
    <xf numFmtId="0" fontId="7" fillId="3" borderId="19" xfId="5" applyFont="1" applyFill="1" applyBorder="1"/>
    <xf numFmtId="0" fontId="7" fillId="3" borderId="0" xfId="3" applyFont="1" applyFill="1"/>
    <xf numFmtId="164" fontId="16" fillId="3" borderId="25" xfId="5" applyNumberFormat="1" applyFont="1" applyFill="1" applyBorder="1" applyAlignment="1">
      <alignment horizontal="center" vertical="center"/>
    </xf>
    <xf numFmtId="164" fontId="16" fillId="3" borderId="5" xfId="5" applyNumberFormat="1" applyFont="1" applyFill="1" applyBorder="1" applyAlignment="1">
      <alignment horizontal="center"/>
    </xf>
    <xf numFmtId="2" fontId="15" fillId="3" borderId="0" xfId="3" applyNumberFormat="1" applyFont="1" applyFill="1" applyAlignment="1">
      <alignment horizontal="center"/>
    </xf>
    <xf numFmtId="0" fontId="16" fillId="3" borderId="38" xfId="5" applyFont="1" applyFill="1" applyBorder="1" applyAlignment="1">
      <alignment horizontal="center" vertical="center"/>
    </xf>
    <xf numFmtId="164" fontId="16" fillId="3" borderId="62" xfId="5" applyNumberFormat="1" applyFont="1" applyFill="1" applyBorder="1" applyAlignment="1">
      <alignment horizontal="center"/>
    </xf>
    <xf numFmtId="164" fontId="16" fillId="3" borderId="39" xfId="5" applyNumberFormat="1" applyFont="1" applyFill="1" applyBorder="1" applyAlignment="1">
      <alignment horizontal="center"/>
    </xf>
    <xf numFmtId="164" fontId="16" fillId="3" borderId="64" xfId="5" applyNumberFormat="1" applyFont="1" applyFill="1" applyBorder="1" applyAlignment="1">
      <alignment horizontal="center"/>
    </xf>
    <xf numFmtId="165" fontId="7" fillId="3" borderId="21" xfId="5" applyNumberFormat="1" applyFont="1" applyFill="1" applyBorder="1" applyAlignment="1">
      <alignment horizontal="center"/>
    </xf>
    <xf numFmtId="0" fontId="7" fillId="3" borderId="21" xfId="5" applyFont="1" applyFill="1" applyBorder="1"/>
    <xf numFmtId="0" fontId="7" fillId="3" borderId="22" xfId="5" applyFont="1" applyFill="1" applyBorder="1"/>
    <xf numFmtId="2" fontId="7" fillId="3" borderId="0" xfId="3" applyNumberFormat="1" applyFont="1" applyFill="1" applyAlignment="1">
      <alignment horizontal="center"/>
    </xf>
    <xf numFmtId="0" fontId="4" fillId="0" borderId="0" xfId="5" applyProtection="1">
      <protection locked="0"/>
    </xf>
    <xf numFmtId="0" fontId="7" fillId="9" borderId="23" xfId="5" applyFont="1" applyFill="1" applyBorder="1" applyAlignment="1" applyProtection="1">
      <alignment vertical="center"/>
      <protection locked="0"/>
    </xf>
    <xf numFmtId="0" fontId="7" fillId="9" borderId="7" xfId="5" applyFont="1" applyFill="1" applyBorder="1" applyAlignment="1" applyProtection="1">
      <alignment horizontal="center" vertical="center"/>
      <protection locked="0"/>
    </xf>
    <xf numFmtId="0" fontId="7" fillId="9" borderId="7" xfId="5" applyFont="1" applyFill="1" applyBorder="1" applyAlignment="1" applyProtection="1">
      <alignment vertical="center"/>
      <protection locked="0"/>
    </xf>
    <xf numFmtId="0" fontId="7" fillId="9" borderId="9" xfId="5" applyFont="1" applyFill="1" applyBorder="1" applyAlignment="1" applyProtection="1">
      <alignment vertical="center"/>
      <protection locked="0"/>
    </xf>
    <xf numFmtId="0" fontId="7" fillId="9" borderId="6" xfId="5" applyFont="1" applyFill="1" applyBorder="1" applyAlignment="1" applyProtection="1">
      <alignment vertical="center"/>
      <protection locked="0"/>
    </xf>
    <xf numFmtId="0" fontId="7" fillId="9" borderId="42" xfId="5" applyFont="1" applyFill="1" applyBorder="1" applyAlignment="1" applyProtection="1">
      <alignment horizontal="center" vertical="center"/>
      <protection locked="0"/>
    </xf>
    <xf numFmtId="0" fontId="7" fillId="9" borderId="44" xfId="5" applyFont="1" applyFill="1" applyBorder="1" applyAlignment="1" applyProtection="1">
      <alignment horizontal="center" vertical="center"/>
      <protection locked="0"/>
    </xf>
    <xf numFmtId="0" fontId="7" fillId="9" borderId="24" xfId="5" applyFont="1" applyFill="1" applyBorder="1" applyAlignment="1" applyProtection="1">
      <alignment horizontal="center" vertical="center"/>
      <protection locked="0"/>
    </xf>
    <xf numFmtId="0" fontId="24" fillId="0" borderId="5" xfId="5" applyFont="1" applyBorder="1" applyAlignment="1">
      <alignment vertical="center"/>
    </xf>
    <xf numFmtId="0" fontId="7" fillId="9" borderId="25" xfId="5" applyFont="1" applyFill="1" applyBorder="1" applyAlignment="1" applyProtection="1">
      <alignment horizontal="center" vertical="center"/>
      <protection locked="0"/>
    </xf>
    <xf numFmtId="0" fontId="7" fillId="9" borderId="26" xfId="5" applyFont="1" applyFill="1" applyBorder="1" applyAlignment="1" applyProtection="1">
      <alignment horizontal="center" vertical="center"/>
      <protection locked="0"/>
    </xf>
    <xf numFmtId="0" fontId="7" fillId="3" borderId="5" xfId="5" applyFont="1" applyFill="1" applyBorder="1"/>
    <xf numFmtId="2" fontId="24" fillId="0" borderId="5" xfId="5" applyNumberFormat="1" applyFont="1" applyBorder="1" applyAlignment="1">
      <alignment horizontal="center" vertical="center"/>
    </xf>
    <xf numFmtId="0" fontId="7" fillId="9" borderId="55" xfId="5" applyFont="1" applyFill="1" applyBorder="1" applyAlignment="1" applyProtection="1">
      <alignment horizontal="center" vertical="center"/>
      <protection locked="0"/>
    </xf>
    <xf numFmtId="0" fontId="7" fillId="9" borderId="38" xfId="5" applyFont="1" applyFill="1" applyBorder="1" applyAlignment="1" applyProtection="1">
      <alignment horizontal="center" vertical="center"/>
      <protection locked="0"/>
    </xf>
    <xf numFmtId="0" fontId="7" fillId="9" borderId="40" xfId="5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1" applyFont="1" applyAlignment="1" applyProtection="1">
      <alignment vertical="center"/>
      <protection locked="0"/>
    </xf>
    <xf numFmtId="0" fontId="57" fillId="0" borderId="0" xfId="0" quotePrefix="1" applyFont="1" applyAlignment="1" applyProtection="1">
      <alignment horizontal="left" vertical="center"/>
      <protection locked="0"/>
    </xf>
    <xf numFmtId="0" fontId="57" fillId="3" borderId="0" xfId="0" applyFont="1" applyFill="1" applyProtection="1">
      <protection locked="0"/>
    </xf>
    <xf numFmtId="0" fontId="57" fillId="0" borderId="0" xfId="0" applyFont="1" applyAlignment="1" applyProtection="1">
      <alignment horizontal="center" vertical="center"/>
      <protection locked="0"/>
    </xf>
    <xf numFmtId="0" fontId="57" fillId="3" borderId="10" xfId="0" quotePrefix="1" applyFont="1" applyFill="1" applyBorder="1" applyAlignment="1" applyProtection="1">
      <alignment vertical="center"/>
      <protection locked="0"/>
    </xf>
    <xf numFmtId="0" fontId="57" fillId="3" borderId="8" xfId="0" quotePrefix="1" applyFont="1" applyFill="1" applyBorder="1" applyAlignment="1" applyProtection="1">
      <alignment vertical="center"/>
      <protection locked="0"/>
    </xf>
    <xf numFmtId="0" fontId="57" fillId="3" borderId="0" xfId="0" applyFont="1" applyFill="1" applyAlignment="1" applyProtection="1">
      <alignment horizontal="left" vertical="top"/>
      <protection locked="0"/>
    </xf>
    <xf numFmtId="0" fontId="4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7" fillId="0" borderId="0" xfId="5" applyFont="1"/>
    <xf numFmtId="164" fontId="70" fillId="3" borderId="6" xfId="0" quotePrefix="1" applyNumberFormat="1" applyFont="1" applyFill="1" applyBorder="1" applyAlignment="1" applyProtection="1">
      <alignment horizontal="right" vertical="center"/>
      <protection locked="0"/>
    </xf>
    <xf numFmtId="165" fontId="70" fillId="3" borderId="6" xfId="0" quotePrefix="1" applyNumberFormat="1" applyFont="1" applyFill="1" applyBorder="1" applyAlignment="1" applyProtection="1">
      <alignment horizontal="right" vertical="center"/>
      <protection locked="0"/>
    </xf>
    <xf numFmtId="0" fontId="4" fillId="0" borderId="0" xfId="2"/>
    <xf numFmtId="0" fontId="78" fillId="0" borderId="0" xfId="2" applyFont="1"/>
    <xf numFmtId="0" fontId="4" fillId="0" borderId="5" xfId="2" applyBorder="1"/>
    <xf numFmtId="0" fontId="45" fillId="0" borderId="5" xfId="2" applyFont="1" applyBorder="1" applyAlignment="1">
      <alignment horizontal="center" vertical="center"/>
    </xf>
    <xf numFmtId="172" fontId="45" fillId="0" borderId="5" xfId="2" applyNumberFormat="1" applyFont="1" applyBorder="1" applyAlignment="1">
      <alignment horizontal="center" vertical="center"/>
    </xf>
    <xf numFmtId="0" fontId="56" fillId="0" borderId="5" xfId="2" applyFont="1" applyBorder="1" applyAlignment="1">
      <alignment horizontal="center" vertical="center"/>
    </xf>
    <xf numFmtId="0" fontId="71" fillId="0" borderId="5" xfId="2" applyFont="1" applyBorder="1" applyAlignment="1">
      <alignment horizontal="center" vertical="center"/>
    </xf>
    <xf numFmtId="0" fontId="71" fillId="0" borderId="5" xfId="2" quotePrefix="1" applyFont="1" applyBorder="1" applyAlignment="1">
      <alignment horizontal="center" vertical="center"/>
    </xf>
    <xf numFmtId="172" fontId="4" fillId="0" borderId="5" xfId="2" applyNumberFormat="1" applyBorder="1" applyAlignment="1">
      <alignment horizontal="center" vertical="center"/>
    </xf>
    <xf numFmtId="0" fontId="45" fillId="0" borderId="5" xfId="2" applyFont="1" applyBorder="1" applyAlignment="1">
      <alignment vertical="center" wrapText="1"/>
    </xf>
    <xf numFmtId="0" fontId="42" fillId="3" borderId="0" xfId="0" applyFont="1" applyFill="1" applyAlignment="1" applyProtection="1">
      <alignment vertical="center"/>
      <protection locked="0"/>
    </xf>
    <xf numFmtId="0" fontId="42" fillId="0" borderId="0" xfId="0" applyFont="1" applyAlignment="1">
      <alignment horizontal="centerContinuous" vertical="center"/>
    </xf>
    <xf numFmtId="0" fontId="42" fillId="0" borderId="0" xfId="0" applyFont="1" applyAlignment="1">
      <alignment horizontal="right" vertical="center"/>
    </xf>
    <xf numFmtId="1" fontId="42" fillId="3" borderId="0" xfId="0" applyNumberFormat="1" applyFont="1" applyFill="1" applyAlignment="1">
      <alignment horizontal="left" vertical="center"/>
    </xf>
    <xf numFmtId="1" fontId="42" fillId="0" borderId="0" xfId="0" applyNumberFormat="1" applyFont="1" applyAlignment="1">
      <alignment vertical="center"/>
    </xf>
    <xf numFmtId="0" fontId="43" fillId="0" borderId="0" xfId="0" applyFont="1" applyAlignment="1">
      <alignment vertical="center"/>
    </xf>
    <xf numFmtId="170" fontId="42" fillId="3" borderId="0" xfId="0" applyNumberFormat="1" applyFont="1" applyFill="1" applyAlignment="1">
      <alignment horizontal="left" vertical="center"/>
    </xf>
    <xf numFmtId="164" fontId="42" fillId="0" borderId="0" xfId="0" applyNumberFormat="1" applyFont="1" applyAlignment="1">
      <alignment horizontal="left" vertical="center"/>
    </xf>
    <xf numFmtId="1" fontId="42" fillId="0" borderId="0" xfId="0" applyNumberFormat="1" applyFont="1" applyAlignment="1">
      <alignment horizontal="left" vertical="center"/>
    </xf>
    <xf numFmtId="0" fontId="43" fillId="0" borderId="5" xfId="0" applyFont="1" applyBorder="1" applyAlignment="1">
      <alignment horizontal="center" vertical="top"/>
    </xf>
    <xf numFmtId="0" fontId="42" fillId="0" borderId="5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2" fillId="0" borderId="7" xfId="0" applyFont="1" applyBorder="1" applyAlignment="1">
      <alignment vertical="center"/>
    </xf>
    <xf numFmtId="164" fontId="25" fillId="3" borderId="9" xfId="0" applyNumberFormat="1" applyFont="1" applyFill="1" applyBorder="1" applyAlignment="1">
      <alignment vertical="center"/>
    </xf>
    <xf numFmtId="0" fontId="43" fillId="0" borderId="0" xfId="0" applyFont="1" applyAlignment="1">
      <alignment horizontal="left" vertical="center"/>
    </xf>
    <xf numFmtId="0" fontId="57" fillId="0" borderId="0" xfId="0" applyFont="1" applyAlignment="1" applyProtection="1">
      <alignment horizontal="right"/>
      <protection locked="0"/>
    </xf>
    <xf numFmtId="0" fontId="36" fillId="4" borderId="0" xfId="0" applyFont="1" applyFill="1" applyAlignment="1">
      <alignment vertical="center"/>
    </xf>
    <xf numFmtId="0" fontId="57" fillId="0" borderId="5" xfId="0" applyFont="1" applyBorder="1" applyAlignment="1">
      <alignment horizontal="center" vertical="center"/>
    </xf>
    <xf numFmtId="0" fontId="57" fillId="7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44" fillId="0" borderId="0" xfId="1" applyFont="1" applyAlignment="1">
      <alignment horizontal="center" vertical="center" wrapText="1"/>
    </xf>
    <xf numFmtId="164" fontId="42" fillId="0" borderId="0" xfId="0" applyNumberFormat="1" applyFont="1" applyAlignment="1">
      <alignment horizontal="right" vertical="center"/>
    </xf>
    <xf numFmtId="0" fontId="8" fillId="0" borderId="0" xfId="1" applyFont="1" applyAlignment="1">
      <alignment horizontal="center" vertical="center" wrapText="1"/>
    </xf>
    <xf numFmtId="0" fontId="68" fillId="0" borderId="0" xfId="1" applyFont="1" applyAlignment="1">
      <alignment horizontal="center" vertical="center" wrapText="1"/>
    </xf>
    <xf numFmtId="164" fontId="2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9" fillId="0" borderId="0" xfId="0" applyNumberFormat="1" applyFont="1" applyAlignment="1">
      <alignment horizontal="right" vertical="center"/>
    </xf>
    <xf numFmtId="164" fontId="42" fillId="0" borderId="6" xfId="0" applyNumberFormat="1" applyFont="1" applyBorder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2" fontId="16" fillId="3" borderId="5" xfId="5" applyNumberFormat="1" applyFont="1" applyFill="1" applyBorder="1" applyAlignment="1">
      <alignment horizontal="center"/>
    </xf>
    <xf numFmtId="164" fontId="16" fillId="3" borderId="6" xfId="5" applyNumberFormat="1" applyFont="1" applyFill="1" applyBorder="1" applyAlignment="1">
      <alignment horizontal="center"/>
    </xf>
    <xf numFmtId="164" fontId="16" fillId="3" borderId="9" xfId="5" applyNumberFormat="1" applyFont="1" applyFill="1" applyBorder="1" applyAlignment="1">
      <alignment horizontal="center" vertical="center"/>
    </xf>
    <xf numFmtId="2" fontId="7" fillId="3" borderId="69" xfId="5" applyNumberFormat="1" applyFont="1" applyFill="1" applyBorder="1" applyAlignment="1">
      <alignment horizontal="center"/>
    </xf>
    <xf numFmtId="164" fontId="8" fillId="3" borderId="69" xfId="5" applyNumberFormat="1" applyFont="1" applyFill="1" applyBorder="1" applyAlignment="1">
      <alignment horizontal="center" vertical="center"/>
    </xf>
    <xf numFmtId="0" fontId="37" fillId="0" borderId="0" xfId="0" applyFont="1"/>
    <xf numFmtId="0" fontId="0" fillId="0" borderId="0" xfId="0" applyAlignment="1">
      <alignment horizontal="left"/>
    </xf>
    <xf numFmtId="0" fontId="4" fillId="0" borderId="69" xfId="0" applyFont="1" applyBorder="1" applyAlignment="1">
      <alignment horizontal="center"/>
    </xf>
    <xf numFmtId="0" fontId="57" fillId="3" borderId="69" xfId="0" applyFont="1" applyFill="1" applyBorder="1" applyAlignment="1" applyProtection="1">
      <alignment horizontal="left" vertical="center"/>
      <protection locked="0"/>
    </xf>
    <xf numFmtId="0" fontId="57" fillId="0" borderId="69" xfId="0" applyFont="1" applyBorder="1" applyAlignment="1">
      <alignment horizontal="left"/>
    </xf>
    <xf numFmtId="0" fontId="57" fillId="0" borderId="69" xfId="0" applyFont="1" applyBorder="1" applyAlignment="1">
      <alignment horizontal="center"/>
    </xf>
    <xf numFmtId="0" fontId="57" fillId="0" borderId="69" xfId="0" applyFont="1" applyBorder="1"/>
    <xf numFmtId="0" fontId="57" fillId="3" borderId="70" xfId="0" applyFont="1" applyFill="1" applyBorder="1" applyAlignment="1" applyProtection="1">
      <alignment horizontal="left" vertical="center"/>
      <protection locked="0"/>
    </xf>
    <xf numFmtId="0" fontId="57" fillId="0" borderId="70" xfId="0" applyFont="1" applyBorder="1"/>
    <xf numFmtId="0" fontId="57" fillId="0" borderId="70" xfId="0" applyFont="1" applyBorder="1" applyAlignment="1">
      <alignment horizontal="center"/>
    </xf>
    <xf numFmtId="0" fontId="41" fillId="3" borderId="69" xfId="3" applyFont="1" applyFill="1" applyBorder="1" applyProtection="1">
      <protection locked="0"/>
    </xf>
    <xf numFmtId="0" fontId="57" fillId="3" borderId="69" xfId="0" applyFont="1" applyFill="1" applyBorder="1"/>
    <xf numFmtId="0" fontId="57" fillId="3" borderId="69" xfId="0" applyFont="1" applyFill="1" applyBorder="1" applyAlignment="1">
      <alignment horizontal="center"/>
    </xf>
    <xf numFmtId="0" fontId="41" fillId="3" borderId="70" xfId="3" applyFont="1" applyFill="1" applyBorder="1" applyProtection="1">
      <protection locked="0"/>
    </xf>
    <xf numFmtId="0" fontId="57" fillId="3" borderId="70" xfId="0" applyFont="1" applyFill="1" applyBorder="1"/>
    <xf numFmtId="0" fontId="57" fillId="3" borderId="70" xfId="0" applyFont="1" applyFill="1" applyBorder="1" applyAlignment="1">
      <alignment horizontal="center"/>
    </xf>
    <xf numFmtId="0" fontId="57" fillId="3" borderId="69" xfId="5" applyFont="1" applyFill="1" applyBorder="1" applyAlignment="1" applyProtection="1">
      <alignment vertical="center"/>
      <protection locked="0"/>
    </xf>
    <xf numFmtId="0" fontId="57" fillId="0" borderId="0" xfId="0" applyFont="1" applyAlignment="1">
      <alignment horizontal="right"/>
    </xf>
    <xf numFmtId="0" fontId="42" fillId="0" borderId="13" xfId="0" applyFont="1" applyBorder="1" applyAlignment="1" applyProtection="1">
      <alignment horizontal="left" vertical="center"/>
      <protection locked="0"/>
    </xf>
    <xf numFmtId="0" fontId="42" fillId="0" borderId="14" xfId="0" applyFont="1" applyBorder="1" applyAlignment="1" applyProtection="1">
      <alignment vertical="center"/>
      <protection locked="0"/>
    </xf>
    <xf numFmtId="15" fontId="42" fillId="0" borderId="9" xfId="0" applyNumberFormat="1" applyFont="1" applyBorder="1" applyAlignment="1" applyProtection="1">
      <alignment horizontal="center" vertical="center"/>
      <protection locked="0"/>
    </xf>
    <xf numFmtId="0" fontId="42" fillId="0" borderId="5" xfId="0" applyFont="1" applyBorder="1" applyAlignment="1" applyProtection="1">
      <alignment vertical="center"/>
      <protection locked="0"/>
    </xf>
    <xf numFmtId="0" fontId="42" fillId="0" borderId="6" xfId="0" applyFont="1" applyBorder="1" applyAlignment="1" applyProtection="1">
      <alignment horizontal="left" vertical="center"/>
      <protection locked="0"/>
    </xf>
    <xf numFmtId="0" fontId="42" fillId="0" borderId="9" xfId="0" applyFont="1" applyBorder="1" applyAlignment="1" applyProtection="1">
      <alignment vertical="center"/>
      <protection locked="0"/>
    </xf>
    <xf numFmtId="0" fontId="4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174" fontId="57" fillId="0" borderId="0" xfId="0" applyNumberFormat="1" applyFont="1" applyAlignment="1" applyProtection="1">
      <alignment vertical="center"/>
      <protection locked="0"/>
    </xf>
    <xf numFmtId="175" fontId="57" fillId="0" borderId="0" xfId="0" applyNumberFormat="1" applyFont="1" applyAlignment="1" applyProtection="1">
      <alignment vertical="center"/>
      <protection locked="0"/>
    </xf>
    <xf numFmtId="0" fontId="8" fillId="5" borderId="5" xfId="5" applyFont="1" applyFill="1" applyBorder="1" applyAlignment="1">
      <alignment horizontal="center" vertical="center"/>
    </xf>
    <xf numFmtId="0" fontId="64" fillId="3" borderId="9" xfId="5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/>
    </xf>
    <xf numFmtId="164" fontId="7" fillId="3" borderId="6" xfId="5" applyNumberFormat="1" applyFont="1" applyFill="1" applyBorder="1" applyAlignment="1">
      <alignment horizontal="center" vertical="center"/>
    </xf>
    <xf numFmtId="164" fontId="7" fillId="3" borderId="9" xfId="5" applyNumberFormat="1" applyFont="1" applyFill="1" applyBorder="1" applyAlignment="1">
      <alignment horizontal="center" vertical="center"/>
    </xf>
    <xf numFmtId="0" fontId="8" fillId="5" borderId="5" xfId="5" applyFont="1" applyFill="1" applyBorder="1" applyAlignment="1">
      <alignment horizontal="center"/>
    </xf>
    <xf numFmtId="164" fontId="65" fillId="5" borderId="5" xfId="5" applyNumberFormat="1" applyFont="1" applyFill="1" applyBorder="1" applyAlignment="1">
      <alignment horizontal="center" vertical="center"/>
    </xf>
    <xf numFmtId="164" fontId="4" fillId="0" borderId="5" xfId="5" applyNumberFormat="1" applyBorder="1" applyAlignment="1">
      <alignment horizontal="center" vertical="center"/>
    </xf>
    <xf numFmtId="2" fontId="42" fillId="0" borderId="0" xfId="0" applyNumberFormat="1" applyFont="1" applyAlignment="1">
      <alignment vertical="center"/>
    </xf>
    <xf numFmtId="0" fontId="57" fillId="0" borderId="6" xfId="1" applyFont="1" applyBorder="1" applyAlignment="1">
      <alignment vertical="center"/>
    </xf>
    <xf numFmtId="0" fontId="57" fillId="0" borderId="7" xfId="0" applyFont="1" applyBorder="1"/>
    <xf numFmtId="0" fontId="57" fillId="0" borderId="9" xfId="0" applyFont="1" applyBorder="1"/>
    <xf numFmtId="0" fontId="82" fillId="0" borderId="0" xfId="0" applyFont="1" applyAlignment="1">
      <alignment vertical="center"/>
    </xf>
    <xf numFmtId="0" fontId="57" fillId="0" borderId="13" xfId="1" applyFont="1" applyBorder="1" applyAlignment="1">
      <alignment vertical="center"/>
    </xf>
    <xf numFmtId="0" fontId="57" fillId="0" borderId="10" xfId="0" applyFont="1" applyBorder="1"/>
    <xf numFmtId="0" fontId="57" fillId="0" borderId="14" xfId="0" applyFont="1" applyBorder="1"/>
    <xf numFmtId="0" fontId="57" fillId="3" borderId="4" xfId="0" applyFont="1" applyFill="1" applyBorder="1" applyAlignment="1">
      <alignment vertical="center"/>
    </xf>
    <xf numFmtId="0" fontId="57" fillId="0" borderId="4" xfId="0" applyFont="1" applyBorder="1"/>
    <xf numFmtId="176" fontId="42" fillId="0" borderId="6" xfId="0" applyNumberFormat="1" applyFont="1" applyBorder="1" applyAlignment="1">
      <alignment horizontal="right" vertical="center"/>
    </xf>
    <xf numFmtId="2" fontId="42" fillId="3" borderId="0" xfId="0" applyNumberFormat="1" applyFont="1" applyFill="1" applyAlignment="1">
      <alignment horizontal="left" vertical="center"/>
    </xf>
    <xf numFmtId="2" fontId="42" fillId="3" borderId="0" xfId="0" applyNumberFormat="1" applyFont="1" applyFill="1" applyAlignment="1">
      <alignment vertical="center"/>
    </xf>
    <xf numFmtId="0" fontId="42" fillId="0" borderId="0" xfId="0" applyFont="1" applyAlignment="1">
      <alignment horizontal="left" vertical="center"/>
    </xf>
    <xf numFmtId="0" fontId="66" fillId="6" borderId="29" xfId="3" applyFont="1" applyFill="1" applyBorder="1" applyAlignment="1" applyProtection="1">
      <alignment horizontal="center" vertical="center" wrapText="1"/>
      <protection locked="0"/>
    </xf>
    <xf numFmtId="0" fontId="66" fillId="6" borderId="30" xfId="3" applyFont="1" applyFill="1" applyBorder="1" applyAlignment="1" applyProtection="1">
      <alignment horizontal="center" vertical="center" wrapText="1"/>
      <protection locked="0"/>
    </xf>
    <xf numFmtId="0" fontId="4" fillId="0" borderId="71" xfId="3" applyBorder="1" applyAlignment="1">
      <alignment horizontal="right"/>
    </xf>
    <xf numFmtId="0" fontId="17" fillId="3" borderId="0" xfId="3" applyFont="1" applyFill="1"/>
    <xf numFmtId="0" fontId="4" fillId="0" borderId="72" xfId="3" applyBorder="1" applyAlignment="1">
      <alignment horizontal="right"/>
    </xf>
    <xf numFmtId="0" fontId="16" fillId="3" borderId="21" xfId="3" applyFont="1" applyFill="1" applyBorder="1" applyAlignment="1">
      <alignment horizontal="center" vertical="center"/>
    </xf>
    <xf numFmtId="2" fontId="16" fillId="3" borderId="21" xfId="3" applyNumberFormat="1" applyFont="1" applyFill="1" applyBorder="1" applyAlignment="1">
      <alignment horizontal="center" vertical="center"/>
    </xf>
    <xf numFmtId="2" fontId="17" fillId="3" borderId="21" xfId="3" applyNumberFormat="1" applyFont="1" applyFill="1" applyBorder="1" applyAlignment="1">
      <alignment horizontal="center" vertical="center"/>
    </xf>
    <xf numFmtId="2" fontId="75" fillId="3" borderId="22" xfId="3" applyNumberFormat="1" applyFont="1" applyFill="1" applyBorder="1" applyAlignment="1">
      <alignment horizontal="center" vertical="center"/>
    </xf>
    <xf numFmtId="0" fontId="4" fillId="0" borderId="16" xfId="3" applyBorder="1"/>
    <xf numFmtId="2" fontId="16" fillId="3" borderId="0" xfId="3" applyNumberFormat="1" applyFont="1" applyFill="1" applyAlignment="1">
      <alignment horizontal="center" vertical="center"/>
    </xf>
    <xf numFmtId="0" fontId="47" fillId="3" borderId="0" xfId="3" applyFont="1" applyFill="1" applyAlignment="1">
      <alignment horizontal="center" vertical="center"/>
    </xf>
    <xf numFmtId="2" fontId="47" fillId="3" borderId="0" xfId="3" applyNumberFormat="1" applyFont="1" applyFill="1" applyAlignment="1">
      <alignment horizontal="center" vertical="center"/>
    </xf>
    <xf numFmtId="0" fontId="37" fillId="3" borderId="0" xfId="3" applyFont="1" applyFill="1" applyAlignment="1">
      <alignment wrapText="1"/>
    </xf>
    <xf numFmtId="0" fontId="80" fillId="5" borderId="5" xfId="0" applyFont="1" applyFill="1" applyBorder="1" applyAlignment="1">
      <alignment horizontal="center" vertical="center"/>
    </xf>
    <xf numFmtId="0" fontId="85" fillId="0" borderId="5" xfId="0" applyFont="1" applyBorder="1" applyAlignment="1" applyProtection="1">
      <alignment horizontal="center" vertical="center"/>
      <protection locked="0"/>
    </xf>
    <xf numFmtId="0" fontId="56" fillId="3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 wrapText="1"/>
    </xf>
    <xf numFmtId="2" fontId="86" fillId="0" borderId="5" xfId="0" applyNumberFormat="1" applyFont="1" applyBorder="1" applyAlignment="1">
      <alignment horizontal="center" vertical="center"/>
    </xf>
    <xf numFmtId="173" fontId="57" fillId="0" borderId="5" xfId="0" applyNumberFormat="1" applyFont="1" applyBorder="1" applyAlignment="1">
      <alignment horizontal="center" vertical="center"/>
    </xf>
    <xf numFmtId="0" fontId="86" fillId="0" borderId="5" xfId="0" applyFont="1" applyBorder="1" applyAlignment="1">
      <alignment horizontal="center" vertical="center"/>
    </xf>
    <xf numFmtId="0" fontId="57" fillId="0" borderId="6" xfId="0" applyFont="1" applyBorder="1" applyAlignment="1">
      <alignment vertical="center"/>
    </xf>
    <xf numFmtId="0" fontId="57" fillId="0" borderId="7" xfId="0" applyFont="1" applyBorder="1" applyAlignment="1">
      <alignment vertical="center"/>
    </xf>
    <xf numFmtId="0" fontId="57" fillId="0" borderId="9" xfId="0" applyFont="1" applyBorder="1" applyAlignment="1">
      <alignment vertical="center"/>
    </xf>
    <xf numFmtId="0" fontId="4" fillId="0" borderId="0" xfId="9"/>
    <xf numFmtId="0" fontId="4" fillId="0" borderId="0" xfId="9" applyProtection="1">
      <protection locked="0"/>
    </xf>
    <xf numFmtId="0" fontId="90" fillId="0" borderId="0" xfId="9" applyFont="1" applyAlignment="1">
      <alignment horizontal="center" vertical="center" wrapText="1"/>
    </xf>
    <xf numFmtId="0" fontId="37" fillId="0" borderId="0" xfId="9" applyFont="1" applyProtection="1">
      <protection locked="0"/>
    </xf>
    <xf numFmtId="0" fontId="9" fillId="0" borderId="6" xfId="9" applyFont="1" applyBorder="1" applyAlignment="1">
      <alignment horizontal="left" vertical="top" wrapText="1"/>
    </xf>
    <xf numFmtId="0" fontId="9" fillId="0" borderId="9" xfId="9" applyFont="1" applyBorder="1" applyAlignment="1">
      <alignment horizontal="left" vertical="top" wrapText="1"/>
    </xf>
    <xf numFmtId="0" fontId="4" fillId="0" borderId="0" xfId="9" applyAlignment="1">
      <alignment horizontal="left" vertical="top"/>
    </xf>
    <xf numFmtId="0" fontId="9" fillId="0" borderId="9" xfId="9" applyFont="1" applyBorder="1" applyAlignment="1">
      <alignment horizontal="left" vertical="top"/>
    </xf>
    <xf numFmtId="0" fontId="9" fillId="0" borderId="0" xfId="9" applyFont="1" applyAlignment="1">
      <alignment vertical="center" wrapText="1"/>
    </xf>
    <xf numFmtId="0" fontId="9" fillId="0" borderId="0" xfId="9" applyFont="1" applyAlignment="1">
      <alignment horizontal="center" vertical="center" wrapText="1"/>
    </xf>
    <xf numFmtId="0" fontId="92" fillId="0" borderId="0" xfId="9" applyFont="1"/>
    <xf numFmtId="0" fontId="9" fillId="0" borderId="0" xfId="9" applyFont="1" applyAlignment="1" applyProtection="1">
      <alignment horizontal="center" vertical="center" wrapText="1"/>
      <protection locked="0"/>
    </xf>
    <xf numFmtId="1" fontId="9" fillId="0" borderId="0" xfId="9" quotePrefix="1" applyNumberFormat="1" applyFont="1" applyAlignment="1" applyProtection="1">
      <alignment horizontal="left"/>
      <protection locked="0"/>
    </xf>
    <xf numFmtId="0" fontId="9" fillId="0" borderId="0" xfId="9" applyFont="1" applyProtection="1">
      <protection locked="0"/>
    </xf>
    <xf numFmtId="1" fontId="91" fillId="0" borderId="0" xfId="9" quotePrefix="1" applyNumberFormat="1" applyFont="1" applyProtection="1">
      <protection locked="0"/>
    </xf>
    <xf numFmtId="0" fontId="92" fillId="0" borderId="0" xfId="9" applyFont="1" applyProtection="1">
      <protection locked="0"/>
    </xf>
    <xf numFmtId="177" fontId="9" fillId="0" borderId="0" xfId="9" quotePrefix="1" applyNumberFormat="1" applyFont="1" applyAlignment="1" applyProtection="1">
      <alignment horizontal="left"/>
      <protection locked="0"/>
    </xf>
    <xf numFmtId="2" fontId="91" fillId="0" borderId="0" xfId="9" quotePrefix="1" applyNumberFormat="1" applyFont="1" applyProtection="1">
      <protection locked="0"/>
    </xf>
    <xf numFmtId="0" fontId="4" fillId="0" borderId="0" xfId="9" applyAlignment="1">
      <alignment vertical="top" wrapText="1"/>
    </xf>
    <xf numFmtId="0" fontId="9" fillId="0" borderId="6" xfId="9" applyFont="1" applyBorder="1" applyAlignment="1">
      <alignment vertical="top"/>
    </xf>
    <xf numFmtId="0" fontId="9" fillId="0" borderId="9" xfId="9" applyFont="1" applyBorder="1" applyAlignment="1" applyProtection="1">
      <alignment vertical="top" wrapText="1"/>
      <protection locked="0"/>
    </xf>
    <xf numFmtId="0" fontId="9" fillId="0" borderId="9" xfId="9" applyFont="1" applyBorder="1" applyAlignment="1" applyProtection="1">
      <alignment vertical="top"/>
      <protection locked="0"/>
    </xf>
    <xf numFmtId="0" fontId="19" fillId="0" borderId="0" xfId="9" applyFont="1" applyAlignment="1">
      <alignment vertical="top"/>
    </xf>
    <xf numFmtId="0" fontId="9" fillId="0" borderId="0" xfId="9" applyFont="1" applyAlignment="1" applyProtection="1">
      <alignment horizontal="center" vertical="top" wrapText="1"/>
      <protection locked="0"/>
    </xf>
    <xf numFmtId="0" fontId="90" fillId="0" borderId="0" xfId="9" applyFont="1" applyAlignment="1">
      <alignment wrapText="1"/>
    </xf>
    <xf numFmtId="0" fontId="87" fillId="0" borderId="0" xfId="9" applyFont="1" applyAlignment="1">
      <alignment horizontal="center"/>
    </xf>
    <xf numFmtId="0" fontId="73" fillId="0" borderId="0" xfId="9" applyFont="1"/>
    <xf numFmtId="0" fontId="9" fillId="0" borderId="0" xfId="9" applyFont="1" applyAlignment="1">
      <alignment horizontal="center" vertical="top" wrapText="1"/>
    </xf>
    <xf numFmtId="0" fontId="9" fillId="0" borderId="0" xfId="9" applyFont="1" applyAlignment="1">
      <alignment vertical="top" wrapText="1"/>
    </xf>
    <xf numFmtId="0" fontId="9" fillId="0" borderId="0" xfId="9" applyFont="1" applyAlignment="1">
      <alignment horizontal="justify" vertical="center" wrapText="1"/>
    </xf>
    <xf numFmtId="0" fontId="46" fillId="0" borderId="0" xfId="9" applyFont="1" applyAlignment="1">
      <alignment vertical="center"/>
    </xf>
    <xf numFmtId="0" fontId="4" fillId="0" borderId="15" xfId="9" applyBorder="1"/>
    <xf numFmtId="0" fontId="93" fillId="0" borderId="17" xfId="9" applyFont="1" applyBorder="1"/>
    <xf numFmtId="0" fontId="4" fillId="0" borderId="18" xfId="9" applyBorder="1"/>
    <xf numFmtId="0" fontId="4" fillId="0" borderId="19" xfId="9" applyBorder="1"/>
    <xf numFmtId="0" fontId="4" fillId="0" borderId="18" xfId="9" applyBorder="1" applyAlignment="1">
      <alignment wrapText="1"/>
    </xf>
    <xf numFmtId="0" fontId="4" fillId="0" borderId="19" xfId="9" applyBorder="1" applyAlignment="1">
      <alignment wrapText="1"/>
    </xf>
    <xf numFmtId="0" fontId="93" fillId="0" borderId="19" xfId="9" applyFont="1" applyBorder="1"/>
    <xf numFmtId="0" fontId="94" fillId="0" borderId="19" xfId="9" applyFont="1" applyBorder="1" applyAlignment="1">
      <alignment horizontal="left" wrapText="1"/>
    </xf>
    <xf numFmtId="0" fontId="4" fillId="0" borderId="0" xfId="9" applyAlignment="1">
      <alignment wrapText="1"/>
    </xf>
    <xf numFmtId="0" fontId="94" fillId="0" borderId="18" xfId="9" applyFont="1" applyBorder="1" applyAlignment="1">
      <alignment wrapText="1"/>
    </xf>
    <xf numFmtId="172" fontId="94" fillId="0" borderId="19" xfId="9" applyNumberFormat="1" applyFont="1" applyBorder="1" applyAlignment="1">
      <alignment horizontal="left"/>
    </xf>
    <xf numFmtId="172" fontId="4" fillId="0" borderId="19" xfId="9" applyNumberFormat="1" applyBorder="1"/>
    <xf numFmtId="0" fontId="95" fillId="0" borderId="19" xfId="9" applyFont="1" applyBorder="1" applyAlignment="1">
      <alignment horizontal="left" wrapText="1"/>
    </xf>
    <xf numFmtId="0" fontId="94" fillId="0" borderId="19" xfId="9" applyFont="1" applyBorder="1" applyAlignment="1">
      <alignment wrapText="1"/>
    </xf>
    <xf numFmtId="0" fontId="94" fillId="0" borderId="18" xfId="9" applyFont="1" applyBorder="1"/>
    <xf numFmtId="0" fontId="94" fillId="0" borderId="20" xfId="9" applyFont="1" applyBorder="1"/>
    <xf numFmtId="0" fontId="94" fillId="0" borderId="22" xfId="9" applyFont="1" applyBorder="1" applyAlignment="1">
      <alignment wrapText="1"/>
    </xf>
    <xf numFmtId="0" fontId="4" fillId="0" borderId="0" xfId="3" applyAlignment="1">
      <alignment horizontal="left"/>
    </xf>
    <xf numFmtId="0" fontId="73" fillId="12" borderId="0" xfId="3" applyFont="1" applyFill="1" applyAlignment="1" applyProtection="1">
      <alignment horizontal="left" vertical="center"/>
      <protection locked="0"/>
    </xf>
    <xf numFmtId="0" fontId="15" fillId="12" borderId="5" xfId="3" applyFont="1" applyFill="1" applyBorder="1" applyAlignment="1" applyProtection="1">
      <alignment horizontal="center"/>
      <protection locked="0"/>
    </xf>
    <xf numFmtId="0" fontId="15" fillId="12" borderId="0" xfId="3" applyFont="1" applyFill="1" applyAlignment="1" applyProtection="1">
      <alignment horizontal="left"/>
      <protection locked="0"/>
    </xf>
    <xf numFmtId="0" fontId="15" fillId="12" borderId="5" xfId="3" applyFont="1" applyFill="1" applyBorder="1" applyAlignment="1" applyProtection="1">
      <alignment horizontal="center" vertical="center"/>
      <protection locked="0"/>
    </xf>
    <xf numFmtId="0" fontId="14" fillId="12" borderId="5" xfId="3" applyFont="1" applyFill="1" applyBorder="1" applyAlignment="1" applyProtection="1">
      <alignment horizontal="center" vertical="center"/>
      <protection locked="0"/>
    </xf>
    <xf numFmtId="0" fontId="4" fillId="12" borderId="0" xfId="3" applyFill="1" applyAlignment="1" applyProtection="1">
      <alignment horizontal="left"/>
      <protection locked="0"/>
    </xf>
    <xf numFmtId="1" fontId="4" fillId="12" borderId="5" xfId="3" applyNumberFormat="1" applyFill="1" applyBorder="1" applyAlignment="1" applyProtection="1">
      <alignment horizontal="center" vertical="center"/>
      <protection locked="0"/>
    </xf>
    <xf numFmtId="2" fontId="12" fillId="12" borderId="5" xfId="3" quotePrefix="1" applyNumberFormat="1" applyFont="1" applyFill="1" applyBorder="1" applyAlignment="1" applyProtection="1">
      <alignment horizontal="center" vertical="center"/>
      <protection locked="0"/>
    </xf>
    <xf numFmtId="2" fontId="4" fillId="12" borderId="5" xfId="3" applyNumberFormat="1" applyFill="1" applyBorder="1" applyAlignment="1" applyProtection="1">
      <alignment horizontal="center"/>
      <protection locked="0"/>
    </xf>
    <xf numFmtId="2" fontId="12" fillId="12" borderId="5" xfId="3" applyNumberFormat="1" applyFont="1" applyFill="1" applyBorder="1" applyAlignment="1" applyProtection="1">
      <alignment horizontal="center" vertical="center"/>
      <protection locked="0"/>
    </xf>
    <xf numFmtId="2" fontId="4" fillId="12" borderId="5" xfId="3" applyNumberFormat="1" applyFill="1" applyBorder="1" applyAlignment="1" applyProtection="1">
      <alignment horizontal="center" vertical="center"/>
      <protection locked="0"/>
    </xf>
    <xf numFmtId="0" fontId="6" fillId="12" borderId="5" xfId="3" applyFont="1" applyFill="1" applyBorder="1" applyAlignment="1" applyProtection="1">
      <alignment horizontal="center" vertical="center"/>
      <protection locked="0"/>
    </xf>
    <xf numFmtId="164" fontId="12" fillId="12" borderId="5" xfId="3" applyNumberFormat="1" applyFont="1" applyFill="1" applyBorder="1" applyAlignment="1" applyProtection="1">
      <alignment horizontal="center" vertical="center"/>
      <protection locked="0"/>
    </xf>
    <xf numFmtId="2" fontId="4" fillId="12" borderId="5" xfId="3" quotePrefix="1" applyNumberFormat="1" applyFill="1" applyBorder="1" applyAlignment="1" applyProtection="1">
      <alignment horizontal="center" vertical="center"/>
      <protection locked="0"/>
    </xf>
    <xf numFmtId="0" fontId="4" fillId="12" borderId="5" xfId="3" applyFill="1" applyBorder="1" applyAlignment="1" applyProtection="1">
      <alignment horizontal="center" vertical="center"/>
      <protection locked="0"/>
    </xf>
    <xf numFmtId="165" fontId="4" fillId="12" borderId="5" xfId="3" quotePrefix="1" applyNumberFormat="1" applyFill="1" applyBorder="1" applyAlignment="1" applyProtection="1">
      <alignment horizontal="center" vertical="center"/>
      <protection locked="0"/>
    </xf>
    <xf numFmtId="1" fontId="12" fillId="12" borderId="5" xfId="3" quotePrefix="1" applyNumberFormat="1" applyFont="1" applyFill="1" applyBorder="1" applyAlignment="1" applyProtection="1">
      <alignment horizontal="center" vertical="center"/>
      <protection locked="0"/>
    </xf>
    <xf numFmtId="0" fontId="12" fillId="12" borderId="5" xfId="3" quotePrefix="1" applyFont="1" applyFill="1" applyBorder="1" applyAlignment="1" applyProtection="1">
      <alignment horizontal="center" vertical="center"/>
      <protection locked="0"/>
    </xf>
    <xf numFmtId="0" fontId="12" fillId="12" borderId="5" xfId="3" applyFont="1" applyFill="1" applyBorder="1" applyAlignment="1" applyProtection="1">
      <alignment horizontal="center" vertical="center"/>
      <protection locked="0"/>
    </xf>
    <xf numFmtId="164" fontId="4" fillId="12" borderId="5" xfId="3" applyNumberFormat="1" applyFill="1" applyBorder="1" applyAlignment="1" applyProtection="1">
      <alignment horizontal="center" vertical="center"/>
      <protection locked="0"/>
    </xf>
    <xf numFmtId="165" fontId="4" fillId="12" borderId="5" xfId="3" applyNumberFormat="1" applyFill="1" applyBorder="1" applyAlignment="1" applyProtection="1">
      <alignment horizontal="center" vertical="center"/>
      <protection locked="0"/>
    </xf>
    <xf numFmtId="0" fontId="48" fillId="12" borderId="0" xfId="3" applyFont="1" applyFill="1" applyAlignment="1" applyProtection="1">
      <alignment horizontal="left"/>
      <protection locked="0"/>
    </xf>
    <xf numFmtId="166" fontId="4" fillId="12" borderId="5" xfId="3" applyNumberFormat="1" applyFill="1" applyBorder="1" applyAlignment="1" applyProtection="1">
      <alignment horizontal="center" vertical="center"/>
      <protection locked="0"/>
    </xf>
    <xf numFmtId="0" fontId="48" fillId="12" borderId="5" xfId="3" applyFont="1" applyFill="1" applyBorder="1" applyAlignment="1" applyProtection="1">
      <alignment horizontal="center" vertical="center"/>
      <protection locked="0"/>
    </xf>
    <xf numFmtId="0" fontId="4" fillId="3" borderId="18" xfId="3" applyFill="1" applyBorder="1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Alignment="1" applyProtection="1">
      <alignment horizontal="left"/>
      <protection locked="0"/>
    </xf>
    <xf numFmtId="0" fontId="4" fillId="3" borderId="19" xfId="3" applyFill="1" applyBorder="1" applyProtection="1">
      <protection locked="0"/>
    </xf>
    <xf numFmtId="0" fontId="4" fillId="3" borderId="0" xfId="3" applyFill="1" applyAlignment="1">
      <alignment horizontal="left"/>
    </xf>
    <xf numFmtId="0" fontId="37" fillId="12" borderId="0" xfId="3" applyFont="1" applyFill="1" applyAlignment="1" applyProtection="1">
      <alignment horizontal="left" vertical="center"/>
      <protection locked="0"/>
    </xf>
    <xf numFmtId="0" fontId="15" fillId="12" borderId="4" xfId="3" applyFont="1" applyFill="1" applyBorder="1" applyAlignment="1" applyProtection="1">
      <alignment horizontal="center"/>
      <protection locked="0"/>
    </xf>
    <xf numFmtId="0" fontId="15" fillId="12" borderId="4" xfId="3" applyFont="1" applyFill="1" applyBorder="1" applyAlignment="1" applyProtection="1">
      <alignment horizontal="center" vertical="center"/>
      <protection locked="0"/>
    </xf>
    <xf numFmtId="0" fontId="14" fillId="12" borderId="4" xfId="3" applyFont="1" applyFill="1" applyBorder="1" applyAlignment="1" applyProtection="1">
      <alignment horizontal="center" vertical="center"/>
      <protection locked="0"/>
    </xf>
    <xf numFmtId="0" fontId="4" fillId="12" borderId="5" xfId="3" applyFill="1" applyBorder="1" applyAlignment="1" applyProtection="1">
      <alignment horizontal="right" vertical="center"/>
      <protection locked="0"/>
    </xf>
    <xf numFmtId="164" fontId="4" fillId="12" borderId="5" xfId="3" applyNumberFormat="1" applyFill="1" applyBorder="1" applyAlignment="1" applyProtection="1">
      <alignment horizontal="right" vertical="center"/>
      <protection locked="0"/>
    </xf>
    <xf numFmtId="0" fontId="48" fillId="0" borderId="0" xfId="3" applyFont="1" applyAlignment="1">
      <alignment horizontal="left"/>
    </xf>
    <xf numFmtId="0" fontId="66" fillId="3" borderId="18" xfId="3" applyFont="1" applyFill="1" applyBorder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center" vertical="center"/>
      <protection locked="0"/>
    </xf>
    <xf numFmtId="165" fontId="4" fillId="3" borderId="0" xfId="3" applyNumberFormat="1" applyFill="1" applyAlignment="1" applyProtection="1">
      <alignment horizontal="center" vertical="center"/>
      <protection locked="0"/>
    </xf>
    <xf numFmtId="0" fontId="66" fillId="3" borderId="0" xfId="3" applyFont="1" applyFill="1" applyAlignment="1" applyProtection="1">
      <alignment horizontal="center" vertical="center" wrapText="1"/>
      <protection locked="0"/>
    </xf>
    <xf numFmtId="0" fontId="4" fillId="3" borderId="0" xfId="3" applyFill="1" applyAlignment="1" applyProtection="1">
      <alignment horizontal="right" vertical="center"/>
      <protection locked="0"/>
    </xf>
    <xf numFmtId="2" fontId="4" fillId="12" borderId="3" xfId="3" quotePrefix="1" applyNumberFormat="1" applyFill="1" applyBorder="1" applyAlignment="1" applyProtection="1">
      <alignment horizontal="center" vertical="center"/>
      <protection locked="0"/>
    </xf>
    <xf numFmtId="2" fontId="4" fillId="12" borderId="4" xfId="3" quotePrefix="1" applyNumberFormat="1" applyFill="1" applyBorder="1" applyAlignment="1" applyProtection="1">
      <alignment horizontal="center" vertical="center"/>
      <protection locked="0"/>
    </xf>
    <xf numFmtId="164" fontId="12" fillId="12" borderId="5" xfId="3" quotePrefix="1" applyNumberFormat="1" applyFont="1" applyFill="1" applyBorder="1" applyAlignment="1" applyProtection="1">
      <alignment horizontal="center" vertical="center"/>
      <protection locked="0"/>
    </xf>
    <xf numFmtId="1" fontId="4" fillId="12" borderId="5" xfId="3" quotePrefix="1" applyNumberFormat="1" applyFill="1" applyBorder="1" applyAlignment="1" applyProtection="1">
      <alignment horizontal="center" vertical="center"/>
      <protection locked="0"/>
    </xf>
    <xf numFmtId="164" fontId="4" fillId="12" borderId="5" xfId="3" quotePrefix="1" applyNumberFormat="1" applyFill="1" applyBorder="1" applyAlignment="1" applyProtection="1">
      <alignment horizontal="center" vertical="center"/>
      <protection locked="0"/>
    </xf>
    <xf numFmtId="0" fontId="4" fillId="12" borderId="5" xfId="3" quotePrefix="1" applyFill="1" applyBorder="1" applyAlignment="1" applyProtection="1">
      <alignment horizontal="center" vertical="center"/>
      <protection locked="0"/>
    </xf>
    <xf numFmtId="0" fontId="4" fillId="6" borderId="30" xfId="3" applyFill="1" applyBorder="1"/>
    <xf numFmtId="0" fontId="66" fillId="6" borderId="30" xfId="3" applyFont="1" applyFill="1" applyBorder="1" applyAlignment="1" applyProtection="1">
      <alignment horizontal="left" vertical="center" wrapText="1"/>
      <protection locked="0"/>
    </xf>
    <xf numFmtId="0" fontId="4" fillId="3" borderId="6" xfId="10" applyFill="1" applyBorder="1" applyAlignment="1">
      <alignment horizontal="center" vertical="center"/>
    </xf>
    <xf numFmtId="0" fontId="4" fillId="3" borderId="26" xfId="10" applyFill="1" applyBorder="1" applyAlignment="1">
      <alignment horizontal="center" vertical="center"/>
    </xf>
    <xf numFmtId="0" fontId="4" fillId="3" borderId="23" xfId="10" applyFill="1" applyBorder="1" applyAlignment="1">
      <alignment horizontal="center" vertical="center"/>
    </xf>
    <xf numFmtId="2" fontId="16" fillId="14" borderId="25" xfId="3" applyNumberFormat="1" applyFont="1" applyFill="1" applyBorder="1" applyAlignment="1">
      <alignment horizontal="center" vertical="center"/>
    </xf>
    <xf numFmtId="0" fontId="16" fillId="14" borderId="5" xfId="3" applyFont="1" applyFill="1" applyBorder="1" applyAlignment="1">
      <alignment horizontal="center" vertical="center"/>
    </xf>
    <xf numFmtId="165" fontId="63" fillId="14" borderId="69" xfId="3" applyNumberFormat="1" applyFont="1" applyFill="1" applyBorder="1" applyAlignment="1">
      <alignment horizontal="center"/>
    </xf>
    <xf numFmtId="2" fontId="16" fillId="14" borderId="26" xfId="3" applyNumberFormat="1" applyFont="1" applyFill="1" applyBorder="1" applyAlignment="1">
      <alignment horizontal="center" vertical="center"/>
    </xf>
    <xf numFmtId="2" fontId="4" fillId="3" borderId="6" xfId="10" applyNumberFormat="1" applyFill="1" applyBorder="1" applyAlignment="1">
      <alignment horizontal="center" vertical="center"/>
    </xf>
    <xf numFmtId="164" fontId="48" fillId="3" borderId="42" xfId="3" applyNumberFormat="1" applyFont="1" applyFill="1" applyBorder="1" applyAlignment="1">
      <alignment horizontal="center" vertical="center" wrapText="1"/>
    </xf>
    <xf numFmtId="2" fontId="11" fillId="14" borderId="36" xfId="3" applyNumberFormat="1" applyFont="1" applyFill="1" applyBorder="1" applyAlignment="1">
      <alignment horizontal="center" vertical="center"/>
    </xf>
    <xf numFmtId="164" fontId="47" fillId="14" borderId="44" xfId="3" applyNumberFormat="1" applyFont="1" applyFill="1" applyBorder="1" applyAlignment="1">
      <alignment horizontal="center" vertical="center"/>
    </xf>
    <xf numFmtId="1" fontId="48" fillId="3" borderId="25" xfId="3" applyNumberFormat="1" applyFont="1" applyFill="1" applyBorder="1" applyAlignment="1">
      <alignment horizontal="center" vertical="center" wrapText="1"/>
    </xf>
    <xf numFmtId="165" fontId="98" fillId="14" borderId="6" xfId="3" applyNumberFormat="1" applyFont="1" applyFill="1" applyBorder="1" applyAlignment="1">
      <alignment horizontal="center" vertical="center"/>
    </xf>
    <xf numFmtId="165" fontId="47" fillId="14" borderId="26" xfId="3" applyNumberFormat="1" applyFont="1" applyFill="1" applyBorder="1" applyAlignment="1">
      <alignment horizontal="center" vertical="center"/>
    </xf>
    <xf numFmtId="165" fontId="16" fillId="14" borderId="25" xfId="3" applyNumberFormat="1" applyFont="1" applyFill="1" applyBorder="1" applyAlignment="1">
      <alignment horizontal="center" vertical="center"/>
    </xf>
    <xf numFmtId="165" fontId="16" fillId="14" borderId="5" xfId="3" applyNumberFormat="1" applyFont="1" applyFill="1" applyBorder="1" applyAlignment="1">
      <alignment horizontal="center" vertical="center"/>
    </xf>
    <xf numFmtId="165" fontId="16" fillId="14" borderId="26" xfId="3" applyNumberFormat="1" applyFont="1" applyFill="1" applyBorder="1" applyAlignment="1">
      <alignment horizontal="center" vertical="center"/>
    </xf>
    <xf numFmtId="166" fontId="11" fillId="14" borderId="6" xfId="3" applyNumberFormat="1" applyFont="1" applyFill="1" applyBorder="1" applyAlignment="1">
      <alignment horizontal="center" vertical="center"/>
    </xf>
    <xf numFmtId="166" fontId="11" fillId="14" borderId="11" xfId="3" applyNumberFormat="1" applyFont="1" applyFill="1" applyBorder="1" applyAlignment="1">
      <alignment horizontal="center" vertical="center"/>
    </xf>
    <xf numFmtId="164" fontId="47" fillId="14" borderId="26" xfId="3" applyNumberFormat="1" applyFont="1" applyFill="1" applyBorder="1" applyAlignment="1">
      <alignment horizontal="center" vertical="center"/>
    </xf>
    <xf numFmtId="164" fontId="16" fillId="14" borderId="25" xfId="3" applyNumberFormat="1" applyFont="1" applyFill="1" applyBorder="1" applyAlignment="1">
      <alignment horizontal="center" vertical="center"/>
    </xf>
    <xf numFmtId="2" fontId="16" fillId="14" borderId="5" xfId="3" applyNumberFormat="1" applyFont="1" applyFill="1" applyBorder="1" applyAlignment="1">
      <alignment horizontal="center" vertical="center"/>
    </xf>
    <xf numFmtId="0" fontId="4" fillId="14" borderId="68" xfId="3" applyFill="1" applyBorder="1" applyAlignment="1">
      <alignment horizontal="center"/>
    </xf>
    <xf numFmtId="164" fontId="48" fillId="3" borderId="23" xfId="3" applyNumberFormat="1" applyFont="1" applyFill="1" applyBorder="1" applyAlignment="1">
      <alignment horizontal="center" vertical="center" wrapText="1"/>
    </xf>
    <xf numFmtId="2" fontId="11" fillId="14" borderId="5" xfId="3" applyNumberFormat="1" applyFont="1" applyFill="1" applyBorder="1" applyAlignment="1">
      <alignment horizontal="center" vertical="center"/>
    </xf>
    <xf numFmtId="164" fontId="98" fillId="14" borderId="9" xfId="3" applyNumberFormat="1" applyFont="1" applyFill="1" applyBorder="1" applyAlignment="1">
      <alignment horizontal="center" vertical="center"/>
    </xf>
    <xf numFmtId="164" fontId="98" fillId="14" borderId="6" xfId="3" applyNumberFormat="1" applyFont="1" applyFill="1" applyBorder="1" applyAlignment="1">
      <alignment horizontal="center" vertical="center"/>
    </xf>
    <xf numFmtId="0" fontId="45" fillId="14" borderId="71" xfId="3" applyFont="1" applyFill="1" applyBorder="1" applyAlignment="1">
      <alignment horizontal="right"/>
    </xf>
    <xf numFmtId="1" fontId="4" fillId="3" borderId="23" xfId="10" applyNumberFormat="1" applyFill="1" applyBorder="1" applyAlignment="1">
      <alignment horizontal="center" vertical="center"/>
    </xf>
    <xf numFmtId="164" fontId="4" fillId="3" borderId="6" xfId="10" applyNumberFormat="1" applyFill="1" applyBorder="1" applyAlignment="1">
      <alignment horizontal="center" vertical="center"/>
    </xf>
    <xf numFmtId="0" fontId="99" fillId="14" borderId="0" xfId="3" applyFont="1" applyFill="1"/>
    <xf numFmtId="2" fontId="11" fillId="14" borderId="0" xfId="3" applyNumberFormat="1" applyFont="1" applyFill="1" applyAlignment="1">
      <alignment horizontal="center" vertical="center"/>
    </xf>
    <xf numFmtId="0" fontId="3" fillId="0" borderId="71" xfId="3" applyFont="1" applyBorder="1" applyAlignment="1">
      <alignment horizontal="right"/>
    </xf>
    <xf numFmtId="2" fontId="47" fillId="14" borderId="25" xfId="3" applyNumberFormat="1" applyFont="1" applyFill="1" applyBorder="1" applyAlignment="1">
      <alignment horizontal="center" vertical="center"/>
    </xf>
    <xf numFmtId="0" fontId="47" fillId="14" borderId="5" xfId="3" applyFont="1" applyFill="1" applyBorder="1" applyAlignment="1">
      <alignment horizontal="center" vertical="center"/>
    </xf>
    <xf numFmtId="2" fontId="47" fillId="14" borderId="5" xfId="3" applyNumberFormat="1" applyFont="1" applyFill="1" applyBorder="1" applyAlignment="1">
      <alignment horizontal="center" vertical="center"/>
    </xf>
    <xf numFmtId="0" fontId="4" fillId="0" borderId="18" xfId="3" applyBorder="1" applyAlignment="1">
      <alignment horizontal="left"/>
    </xf>
    <xf numFmtId="0" fontId="4" fillId="0" borderId="19" xfId="3" applyBorder="1" applyAlignment="1">
      <alignment horizontal="left"/>
    </xf>
    <xf numFmtId="0" fontId="16" fillId="3" borderId="20" xfId="3" applyFont="1" applyFill="1" applyBorder="1" applyAlignment="1">
      <alignment horizontal="left" vertical="center"/>
    </xf>
    <xf numFmtId="0" fontId="16" fillId="3" borderId="0" xfId="3" applyFont="1" applyFill="1" applyAlignment="1">
      <alignment horizontal="left" vertical="center"/>
    </xf>
    <xf numFmtId="0" fontId="8" fillId="0" borderId="0" xfId="3" applyFont="1" applyAlignment="1">
      <alignment horizontal="left"/>
    </xf>
    <xf numFmtId="0" fontId="16" fillId="0" borderId="0" xfId="3" applyFont="1" applyAlignment="1">
      <alignment horizontal="left" vertical="center"/>
    </xf>
    <xf numFmtId="2" fontId="16" fillId="0" borderId="0" xfId="3" applyNumberFormat="1" applyFont="1" applyAlignment="1">
      <alignment horizontal="left" vertical="center"/>
    </xf>
    <xf numFmtId="0" fontId="47" fillId="3" borderId="0" xfId="3" applyFont="1" applyFill="1" applyAlignment="1">
      <alignment horizontal="left" vertical="center"/>
    </xf>
    <xf numFmtId="0" fontId="4" fillId="3" borderId="41" xfId="10" applyFill="1" applyBorder="1" applyAlignment="1">
      <alignment horizontal="center" vertical="center"/>
    </xf>
    <xf numFmtId="164" fontId="4" fillId="3" borderId="73" xfId="10" applyNumberFormat="1" applyFill="1" applyBorder="1" applyAlignment="1">
      <alignment horizontal="center" vertical="center"/>
    </xf>
    <xf numFmtId="2" fontId="4" fillId="3" borderId="73" xfId="10" applyNumberFormat="1" applyFill="1" applyBorder="1" applyAlignment="1">
      <alignment horizontal="center" vertical="center"/>
    </xf>
    <xf numFmtId="0" fontId="4" fillId="3" borderId="40" xfId="10" applyFill="1" applyBorder="1" applyAlignment="1">
      <alignment horizontal="center" vertical="center"/>
    </xf>
    <xf numFmtId="0" fontId="6" fillId="13" borderId="23" xfId="10" applyFont="1" applyFill="1" applyBorder="1"/>
    <xf numFmtId="0" fontId="6" fillId="13" borderId="7" xfId="10" applyFont="1" applyFill="1" applyBorder="1" applyAlignment="1">
      <alignment horizontal="center" vertical="center"/>
    </xf>
    <xf numFmtId="0" fontId="7" fillId="13" borderId="7" xfId="10" applyFont="1" applyFill="1" applyBorder="1" applyAlignment="1">
      <alignment horizontal="center" vertical="center"/>
    </xf>
    <xf numFmtId="0" fontId="7" fillId="13" borderId="7" xfId="10" applyFont="1" applyFill="1" applyBorder="1" applyAlignment="1">
      <alignment vertical="center"/>
    </xf>
    <xf numFmtId="0" fontId="7" fillId="13" borderId="9" xfId="10" applyFont="1" applyFill="1" applyBorder="1" applyAlignment="1">
      <alignment horizontal="left" vertical="center"/>
    </xf>
    <xf numFmtId="0" fontId="7" fillId="13" borderId="5" xfId="10" applyFont="1" applyFill="1" applyBorder="1" applyAlignment="1">
      <alignment vertical="center"/>
    </xf>
    <xf numFmtId="0" fontId="7" fillId="13" borderId="26" xfId="10" applyFont="1" applyFill="1" applyBorder="1" applyAlignment="1">
      <alignment horizontal="center" vertical="center"/>
    </xf>
    <xf numFmtId="0" fontId="39" fillId="0" borderId="25" xfId="10" applyFont="1" applyBorder="1" applyAlignment="1">
      <alignment horizontal="center" vertical="center"/>
    </xf>
    <xf numFmtId="0" fontId="39" fillId="0" borderId="6" xfId="10" applyFont="1" applyBorder="1"/>
    <xf numFmtId="0" fontId="39" fillId="0" borderId="7" xfId="10" applyFont="1" applyBorder="1" applyAlignment="1">
      <alignment horizontal="left"/>
    </xf>
    <xf numFmtId="0" fontId="39" fillId="0" borderId="7" xfId="10" applyFont="1" applyBorder="1"/>
    <xf numFmtId="0" fontId="39" fillId="0" borderId="24" xfId="10" applyFont="1" applyBorder="1"/>
    <xf numFmtId="0" fontId="7" fillId="13" borderId="5" xfId="10" applyFont="1" applyFill="1" applyBorder="1" applyAlignment="1">
      <alignment horizontal="right" vertical="center"/>
    </xf>
    <xf numFmtId="0" fontId="100" fillId="3" borderId="41" xfId="10" applyFont="1" applyFill="1" applyBorder="1"/>
    <xf numFmtId="0" fontId="100" fillId="3" borderId="66" xfId="10" applyFont="1" applyFill="1" applyBorder="1"/>
    <xf numFmtId="0" fontId="100" fillId="3" borderId="65" xfId="10" applyFont="1" applyFill="1" applyBorder="1"/>
    <xf numFmtId="0" fontId="6" fillId="3" borderId="0" xfId="10" applyFont="1" applyFill="1"/>
    <xf numFmtId="0" fontId="76" fillId="2" borderId="0" xfId="0" applyFont="1" applyFill="1" applyAlignment="1" applyProtection="1">
      <alignment vertical="center"/>
      <protection locked="0"/>
    </xf>
    <xf numFmtId="0" fontId="57" fillId="0" borderId="7" xfId="0" applyFont="1" applyBorder="1" applyAlignment="1">
      <alignment horizontal="right"/>
    </xf>
    <xf numFmtId="0" fontId="101" fillId="0" borderId="0" xfId="0" applyFont="1" applyAlignment="1" applyProtection="1">
      <alignment vertical="center"/>
      <protection locked="0"/>
    </xf>
    <xf numFmtId="0" fontId="63" fillId="0" borderId="0" xfId="0" applyFont="1" applyAlignment="1" applyProtection="1">
      <alignment horizontal="center" vertical="center"/>
      <protection locked="0"/>
    </xf>
    <xf numFmtId="0" fontId="16" fillId="3" borderId="25" xfId="3" applyFont="1" applyFill="1" applyBorder="1" applyAlignment="1">
      <alignment horizontal="center" vertical="center"/>
    </xf>
    <xf numFmtId="0" fontId="16" fillId="3" borderId="5" xfId="3" applyFont="1" applyFill="1" applyBorder="1" applyAlignment="1">
      <alignment horizontal="center" vertical="center"/>
    </xf>
    <xf numFmtId="2" fontId="16" fillId="3" borderId="26" xfId="3" applyNumberFormat="1" applyFont="1" applyFill="1" applyBorder="1" applyAlignment="1">
      <alignment horizontal="center" vertical="center"/>
    </xf>
    <xf numFmtId="2" fontId="16" fillId="3" borderId="25" xfId="3" applyNumberFormat="1" applyFont="1" applyFill="1" applyBorder="1" applyAlignment="1">
      <alignment horizontal="center" vertical="center"/>
    </xf>
    <xf numFmtId="165" fontId="16" fillId="3" borderId="5" xfId="3" applyNumberFormat="1" applyFont="1" applyFill="1" applyBorder="1" applyAlignment="1">
      <alignment horizontal="center" vertical="center"/>
    </xf>
    <xf numFmtId="0" fontId="98" fillId="0" borderId="0" xfId="2" applyFont="1" applyAlignment="1">
      <alignment horizontal="right"/>
    </xf>
    <xf numFmtId="0" fontId="4" fillId="0" borderId="15" xfId="11" applyBorder="1"/>
    <xf numFmtId="0" fontId="93" fillId="0" borderId="17" xfId="11" applyFont="1" applyBorder="1"/>
    <xf numFmtId="0" fontId="4" fillId="0" borderId="0" xfId="2" applyProtection="1">
      <protection locked="0"/>
    </xf>
    <xf numFmtId="0" fontId="4" fillId="0" borderId="18" xfId="11" applyBorder="1"/>
    <xf numFmtId="0" fontId="4" fillId="0" borderId="19" xfId="11" applyBorder="1"/>
    <xf numFmtId="0" fontId="4" fillId="0" borderId="0" xfId="2" applyAlignment="1">
      <alignment horizontal="center" vertical="center"/>
    </xf>
    <xf numFmtId="0" fontId="93" fillId="0" borderId="19" xfId="11" applyFont="1" applyBorder="1"/>
    <xf numFmtId="0" fontId="104" fillId="0" borderId="0" xfId="2" applyFont="1" applyAlignment="1">
      <alignment horizontal="left" vertical="center" wrapText="1"/>
    </xf>
    <xf numFmtId="0" fontId="104" fillId="0" borderId="0" xfId="2" applyFont="1"/>
    <xf numFmtId="0" fontId="104" fillId="0" borderId="0" xfId="2" applyFont="1" applyAlignment="1">
      <alignment horizontal="left" vertical="top"/>
    </xf>
    <xf numFmtId="0" fontId="92" fillId="0" borderId="0" xfId="2" quotePrefix="1" applyFont="1" applyAlignment="1" applyProtection="1">
      <alignment vertical="center" wrapText="1"/>
      <protection locked="0"/>
    </xf>
    <xf numFmtId="0" fontId="104" fillId="0" borderId="0" xfId="2" applyFont="1" applyAlignment="1">
      <alignment vertical="top"/>
    </xf>
    <xf numFmtId="0" fontId="94" fillId="0" borderId="19" xfId="11" applyFont="1" applyBorder="1" applyAlignment="1">
      <alignment horizontal="left"/>
    </xf>
    <xf numFmtId="0" fontId="91" fillId="0" borderId="0" xfId="2" applyFont="1" applyAlignment="1" applyProtection="1">
      <alignment vertical="center"/>
      <protection locked="0"/>
    </xf>
    <xf numFmtId="178" fontId="91" fillId="0" borderId="0" xfId="2" applyNumberFormat="1" applyFont="1" applyAlignment="1" applyProtection="1">
      <alignment vertical="center"/>
      <protection locked="0"/>
    </xf>
    <xf numFmtId="0" fontId="94" fillId="0" borderId="18" xfId="11" applyFont="1" applyBorder="1"/>
    <xf numFmtId="172" fontId="94" fillId="0" borderId="19" xfId="11" applyNumberFormat="1" applyFont="1" applyBorder="1" applyAlignment="1">
      <alignment horizontal="left"/>
    </xf>
    <xf numFmtId="0" fontId="104" fillId="0" borderId="0" xfId="2" applyFont="1" applyAlignment="1">
      <alignment vertical="center"/>
    </xf>
    <xf numFmtId="172" fontId="4" fillId="0" borderId="19" xfId="11" applyNumberFormat="1" applyBorder="1"/>
    <xf numFmtId="0" fontId="104" fillId="0" borderId="5" xfId="2" applyFont="1" applyBorder="1" applyAlignment="1">
      <alignment horizontal="center" vertical="center"/>
    </xf>
    <xf numFmtId="0" fontId="95" fillId="0" borderId="19" xfId="11" applyFont="1" applyBorder="1" applyAlignment="1">
      <alignment horizontal="left"/>
    </xf>
    <xf numFmtId="0" fontId="104" fillId="0" borderId="5" xfId="2" quotePrefix="1" applyFont="1" applyBorder="1" applyAlignment="1">
      <alignment horizontal="center" vertical="center"/>
    </xf>
    <xf numFmtId="0" fontId="104" fillId="0" borderId="5" xfId="2" applyFont="1" applyBorder="1" applyAlignment="1">
      <alignment horizontal="center" vertical="center" wrapText="1"/>
    </xf>
    <xf numFmtId="11" fontId="104" fillId="0" borderId="5" xfId="2" applyNumberFormat="1" applyFont="1" applyBorder="1" applyAlignment="1">
      <alignment horizontal="center" vertical="center" wrapText="1"/>
    </xf>
    <xf numFmtId="0" fontId="94" fillId="0" borderId="19" xfId="11" applyFont="1" applyBorder="1"/>
    <xf numFmtId="0" fontId="104" fillId="0" borderId="0" xfId="2" quotePrefix="1" applyFont="1" applyAlignment="1">
      <alignment vertical="center"/>
    </xf>
    <xf numFmtId="0" fontId="4" fillId="0" borderId="0" xfId="2" applyAlignment="1">
      <alignment horizontal="center"/>
    </xf>
    <xf numFmtId="0" fontId="94" fillId="0" borderId="20" xfId="11" applyFont="1" applyBorder="1"/>
    <xf numFmtId="0" fontId="94" fillId="0" borderId="22" xfId="11" applyFont="1" applyBorder="1"/>
    <xf numFmtId="0" fontId="104" fillId="0" borderId="0" xfId="2" applyFont="1" applyAlignment="1">
      <alignment horizontal="left" vertical="center"/>
    </xf>
    <xf numFmtId="172" fontId="104" fillId="0" borderId="0" xfId="2" applyNumberFormat="1" applyFont="1" applyAlignment="1">
      <alignment horizontal="left" vertical="center"/>
    </xf>
    <xf numFmtId="1" fontId="104" fillId="0" borderId="5" xfId="2" applyNumberFormat="1" applyFont="1" applyBorder="1" applyAlignment="1">
      <alignment horizontal="center" vertical="center"/>
    </xf>
    <xf numFmtId="0" fontId="23" fillId="5" borderId="0" xfId="1" applyFont="1" applyFill="1" applyAlignment="1">
      <alignment horizontal="center"/>
    </xf>
    <xf numFmtId="0" fontId="43" fillId="0" borderId="6" xfId="0" applyFont="1" applyBorder="1" applyAlignment="1">
      <alignment horizontal="center" vertical="center" wrapText="1"/>
    </xf>
    <xf numFmtId="0" fontId="24" fillId="0" borderId="0" xfId="0" quotePrefix="1" applyFont="1" applyAlignment="1">
      <alignment vertical="center"/>
    </xf>
    <xf numFmtId="0" fontId="24" fillId="0" borderId="0" xfId="0" applyFont="1" applyAlignment="1">
      <alignment vertical="center" wrapText="1"/>
    </xf>
    <xf numFmtId="2" fontId="24" fillId="0" borderId="0" xfId="0" applyNumberFormat="1" applyFont="1" applyAlignment="1">
      <alignment vertical="center" wrapText="1"/>
    </xf>
    <xf numFmtId="2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43" fillId="0" borderId="0" xfId="2" applyFont="1"/>
    <xf numFmtId="0" fontId="43" fillId="0" borderId="0" xfId="2" quotePrefix="1" applyFont="1"/>
    <xf numFmtId="0" fontId="107" fillId="2" borderId="2" xfId="0" applyFont="1" applyFill="1" applyBorder="1" applyAlignment="1">
      <alignment horizontal="center" vertical="center"/>
    </xf>
    <xf numFmtId="0" fontId="107" fillId="2" borderId="3" xfId="0" applyFont="1" applyFill="1" applyBorder="1" applyAlignment="1">
      <alignment horizontal="center" vertical="center"/>
    </xf>
    <xf numFmtId="0" fontId="107" fillId="2" borderId="0" xfId="0" applyFont="1" applyFill="1" applyAlignment="1">
      <alignment horizontal="center" vertical="center"/>
    </xf>
    <xf numFmtId="0" fontId="51" fillId="2" borderId="0" xfId="2" applyFont="1" applyFill="1" applyAlignment="1">
      <alignment vertical="center"/>
    </xf>
    <xf numFmtId="0" fontId="43" fillId="0" borderId="6" xfId="0" applyFont="1" applyBorder="1" applyAlignment="1">
      <alignment horizontal="center" vertical="center"/>
    </xf>
    <xf numFmtId="0" fontId="42" fillId="0" borderId="0" xfId="2" applyFont="1"/>
    <xf numFmtId="0" fontId="43" fillId="0" borderId="0" xfId="0" applyFont="1" applyAlignment="1">
      <alignment horizontal="center" vertical="center" wrapText="1"/>
    </xf>
    <xf numFmtId="0" fontId="51" fillId="2" borderId="0" xfId="2" applyFont="1" applyFill="1" applyAlignment="1">
      <alignment horizontal="center" vertical="center"/>
    </xf>
    <xf numFmtId="0" fontId="51" fillId="2" borderId="0" xfId="2" applyFont="1" applyFill="1" applyAlignment="1">
      <alignment horizontal="right" vertical="center"/>
    </xf>
    <xf numFmtId="0" fontId="107" fillId="2" borderId="0" xfId="2" applyFont="1" applyFill="1"/>
    <xf numFmtId="0" fontId="43" fillId="0" borderId="0" xfId="0" applyFont="1"/>
    <xf numFmtId="0" fontId="51" fillId="2" borderId="0" xfId="2" applyFont="1" applyFill="1"/>
    <xf numFmtId="0" fontId="107" fillId="2" borderId="0" xfId="2" applyFont="1" applyFill="1" applyAlignment="1">
      <alignment horizontal="center" vertical="center"/>
    </xf>
    <xf numFmtId="164" fontId="42" fillId="0" borderId="5" xfId="2" applyNumberFormat="1" applyFont="1" applyBorder="1" applyAlignment="1">
      <alignment horizontal="center"/>
    </xf>
    <xf numFmtId="0" fontId="107" fillId="2" borderId="0" xfId="2" applyFont="1" applyFill="1" applyAlignment="1">
      <alignment horizontal="center" vertical="center" wrapText="1"/>
    </xf>
    <xf numFmtId="0" fontId="107" fillId="2" borderId="0" xfId="2" applyFont="1" applyFill="1" applyAlignment="1">
      <alignment horizontal="left" vertical="center"/>
    </xf>
    <xf numFmtId="164" fontId="42" fillId="0" borderId="0" xfId="2" applyNumberFormat="1" applyFont="1" applyAlignment="1">
      <alignment horizontal="center"/>
    </xf>
    <xf numFmtId="9" fontId="43" fillId="0" borderId="0" xfId="2" applyNumberFormat="1" applyFont="1" applyAlignment="1">
      <alignment horizontal="center" vertical="center"/>
    </xf>
    <xf numFmtId="0" fontId="51" fillId="2" borderId="0" xfId="2" applyFont="1" applyFill="1" applyAlignment="1">
      <alignment vertical="center" wrapText="1"/>
    </xf>
    <xf numFmtId="0" fontId="43" fillId="0" borderId="0" xfId="2" applyFont="1" applyAlignment="1">
      <alignment vertical="center"/>
    </xf>
    <xf numFmtId="0" fontId="44" fillId="2" borderId="0" xfId="2" applyFont="1" applyFill="1"/>
    <xf numFmtId="0" fontId="107" fillId="2" borderId="5" xfId="2" applyFont="1" applyFill="1" applyBorder="1" applyAlignment="1">
      <alignment horizontal="center" vertical="center"/>
    </xf>
    <xf numFmtId="0" fontId="43" fillId="0" borderId="0" xfId="1" applyFont="1" applyAlignment="1">
      <alignment horizontal="center" vertical="center"/>
    </xf>
    <xf numFmtId="165" fontId="43" fillId="0" borderId="0" xfId="2" applyNumberFormat="1" applyFont="1" applyAlignment="1">
      <alignment horizontal="center" vertical="center"/>
    </xf>
    <xf numFmtId="0" fontId="42" fillId="0" borderId="0" xfId="2" applyFont="1" applyAlignment="1">
      <alignment horizontal="center" vertical="center"/>
    </xf>
    <xf numFmtId="0" fontId="42" fillId="0" borderId="0" xfId="1" applyFont="1" applyAlignment="1">
      <alignment horizontal="center" vertical="center"/>
    </xf>
    <xf numFmtId="165" fontId="42" fillId="0" borderId="0" xfId="2" applyNumberFormat="1" applyFont="1" applyAlignment="1">
      <alignment horizontal="center" vertical="center"/>
    </xf>
    <xf numFmtId="0" fontId="42" fillId="0" borderId="0" xfId="2" applyFont="1" applyProtection="1">
      <protection locked="0"/>
    </xf>
    <xf numFmtId="0" fontId="71" fillId="0" borderId="0" xfId="1" applyFont="1"/>
    <xf numFmtId="2" fontId="42" fillId="0" borderId="0" xfId="1" applyNumberFormat="1" applyFont="1" applyAlignment="1">
      <alignment horizontal="center"/>
    </xf>
    <xf numFmtId="2" fontId="20" fillId="0" borderId="0" xfId="1" applyNumberFormat="1" applyFont="1" applyAlignment="1">
      <alignment horizontal="center"/>
    </xf>
    <xf numFmtId="0" fontId="20" fillId="0" borderId="0" xfId="2" applyFont="1"/>
    <xf numFmtId="0" fontId="42" fillId="0" borderId="0" xfId="2" applyFont="1" applyAlignment="1" applyProtection="1">
      <alignment horizontal="left"/>
      <protection locked="0"/>
    </xf>
    <xf numFmtId="0" fontId="4" fillId="15" borderId="0" xfId="2" applyFill="1"/>
    <xf numFmtId="0" fontId="16" fillId="3" borderId="5" xfId="3" applyFont="1" applyFill="1" applyBorder="1" applyAlignment="1">
      <alignment horizontal="center" vertical="center" wrapText="1"/>
    </xf>
    <xf numFmtId="0" fontId="63" fillId="3" borderId="5" xfId="3" applyFont="1" applyFill="1" applyBorder="1" applyAlignment="1">
      <alignment horizontal="center" vertical="center" wrapText="1"/>
    </xf>
    <xf numFmtId="0" fontId="16" fillId="3" borderId="5" xfId="12" applyFont="1" applyFill="1" applyBorder="1" applyAlignment="1">
      <alignment horizontal="center" vertical="center" wrapText="1"/>
    </xf>
    <xf numFmtId="165" fontId="57" fillId="3" borderId="5" xfId="3" applyNumberFormat="1" applyFont="1" applyFill="1" applyBorder="1" applyAlignment="1">
      <alignment horizontal="center"/>
    </xf>
    <xf numFmtId="2" fontId="57" fillId="3" borderId="5" xfId="3" applyNumberFormat="1" applyFont="1" applyFill="1" applyBorder="1" applyAlignment="1">
      <alignment horizontal="center" vertical="center"/>
    </xf>
    <xf numFmtId="167" fontId="57" fillId="3" borderId="5" xfId="3" applyNumberFormat="1" applyFont="1" applyFill="1" applyBorder="1" applyAlignment="1">
      <alignment horizontal="center" vertical="center"/>
    </xf>
    <xf numFmtId="165" fontId="57" fillId="3" borderId="5" xfId="3" applyNumberFormat="1" applyFont="1" applyFill="1" applyBorder="1" applyAlignment="1">
      <alignment horizontal="center" vertical="center"/>
    </xf>
    <xf numFmtId="2" fontId="57" fillId="0" borderId="5" xfId="3" applyNumberFormat="1" applyFont="1" applyBorder="1" applyAlignment="1">
      <alignment horizontal="center" vertical="center"/>
    </xf>
    <xf numFmtId="2" fontId="57" fillId="3" borderId="5" xfId="3" applyNumberFormat="1" applyFont="1" applyFill="1" applyBorder="1" applyAlignment="1">
      <alignment horizontal="center"/>
    </xf>
    <xf numFmtId="165" fontId="57" fillId="0" borderId="5" xfId="3" applyNumberFormat="1" applyFont="1" applyBorder="1" applyAlignment="1">
      <alignment horizontal="center"/>
    </xf>
    <xf numFmtId="2" fontId="41" fillId="3" borderId="5" xfId="3" applyNumberFormat="1" applyFont="1" applyFill="1" applyBorder="1" applyAlignment="1">
      <alignment horizontal="center" vertical="center"/>
    </xf>
    <xf numFmtId="2" fontId="98" fillId="3" borderId="5" xfId="3" applyNumberFormat="1" applyFont="1" applyFill="1" applyBorder="1" applyAlignment="1">
      <alignment horizontal="center" vertical="center"/>
    </xf>
    <xf numFmtId="164" fontId="16" fillId="12" borderId="5" xfId="3" applyNumberFormat="1" applyFont="1" applyFill="1" applyBorder="1" applyAlignment="1">
      <alignment horizontal="center" vertical="center" wrapText="1"/>
    </xf>
    <xf numFmtId="165" fontId="16" fillId="12" borderId="5" xfId="3" applyNumberFormat="1" applyFont="1" applyFill="1" applyBorder="1" applyAlignment="1">
      <alignment horizontal="center" vertical="center"/>
    </xf>
    <xf numFmtId="164" fontId="16" fillId="12" borderId="5" xfId="3" applyNumberFormat="1" applyFont="1" applyFill="1" applyBorder="1" applyAlignment="1">
      <alignment horizontal="center" vertical="center"/>
    </xf>
    <xf numFmtId="165" fontId="41" fillId="0" borderId="5" xfId="3" applyNumberFormat="1" applyFont="1" applyBorder="1" applyAlignment="1">
      <alignment horizontal="center" vertical="center"/>
    </xf>
    <xf numFmtId="0" fontId="110" fillId="5" borderId="29" xfId="3" applyFont="1" applyFill="1" applyBorder="1" applyAlignment="1">
      <alignment vertical="center"/>
    </xf>
    <xf numFmtId="0" fontId="110" fillId="5" borderId="30" xfId="3" applyFont="1" applyFill="1" applyBorder="1" applyAlignment="1">
      <alignment vertical="center"/>
    </xf>
    <xf numFmtId="0" fontId="110" fillId="3" borderId="52" xfId="3" applyFont="1" applyFill="1" applyBorder="1" applyAlignment="1">
      <alignment vertical="center"/>
    </xf>
    <xf numFmtId="0" fontId="41" fillId="3" borderId="35" xfId="3" applyFont="1" applyFill="1" applyBorder="1" applyAlignment="1">
      <alignment vertical="center"/>
    </xf>
    <xf numFmtId="0" fontId="41" fillId="3" borderId="43" xfId="3" applyFont="1" applyFill="1" applyBorder="1" applyAlignment="1">
      <alignment horizontal="center" vertical="center"/>
    </xf>
    <xf numFmtId="1" fontId="41" fillId="3" borderId="44" xfId="3" applyNumberFormat="1" applyFont="1" applyFill="1" applyBorder="1" applyAlignment="1">
      <alignment horizontal="center" vertical="center"/>
    </xf>
    <xf numFmtId="0" fontId="41" fillId="3" borderId="7" xfId="3" applyFont="1" applyFill="1" applyBorder="1" applyAlignment="1">
      <alignment vertical="center"/>
    </xf>
    <xf numFmtId="0" fontId="41" fillId="3" borderId="4" xfId="3" applyFont="1" applyFill="1" applyBorder="1" applyAlignment="1">
      <alignment horizontal="center" vertical="center"/>
    </xf>
    <xf numFmtId="1" fontId="41" fillId="3" borderId="26" xfId="3" applyNumberFormat="1" applyFont="1" applyFill="1" applyBorder="1" applyAlignment="1">
      <alignment horizontal="center" vertical="center"/>
    </xf>
    <xf numFmtId="0" fontId="41" fillId="3" borderId="8" xfId="3" applyFont="1" applyFill="1" applyBorder="1" applyAlignment="1">
      <alignment vertical="center"/>
    </xf>
    <xf numFmtId="1" fontId="41" fillId="3" borderId="37" xfId="3" applyNumberFormat="1" applyFont="1" applyFill="1" applyBorder="1" applyAlignment="1">
      <alignment horizontal="center" vertical="center"/>
    </xf>
    <xf numFmtId="0" fontId="41" fillId="3" borderId="66" xfId="3" applyFont="1" applyFill="1" applyBorder="1" applyAlignment="1">
      <alignment vertical="center"/>
    </xf>
    <xf numFmtId="0" fontId="41" fillId="3" borderId="62" xfId="3" applyFont="1" applyFill="1" applyBorder="1" applyAlignment="1">
      <alignment horizontal="center" vertical="center"/>
    </xf>
    <xf numFmtId="1" fontId="41" fillId="3" borderId="40" xfId="3" applyNumberFormat="1" applyFont="1" applyFill="1" applyBorder="1" applyAlignment="1">
      <alignment horizontal="center" vertical="center"/>
    </xf>
    <xf numFmtId="0" fontId="37" fillId="15" borderId="0" xfId="2" applyFont="1" applyFill="1"/>
    <xf numFmtId="0" fontId="8" fillId="3" borderId="0" xfId="3" applyFont="1" applyFill="1" applyAlignment="1">
      <alignment horizontal="center" vertical="center" wrapText="1"/>
    </xf>
    <xf numFmtId="164" fontId="57" fillId="3" borderId="5" xfId="3" applyNumberFormat="1" applyFont="1" applyFill="1" applyBorder="1" applyAlignment="1">
      <alignment horizontal="center" vertical="center"/>
    </xf>
    <xf numFmtId="165" fontId="41" fillId="3" borderId="0" xfId="3" applyNumberFormat="1" applyFont="1" applyFill="1" applyAlignment="1">
      <alignment horizontal="center" vertical="center"/>
    </xf>
    <xf numFmtId="0" fontId="4" fillId="3" borderId="7" xfId="3" applyFill="1" applyBorder="1"/>
    <xf numFmtId="0" fontId="39" fillId="0" borderId="7" xfId="3" applyFont="1" applyBorder="1"/>
    <xf numFmtId="0" fontId="39" fillId="0" borderId="24" xfId="3" applyFont="1" applyBorder="1"/>
    <xf numFmtId="165" fontId="75" fillId="3" borderId="0" xfId="3" applyNumberFormat="1" applyFont="1" applyFill="1" applyAlignment="1">
      <alignment horizontal="center" vertical="center"/>
    </xf>
    <xf numFmtId="0" fontId="39" fillId="0" borderId="8" xfId="3" applyFont="1" applyBorder="1"/>
    <xf numFmtId="0" fontId="39" fillId="0" borderId="74" xfId="3" applyFont="1" applyBorder="1"/>
    <xf numFmtId="0" fontId="2" fillId="0" borderId="0" xfId="13"/>
    <xf numFmtId="0" fontId="73" fillId="0" borderId="0" xfId="13" applyFont="1"/>
    <xf numFmtId="0" fontId="2" fillId="0" borderId="0" xfId="13" applyAlignment="1">
      <alignment horizontal="center"/>
    </xf>
    <xf numFmtId="0" fontId="2" fillId="0" borderId="10" xfId="13" applyBorder="1"/>
    <xf numFmtId="0" fontId="73" fillId="10" borderId="6" xfId="13" applyFont="1" applyFill="1" applyBorder="1" applyAlignment="1">
      <alignment horizontal="center"/>
    </xf>
    <xf numFmtId="0" fontId="73" fillId="10" borderId="5" xfId="13" applyFont="1" applyFill="1" applyBorder="1" applyAlignment="1">
      <alignment horizontal="center"/>
    </xf>
    <xf numFmtId="0" fontId="73" fillId="10" borderId="13" xfId="13" applyFont="1" applyFill="1" applyBorder="1" applyAlignment="1">
      <alignment horizontal="center"/>
    </xf>
    <xf numFmtId="0" fontId="2" fillId="0" borderId="6" xfId="13" applyBorder="1" applyAlignment="1">
      <alignment horizontal="left"/>
    </xf>
    <xf numFmtId="0" fontId="2" fillId="0" borderId="5" xfId="13" applyBorder="1" applyAlignment="1">
      <alignment horizontal="center"/>
    </xf>
    <xf numFmtId="0" fontId="2" fillId="0" borderId="6" xfId="13" applyBorder="1" applyAlignment="1">
      <alignment horizontal="center"/>
    </xf>
    <xf numFmtId="166" fontId="2" fillId="5" borderId="6" xfId="13" applyNumberFormat="1" applyFill="1" applyBorder="1" applyAlignment="1">
      <alignment horizontal="center"/>
    </xf>
    <xf numFmtId="2" fontId="2" fillId="0" borderId="6" xfId="13" applyNumberFormat="1" applyBorder="1" applyAlignment="1">
      <alignment horizontal="center"/>
    </xf>
    <xf numFmtId="179" fontId="2" fillId="0" borderId="6" xfId="13" applyNumberFormat="1" applyBorder="1" applyAlignment="1">
      <alignment horizontal="center"/>
    </xf>
    <xf numFmtId="11" fontId="2" fillId="0" borderId="5" xfId="13" applyNumberFormat="1" applyBorder="1" applyAlignment="1">
      <alignment horizontal="center"/>
    </xf>
    <xf numFmtId="0" fontId="20" fillId="0" borderId="6" xfId="13" applyFont="1" applyBorder="1" applyAlignment="1">
      <alignment horizontal="left"/>
    </xf>
    <xf numFmtId="0" fontId="2" fillId="5" borderId="6" xfId="13" applyFill="1" applyBorder="1" applyAlignment="1">
      <alignment horizontal="center"/>
    </xf>
    <xf numFmtId="165" fontId="2" fillId="5" borderId="6" xfId="13" applyNumberFormat="1" applyFill="1" applyBorder="1" applyAlignment="1">
      <alignment horizontal="center"/>
    </xf>
    <xf numFmtId="0" fontId="2" fillId="0" borderId="7" xfId="13" applyBorder="1" applyAlignment="1">
      <alignment horizontal="left"/>
    </xf>
    <xf numFmtId="0" fontId="111" fillId="0" borderId="7" xfId="2" applyFont="1" applyBorder="1" applyAlignment="1">
      <alignment horizontal="left"/>
    </xf>
    <xf numFmtId="166" fontId="2" fillId="0" borderId="6" xfId="13" applyNumberFormat="1" applyBorder="1" applyAlignment="1">
      <alignment horizontal="center"/>
    </xf>
    <xf numFmtId="2" fontId="2" fillId="0" borderId="5" xfId="13" applyNumberFormat="1" applyBorder="1" applyAlignment="1">
      <alignment horizontal="center"/>
    </xf>
    <xf numFmtId="0" fontId="112" fillId="0" borderId="7" xfId="2" applyFont="1" applyBorder="1" applyAlignment="1">
      <alignment horizontal="left"/>
    </xf>
    <xf numFmtId="0" fontId="68" fillId="0" borderId="0" xfId="2" applyFont="1" applyAlignment="1">
      <alignment horizontal="left"/>
    </xf>
    <xf numFmtId="0" fontId="34" fillId="0" borderId="0" xfId="2" applyFont="1" applyAlignment="1">
      <alignment horizontal="left"/>
    </xf>
    <xf numFmtId="0" fontId="34" fillId="0" borderId="7" xfId="2" applyFont="1" applyBorder="1" applyAlignment="1">
      <alignment horizontal="left"/>
    </xf>
    <xf numFmtId="0" fontId="34" fillId="0" borderId="10" xfId="2" applyFont="1" applyBorder="1" applyAlignment="1">
      <alignment horizontal="left"/>
    </xf>
    <xf numFmtId="165" fontId="2" fillId="0" borderId="5" xfId="13" applyNumberFormat="1" applyBorder="1" applyAlignment="1">
      <alignment horizontal="center"/>
    </xf>
    <xf numFmtId="164" fontId="2" fillId="0" borderId="5" xfId="13" applyNumberFormat="1" applyBorder="1" applyAlignment="1">
      <alignment horizontal="center"/>
    </xf>
    <xf numFmtId="2" fontId="2" fillId="5" borderId="6" xfId="13" applyNumberFormat="1" applyFill="1" applyBorder="1" applyAlignment="1">
      <alignment horizontal="center"/>
    </xf>
    <xf numFmtId="0" fontId="7" fillId="3" borderId="0" xfId="3" applyFont="1" applyFill="1" applyAlignment="1">
      <alignment vertical="center"/>
    </xf>
    <xf numFmtId="0" fontId="7" fillId="3" borderId="0" xfId="3" applyFont="1" applyFill="1" applyAlignment="1">
      <alignment horizontal="center" vertical="center"/>
    </xf>
    <xf numFmtId="164" fontId="7" fillId="3" borderId="0" xfId="3" applyNumberFormat="1" applyFont="1" applyFill="1" applyAlignment="1">
      <alignment horizontal="center" vertical="center"/>
    </xf>
    <xf numFmtId="2" fontId="7" fillId="3" borderId="0" xfId="3" applyNumberFormat="1" applyFont="1" applyFill="1" applyAlignment="1">
      <alignment horizontal="center" vertical="center"/>
    </xf>
    <xf numFmtId="0" fontId="10" fillId="3" borderId="0" xfId="3" applyFont="1" applyFill="1" applyAlignment="1">
      <alignment vertical="center"/>
    </xf>
    <xf numFmtId="0" fontId="15" fillId="3" borderId="0" xfId="3" applyFont="1" applyFill="1"/>
    <xf numFmtId="0" fontId="14" fillId="3" borderId="0" xfId="3" applyFont="1" applyFill="1" applyAlignment="1">
      <alignment vertical="center"/>
    </xf>
    <xf numFmtId="0" fontId="14" fillId="3" borderId="0" xfId="3" applyFont="1" applyFill="1" applyAlignment="1">
      <alignment vertical="center" wrapText="1"/>
    </xf>
    <xf numFmtId="0" fontId="116" fillId="3" borderId="0" xfId="3" applyFont="1" applyFill="1" applyAlignment="1">
      <alignment vertical="center"/>
    </xf>
    <xf numFmtId="0" fontId="15" fillId="3" borderId="0" xfId="3" applyFont="1" applyFill="1" applyAlignment="1">
      <alignment vertical="center"/>
    </xf>
    <xf numFmtId="0" fontId="14" fillId="3" borderId="25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4" fillId="3" borderId="0" xfId="3" applyFont="1" applyFill="1" applyAlignment="1">
      <alignment horizontal="center" vertical="center"/>
    </xf>
    <xf numFmtId="0" fontId="14" fillId="3" borderId="5" xfId="3" quotePrefix="1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0" xfId="3" applyFont="1" applyFill="1" applyAlignment="1">
      <alignment horizontal="center" vertical="center"/>
    </xf>
    <xf numFmtId="0" fontId="14" fillId="3" borderId="0" xfId="3" quotePrefix="1" applyFont="1" applyFill="1" applyAlignment="1">
      <alignment horizontal="center" vertical="center"/>
    </xf>
    <xf numFmtId="1" fontId="4" fillId="3" borderId="25" xfId="3" applyNumberFormat="1" applyFill="1" applyBorder="1" applyAlignment="1">
      <alignment horizontal="center" vertical="center"/>
    </xf>
    <xf numFmtId="165" fontId="4" fillId="3" borderId="5" xfId="3" quotePrefix="1" applyNumberFormat="1" applyFill="1" applyBorder="1" applyAlignment="1">
      <alignment horizontal="center" vertical="center"/>
    </xf>
    <xf numFmtId="165" fontId="4" fillId="3" borderId="5" xfId="3" applyNumberFormat="1" applyFill="1" applyBorder="1" applyAlignment="1">
      <alignment horizontal="center" vertical="center"/>
    </xf>
    <xf numFmtId="2" fontId="4" fillId="3" borderId="5" xfId="3" applyNumberFormat="1" applyFill="1" applyBorder="1" applyAlignment="1">
      <alignment horizontal="center"/>
    </xf>
    <xf numFmtId="2" fontId="4" fillId="3" borderId="5" xfId="3" applyNumberFormat="1" applyFill="1" applyBorder="1" applyAlignment="1">
      <alignment horizontal="center" vertical="center"/>
    </xf>
    <xf numFmtId="1" fontId="4" fillId="3" borderId="5" xfId="3" applyNumberFormat="1" applyFill="1" applyBorder="1" applyAlignment="1">
      <alignment horizontal="center" vertical="center"/>
    </xf>
    <xf numFmtId="2" fontId="4" fillId="3" borderId="26" xfId="3" applyNumberFormat="1" applyFill="1" applyBorder="1" applyAlignment="1">
      <alignment horizontal="center" vertical="center"/>
    </xf>
    <xf numFmtId="1" fontId="4" fillId="3" borderId="0" xfId="3" applyNumberFormat="1" applyFill="1" applyAlignment="1">
      <alignment horizontal="center" vertical="center"/>
    </xf>
    <xf numFmtId="2" fontId="4" fillId="3" borderId="0" xfId="3" applyNumberFormat="1" applyFill="1" applyAlignment="1">
      <alignment horizontal="center" vertical="center"/>
    </xf>
    <xf numFmtId="2" fontId="4" fillId="3" borderId="0" xfId="3" quotePrefix="1" applyNumberFormat="1" applyFill="1" applyAlignment="1">
      <alignment horizontal="center" vertical="center"/>
    </xf>
    <xf numFmtId="2" fontId="4" fillId="3" borderId="0" xfId="3" applyNumberFormat="1" applyFill="1" applyAlignment="1">
      <alignment horizontal="center"/>
    </xf>
    <xf numFmtId="2" fontId="4" fillId="3" borderId="5" xfId="3" quotePrefix="1" applyNumberFormat="1" applyFill="1" applyBorder="1" applyAlignment="1">
      <alignment horizontal="center" vertical="center"/>
    </xf>
    <xf numFmtId="2" fontId="4" fillId="3" borderId="7" xfId="3" applyNumberFormat="1" applyFill="1" applyBorder="1" applyAlignment="1">
      <alignment horizontal="center" vertical="center"/>
    </xf>
    <xf numFmtId="0" fontId="116" fillId="3" borderId="0" xfId="3" applyFont="1" applyFill="1" applyAlignment="1">
      <alignment horizontal="center" vertical="center"/>
    </xf>
    <xf numFmtId="2" fontId="4" fillId="3" borderId="18" xfId="3" applyNumberFormat="1" applyFill="1" applyBorder="1" applyAlignment="1">
      <alignment horizontal="center" vertical="center"/>
    </xf>
    <xf numFmtId="2" fontId="4" fillId="3" borderId="0" xfId="3" applyNumberFormat="1" applyFill="1" applyAlignment="1">
      <alignment vertical="center"/>
    </xf>
    <xf numFmtId="0" fontId="4" fillId="3" borderId="8" xfId="3" applyFill="1" applyBorder="1"/>
    <xf numFmtId="0" fontId="4" fillId="3" borderId="19" xfId="3" applyFill="1" applyBorder="1"/>
    <xf numFmtId="0" fontId="7" fillId="3" borderId="18" xfId="3" applyFont="1" applyFill="1" applyBorder="1"/>
    <xf numFmtId="0" fontId="7" fillId="3" borderId="19" xfId="3" applyFont="1" applyFill="1" applyBorder="1"/>
    <xf numFmtId="1" fontId="4" fillId="3" borderId="18" xfId="3" applyNumberFormat="1" applyFill="1" applyBorder="1" applyAlignment="1">
      <alignment horizontal="center" vertical="center"/>
    </xf>
    <xf numFmtId="165" fontId="4" fillId="3" borderId="0" xfId="3" quotePrefix="1" applyNumberFormat="1" applyFill="1" applyAlignment="1">
      <alignment horizontal="center" vertical="center"/>
    </xf>
    <xf numFmtId="0" fontId="7" fillId="0" borderId="0" xfId="3" applyFont="1"/>
    <xf numFmtId="0" fontId="117" fillId="3" borderId="0" xfId="3" applyFont="1" applyFill="1" applyAlignment="1">
      <alignment vertical="center"/>
    </xf>
    <xf numFmtId="0" fontId="7" fillId="0" borderId="18" xfId="3" applyFont="1" applyBorder="1"/>
    <xf numFmtId="0" fontId="64" fillId="16" borderId="43" xfId="3" applyFont="1" applyFill="1" applyBorder="1" applyAlignment="1">
      <alignment horizontal="center" vertical="center"/>
    </xf>
    <xf numFmtId="0" fontId="64" fillId="16" borderId="5" xfId="3" applyFont="1" applyFill="1" applyBorder="1" applyAlignment="1">
      <alignment horizontal="center" vertical="center"/>
    </xf>
    <xf numFmtId="0" fontId="15" fillId="16" borderId="3" xfId="3" applyFont="1" applyFill="1" applyBorder="1" applyAlignment="1">
      <alignment horizontal="center" vertical="center"/>
    </xf>
    <xf numFmtId="0" fontId="64" fillId="16" borderId="3" xfId="3" applyFont="1" applyFill="1" applyBorder="1" applyAlignment="1">
      <alignment horizontal="center" vertical="center"/>
    </xf>
    <xf numFmtId="0" fontId="15" fillId="16" borderId="5" xfId="3" applyFont="1" applyFill="1" applyBorder="1" applyAlignment="1">
      <alignment horizontal="center" vertical="center"/>
    </xf>
    <xf numFmtId="0" fontId="16" fillId="16" borderId="43" xfId="3" applyFont="1" applyFill="1" applyBorder="1" applyAlignment="1">
      <alignment horizontal="center" vertical="center" wrapText="1"/>
    </xf>
    <xf numFmtId="2" fontId="7" fillId="16" borderId="43" xfId="3" applyNumberFormat="1" applyFont="1" applyFill="1" applyBorder="1" applyAlignment="1">
      <alignment horizontal="center" vertical="center"/>
    </xf>
    <xf numFmtId="0" fontId="4" fillId="13" borderId="44" xfId="3" applyFill="1" applyBorder="1" applyAlignment="1">
      <alignment vertical="center" wrapText="1"/>
    </xf>
    <xf numFmtId="0" fontId="4" fillId="13" borderId="44" xfId="3" applyFill="1" applyBorder="1" applyAlignment="1">
      <alignment horizontal="center" vertical="center" wrapText="1"/>
    </xf>
    <xf numFmtId="0" fontId="16" fillId="16" borderId="5" xfId="3" applyFont="1" applyFill="1" applyBorder="1" applyAlignment="1">
      <alignment horizontal="center" vertical="center" wrapText="1"/>
    </xf>
    <xf numFmtId="2" fontId="7" fillId="16" borderId="5" xfId="3" applyNumberFormat="1" applyFont="1" applyFill="1" applyBorder="1" applyAlignment="1">
      <alignment horizontal="center" vertical="center"/>
    </xf>
    <xf numFmtId="0" fontId="4" fillId="13" borderId="26" xfId="3" applyFill="1" applyBorder="1" applyAlignment="1">
      <alignment vertical="center" wrapText="1"/>
    </xf>
    <xf numFmtId="0" fontId="4" fillId="13" borderId="26" xfId="3" applyFill="1" applyBorder="1" applyAlignment="1">
      <alignment horizontal="center" vertical="center" wrapText="1"/>
    </xf>
    <xf numFmtId="0" fontId="4" fillId="13" borderId="26" xfId="3" applyFill="1" applyBorder="1" applyAlignment="1">
      <alignment horizontal="center" vertical="center"/>
    </xf>
    <xf numFmtId="2" fontId="7" fillId="16" borderId="4" xfId="3" applyNumberFormat="1" applyFont="1" applyFill="1" applyBorder="1" applyAlignment="1">
      <alignment horizontal="center" vertical="center"/>
    </xf>
    <xf numFmtId="0" fontId="4" fillId="13" borderId="37" xfId="3" applyFill="1" applyBorder="1" applyAlignment="1">
      <alignment horizontal="center" vertical="center" wrapText="1"/>
    </xf>
    <xf numFmtId="0" fontId="16" fillId="16" borderId="4" xfId="3" applyFont="1" applyFill="1" applyBorder="1" applyAlignment="1">
      <alignment horizontal="center" vertical="center" wrapText="1"/>
    </xf>
    <xf numFmtId="0" fontId="16" fillId="16" borderId="62" xfId="3" applyFont="1" applyFill="1" applyBorder="1" applyAlignment="1">
      <alignment horizontal="center" vertical="center" wrapText="1"/>
    </xf>
    <xf numFmtId="2" fontId="4" fillId="0" borderId="39" xfId="3" applyNumberFormat="1" applyBorder="1" applyAlignment="1">
      <alignment horizontal="center" vertical="center"/>
    </xf>
    <xf numFmtId="0" fontId="4" fillId="13" borderId="64" xfId="3" applyFill="1" applyBorder="1" applyAlignment="1">
      <alignment horizontal="center" vertical="center" wrapText="1"/>
    </xf>
    <xf numFmtId="0" fontId="16" fillId="16" borderId="39" xfId="3" applyFont="1" applyFill="1" applyBorder="1" applyAlignment="1">
      <alignment horizontal="center" vertical="center" wrapText="1"/>
    </xf>
    <xf numFmtId="1" fontId="4" fillId="0" borderId="39" xfId="3" applyNumberFormat="1" applyBorder="1" applyAlignment="1">
      <alignment horizontal="center" vertical="center"/>
    </xf>
    <xf numFmtId="0" fontId="7" fillId="16" borderId="50" xfId="3" applyFont="1" applyFill="1" applyBorder="1" applyAlignment="1">
      <alignment horizontal="center" vertical="center" wrapText="1"/>
    </xf>
    <xf numFmtId="2" fontId="4" fillId="0" borderId="21" xfId="3" applyNumberFormat="1" applyBorder="1" applyAlignment="1">
      <alignment horizontal="center" vertical="center"/>
    </xf>
    <xf numFmtId="0" fontId="7" fillId="16" borderId="54" xfId="3" applyFont="1" applyFill="1" applyBorder="1" applyAlignment="1">
      <alignment horizontal="center" vertical="center" wrapText="1"/>
    </xf>
    <xf numFmtId="0" fontId="7" fillId="16" borderId="0" xfId="3" applyFont="1" applyFill="1" applyAlignment="1">
      <alignment horizontal="center" vertical="center" wrapText="1"/>
    </xf>
    <xf numFmtId="0" fontId="16" fillId="16" borderId="0" xfId="3" applyFont="1" applyFill="1" applyAlignment="1">
      <alignment horizontal="center" vertical="center" wrapText="1"/>
    </xf>
    <xf numFmtId="2" fontId="7" fillId="16" borderId="0" xfId="3" applyNumberFormat="1" applyFont="1" applyFill="1" applyAlignment="1">
      <alignment horizontal="center" vertical="center"/>
    </xf>
    <xf numFmtId="0" fontId="4" fillId="13" borderId="0" xfId="3" applyFill="1" applyAlignment="1">
      <alignment horizontal="center" vertical="center" wrapText="1"/>
    </xf>
    <xf numFmtId="0" fontId="4" fillId="13" borderId="40" xfId="3" applyFill="1" applyBorder="1" applyAlignment="1">
      <alignment horizontal="center" vertical="center" wrapText="1"/>
    </xf>
    <xf numFmtId="0" fontId="7" fillId="3" borderId="0" xfId="3" applyFont="1" applyFill="1" applyAlignment="1">
      <alignment horizontal="center" vertical="center" wrapText="1"/>
    </xf>
    <xf numFmtId="0" fontId="16" fillId="3" borderId="0" xfId="3" applyFont="1" applyFill="1" applyAlignment="1">
      <alignment horizontal="center" vertical="center" wrapText="1"/>
    </xf>
    <xf numFmtId="0" fontId="4" fillId="3" borderId="0" xfId="3" applyFill="1" applyAlignment="1">
      <alignment horizontal="center" vertical="center" wrapText="1"/>
    </xf>
    <xf numFmtId="2" fontId="7" fillId="0" borderId="5" xfId="3" applyNumberFormat="1" applyFont="1" applyBorder="1" applyAlignment="1">
      <alignment horizontal="center" vertical="center"/>
    </xf>
    <xf numFmtId="0" fontId="7" fillId="3" borderId="18" xfId="3" applyFont="1" applyFill="1" applyBorder="1" applyAlignment="1">
      <alignment horizontal="center" vertical="center"/>
    </xf>
    <xf numFmtId="165" fontId="7" fillId="3" borderId="0" xfId="3" applyNumberFormat="1" applyFont="1" applyFill="1" applyAlignment="1">
      <alignment horizontal="center" vertical="center"/>
    </xf>
    <xf numFmtId="165" fontId="16" fillId="3" borderId="0" xfId="3" applyNumberFormat="1" applyFont="1" applyFill="1" applyAlignment="1">
      <alignment horizontal="center" vertical="center"/>
    </xf>
    <xf numFmtId="0" fontId="16" fillId="3" borderId="0" xfId="3" applyFont="1" applyFill="1" applyAlignment="1">
      <alignment vertical="center" wrapText="1"/>
    </xf>
    <xf numFmtId="0" fontId="16" fillId="3" borderId="32" xfId="3" applyFont="1" applyFill="1" applyBorder="1" applyAlignment="1">
      <alignment horizontal="center" vertical="center" wrapText="1"/>
    </xf>
    <xf numFmtId="0" fontId="16" fillId="3" borderId="33" xfId="3" applyFont="1" applyFill="1" applyBorder="1" applyAlignment="1">
      <alignment horizontal="center" vertical="center" wrapText="1"/>
    </xf>
    <xf numFmtId="0" fontId="4" fillId="7" borderId="0" xfId="3" applyFill="1"/>
    <xf numFmtId="0" fontId="64" fillId="3" borderId="5" xfId="3" applyFont="1" applyFill="1" applyBorder="1" applyAlignment="1">
      <alignment horizontal="center" vertical="center"/>
    </xf>
    <xf numFmtId="0" fontId="4" fillId="0" borderId="1" xfId="3" applyBorder="1"/>
    <xf numFmtId="0" fontId="4" fillId="0" borderId="27" xfId="3" applyBorder="1"/>
    <xf numFmtId="0" fontId="4" fillId="0" borderId="4" xfId="3" applyBorder="1"/>
    <xf numFmtId="0" fontId="4" fillId="0" borderId="37" xfId="3" applyBorder="1"/>
    <xf numFmtId="2" fontId="7" fillId="3" borderId="5" xfId="3" applyNumberFormat="1" applyFont="1" applyFill="1" applyBorder="1" applyAlignment="1">
      <alignment horizontal="center" vertical="center"/>
    </xf>
    <xf numFmtId="164" fontId="118" fillId="12" borderId="25" xfId="3" applyNumberFormat="1" applyFont="1" applyFill="1" applyBorder="1" applyAlignment="1">
      <alignment horizontal="center" vertical="center" wrapText="1"/>
    </xf>
    <xf numFmtId="2" fontId="118" fillId="12" borderId="5" xfId="3" applyNumberFormat="1" applyFont="1" applyFill="1" applyBorder="1" applyAlignment="1">
      <alignment horizontal="center" vertical="center"/>
    </xf>
    <xf numFmtId="164" fontId="118" fillId="12" borderId="5" xfId="3" applyNumberFormat="1" applyFont="1" applyFill="1" applyBorder="1" applyAlignment="1">
      <alignment horizontal="center" vertical="center"/>
    </xf>
    <xf numFmtId="2" fontId="68" fillId="0" borderId="5" xfId="3" applyNumberFormat="1" applyFont="1" applyBorder="1" applyAlignment="1">
      <alignment horizontal="center" vertical="center"/>
    </xf>
    <xf numFmtId="2" fontId="68" fillId="3" borderId="26" xfId="3" applyNumberFormat="1" applyFont="1" applyFill="1" applyBorder="1" applyAlignment="1">
      <alignment horizontal="center" vertical="center"/>
    </xf>
    <xf numFmtId="165" fontId="4" fillId="3" borderId="0" xfId="3" applyNumberFormat="1" applyFill="1" applyAlignment="1">
      <alignment horizontal="center" vertical="center"/>
    </xf>
    <xf numFmtId="2" fontId="7" fillId="3" borderId="18" xfId="3" applyNumberFormat="1" applyFont="1" applyFill="1" applyBorder="1" applyAlignment="1">
      <alignment horizontal="center" vertical="center"/>
    </xf>
    <xf numFmtId="0" fontId="16" fillId="3" borderId="0" xfId="3" applyFont="1" applyFill="1" applyAlignment="1">
      <alignment horizontal="center"/>
    </xf>
    <xf numFmtId="2" fontId="16" fillId="3" borderId="0" xfId="3" applyNumberFormat="1" applyFont="1" applyFill="1" applyAlignment="1">
      <alignment horizontal="center"/>
    </xf>
    <xf numFmtId="0" fontId="16" fillId="3" borderId="5" xfId="3" applyFont="1" applyFill="1" applyBorder="1" applyAlignment="1">
      <alignment horizontal="center"/>
    </xf>
    <xf numFmtId="2" fontId="16" fillId="3" borderId="26" xfId="3" applyNumberFormat="1" applyFont="1" applyFill="1" applyBorder="1" applyAlignment="1">
      <alignment horizontal="center"/>
    </xf>
    <xf numFmtId="165" fontId="16" fillId="3" borderId="5" xfId="3" applyNumberFormat="1" applyFont="1" applyFill="1" applyBorder="1" applyAlignment="1">
      <alignment horizontal="center"/>
    </xf>
    <xf numFmtId="0" fontId="16" fillId="3" borderId="26" xfId="3" applyFont="1" applyFill="1" applyBorder="1" applyAlignment="1">
      <alignment horizontal="center"/>
    </xf>
    <xf numFmtId="0" fontId="16" fillId="3" borderId="38" xfId="3" applyFont="1" applyFill="1" applyBorder="1" applyAlignment="1">
      <alignment horizontal="center" vertical="center"/>
    </xf>
    <xf numFmtId="0" fontId="16" fillId="3" borderId="39" xfId="3" applyFont="1" applyFill="1" applyBorder="1" applyAlignment="1">
      <alignment horizontal="center"/>
    </xf>
    <xf numFmtId="0" fontId="16" fillId="3" borderId="40" xfId="3" applyFont="1" applyFill="1" applyBorder="1" applyAlignment="1">
      <alignment horizontal="center"/>
    </xf>
    <xf numFmtId="2" fontId="16" fillId="3" borderId="40" xfId="3" applyNumberFormat="1" applyFont="1" applyFill="1" applyBorder="1" applyAlignment="1">
      <alignment horizontal="center"/>
    </xf>
    <xf numFmtId="0" fontId="16" fillId="3" borderId="18" xfId="3" applyFont="1" applyFill="1" applyBorder="1" applyAlignment="1">
      <alignment horizontal="center" vertical="center"/>
    </xf>
    <xf numFmtId="165" fontId="7" fillId="0" borderId="0" xfId="3" applyNumberFormat="1" applyFont="1"/>
    <xf numFmtId="0" fontId="63" fillId="3" borderId="42" xfId="3" applyFont="1" applyFill="1" applyBorder="1" applyAlignment="1">
      <alignment horizontal="center" vertical="center" wrapText="1"/>
    </xf>
    <xf numFmtId="0" fontId="63" fillId="3" borderId="43" xfId="3" applyFont="1" applyFill="1" applyBorder="1" applyAlignment="1">
      <alignment horizontal="center" vertical="center" wrapText="1"/>
    </xf>
    <xf numFmtId="0" fontId="16" fillId="3" borderId="43" xfId="3" applyFont="1" applyFill="1" applyBorder="1" applyAlignment="1">
      <alignment horizontal="center" vertical="center" wrapText="1"/>
    </xf>
    <xf numFmtId="0" fontId="16" fillId="3" borderId="43" xfId="12" applyFont="1" applyFill="1" applyBorder="1" applyAlignment="1">
      <alignment horizontal="center" vertical="center" wrapText="1"/>
    </xf>
    <xf numFmtId="0" fontId="16" fillId="3" borderId="43" xfId="1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wrapText="1"/>
    </xf>
    <xf numFmtId="0" fontId="8" fillId="3" borderId="44" xfId="3" applyFont="1" applyFill="1" applyBorder="1" applyAlignment="1">
      <alignment horizontal="center" vertical="center" wrapText="1"/>
    </xf>
    <xf numFmtId="1" fontId="57" fillId="5" borderId="25" xfId="3" applyNumberFormat="1" applyFont="1" applyFill="1" applyBorder="1" applyAlignment="1">
      <alignment horizontal="center" vertical="center"/>
    </xf>
    <xf numFmtId="2" fontId="57" fillId="5" borderId="5" xfId="3" applyNumberFormat="1" applyFont="1" applyFill="1" applyBorder="1" applyAlignment="1">
      <alignment horizontal="center" vertical="center"/>
    </xf>
    <xf numFmtId="2" fontId="57" fillId="0" borderId="5" xfId="3" applyNumberFormat="1" applyFont="1" applyBorder="1" applyAlignment="1">
      <alignment horizontal="center"/>
    </xf>
    <xf numFmtId="165" fontId="41" fillId="3" borderId="5" xfId="13" applyNumberFormat="1" applyFont="1" applyFill="1" applyBorder="1" applyAlignment="1">
      <alignment horizontal="center" vertical="center"/>
    </xf>
    <xf numFmtId="165" fontId="98" fillId="3" borderId="5" xfId="3" applyNumberFormat="1" applyFont="1" applyFill="1" applyBorder="1" applyAlignment="1">
      <alignment horizontal="center" vertical="center"/>
    </xf>
    <xf numFmtId="165" fontId="41" fillId="3" borderId="5" xfId="3" applyNumberFormat="1" applyFont="1" applyFill="1" applyBorder="1" applyAlignment="1">
      <alignment horizontal="center" vertical="center"/>
    </xf>
    <xf numFmtId="165" fontId="41" fillId="3" borderId="26" xfId="3" applyNumberFormat="1" applyFont="1" applyFill="1" applyBorder="1" applyAlignment="1">
      <alignment horizontal="center" vertical="center"/>
    </xf>
    <xf numFmtId="0" fontId="41" fillId="3" borderId="39" xfId="13" applyFont="1" applyFill="1" applyBorder="1" applyAlignment="1">
      <alignment horizontal="center" vertical="center"/>
    </xf>
    <xf numFmtId="165" fontId="98" fillId="3" borderId="39" xfId="3" applyNumberFormat="1" applyFont="1" applyFill="1" applyBorder="1" applyAlignment="1">
      <alignment horizontal="center" vertical="center"/>
    </xf>
    <xf numFmtId="165" fontId="75" fillId="3" borderId="39" xfId="3" applyNumberFormat="1" applyFont="1" applyFill="1" applyBorder="1" applyAlignment="1">
      <alignment horizontal="center" vertical="center"/>
    </xf>
    <xf numFmtId="165" fontId="75" fillId="3" borderId="40" xfId="3" applyNumberFormat="1" applyFont="1" applyFill="1" applyBorder="1" applyAlignment="1">
      <alignment horizontal="center" vertical="center"/>
    </xf>
    <xf numFmtId="0" fontId="19" fillId="5" borderId="30" xfId="3" applyFont="1" applyFill="1" applyBorder="1" applyAlignment="1">
      <alignment vertical="center"/>
    </xf>
    <xf numFmtId="0" fontId="19" fillId="3" borderId="52" xfId="3" applyFont="1" applyFill="1" applyBorder="1" applyAlignment="1">
      <alignment vertical="center"/>
    </xf>
    <xf numFmtId="0" fontId="19" fillId="3" borderId="68" xfId="3" applyFont="1" applyFill="1" applyBorder="1" applyAlignment="1">
      <alignment horizontal="center" vertical="center"/>
    </xf>
    <xf numFmtId="0" fontId="42" fillId="0" borderId="0" xfId="3" applyFont="1" applyAlignment="1">
      <alignment horizontal="left" vertical="center"/>
    </xf>
    <xf numFmtId="0" fontId="6" fillId="3" borderId="10" xfId="3" applyFont="1" applyFill="1" applyBorder="1" applyAlignment="1">
      <alignment vertical="center"/>
    </xf>
    <xf numFmtId="0" fontId="6" fillId="3" borderId="4" xfId="3" applyFont="1" applyFill="1" applyBorder="1" applyAlignment="1">
      <alignment horizontal="center" vertical="center"/>
    </xf>
    <xf numFmtId="1" fontId="7" fillId="3" borderId="13" xfId="3" applyNumberFormat="1" applyFont="1" applyFill="1" applyBorder="1" applyAlignment="1">
      <alignment horizontal="center" vertical="center"/>
    </xf>
    <xf numFmtId="0" fontId="4" fillId="0" borderId="4" xfId="3" applyBorder="1" applyAlignment="1">
      <alignment horizontal="center"/>
    </xf>
    <xf numFmtId="0" fontId="39" fillId="0" borderId="7" xfId="3" applyFont="1" applyBorder="1" applyAlignment="1">
      <alignment horizontal="center" vertical="center"/>
    </xf>
    <xf numFmtId="0" fontId="6" fillId="3" borderId="7" xfId="3" applyFont="1" applyFill="1" applyBorder="1" applyAlignment="1">
      <alignment vertical="center"/>
    </xf>
    <xf numFmtId="1" fontId="7" fillId="3" borderId="6" xfId="3" applyNumberFormat="1" applyFont="1" applyFill="1" applyBorder="1" applyAlignment="1">
      <alignment horizontal="center" vertical="center"/>
    </xf>
    <xf numFmtId="0" fontId="6" fillId="3" borderId="8" xfId="3" applyFont="1" applyFill="1" applyBorder="1" applyAlignment="1">
      <alignment vertical="center"/>
    </xf>
    <xf numFmtId="0" fontId="42" fillId="3" borderId="0" xfId="3" applyFont="1" applyFill="1" applyAlignment="1" applyProtection="1">
      <alignment horizontal="left" vertical="center"/>
      <protection locked="0"/>
    </xf>
    <xf numFmtId="165" fontId="6" fillId="3" borderId="5" xfId="3" applyNumberFormat="1" applyFont="1" applyFill="1" applyBorder="1" applyAlignment="1">
      <alignment horizontal="center" vertical="center"/>
    </xf>
    <xf numFmtId="0" fontId="4" fillId="0" borderId="3" xfId="3" applyBorder="1" applyAlignment="1">
      <alignment horizontal="center"/>
    </xf>
    <xf numFmtId="0" fontId="39" fillId="0" borderId="8" xfId="3" applyFont="1" applyBorder="1" applyAlignment="1">
      <alignment horizontal="center" vertical="center"/>
    </xf>
    <xf numFmtId="0" fontId="4" fillId="0" borderId="68" xfId="3" applyBorder="1" applyAlignment="1">
      <alignment horizontal="center"/>
    </xf>
    <xf numFmtId="0" fontId="4" fillId="3" borderId="0" xfId="3" applyFill="1" applyAlignment="1">
      <alignment horizontal="center" vertical="center"/>
    </xf>
    <xf numFmtId="0" fontId="20" fillId="3" borderId="0" xfId="3" quotePrefix="1" applyFont="1" applyFill="1" applyAlignment="1" applyProtection="1">
      <alignment horizontal="left"/>
      <protection locked="0"/>
    </xf>
    <xf numFmtId="0" fontId="15" fillId="0" borderId="29" xfId="2" applyFont="1" applyBorder="1" applyAlignment="1">
      <alignment horizontal="center" vertical="center"/>
    </xf>
    <xf numFmtId="0" fontId="14" fillId="0" borderId="68" xfId="2" applyFont="1" applyBorder="1" applyAlignment="1">
      <alignment horizontal="center" vertical="center"/>
    </xf>
    <xf numFmtId="0" fontId="37" fillId="0" borderId="52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4" fillId="0" borderId="62" xfId="2" applyBorder="1" applyAlignment="1">
      <alignment horizontal="center" vertical="center"/>
    </xf>
    <xf numFmtId="0" fontId="4" fillId="0" borderId="64" xfId="2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4" fillId="3" borderId="0" xfId="2" applyFill="1"/>
    <xf numFmtId="0" fontId="16" fillId="0" borderId="0" xfId="13" applyFont="1" applyAlignment="1">
      <alignment horizontal="center" vertical="center"/>
    </xf>
    <xf numFmtId="2" fontId="16" fillId="0" borderId="0" xfId="13" applyNumberFormat="1" applyFont="1" applyAlignment="1">
      <alignment horizontal="center" vertical="center"/>
    </xf>
    <xf numFmtId="0" fontId="57" fillId="16" borderId="5" xfId="2" applyFont="1" applyFill="1" applyBorder="1" applyAlignment="1">
      <alignment horizontal="center" vertical="center"/>
    </xf>
    <xf numFmtId="164" fontId="41" fillId="12" borderId="5" xfId="3" applyNumberFormat="1" applyFont="1" applyFill="1" applyBorder="1" applyAlignment="1">
      <alignment horizontal="center" vertical="center" wrapText="1"/>
    </xf>
    <xf numFmtId="165" fontId="41" fillId="12" borderId="5" xfId="3" applyNumberFormat="1" applyFont="1" applyFill="1" applyBorder="1" applyAlignment="1">
      <alignment horizontal="center" vertical="center"/>
    </xf>
    <xf numFmtId="2" fontId="41" fillId="12" borderId="5" xfId="3" applyNumberFormat="1" applyFont="1" applyFill="1" applyBorder="1" applyAlignment="1">
      <alignment horizontal="center" vertical="center"/>
    </xf>
    <xf numFmtId="0" fontId="57" fillId="3" borderId="5" xfId="2" applyFont="1" applyFill="1" applyBorder="1" applyAlignment="1">
      <alignment horizontal="center" vertical="center"/>
    </xf>
    <xf numFmtId="0" fontId="57" fillId="0" borderId="34" xfId="2" applyFont="1" applyBorder="1"/>
    <xf numFmtId="0" fontId="57" fillId="0" borderId="23" xfId="2" applyFont="1" applyBorder="1"/>
    <xf numFmtId="0" fontId="57" fillId="0" borderId="41" xfId="2" applyFont="1" applyBorder="1"/>
    <xf numFmtId="0" fontId="43" fillId="0" borderId="0" xfId="2" applyFont="1" applyAlignment="1">
      <alignment horizontal="center"/>
    </xf>
    <xf numFmtId="0" fontId="4" fillId="0" borderId="0" xfId="12"/>
    <xf numFmtId="0" fontId="7" fillId="0" borderId="0" xfId="12" applyFont="1"/>
    <xf numFmtId="0" fontId="54" fillId="0" borderId="0" xfId="0" applyFont="1"/>
    <xf numFmtId="0" fontId="71" fillId="2" borderId="0" xfId="2" applyFont="1" applyFill="1"/>
    <xf numFmtId="164" fontId="70" fillId="3" borderId="0" xfId="2" applyNumberFormat="1" applyFont="1" applyFill="1" applyProtection="1">
      <protection locked="0"/>
    </xf>
    <xf numFmtId="0" fontId="19" fillId="11" borderId="0" xfId="2" applyFont="1" applyFill="1"/>
    <xf numFmtId="0" fontId="45" fillId="0" borderId="0" xfId="2" applyFont="1"/>
    <xf numFmtId="164" fontId="71" fillId="0" borderId="5" xfId="0" applyNumberFormat="1" applyFont="1" applyBorder="1" applyAlignment="1">
      <alignment horizontal="center" vertical="center" wrapText="1"/>
    </xf>
    <xf numFmtId="165" fontId="51" fillId="2" borderId="0" xfId="0" applyNumberFormat="1" applyFont="1" applyFill="1" applyAlignment="1">
      <alignment horizontal="center" vertical="center"/>
    </xf>
    <xf numFmtId="0" fontId="6" fillId="0" borderId="0" xfId="12" applyFont="1"/>
    <xf numFmtId="165" fontId="42" fillId="0" borderId="5" xfId="12" applyNumberFormat="1" applyFont="1" applyBorder="1" applyAlignment="1">
      <alignment horizontal="center" vertical="center"/>
    </xf>
    <xf numFmtId="2" fontId="51" fillId="2" borderId="2" xfId="0" applyNumberFormat="1" applyFont="1" applyFill="1" applyBorder="1" applyAlignment="1">
      <alignment horizontal="center" vertical="center"/>
    </xf>
    <xf numFmtId="2" fontId="51" fillId="2" borderId="0" xfId="0" applyNumberFormat="1" applyFont="1" applyFill="1" applyAlignment="1">
      <alignment horizontal="center" vertical="center"/>
    </xf>
    <xf numFmtId="0" fontId="57" fillId="0" borderId="0" xfId="2" quotePrefix="1" applyFont="1"/>
    <xf numFmtId="0" fontId="106" fillId="0" borderId="6" xfId="13" applyFont="1" applyBorder="1" applyAlignment="1">
      <alignment horizontal="center"/>
    </xf>
    <xf numFmtId="0" fontId="42" fillId="0" borderId="0" xfId="0" applyFont="1" applyAlignment="1">
      <alignment horizontal="center" vertical="center" wrapText="1"/>
    </xf>
    <xf numFmtId="2" fontId="71" fillId="0" borderId="5" xfId="0" applyNumberFormat="1" applyFont="1" applyBorder="1" applyAlignment="1">
      <alignment horizontal="center" vertical="center" wrapText="1"/>
    </xf>
    <xf numFmtId="182" fontId="71" fillId="0" borderId="5" xfId="0" applyNumberFormat="1" applyFont="1" applyBorder="1" applyAlignment="1">
      <alignment horizontal="center" vertical="center" wrapText="1"/>
    </xf>
    <xf numFmtId="1" fontId="51" fillId="2" borderId="5" xfId="0" applyNumberFormat="1" applyFont="1" applyFill="1" applyBorder="1" applyAlignment="1">
      <alignment horizontal="right" vertical="center"/>
    </xf>
    <xf numFmtId="0" fontId="6" fillId="0" borderId="5" xfId="12" applyFont="1" applyBorder="1"/>
    <xf numFmtId="0" fontId="6" fillId="0" borderId="5" xfId="12" applyFont="1" applyBorder="1" applyAlignment="1">
      <alignment horizontal="left"/>
    </xf>
    <xf numFmtId="0" fontId="7" fillId="0" borderId="5" xfId="12" applyFont="1" applyBorder="1" applyAlignment="1">
      <alignment horizontal="left"/>
    </xf>
    <xf numFmtId="0" fontId="37" fillId="0" borderId="5" xfId="12" applyFont="1" applyBorder="1" applyAlignment="1">
      <alignment horizontal="left" vertical="center" wrapText="1"/>
    </xf>
    <xf numFmtId="0" fontId="71" fillId="0" borderId="0" xfId="2" applyFont="1" applyAlignment="1">
      <alignment horizontal="center" vertical="center"/>
    </xf>
    <xf numFmtId="0" fontId="71" fillId="0" borderId="0" xfId="2" applyFont="1" applyAlignment="1">
      <alignment vertical="center" wrapText="1"/>
    </xf>
    <xf numFmtId="0" fontId="71" fillId="3" borderId="0" xfId="2" applyFont="1" applyFill="1" applyAlignment="1">
      <alignment horizontal="center" vertical="center"/>
    </xf>
    <xf numFmtId="164" fontId="71" fillId="3" borderId="0" xfId="2" applyNumberFormat="1" applyFont="1" applyFill="1" applyAlignment="1" applyProtection="1">
      <alignment horizontal="center"/>
      <protection locked="0"/>
    </xf>
    <xf numFmtId="164" fontId="71" fillId="0" borderId="0" xfId="2" applyNumberFormat="1" applyFont="1" applyAlignment="1">
      <alignment horizontal="center" vertical="center" wrapText="1"/>
    </xf>
    <xf numFmtId="164" fontId="71" fillId="0" borderId="0" xfId="2" applyNumberFormat="1" applyFont="1" applyAlignment="1">
      <alignment horizontal="center" vertical="center"/>
    </xf>
    <xf numFmtId="2" fontId="71" fillId="0" borderId="0" xfId="2" applyNumberFormat="1" applyFont="1" applyAlignment="1">
      <alignment horizontal="center" vertical="center"/>
    </xf>
    <xf numFmtId="1" fontId="63" fillId="0" borderId="0" xfId="2" applyNumberFormat="1" applyFont="1" applyAlignment="1">
      <alignment horizontal="right" vertical="center"/>
    </xf>
    <xf numFmtId="0" fontId="9" fillId="0" borderId="0" xfId="2" applyFont="1"/>
    <xf numFmtId="1" fontId="4" fillId="0" borderId="0" xfId="12" applyNumberFormat="1" applyAlignment="1">
      <alignment horizontal="right"/>
    </xf>
    <xf numFmtId="1" fontId="4" fillId="5" borderId="5" xfId="0" applyNumberFormat="1" applyFont="1" applyFill="1" applyBorder="1" applyAlignment="1" applyProtection="1">
      <alignment horizontal="center" vertical="center"/>
      <protection hidden="1"/>
    </xf>
    <xf numFmtId="1" fontId="4" fillId="5" borderId="0" xfId="0" applyNumberFormat="1" applyFont="1" applyFill="1" applyAlignment="1" applyProtection="1">
      <alignment horizontal="center" vertical="center"/>
      <protection hidden="1"/>
    </xf>
    <xf numFmtId="0" fontId="19" fillId="0" borderId="0" xfId="0" applyFont="1" applyAlignment="1">
      <alignment horizontal="center" vertical="center"/>
    </xf>
    <xf numFmtId="0" fontId="71" fillId="3" borderId="6" xfId="1" applyFont="1" applyFill="1" applyBorder="1" applyAlignment="1" applyProtection="1">
      <alignment horizontal="left" vertical="center"/>
      <protection locked="0"/>
    </xf>
    <xf numFmtId="1" fontId="57" fillId="5" borderId="0" xfId="0" applyNumberFormat="1" applyFont="1" applyFill="1" applyAlignment="1" applyProtection="1">
      <alignment horizontal="center" vertical="center"/>
      <protection hidden="1"/>
    </xf>
    <xf numFmtId="0" fontId="37" fillId="0" borderId="5" xfId="12" applyFont="1" applyBorder="1" applyAlignment="1">
      <alignment horizontal="center" vertical="center" wrapText="1"/>
    </xf>
    <xf numFmtId="0" fontId="43" fillId="2" borderId="0" xfId="0" applyFont="1" applyFill="1" applyAlignment="1">
      <alignment vertical="center"/>
    </xf>
    <xf numFmtId="0" fontId="42" fillId="2" borderId="0" xfId="0" applyFont="1" applyFill="1" applyAlignment="1">
      <alignment vertical="center"/>
    </xf>
    <xf numFmtId="0" fontId="43" fillId="0" borderId="0" xfId="0" quotePrefix="1" applyFont="1" applyAlignment="1">
      <alignment horizontal="left" vertical="center"/>
    </xf>
    <xf numFmtId="184" fontId="42" fillId="0" borderId="6" xfId="0" applyNumberFormat="1" applyFont="1" applyBorder="1" applyAlignment="1">
      <alignment horizontal="right" vertical="center"/>
    </xf>
    <xf numFmtId="0" fontId="4" fillId="0" borderId="0" xfId="0" applyFont="1"/>
    <xf numFmtId="0" fontId="43" fillId="0" borderId="0" xfId="0" quotePrefix="1" applyFont="1"/>
    <xf numFmtId="0" fontId="28" fillId="0" borderId="14" xfId="0" quotePrefix="1" applyFont="1" applyBorder="1" applyAlignment="1">
      <alignment horizontal="left" vertical="center"/>
    </xf>
    <xf numFmtId="0" fontId="29" fillId="0" borderId="13" xfId="0" applyFont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165" fontId="25" fillId="2" borderId="6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42" fillId="0" borderId="12" xfId="0" applyFont="1" applyBorder="1" applyAlignment="1">
      <alignment horizontal="left" vertical="center"/>
    </xf>
    <xf numFmtId="0" fontId="107" fillId="2" borderId="0" xfId="0" applyFont="1" applyFill="1" applyAlignment="1">
      <alignment vertical="center"/>
    </xf>
    <xf numFmtId="0" fontId="107" fillId="2" borderId="0" xfId="0" applyFont="1" applyFill="1"/>
    <xf numFmtId="164" fontId="51" fillId="2" borderId="0" xfId="0" quotePrefix="1" applyNumberFormat="1" applyFont="1" applyFill="1" applyAlignment="1">
      <alignment vertical="center"/>
    </xf>
    <xf numFmtId="0" fontId="43" fillId="0" borderId="0" xfId="0" quotePrefix="1" applyFont="1" applyAlignment="1" applyProtection="1">
      <alignment vertical="center"/>
      <protection locked="0"/>
    </xf>
    <xf numFmtId="0" fontId="42" fillId="0" borderId="8" xfId="0" applyFont="1" applyBorder="1" applyAlignment="1" applyProtection="1">
      <alignment horizontal="center" vertical="center" wrapText="1"/>
      <protection locked="0"/>
    </xf>
    <xf numFmtId="0" fontId="42" fillId="0" borderId="0" xfId="0" applyFont="1" applyAlignment="1" applyProtection="1">
      <alignment horizontal="center" vertical="center" wrapText="1"/>
      <protection locked="0"/>
    </xf>
    <xf numFmtId="0" fontId="51" fillId="2" borderId="6" xfId="0" applyFont="1" applyFill="1" applyBorder="1" applyAlignment="1">
      <alignment vertical="center"/>
    </xf>
    <xf numFmtId="0" fontId="2" fillId="3" borderId="0" xfId="13" applyFill="1" applyAlignment="1">
      <alignment horizontal="center"/>
    </xf>
    <xf numFmtId="0" fontId="73" fillId="3" borderId="0" xfId="13" applyFont="1" applyFill="1"/>
    <xf numFmtId="0" fontId="2" fillId="3" borderId="0" xfId="13" applyFill="1"/>
    <xf numFmtId="2" fontId="2" fillId="3" borderId="0" xfId="13" applyNumberFormat="1" applyFill="1"/>
    <xf numFmtId="164" fontId="2" fillId="3" borderId="0" xfId="13" applyNumberFormat="1" applyFill="1"/>
    <xf numFmtId="0" fontId="115" fillId="3" borderId="0" xfId="13" applyFont="1" applyFill="1" applyAlignment="1">
      <alignment horizontal="left"/>
    </xf>
    <xf numFmtId="0" fontId="73" fillId="3" borderId="0" xfId="13" applyFont="1" applyFill="1" applyAlignment="1">
      <alignment horizontal="center"/>
    </xf>
    <xf numFmtId="2" fontId="2" fillId="3" borderId="0" xfId="13" applyNumberFormat="1" applyFill="1" applyAlignment="1">
      <alignment horizontal="center"/>
    </xf>
    <xf numFmtId="167" fontId="2" fillId="3" borderId="0" xfId="13" applyNumberFormat="1" applyFill="1" applyAlignment="1">
      <alignment horizontal="center"/>
    </xf>
    <xf numFmtId="180" fontId="2" fillId="3" borderId="0" xfId="13" applyNumberFormat="1" applyFill="1" applyAlignment="1">
      <alignment horizontal="center"/>
    </xf>
    <xf numFmtId="11" fontId="2" fillId="3" borderId="0" xfId="13" applyNumberFormat="1" applyFill="1" applyAlignment="1">
      <alignment horizontal="center"/>
    </xf>
    <xf numFmtId="0" fontId="4" fillId="3" borderId="0" xfId="13" applyFont="1" applyFill="1"/>
    <xf numFmtId="166" fontId="2" fillId="3" borderId="0" xfId="13" applyNumberFormat="1" applyFill="1" applyAlignment="1">
      <alignment horizontal="center"/>
    </xf>
    <xf numFmtId="0" fontId="115" fillId="3" borderId="0" xfId="13" applyFont="1" applyFill="1" applyAlignment="1">
      <alignment horizontal="center"/>
    </xf>
    <xf numFmtId="167" fontId="2" fillId="3" borderId="0" xfId="13" applyNumberFormat="1" applyFill="1" applyAlignment="1">
      <alignment horizontal="center" vertical="center"/>
    </xf>
    <xf numFmtId="165" fontId="2" fillId="3" borderId="0" xfId="13" applyNumberFormat="1" applyFill="1" applyAlignment="1">
      <alignment horizontal="center"/>
    </xf>
    <xf numFmtId="164" fontId="2" fillId="3" borderId="0" xfId="13" applyNumberFormat="1" applyFill="1" applyAlignment="1">
      <alignment horizontal="center"/>
    </xf>
    <xf numFmtId="0" fontId="120" fillId="0" borderId="0" xfId="13" applyFont="1" applyAlignment="1">
      <alignment horizontal="right" vertical="center"/>
    </xf>
    <xf numFmtId="181" fontId="71" fillId="0" borderId="5" xfId="0" applyNumberFormat="1" applyFont="1" applyBorder="1" applyAlignment="1">
      <alignment horizontal="center" vertical="center" wrapText="1"/>
    </xf>
    <xf numFmtId="164" fontId="41" fillId="3" borderId="5" xfId="3" applyNumberFormat="1" applyFont="1" applyFill="1" applyBorder="1" applyAlignment="1">
      <alignment horizontal="center" vertical="center"/>
    </xf>
    <xf numFmtId="164" fontId="98" fillId="3" borderId="5" xfId="3" applyNumberFormat="1" applyFont="1" applyFill="1" applyBorder="1" applyAlignment="1">
      <alignment horizontal="center" vertical="center"/>
    </xf>
    <xf numFmtId="164" fontId="41" fillId="12" borderId="5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57" fillId="0" borderId="5" xfId="0" applyNumberFormat="1" applyFont="1" applyBorder="1" applyAlignment="1" applyProtection="1">
      <alignment horizontal="center" vertical="center"/>
      <protection locked="0"/>
    </xf>
    <xf numFmtId="0" fontId="57" fillId="0" borderId="5" xfId="0" applyFont="1" applyBorder="1" applyAlignment="1" applyProtection="1">
      <alignment horizontal="center" vertical="center"/>
      <protection locked="0"/>
    </xf>
    <xf numFmtId="1" fontId="51" fillId="2" borderId="0" xfId="0" applyNumberFormat="1" applyFont="1" applyFill="1" applyAlignment="1">
      <alignment horizontal="right" vertical="center"/>
    </xf>
    <xf numFmtId="0" fontId="6" fillId="0" borderId="0" xfId="12" applyFont="1" applyAlignment="1">
      <alignment horizontal="left"/>
    </xf>
    <xf numFmtId="0" fontId="7" fillId="0" borderId="0" xfId="12" applyFont="1" applyAlignment="1">
      <alignment horizontal="left"/>
    </xf>
    <xf numFmtId="0" fontId="37" fillId="0" borderId="0" xfId="12" applyFont="1" applyAlignment="1">
      <alignment horizontal="left" vertical="center" wrapText="1"/>
    </xf>
    <xf numFmtId="0" fontId="37" fillId="0" borderId="0" xfId="12" applyFont="1" applyAlignment="1">
      <alignment horizontal="center" vertical="center" wrapText="1"/>
    </xf>
    <xf numFmtId="0" fontId="43" fillId="0" borderId="0" xfId="0" applyFont="1" applyAlignment="1">
      <alignment horizontal="left" vertical="center" wrapText="1"/>
    </xf>
    <xf numFmtId="183" fontId="71" fillId="0" borderId="5" xfId="0" applyNumberFormat="1" applyFont="1" applyBorder="1" applyAlignment="1">
      <alignment horizontal="center" vertical="center" wrapText="1"/>
    </xf>
    <xf numFmtId="0" fontId="42" fillId="0" borderId="0" xfId="12" applyFont="1" applyAlignment="1">
      <alignment vertical="center"/>
    </xf>
    <xf numFmtId="15" fontId="42" fillId="0" borderId="0" xfId="0" applyNumberFormat="1" applyFont="1" applyAlignment="1" applyProtection="1">
      <alignment horizontal="center" vertical="center"/>
      <protection locked="0"/>
    </xf>
    <xf numFmtId="0" fontId="42" fillId="2" borderId="0" xfId="0" applyFont="1" applyFill="1" applyAlignment="1" applyProtection="1">
      <alignment vertical="center" wrapText="1"/>
      <protection locked="0"/>
    </xf>
    <xf numFmtId="0" fontId="43" fillId="3" borderId="0" xfId="12" applyFont="1" applyFill="1" applyProtection="1">
      <protection locked="0"/>
    </xf>
    <xf numFmtId="0" fontId="42" fillId="3" borderId="0" xfId="12" applyFont="1" applyFill="1" applyAlignment="1" applyProtection="1">
      <alignment vertical="top"/>
      <protection locked="0"/>
    </xf>
    <xf numFmtId="1" fontId="77" fillId="2" borderId="0" xfId="0" applyNumberFormat="1" applyFont="1" applyFill="1" applyAlignment="1" applyProtection="1">
      <alignment vertical="center"/>
      <protection locked="0"/>
    </xf>
    <xf numFmtId="0" fontId="43" fillId="0" borderId="2" xfId="0" applyFont="1" applyBorder="1" applyAlignment="1">
      <alignment vertical="top" wrapText="1"/>
    </xf>
    <xf numFmtId="0" fontId="42" fillId="0" borderId="2" xfId="0" applyFont="1" applyBorder="1" applyAlignment="1">
      <alignment horizontal="left" vertical="center"/>
    </xf>
    <xf numFmtId="0" fontId="107" fillId="2" borderId="0" xfId="2" applyFont="1" applyFill="1" applyAlignment="1">
      <alignment horizontal="center" vertical="top"/>
    </xf>
    <xf numFmtId="0" fontId="121" fillId="2" borderId="0" xfId="2" applyFont="1" applyFill="1" applyAlignment="1">
      <alignment horizontal="left" vertical="top"/>
    </xf>
    <xf numFmtId="0" fontId="43" fillId="0" borderId="0" xfId="0" applyFont="1" applyAlignment="1">
      <alignment horizontal="right" vertical="center" wrapText="1"/>
    </xf>
    <xf numFmtId="0" fontId="43" fillId="0" borderId="0" xfId="0" applyFont="1" applyAlignment="1">
      <alignment horizontal="center" vertical="center"/>
    </xf>
    <xf numFmtId="164" fontId="51" fillId="2" borderId="0" xfId="0" quotePrefix="1" applyNumberFormat="1" applyFont="1" applyFill="1" applyAlignment="1">
      <alignment horizontal="center" vertical="center"/>
    </xf>
    <xf numFmtId="0" fontId="42" fillId="0" borderId="12" xfId="0" applyFont="1" applyBorder="1" applyAlignment="1">
      <alignment horizontal="left"/>
    </xf>
    <xf numFmtId="0" fontId="6" fillId="0" borderId="5" xfId="12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top"/>
    </xf>
    <xf numFmtId="0" fontId="63" fillId="3" borderId="5" xfId="3" applyFont="1" applyFill="1" applyBorder="1" applyAlignment="1">
      <alignment horizontal="center" vertical="center" wrapText="1"/>
    </xf>
    <xf numFmtId="0" fontId="63" fillId="3" borderId="5" xfId="3" applyFont="1" applyFill="1" applyBorder="1" applyAlignment="1">
      <alignment horizontal="center" vertical="center" wrapText="1"/>
    </xf>
    <xf numFmtId="0" fontId="41" fillId="3" borderId="5" xfId="3" applyFont="1" applyFill="1" applyBorder="1" applyAlignment="1">
      <alignment horizontal="center" vertical="center"/>
    </xf>
    <xf numFmtId="0" fontId="42" fillId="0" borderId="0" xfId="0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 vertical="center" wrapText="1"/>
      <protection locked="0"/>
    </xf>
    <xf numFmtId="0" fontId="42" fillId="0" borderId="5" xfId="0" applyFont="1" applyBorder="1" applyAlignment="1" applyProtection="1">
      <alignment horizontal="center" vertical="center"/>
      <protection locked="0"/>
    </xf>
    <xf numFmtId="0" fontId="4" fillId="9" borderId="0" xfId="3" applyFill="1"/>
    <xf numFmtId="0" fontId="37" fillId="9" borderId="0" xfId="3" applyFont="1" applyFill="1" applyAlignment="1">
      <alignment horizontal="center" vertical="center"/>
    </xf>
    <xf numFmtId="0" fontId="4" fillId="9" borderId="5" xfId="3" applyFill="1" applyBorder="1" applyAlignment="1">
      <alignment horizontal="center"/>
    </xf>
    <xf numFmtId="164" fontId="4" fillId="9" borderId="5" xfId="3" applyNumberFormat="1" applyFill="1" applyBorder="1" applyAlignment="1">
      <alignment horizontal="center"/>
    </xf>
    <xf numFmtId="164" fontId="4" fillId="9" borderId="0" xfId="3" applyNumberFormat="1" applyFill="1" applyAlignment="1">
      <alignment horizontal="center" vertical="center"/>
    </xf>
    <xf numFmtId="165" fontId="4" fillId="9" borderId="5" xfId="3" applyNumberFormat="1" applyFill="1" applyBorder="1" applyAlignment="1">
      <alignment horizontal="center"/>
    </xf>
    <xf numFmtId="165" fontId="4" fillId="9" borderId="0" xfId="3" applyNumberFormat="1" applyFill="1" applyAlignment="1">
      <alignment horizontal="center" vertical="center"/>
    </xf>
    <xf numFmtId="0" fontId="4" fillId="9" borderId="0" xfId="3" applyFill="1" applyAlignment="1">
      <alignment horizontal="center"/>
    </xf>
    <xf numFmtId="165" fontId="4" fillId="9" borderId="0" xfId="3" applyNumberFormat="1" applyFill="1" applyAlignment="1">
      <alignment horizontal="center"/>
    </xf>
    <xf numFmtId="164" fontId="4" fillId="9" borderId="0" xfId="3" applyNumberFormat="1" applyFill="1" applyAlignment="1">
      <alignment horizontal="center"/>
    </xf>
    <xf numFmtId="165" fontId="4" fillId="0" borderId="0" xfId="3" applyNumberFormat="1" applyAlignment="1">
      <alignment horizontal="center"/>
    </xf>
    <xf numFmtId="164" fontId="4" fillId="0" borderId="0" xfId="3" applyNumberFormat="1" applyAlignment="1">
      <alignment horizontal="center"/>
    </xf>
    <xf numFmtId="165" fontId="4" fillId="0" borderId="0" xfId="3" applyNumberFormat="1" applyAlignment="1">
      <alignment horizontal="center" vertical="center"/>
    </xf>
    <xf numFmtId="166" fontId="4" fillId="9" borderId="0" xfId="3" applyNumberFormat="1" applyFill="1" applyAlignment="1">
      <alignment horizontal="center" vertical="center"/>
    </xf>
    <xf numFmtId="166" fontId="4" fillId="0" borderId="0" xfId="3" applyNumberFormat="1"/>
    <xf numFmtId="0" fontId="4" fillId="9" borderId="0" xfId="3" applyFill="1" applyAlignment="1">
      <alignment horizontal="left"/>
    </xf>
    <xf numFmtId="1" fontId="37" fillId="3" borderId="0" xfId="3" applyNumberFormat="1" applyFont="1" applyFill="1" applyAlignment="1">
      <alignment horizontal="center" vertical="center" wrapText="1"/>
    </xf>
    <xf numFmtId="1" fontId="4" fillId="3" borderId="5" xfId="3" applyNumberFormat="1" applyFill="1" applyBorder="1" applyAlignment="1">
      <alignment horizontal="center" vertical="center" wrapText="1"/>
    </xf>
    <xf numFmtId="1" fontId="37" fillId="0" borderId="0" xfId="3" applyNumberFormat="1" applyFont="1" applyAlignment="1">
      <alignment horizontal="center" vertical="center"/>
    </xf>
    <xf numFmtId="1" fontId="4" fillId="3" borderId="9" xfId="3" applyNumberFormat="1" applyFill="1" applyBorder="1" applyAlignment="1">
      <alignment horizontal="center" vertical="center" wrapText="1"/>
    </xf>
    <xf numFmtId="164" fontId="4" fillId="3" borderId="5" xfId="3" applyNumberFormat="1" applyFill="1" applyBorder="1" applyAlignment="1">
      <alignment horizontal="center" vertical="center" wrapText="1"/>
    </xf>
    <xf numFmtId="0" fontId="57" fillId="0" borderId="0" xfId="3" applyFont="1"/>
    <xf numFmtId="166" fontId="4" fillId="0" borderId="0" xfId="3" applyNumberFormat="1" applyAlignment="1">
      <alignment horizontal="center"/>
    </xf>
    <xf numFmtId="0" fontId="4" fillId="9" borderId="4" xfId="3" applyFill="1" applyBorder="1" applyAlignment="1">
      <alignment horizontal="center"/>
    </xf>
    <xf numFmtId="2" fontId="4" fillId="9" borderId="4" xfId="3" applyNumberFormat="1" applyFill="1" applyBorder="1" applyAlignment="1">
      <alignment horizontal="center"/>
    </xf>
    <xf numFmtId="0" fontId="37" fillId="9" borderId="42" xfId="3" applyFont="1" applyFill="1" applyBorder="1"/>
    <xf numFmtId="0" fontId="4" fillId="9" borderId="43" xfId="3" applyFill="1" applyBorder="1"/>
    <xf numFmtId="0" fontId="4" fillId="9" borderId="44" xfId="3" applyFill="1" applyBorder="1"/>
    <xf numFmtId="0" fontId="14" fillId="9" borderId="25" xfId="3" applyFont="1" applyFill="1" applyBorder="1" applyAlignment="1">
      <alignment horizontal="center" vertical="center"/>
    </xf>
    <xf numFmtId="0" fontId="15" fillId="9" borderId="25" xfId="3" applyFont="1" applyFill="1" applyBorder="1" applyAlignment="1">
      <alignment horizontal="center" vertical="center"/>
    </xf>
    <xf numFmtId="0" fontId="14" fillId="9" borderId="5" xfId="3" applyFont="1" applyFill="1" applyBorder="1" applyAlignment="1">
      <alignment horizontal="center" vertical="center"/>
    </xf>
    <xf numFmtId="0" fontId="4" fillId="9" borderId="54" xfId="3" applyFill="1" applyBorder="1" applyAlignment="1">
      <alignment horizontal="center"/>
    </xf>
    <xf numFmtId="164" fontId="4" fillId="9" borderId="37" xfId="3" applyNumberFormat="1" applyFill="1" applyBorder="1" applyAlignment="1">
      <alignment horizontal="center" vertical="center"/>
    </xf>
    <xf numFmtId="0" fontId="4" fillId="9" borderId="25" xfId="3" applyFill="1" applyBorder="1" applyAlignment="1">
      <alignment horizontal="center"/>
    </xf>
    <xf numFmtId="164" fontId="4" fillId="9" borderId="26" xfId="3" applyNumberFormat="1" applyFill="1" applyBorder="1" applyAlignment="1">
      <alignment horizontal="center" vertical="center"/>
    </xf>
    <xf numFmtId="165" fontId="4" fillId="9" borderId="26" xfId="3" applyNumberFormat="1" applyFill="1" applyBorder="1" applyAlignment="1">
      <alignment horizontal="center" vertical="center"/>
    </xf>
    <xf numFmtId="0" fontId="4" fillId="9" borderId="38" xfId="3" applyFill="1" applyBorder="1" applyAlignment="1">
      <alignment horizontal="center"/>
    </xf>
    <xf numFmtId="165" fontId="4" fillId="9" borderId="39" xfId="3" applyNumberFormat="1" applyFill="1" applyBorder="1" applyAlignment="1">
      <alignment horizontal="center"/>
    </xf>
    <xf numFmtId="164" fontId="4" fillId="9" borderId="39" xfId="3" applyNumberFormat="1" applyFill="1" applyBorder="1" applyAlignment="1">
      <alignment horizontal="center"/>
    </xf>
    <xf numFmtId="165" fontId="4" fillId="9" borderId="40" xfId="3" applyNumberFormat="1" applyFill="1" applyBorder="1" applyAlignment="1">
      <alignment horizontal="center" vertical="center"/>
    </xf>
    <xf numFmtId="0" fontId="4" fillId="9" borderId="16" xfId="3" applyFill="1" applyBorder="1"/>
    <xf numFmtId="0" fontId="4" fillId="9" borderId="17" xfId="3" applyFill="1" applyBorder="1"/>
    <xf numFmtId="0" fontId="4" fillId="9" borderId="39" xfId="3" applyFill="1" applyBorder="1" applyAlignment="1">
      <alignment horizontal="center"/>
    </xf>
    <xf numFmtId="0" fontId="48" fillId="9" borderId="16" xfId="3" applyFont="1" applyFill="1" applyBorder="1"/>
    <xf numFmtId="0" fontId="48" fillId="9" borderId="17" xfId="3" applyFont="1" applyFill="1" applyBorder="1"/>
    <xf numFmtId="0" fontId="57" fillId="0" borderId="5" xfId="3" applyFont="1" applyBorder="1" applyAlignment="1">
      <alignment horizontal="center"/>
    </xf>
    <xf numFmtId="0" fontId="110" fillId="5" borderId="7" xfId="3" applyFont="1" applyFill="1" applyBorder="1" applyAlignment="1">
      <alignment vertical="center"/>
    </xf>
    <xf numFmtId="0" fontId="57" fillId="0" borderId="6" xfId="3" applyFont="1" applyBorder="1" applyAlignment="1"/>
    <xf numFmtId="0" fontId="57" fillId="0" borderId="7" xfId="3" applyFont="1" applyBorder="1" applyAlignment="1"/>
    <xf numFmtId="0" fontId="4" fillId="0" borderId="7" xfId="3" applyBorder="1" applyAlignment="1"/>
    <xf numFmtId="0" fontId="4" fillId="0" borderId="6" xfId="3" applyBorder="1" applyAlignment="1"/>
    <xf numFmtId="0" fontId="110" fillId="3" borderId="6" xfId="3" applyFont="1" applyFill="1" applyBorder="1" applyAlignment="1">
      <alignment horizontal="center" vertical="center"/>
    </xf>
    <xf numFmtId="1" fontId="41" fillId="3" borderId="6" xfId="3" applyNumberFormat="1" applyFont="1" applyFill="1" applyBorder="1" applyAlignment="1">
      <alignment horizontal="center" vertical="center"/>
    </xf>
    <xf numFmtId="0" fontId="123" fillId="0" borderId="7" xfId="3" applyFont="1" applyBorder="1" applyAlignment="1">
      <alignment vertical="center"/>
    </xf>
    <xf numFmtId="0" fontId="39" fillId="0" borderId="7" xfId="3" applyFont="1" applyBorder="1" applyAlignment="1">
      <alignment vertical="center"/>
    </xf>
    <xf numFmtId="0" fontId="39" fillId="0" borderId="9" xfId="3" applyFont="1" applyBorder="1" applyAlignment="1">
      <alignment vertical="center"/>
    </xf>
    <xf numFmtId="0" fontId="44" fillId="0" borderId="7" xfId="3" applyFont="1" applyBorder="1" applyAlignment="1">
      <alignment vertical="center"/>
    </xf>
    <xf numFmtId="0" fontId="4" fillId="0" borderId="7" xfId="3" applyBorder="1" applyAlignment="1">
      <alignment vertical="center"/>
    </xf>
    <xf numFmtId="0" fontId="4" fillId="0" borderId="9" xfId="3" applyBorder="1" applyAlignment="1">
      <alignment vertical="center"/>
    </xf>
    <xf numFmtId="0" fontId="101" fillId="0" borderId="5" xfId="3" applyFont="1" applyBorder="1" applyAlignment="1">
      <alignment horizontal="center" vertical="center"/>
    </xf>
    <xf numFmtId="0" fontId="57" fillId="3" borderId="7" xfId="3" applyFont="1" applyFill="1" applyBorder="1" applyAlignment="1">
      <alignment vertical="center"/>
    </xf>
    <xf numFmtId="0" fontId="101" fillId="0" borderId="7" xfId="3" applyFont="1" applyBorder="1" applyAlignment="1">
      <alignment vertical="center"/>
    </xf>
    <xf numFmtId="0" fontId="57" fillId="0" borderId="7" xfId="3" applyFont="1" applyBorder="1" applyAlignment="1">
      <alignment vertical="center"/>
    </xf>
    <xf numFmtId="0" fontId="57" fillId="0" borderId="5" xfId="3" applyFont="1" applyBorder="1" applyAlignment="1">
      <alignment horizontal="center" vertical="center"/>
    </xf>
    <xf numFmtId="0" fontId="63" fillId="3" borderId="0" xfId="3" applyFont="1" applyFill="1" applyBorder="1" applyAlignment="1">
      <alignment horizontal="center" vertical="center" wrapText="1"/>
    </xf>
    <xf numFmtId="0" fontId="16" fillId="3" borderId="0" xfId="3" applyFont="1" applyFill="1" applyBorder="1" applyAlignment="1">
      <alignment horizontal="center" vertical="center" wrapText="1"/>
    </xf>
    <xf numFmtId="164" fontId="16" fillId="3" borderId="0" xfId="3" applyNumberFormat="1" applyFont="1" applyFill="1" applyBorder="1" applyAlignment="1">
      <alignment horizontal="center" vertical="center" wrapText="1"/>
    </xf>
    <xf numFmtId="165" fontId="16" fillId="3" borderId="0" xfId="3" applyNumberFormat="1" applyFont="1" applyFill="1" applyBorder="1" applyAlignment="1">
      <alignment horizontal="center" vertical="center"/>
    </xf>
    <xf numFmtId="164" fontId="16" fillId="3" borderId="0" xfId="3" applyNumberFormat="1" applyFont="1" applyFill="1" applyBorder="1" applyAlignment="1">
      <alignment horizontal="center" vertical="center"/>
    </xf>
    <xf numFmtId="165" fontId="41" fillId="3" borderId="0" xfId="3" applyNumberFormat="1" applyFont="1" applyFill="1" applyBorder="1" applyAlignment="1">
      <alignment horizontal="center" vertical="center"/>
    </xf>
    <xf numFmtId="0" fontId="63" fillId="3" borderId="0" xfId="3" applyFont="1" applyFill="1" applyBorder="1" applyAlignment="1">
      <alignment vertical="center" wrapText="1"/>
    </xf>
    <xf numFmtId="0" fontId="16" fillId="3" borderId="0" xfId="3" applyFont="1" applyFill="1" applyBorder="1" applyAlignment="1">
      <alignment vertical="center" wrapText="1"/>
    </xf>
    <xf numFmtId="166" fontId="57" fillId="3" borderId="5" xfId="3" applyNumberFormat="1" applyFont="1" applyFill="1" applyBorder="1" applyAlignment="1">
      <alignment horizontal="center"/>
    </xf>
    <xf numFmtId="166" fontId="57" fillId="3" borderId="5" xfId="3" applyNumberFormat="1" applyFont="1" applyFill="1" applyBorder="1" applyAlignment="1">
      <alignment horizontal="center" vertical="center"/>
    </xf>
    <xf numFmtId="166" fontId="57" fillId="0" borderId="5" xfId="3" applyNumberFormat="1" applyFont="1" applyBorder="1" applyAlignment="1">
      <alignment horizontal="center" vertical="center"/>
    </xf>
    <xf numFmtId="0" fontId="16" fillId="3" borderId="0" xfId="12" applyFont="1" applyFill="1" applyBorder="1" applyAlignment="1">
      <alignment horizontal="center" vertical="center" wrapText="1"/>
    </xf>
    <xf numFmtId="165" fontId="57" fillId="3" borderId="0" xfId="3" applyNumberFormat="1" applyFont="1" applyFill="1" applyBorder="1" applyAlignment="1">
      <alignment horizontal="center"/>
    </xf>
    <xf numFmtId="2" fontId="57" fillId="3" borderId="0" xfId="3" applyNumberFormat="1" applyFont="1" applyFill="1" applyBorder="1" applyAlignment="1">
      <alignment horizontal="center" vertical="center"/>
    </xf>
    <xf numFmtId="167" fontId="57" fillId="3" borderId="0" xfId="3" applyNumberFormat="1" applyFont="1" applyFill="1" applyBorder="1" applyAlignment="1">
      <alignment horizontal="center" vertical="center"/>
    </xf>
    <xf numFmtId="165" fontId="57" fillId="3" borderId="0" xfId="3" applyNumberFormat="1" applyFont="1" applyFill="1" applyBorder="1" applyAlignment="1">
      <alignment horizontal="center" vertical="center"/>
    </xf>
    <xf numFmtId="2" fontId="57" fillId="3" borderId="0" xfId="3" applyNumberFormat="1" applyFont="1" applyFill="1" applyBorder="1" applyAlignment="1">
      <alignment horizontal="center"/>
    </xf>
    <xf numFmtId="2" fontId="41" fillId="3" borderId="0" xfId="3" applyNumberFormat="1" applyFont="1" applyFill="1" applyBorder="1" applyAlignment="1">
      <alignment horizontal="center" vertical="center"/>
    </xf>
    <xf numFmtId="2" fontId="98" fillId="3" borderId="0" xfId="3" applyNumberFormat="1" applyFont="1" applyFill="1" applyBorder="1" applyAlignment="1">
      <alignment horizontal="center" vertical="center"/>
    </xf>
    <xf numFmtId="0" fontId="4" fillId="3" borderId="0" xfId="3" applyFill="1" applyBorder="1"/>
    <xf numFmtId="164" fontId="57" fillId="3" borderId="0" xfId="3" applyNumberFormat="1" applyFont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165" fontId="4" fillId="3" borderId="0" xfId="3" applyNumberFormat="1" applyFill="1" applyBorder="1" applyAlignment="1">
      <alignment horizontal="center"/>
    </xf>
    <xf numFmtId="164" fontId="4" fillId="3" borderId="0" xfId="3" applyNumberFormat="1" applyFill="1" applyBorder="1" applyAlignment="1">
      <alignment horizontal="center"/>
    </xf>
    <xf numFmtId="165" fontId="4" fillId="3" borderId="0" xfId="3" applyNumberFormat="1" applyFill="1" applyBorder="1" applyAlignment="1">
      <alignment horizontal="center" vertical="center"/>
    </xf>
    <xf numFmtId="0" fontId="4" fillId="3" borderId="0" xfId="3" applyFill="1" applyBorder="1" applyAlignment="1"/>
    <xf numFmtId="0" fontId="42" fillId="0" borderId="0" xfId="0" applyFont="1" applyBorder="1" applyAlignment="1" applyProtection="1">
      <alignment horizontal="center" vertical="center" wrapText="1"/>
      <protection locked="0"/>
    </xf>
    <xf numFmtId="0" fontId="107" fillId="2" borderId="5" xfId="0" applyFont="1" applyFill="1" applyBorder="1" applyAlignment="1">
      <alignment horizontal="center" vertical="center"/>
    </xf>
    <xf numFmtId="0" fontId="42" fillId="0" borderId="5" xfId="0" quotePrefix="1" applyFont="1" applyBorder="1" applyAlignment="1" applyProtection="1">
      <alignment vertical="center"/>
      <protection locked="0"/>
    </xf>
    <xf numFmtId="0" fontId="56" fillId="0" borderId="5" xfId="0" applyFont="1" applyBorder="1" applyAlignment="1" applyProtection="1">
      <alignment vertical="center"/>
      <protection locked="0"/>
    </xf>
    <xf numFmtId="167" fontId="4" fillId="3" borderId="5" xfId="3" applyNumberFormat="1" applyFill="1" applyBorder="1" applyAlignment="1">
      <alignment horizontal="center" vertical="center" wrapText="1"/>
    </xf>
    <xf numFmtId="2" fontId="2" fillId="0" borderId="0" xfId="13" applyNumberFormat="1" applyAlignment="1">
      <alignment horizontal="center"/>
    </xf>
    <xf numFmtId="164" fontId="51" fillId="2" borderId="5" xfId="0" applyNumberFormat="1" applyFont="1" applyFill="1" applyBorder="1" applyAlignment="1">
      <alignment horizontal="right" vertical="center"/>
    </xf>
    <xf numFmtId="0" fontId="107" fillId="2" borderId="0" xfId="2" quotePrefix="1" applyFont="1" applyFill="1" applyAlignment="1">
      <alignment horizontal="left" vertical="center"/>
    </xf>
    <xf numFmtId="0" fontId="42" fillId="2" borderId="0" xfId="0" applyFont="1" applyFill="1" applyAlignment="1" applyProtection="1">
      <alignment vertical="top" wrapText="1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56" fillId="0" borderId="5" xfId="0" applyFont="1" applyBorder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54" fillId="0" borderId="0" xfId="0" applyFont="1" applyProtection="1">
      <protection locked="0"/>
    </xf>
    <xf numFmtId="0" fontId="42" fillId="3" borderId="0" xfId="12" quotePrefix="1" applyFont="1" applyFill="1" applyAlignment="1" applyProtection="1">
      <alignment vertical="center"/>
      <protection locked="0"/>
    </xf>
    <xf numFmtId="0" fontId="43" fillId="3" borderId="0" xfId="12" applyFont="1" applyFill="1" applyAlignment="1" applyProtection="1">
      <alignment vertical="center"/>
      <protection locked="0"/>
    </xf>
    <xf numFmtId="0" fontId="42" fillId="3" borderId="0" xfId="12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horizontal="centerContinuous" vertical="center"/>
    </xf>
    <xf numFmtId="0" fontId="42" fillId="0" borderId="0" xfId="0" applyFont="1" applyAlignment="1" applyProtection="1">
      <alignment vertical="center"/>
    </xf>
    <xf numFmtId="0" fontId="42" fillId="0" borderId="0" xfId="0" applyFont="1" applyAlignment="1" applyProtection="1">
      <alignment horizontal="right" vertical="center"/>
    </xf>
    <xf numFmtId="0" fontId="42" fillId="0" borderId="0" xfId="0" applyFont="1" applyAlignment="1" applyProtection="1">
      <alignment horizontal="center" vertical="center"/>
    </xf>
    <xf numFmtId="1" fontId="42" fillId="3" borderId="0" xfId="0" applyNumberFormat="1" applyFont="1" applyFill="1" applyAlignment="1" applyProtection="1">
      <alignment horizontal="left" vertical="center"/>
    </xf>
    <xf numFmtId="1" fontId="42" fillId="0" borderId="0" xfId="0" applyNumberFormat="1" applyFont="1" applyAlignment="1" applyProtection="1">
      <alignment vertical="center"/>
    </xf>
    <xf numFmtId="0" fontId="43" fillId="0" borderId="0" xfId="0" applyFont="1" applyAlignment="1" applyProtection="1">
      <alignment vertical="center"/>
    </xf>
    <xf numFmtId="0" fontId="42" fillId="0" borderId="0" xfId="0" applyFont="1" applyAlignment="1" applyProtection="1">
      <alignment horizontal="left" vertical="center"/>
    </xf>
    <xf numFmtId="164" fontId="42" fillId="0" borderId="0" xfId="0" applyNumberFormat="1" applyFont="1" applyAlignment="1" applyProtection="1">
      <alignment horizontal="left" vertical="center"/>
    </xf>
    <xf numFmtId="1" fontId="42" fillId="0" borderId="0" xfId="0" applyNumberFormat="1" applyFont="1" applyAlignment="1" applyProtection="1">
      <alignment horizontal="left" vertical="center"/>
    </xf>
    <xf numFmtId="0" fontId="43" fillId="0" borderId="5" xfId="0" applyFont="1" applyBorder="1" applyAlignment="1" applyProtection="1">
      <alignment horizontal="center" vertical="top"/>
    </xf>
    <xf numFmtId="0" fontId="43" fillId="0" borderId="5" xfId="0" applyFont="1" applyBorder="1" applyAlignment="1" applyProtection="1">
      <alignment vertical="top" wrapText="1"/>
    </xf>
    <xf numFmtId="0" fontId="42" fillId="0" borderId="5" xfId="0" applyFont="1" applyBorder="1" applyAlignment="1" applyProtection="1">
      <alignment horizontal="center" vertical="center"/>
    </xf>
    <xf numFmtId="165" fontId="42" fillId="0" borderId="7" xfId="0" applyNumberFormat="1" applyFont="1" applyBorder="1" applyAlignment="1" applyProtection="1">
      <alignment horizontal="left" vertical="center"/>
    </xf>
    <xf numFmtId="185" fontId="42" fillId="0" borderId="5" xfId="0" applyNumberFormat="1" applyFont="1" applyBorder="1" applyAlignment="1" applyProtection="1">
      <alignment horizontal="center" vertical="top" wrapText="1"/>
    </xf>
    <xf numFmtId="186" fontId="42" fillId="0" borderId="5" xfId="0" applyNumberFormat="1" applyFont="1" applyBorder="1" applyAlignment="1" applyProtection="1">
      <alignment horizontal="center" vertical="top" wrapText="1"/>
    </xf>
    <xf numFmtId="187" fontId="42" fillId="0" borderId="5" xfId="0" applyNumberFormat="1" applyFont="1" applyBorder="1" applyAlignment="1" applyProtection="1">
      <alignment horizontal="center" vertical="top" wrapText="1"/>
    </xf>
    <xf numFmtId="0" fontId="43" fillId="0" borderId="0" xfId="0" applyFont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42" fillId="0" borderId="5" xfId="0" applyFont="1" applyBorder="1" applyAlignment="1" applyProtection="1">
      <alignment horizontal="center" vertical="center" wrapText="1"/>
    </xf>
    <xf numFmtId="0" fontId="42" fillId="0" borderId="0" xfId="0" applyFont="1" applyBorder="1" applyAlignment="1" applyProtection="1">
      <alignment horizontal="center" vertical="center" wrapText="1"/>
    </xf>
    <xf numFmtId="0" fontId="42" fillId="0" borderId="0" xfId="0" applyFont="1" applyAlignment="1" applyProtection="1">
      <alignment horizontal="center" vertical="center" wrapText="1"/>
    </xf>
    <xf numFmtId="0" fontId="7" fillId="0" borderId="0" xfId="12" applyFont="1" applyProtection="1"/>
    <xf numFmtId="164" fontId="70" fillId="3" borderId="0" xfId="2" applyNumberFormat="1" applyFont="1" applyFill="1" applyProtection="1"/>
    <xf numFmtId="0" fontId="107" fillId="2" borderId="0" xfId="2" applyFont="1" applyFill="1" applyAlignment="1" applyProtection="1">
      <alignment horizontal="left" vertical="center"/>
    </xf>
    <xf numFmtId="0" fontId="51" fillId="2" borderId="0" xfId="2" applyFont="1" applyFill="1" applyAlignment="1" applyProtection="1">
      <alignment horizontal="center" vertical="center"/>
    </xf>
    <xf numFmtId="164" fontId="42" fillId="0" borderId="0" xfId="2" applyNumberFormat="1" applyFont="1" applyAlignment="1" applyProtection="1">
      <alignment horizontal="center"/>
    </xf>
    <xf numFmtId="0" fontId="4" fillId="0" borderId="0" xfId="12" applyProtection="1"/>
    <xf numFmtId="0" fontId="51" fillId="2" borderId="0" xfId="2" applyFont="1" applyFill="1" applyAlignment="1" applyProtection="1">
      <alignment vertical="center" wrapText="1"/>
    </xf>
    <xf numFmtId="183" fontId="42" fillId="0" borderId="5" xfId="12" applyNumberFormat="1" applyFont="1" applyBorder="1" applyAlignment="1" applyProtection="1">
      <alignment horizontal="center" vertical="center"/>
    </xf>
    <xf numFmtId="183" fontId="71" fillId="0" borderId="5" xfId="0" applyNumberFormat="1" applyFont="1" applyBorder="1" applyAlignment="1" applyProtection="1">
      <alignment horizontal="center" vertical="center" wrapText="1"/>
    </xf>
    <xf numFmtId="0" fontId="42" fillId="0" borderId="0" xfId="0" quotePrefix="1" applyFont="1" applyAlignment="1" applyProtection="1">
      <alignment horizontal="center" vertical="center"/>
    </xf>
    <xf numFmtId="164" fontId="42" fillId="0" borderId="0" xfId="0" applyNumberFormat="1" applyFont="1" applyAlignment="1" applyProtection="1">
      <alignment horizontal="center" vertical="center"/>
    </xf>
    <xf numFmtId="164" fontId="51" fillId="0" borderId="0" xfId="0" applyNumberFormat="1" applyFont="1" applyAlignment="1" applyProtection="1">
      <alignment horizontal="center" vertical="center"/>
    </xf>
    <xf numFmtId="165" fontId="42" fillId="0" borderId="9" xfId="0" applyNumberFormat="1" applyFont="1" applyBorder="1" applyAlignment="1" applyProtection="1">
      <alignment horizontal="left" vertical="center"/>
    </xf>
    <xf numFmtId="0" fontId="43" fillId="0" borderId="0" xfId="0" applyFont="1" applyAlignment="1" applyProtection="1">
      <alignment horizontal="center" vertical="center" wrapText="1"/>
    </xf>
    <xf numFmtId="0" fontId="43" fillId="0" borderId="0" xfId="0" applyFont="1" applyAlignment="1" applyProtection="1">
      <alignment horizontal="left" vertical="center" wrapText="1"/>
    </xf>
    <xf numFmtId="0" fontId="43" fillId="0" borderId="0" xfId="2" applyFont="1" applyProtection="1"/>
    <xf numFmtId="0" fontId="43" fillId="0" borderId="0" xfId="2" quotePrefix="1" applyFont="1" applyProtection="1"/>
    <xf numFmtId="0" fontId="43" fillId="0" borderId="0" xfId="2" applyFont="1" applyAlignment="1" applyProtection="1">
      <alignment horizontal="center"/>
    </xf>
    <xf numFmtId="0" fontId="6" fillId="0" borderId="0" xfId="12" applyFont="1" applyProtection="1"/>
    <xf numFmtId="2" fontId="71" fillId="0" borderId="5" xfId="0" applyNumberFormat="1" applyFont="1" applyBorder="1" applyAlignment="1" applyProtection="1">
      <alignment horizontal="center" vertical="center" wrapText="1"/>
    </xf>
    <xf numFmtId="182" fontId="71" fillId="0" borderId="5" xfId="0" applyNumberFormat="1" applyFont="1" applyBorder="1" applyAlignment="1" applyProtection="1">
      <alignment horizontal="center" vertical="center" wrapText="1"/>
    </xf>
    <xf numFmtId="0" fontId="71" fillId="0" borderId="0" xfId="2" applyFont="1" applyAlignment="1" applyProtection="1">
      <alignment horizontal="center" vertical="center"/>
    </xf>
    <xf numFmtId="0" fontId="71" fillId="0" borderId="0" xfId="2" applyFont="1" applyAlignment="1" applyProtection="1">
      <alignment vertical="center" wrapText="1"/>
    </xf>
    <xf numFmtId="0" fontId="71" fillId="3" borderId="0" xfId="2" applyFont="1" applyFill="1" applyAlignment="1" applyProtection="1">
      <alignment horizontal="center" vertical="center"/>
    </xf>
    <xf numFmtId="164" fontId="71" fillId="3" borderId="0" xfId="2" applyNumberFormat="1" applyFont="1" applyFill="1" applyAlignment="1" applyProtection="1">
      <alignment horizontal="center"/>
    </xf>
    <xf numFmtId="164" fontId="71" fillId="0" borderId="0" xfId="2" applyNumberFormat="1" applyFont="1" applyAlignment="1" applyProtection="1">
      <alignment horizontal="center" vertical="center" wrapText="1"/>
    </xf>
    <xf numFmtId="164" fontId="71" fillId="0" borderId="0" xfId="2" applyNumberFormat="1" applyFont="1" applyAlignment="1" applyProtection="1">
      <alignment horizontal="center" vertical="center"/>
    </xf>
    <xf numFmtId="0" fontId="54" fillId="0" borderId="0" xfId="0" applyFont="1" applyProtection="1"/>
    <xf numFmtId="0" fontId="71" fillId="2" borderId="0" xfId="2" applyFont="1" applyFill="1" applyProtection="1"/>
    <xf numFmtId="0" fontId="45" fillId="0" borderId="0" xfId="2" applyFont="1" applyProtection="1"/>
    <xf numFmtId="164" fontId="71" fillId="0" borderId="5" xfId="0" applyNumberFormat="1" applyFont="1" applyBorder="1" applyAlignment="1" applyProtection="1">
      <alignment horizontal="center" vertical="center" wrapText="1"/>
    </xf>
    <xf numFmtId="181" fontId="71" fillId="0" borderId="5" xfId="0" applyNumberFormat="1" applyFont="1" applyBorder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51" fillId="2" borderId="0" xfId="0" applyFont="1" applyFill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164" fontId="42" fillId="3" borderId="0" xfId="0" applyNumberFormat="1" applyFont="1" applyFill="1" applyAlignment="1" applyProtection="1">
      <alignment horizontal="left" vertical="center"/>
    </xf>
    <xf numFmtId="2" fontId="42" fillId="3" borderId="0" xfId="0" applyNumberFormat="1" applyFont="1" applyFill="1" applyAlignment="1" applyProtection="1">
      <alignment horizontal="center" vertical="center"/>
    </xf>
    <xf numFmtId="169" fontId="42" fillId="3" borderId="0" xfId="0" applyNumberFormat="1" applyFont="1" applyFill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52" fillId="0" borderId="0" xfId="0" quotePrefix="1" applyFont="1" applyAlignment="1" applyProtection="1">
      <alignment horizontal="left" vertical="center"/>
    </xf>
    <xf numFmtId="0" fontId="43" fillId="0" borderId="5" xfId="0" applyFont="1" applyBorder="1" applyAlignment="1" applyProtection="1">
      <alignment horizontal="center" vertical="center" wrapText="1"/>
    </xf>
    <xf numFmtId="164" fontId="51" fillId="2" borderId="6" xfId="0" applyNumberFormat="1" applyFont="1" applyFill="1" applyBorder="1" applyAlignment="1" applyProtection="1">
      <alignment horizontal="right" vertical="center"/>
    </xf>
    <xf numFmtId="164" fontId="51" fillId="2" borderId="9" xfId="0" applyNumberFormat="1" applyFont="1" applyFill="1" applyBorder="1" applyAlignment="1" applyProtection="1">
      <alignment vertical="center"/>
    </xf>
    <xf numFmtId="176" fontId="42" fillId="0" borderId="6" xfId="0" applyNumberFormat="1" applyFont="1" applyBorder="1" applyAlignment="1" applyProtection="1">
      <alignment horizontal="right" vertical="center"/>
    </xf>
    <xf numFmtId="0" fontId="42" fillId="0" borderId="9" xfId="0" applyFont="1" applyBorder="1" applyAlignment="1" applyProtection="1">
      <alignment horizontal="left" vertical="center"/>
    </xf>
    <xf numFmtId="174" fontId="42" fillId="0" borderId="6" xfId="0" applyNumberFormat="1" applyFont="1" applyBorder="1" applyAlignment="1" applyProtection="1">
      <alignment horizontal="right" vertical="center"/>
    </xf>
    <xf numFmtId="0" fontId="42" fillId="0" borderId="8" xfId="0" applyFont="1" applyBorder="1" applyAlignment="1" applyProtection="1">
      <alignment vertical="center"/>
    </xf>
    <xf numFmtId="0" fontId="52" fillId="0" borderId="8" xfId="0" quotePrefix="1" applyFont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center" vertical="center"/>
    </xf>
    <xf numFmtId="165" fontId="71" fillId="0" borderId="5" xfId="0" applyNumberFormat="1" applyFont="1" applyBorder="1" applyAlignment="1" applyProtection="1">
      <alignment horizontal="center" vertical="center" wrapText="1"/>
    </xf>
    <xf numFmtId="2" fontId="42" fillId="0" borderId="0" xfId="0" applyNumberFormat="1" applyFont="1" applyAlignment="1" applyProtection="1">
      <alignment vertical="center"/>
    </xf>
    <xf numFmtId="2" fontId="43" fillId="0" borderId="0" xfId="2" applyNumberFormat="1" applyFont="1" applyAlignment="1" applyProtection="1">
      <alignment horizontal="center"/>
    </xf>
    <xf numFmtId="0" fontId="42" fillId="0" borderId="0" xfId="2" applyFont="1" applyProtection="1"/>
    <xf numFmtId="165" fontId="51" fillId="2" borderId="0" xfId="0" applyNumberFormat="1" applyFont="1" applyFill="1" applyAlignment="1" applyProtection="1">
      <alignment horizontal="center" vertical="center"/>
    </xf>
    <xf numFmtId="2" fontId="71" fillId="0" borderId="0" xfId="2" applyNumberFormat="1" applyFont="1" applyAlignment="1" applyProtection="1">
      <alignment horizontal="center" vertical="center"/>
    </xf>
    <xf numFmtId="165" fontId="42" fillId="0" borderId="5" xfId="12" applyNumberFormat="1" applyFont="1" applyBorder="1" applyAlignment="1" applyProtection="1">
      <alignment horizontal="center" vertical="center"/>
    </xf>
    <xf numFmtId="2" fontId="51" fillId="2" borderId="0" xfId="0" applyNumberFormat="1" applyFont="1" applyFill="1" applyBorder="1" applyAlignment="1" applyProtection="1">
      <alignment horizontal="center" vertical="center"/>
    </xf>
    <xf numFmtId="175" fontId="42" fillId="0" borderId="6" xfId="0" applyNumberFormat="1" applyFont="1" applyBorder="1" applyAlignment="1" applyProtection="1">
      <alignment horizontal="right" vertical="center"/>
    </xf>
    <xf numFmtId="0" fontId="71" fillId="0" borderId="0" xfId="0" applyFont="1" applyBorder="1" applyAlignment="1" applyProtection="1">
      <alignment horizontal="center" vertical="center"/>
    </xf>
    <xf numFmtId="2" fontId="70" fillId="0" borderId="5" xfId="0" applyNumberFormat="1" applyFont="1" applyBorder="1" applyAlignment="1" applyProtection="1">
      <alignment horizontal="center" vertical="center" wrapText="1"/>
      <protection locked="0"/>
    </xf>
    <xf numFmtId="0" fontId="70" fillId="0" borderId="5" xfId="0" applyFont="1" applyBorder="1" applyAlignment="1" applyProtection="1">
      <alignment horizontal="center" vertical="center" wrapText="1"/>
      <protection locked="0"/>
    </xf>
    <xf numFmtId="164" fontId="70" fillId="0" borderId="5" xfId="0" applyNumberFormat="1" applyFont="1" applyBorder="1" applyAlignment="1" applyProtection="1">
      <alignment horizontal="center" vertical="center" wrapText="1"/>
      <protection locked="0"/>
    </xf>
    <xf numFmtId="165" fontId="51" fillId="0" borderId="6" xfId="0" applyNumberFormat="1" applyFont="1" applyFill="1" applyBorder="1" applyAlignment="1" applyProtection="1">
      <alignment horizontal="right" vertical="center"/>
    </xf>
    <xf numFmtId="0" fontId="70" fillId="0" borderId="6" xfId="0" applyFont="1" applyBorder="1" applyAlignment="1" applyProtection="1">
      <alignment horizontal="center" vertical="center"/>
      <protection locked="0"/>
    </xf>
    <xf numFmtId="0" fontId="70" fillId="3" borderId="0" xfId="0" applyFont="1" applyFill="1" applyAlignment="1" applyProtection="1">
      <alignment horizontal="left" vertical="center"/>
      <protection locked="0"/>
    </xf>
    <xf numFmtId="0" fontId="71" fillId="0" borderId="6" xfId="0" applyFont="1" applyBorder="1" applyAlignment="1" applyProtection="1">
      <alignment horizontal="center" vertical="center"/>
    </xf>
    <xf numFmtId="0" fontId="124" fillId="0" borderId="0" xfId="0" applyFont="1" applyAlignment="1" applyProtection="1">
      <alignment vertical="center"/>
      <protection locked="0"/>
    </xf>
    <xf numFmtId="0" fontId="72" fillId="0" borderId="0" xfId="0" applyFont="1" applyAlignment="1" applyProtection="1">
      <alignment vertical="center"/>
      <protection locked="0"/>
    </xf>
    <xf numFmtId="0" fontId="72" fillId="0" borderId="0" xfId="0" applyFont="1" applyAlignment="1" applyProtection="1">
      <alignment vertical="center"/>
    </xf>
    <xf numFmtId="0" fontId="72" fillId="3" borderId="0" xfId="0" applyFont="1" applyFill="1" applyAlignment="1" applyProtection="1">
      <alignment horizontal="right" vertical="center"/>
    </xf>
    <xf numFmtId="0" fontId="72" fillId="8" borderId="0" xfId="0" applyFont="1" applyFill="1" applyAlignment="1" applyProtection="1">
      <alignment vertical="center"/>
      <protection locked="0"/>
    </xf>
    <xf numFmtId="0" fontId="125" fillId="4" borderId="0" xfId="0" applyFont="1" applyFill="1" applyAlignment="1" applyProtection="1">
      <alignment vertical="center"/>
      <protection locked="0"/>
    </xf>
    <xf numFmtId="0" fontId="72" fillId="0" borderId="0" xfId="0" applyFont="1" applyAlignment="1" applyProtection="1">
      <alignment horizontal="center" vertical="center"/>
    </xf>
    <xf numFmtId="0" fontId="72" fillId="0" borderId="0" xfId="0" applyFont="1" applyAlignment="1" applyProtection="1">
      <alignment horizontal="center" vertical="center"/>
      <protection locked="0"/>
    </xf>
    <xf numFmtId="0" fontId="71" fillId="0" borderId="0" xfId="0" applyFont="1" applyAlignment="1" applyProtection="1">
      <alignment vertical="center"/>
    </xf>
    <xf numFmtId="0" fontId="71" fillId="0" borderId="0" xfId="0" applyFont="1" applyAlignment="1" applyProtection="1">
      <alignment horizontal="right" vertical="center"/>
    </xf>
    <xf numFmtId="1" fontId="71" fillId="3" borderId="0" xfId="0" applyNumberFormat="1" applyFont="1" applyFill="1" applyAlignment="1" applyProtection="1">
      <alignment horizontal="left" vertical="center"/>
      <protection locked="0"/>
    </xf>
    <xf numFmtId="0" fontId="71" fillId="3" borderId="0" xfId="0" applyFont="1" applyFill="1" applyAlignment="1" applyProtection="1">
      <alignment vertical="center"/>
    </xf>
    <xf numFmtId="0" fontId="71" fillId="0" borderId="0" xfId="0" applyFont="1" applyAlignment="1" applyProtection="1">
      <alignment vertical="center"/>
      <protection locked="0"/>
    </xf>
    <xf numFmtId="1" fontId="71" fillId="3" borderId="0" xfId="0" quotePrefix="1" applyNumberFormat="1" applyFont="1" applyFill="1" applyAlignment="1" applyProtection="1">
      <alignment horizontal="left" vertical="center"/>
      <protection locked="0"/>
    </xf>
    <xf numFmtId="1" fontId="71" fillId="0" borderId="0" xfId="0" applyNumberFormat="1" applyFont="1" applyAlignment="1" applyProtection="1">
      <alignment vertical="center"/>
    </xf>
    <xf numFmtId="16" fontId="71" fillId="3" borderId="0" xfId="0" quotePrefix="1" applyNumberFormat="1" applyFont="1" applyFill="1" applyAlignment="1" applyProtection="1">
      <alignment horizontal="left" vertical="center"/>
      <protection locked="0"/>
    </xf>
    <xf numFmtId="0" fontId="126" fillId="0" borderId="0" xfId="0" applyFont="1" applyAlignment="1" applyProtection="1">
      <alignment vertical="center"/>
      <protection locked="0"/>
    </xf>
    <xf numFmtId="0" fontId="71" fillId="2" borderId="0" xfId="0" applyFont="1" applyFill="1" applyAlignment="1" applyProtection="1">
      <alignment vertical="center"/>
      <protection locked="0"/>
    </xf>
    <xf numFmtId="0" fontId="54" fillId="0" borderId="0" xfId="0" applyFont="1" applyAlignment="1" applyProtection="1">
      <alignment vertical="center"/>
    </xf>
    <xf numFmtId="0" fontId="71" fillId="0" borderId="0" xfId="0" applyFont="1" applyAlignment="1" applyProtection="1">
      <alignment horizontal="center" vertical="center"/>
    </xf>
    <xf numFmtId="0" fontId="11" fillId="0" borderId="0" xfId="1" applyFont="1"/>
    <xf numFmtId="0" fontId="54" fillId="0" borderId="5" xfId="0" applyFont="1" applyBorder="1" applyAlignment="1" applyProtection="1">
      <alignment horizontal="center" vertical="center" wrapText="1"/>
    </xf>
    <xf numFmtId="0" fontId="54" fillId="0" borderId="0" xfId="0" applyFont="1" applyAlignment="1" applyProtection="1">
      <alignment horizontal="center" vertical="center" wrapText="1"/>
    </xf>
    <xf numFmtId="164" fontId="71" fillId="3" borderId="11" xfId="0" applyNumberFormat="1" applyFont="1" applyFill="1" applyBorder="1" applyAlignment="1" applyProtection="1">
      <alignment vertical="center"/>
    </xf>
    <xf numFmtId="164" fontId="71" fillId="3" borderId="8" xfId="0" applyNumberFormat="1" applyFont="1" applyFill="1" applyBorder="1" applyAlignment="1" applyProtection="1">
      <alignment vertical="center"/>
    </xf>
    <xf numFmtId="164" fontId="71" fillId="0" borderId="0" xfId="0" applyNumberFormat="1" applyFont="1" applyAlignment="1" applyProtection="1">
      <alignment horizontal="left" vertical="center"/>
    </xf>
    <xf numFmtId="0" fontId="127" fillId="0" borderId="0" xfId="0" quotePrefix="1" applyFont="1" applyAlignment="1" applyProtection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3" xfId="1" applyFont="1" applyBorder="1" applyAlignment="1">
      <alignment horizontal="center" vertical="center"/>
    </xf>
    <xf numFmtId="1" fontId="71" fillId="0" borderId="0" xfId="0" applyNumberFormat="1" applyFont="1" applyAlignment="1" applyProtection="1">
      <alignment horizontal="left" vertical="center"/>
    </xf>
    <xf numFmtId="1" fontId="11" fillId="0" borderId="0" xfId="1" applyNumberFormat="1" applyFont="1" applyAlignment="1">
      <alignment horizontal="center" vertical="center"/>
    </xf>
    <xf numFmtId="1" fontId="11" fillId="5" borderId="42" xfId="1" applyNumberFormat="1" applyFont="1" applyFill="1" applyBorder="1" applyAlignment="1">
      <alignment horizontal="center" vertical="center"/>
    </xf>
    <xf numFmtId="0" fontId="11" fillId="0" borderId="44" xfId="1" applyFont="1" applyBorder="1" applyAlignment="1">
      <alignment horizontal="center" vertical="center"/>
    </xf>
    <xf numFmtId="0" fontId="128" fillId="3" borderId="0" xfId="0" quotePrefix="1" applyFont="1" applyFill="1" applyAlignment="1" applyProtection="1">
      <alignment horizontal="left" vertical="center"/>
    </xf>
    <xf numFmtId="0" fontId="11" fillId="0" borderId="0" xfId="1" applyFont="1" applyAlignment="1">
      <alignment horizontal="center"/>
    </xf>
    <xf numFmtId="0" fontId="11" fillId="0" borderId="38" xfId="1" applyFont="1" applyBorder="1" applyAlignment="1">
      <alignment horizontal="center" vertical="center"/>
    </xf>
    <xf numFmtId="0" fontId="54" fillId="3" borderId="10" xfId="0" applyFont="1" applyFill="1" applyBorder="1" applyAlignment="1" applyProtection="1">
      <alignment horizontal="left" vertical="center"/>
    </xf>
    <xf numFmtId="0" fontId="11" fillId="0" borderId="12" xfId="1" applyFont="1" applyBorder="1" applyAlignment="1">
      <alignment horizontal="center" vertical="center"/>
    </xf>
    <xf numFmtId="0" fontId="11" fillId="5" borderId="11" xfId="1" applyFont="1" applyFill="1" applyBorder="1" applyAlignment="1">
      <alignment horizontal="center" vertical="center"/>
    </xf>
    <xf numFmtId="0" fontId="54" fillId="0" borderId="5" xfId="0" applyFont="1" applyBorder="1" applyAlignment="1" applyProtection="1">
      <alignment horizontal="center" vertical="center"/>
    </xf>
    <xf numFmtId="0" fontId="71" fillId="0" borderId="0" xfId="0" applyFont="1" applyAlignment="1" applyProtection="1">
      <alignment horizontal="center" vertical="center"/>
      <protection locked="0"/>
    </xf>
    <xf numFmtId="0" fontId="71" fillId="0" borderId="5" xfId="0" applyFont="1" applyBorder="1" applyAlignment="1" applyProtection="1">
      <alignment horizontal="center" vertical="center"/>
    </xf>
    <xf numFmtId="0" fontId="71" fillId="2" borderId="6" xfId="0" applyFont="1" applyFill="1" applyBorder="1" applyAlignment="1" applyProtection="1">
      <alignment vertical="center"/>
      <protection locked="0"/>
    </xf>
    <xf numFmtId="0" fontId="71" fillId="0" borderId="10" xfId="0" applyFont="1" applyBorder="1" applyAlignment="1" applyProtection="1">
      <alignment vertical="center"/>
      <protection locked="0"/>
    </xf>
    <xf numFmtId="0" fontId="71" fillId="0" borderId="7" xfId="0" applyFont="1" applyBorder="1" applyAlignment="1" applyProtection="1">
      <alignment vertical="center"/>
      <protection locked="0"/>
    </xf>
    <xf numFmtId="164" fontId="71" fillId="2" borderId="9" xfId="0" applyNumberFormat="1" applyFont="1" applyFill="1" applyBorder="1" applyAlignment="1" applyProtection="1">
      <alignment vertical="center"/>
    </xf>
    <xf numFmtId="176" fontId="71" fillId="0" borderId="6" xfId="0" applyNumberFormat="1" applyFont="1" applyBorder="1" applyAlignment="1" applyProtection="1">
      <alignment horizontal="right" vertical="center"/>
    </xf>
    <xf numFmtId="0" fontId="71" fillId="0" borderId="9" xfId="0" applyFont="1" applyBorder="1" applyAlignment="1" applyProtection="1">
      <alignment horizontal="left" vertical="center"/>
    </xf>
    <xf numFmtId="1" fontId="129" fillId="3" borderId="0" xfId="0" applyNumberFormat="1" applyFont="1" applyFill="1" applyAlignment="1" applyProtection="1">
      <alignment vertical="center" wrapText="1"/>
      <protection locked="0"/>
    </xf>
    <xf numFmtId="0" fontId="130" fillId="0" borderId="0" xfId="0" applyFont="1" applyAlignment="1" applyProtection="1">
      <alignment horizontal="center" vertical="center"/>
      <protection locked="0"/>
    </xf>
    <xf numFmtId="0" fontId="130" fillId="0" borderId="57" xfId="0" applyFont="1" applyBorder="1" applyAlignment="1" applyProtection="1">
      <alignment horizontal="center" vertical="center"/>
      <protection locked="0"/>
    </xf>
    <xf numFmtId="175" fontId="71" fillId="0" borderId="6" xfId="0" applyNumberFormat="1" applyFont="1" applyBorder="1" applyAlignment="1" applyProtection="1">
      <alignment horizontal="right" vertical="center"/>
    </xf>
    <xf numFmtId="164" fontId="129" fillId="3" borderId="0" xfId="0" applyNumberFormat="1" applyFont="1" applyFill="1" applyAlignment="1" applyProtection="1">
      <alignment vertical="center" wrapText="1"/>
      <protection locked="0"/>
    </xf>
    <xf numFmtId="0" fontId="130" fillId="0" borderId="10" xfId="0" applyFont="1" applyBorder="1" applyAlignment="1" applyProtection="1">
      <alignment horizontal="center" vertical="center"/>
      <protection locked="0"/>
    </xf>
    <xf numFmtId="0" fontId="130" fillId="0" borderId="14" xfId="0" applyFont="1" applyBorder="1" applyAlignment="1" applyProtection="1">
      <alignment horizontal="center" vertical="center"/>
      <protection locked="0"/>
    </xf>
    <xf numFmtId="171" fontId="11" fillId="0" borderId="42" xfId="1" applyNumberFormat="1" applyFont="1" applyBorder="1" applyAlignment="1">
      <alignment horizontal="center" vertical="center"/>
    </xf>
    <xf numFmtId="0" fontId="11" fillId="5" borderId="43" xfId="1" applyFont="1" applyFill="1" applyBorder="1" applyAlignment="1">
      <alignment horizontal="center" vertical="center"/>
    </xf>
    <xf numFmtId="174" fontId="71" fillId="0" borderId="6" xfId="0" applyNumberFormat="1" applyFont="1" applyBorder="1" applyAlignment="1" applyProtection="1">
      <alignment horizontal="right" vertical="center"/>
    </xf>
    <xf numFmtId="0" fontId="54" fillId="0" borderId="0" xfId="0" applyFont="1" applyAlignment="1" applyProtection="1">
      <alignment horizontal="center" vertical="center"/>
      <protection locked="0"/>
    </xf>
    <xf numFmtId="0" fontId="1" fillId="0" borderId="0" xfId="1" applyFont="1" applyAlignment="1">
      <alignment vertical="center"/>
    </xf>
    <xf numFmtId="0" fontId="71" fillId="0" borderId="5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 wrapText="1"/>
    </xf>
    <xf numFmtId="173" fontId="71" fillId="0" borderId="5" xfId="0" applyNumberFormat="1" applyFont="1" applyBorder="1" applyAlignment="1">
      <alignment horizontal="center" vertical="center"/>
    </xf>
    <xf numFmtId="0" fontId="11" fillId="0" borderId="39" xfId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71" fillId="3" borderId="7" xfId="1" applyFont="1" applyFill="1" applyBorder="1" applyAlignment="1" applyProtection="1">
      <alignment horizontal="left" vertical="center"/>
      <protection locked="0"/>
    </xf>
    <xf numFmtId="0" fontId="71" fillId="3" borderId="9" xfId="1" applyFont="1" applyFill="1" applyBorder="1" applyAlignment="1" applyProtection="1">
      <alignment horizontal="left" vertical="center"/>
      <protection locked="0"/>
    </xf>
    <xf numFmtId="0" fontId="71" fillId="0" borderId="6" xfId="0" applyFont="1" applyBorder="1" applyAlignment="1" applyProtection="1">
      <alignment horizontal="right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 wrapText="1"/>
    </xf>
    <xf numFmtId="0" fontId="131" fillId="0" borderId="0" xfId="0" applyFont="1" applyAlignment="1" applyProtection="1">
      <alignment horizontal="center" vertical="center"/>
      <protection locked="0"/>
    </xf>
    <xf numFmtId="173" fontId="71" fillId="0" borderId="0" xfId="0" applyNumberFormat="1" applyFont="1" applyAlignment="1">
      <alignment horizontal="center" vertical="center"/>
    </xf>
    <xf numFmtId="0" fontId="71" fillId="0" borderId="8" xfId="0" applyFont="1" applyBorder="1" applyAlignment="1" applyProtection="1">
      <alignment vertical="center"/>
    </xf>
    <xf numFmtId="1" fontId="71" fillId="0" borderId="8" xfId="0" applyNumberFormat="1" applyFont="1" applyBorder="1" applyAlignment="1" applyProtection="1">
      <alignment horizontal="left" vertical="center"/>
    </xf>
    <xf numFmtId="0" fontId="127" fillId="0" borderId="8" xfId="0" quotePrefix="1" applyFont="1" applyBorder="1" applyAlignment="1" applyProtection="1">
      <alignment horizontal="left" vertical="center"/>
    </xf>
    <xf numFmtId="0" fontId="54" fillId="0" borderId="0" xfId="0" applyFont="1" applyAlignment="1" applyProtection="1">
      <alignment horizontal="left" vertical="center"/>
    </xf>
    <xf numFmtId="0" fontId="71" fillId="0" borderId="0" xfId="0" applyFont="1" applyBorder="1" applyAlignment="1" applyProtection="1">
      <alignment horizontal="center" vertical="center" wrapText="1"/>
    </xf>
    <xf numFmtId="0" fontId="54" fillId="0" borderId="0" xfId="0" applyFont="1" applyBorder="1" applyAlignment="1" applyProtection="1">
      <alignment horizontal="left" vertical="center" wrapText="1"/>
    </xf>
    <xf numFmtId="0" fontId="132" fillId="0" borderId="0" xfId="2" applyFont="1" applyProtection="1"/>
    <xf numFmtId="0" fontId="71" fillId="2" borderId="3" xfId="0" applyFont="1" applyFill="1" applyBorder="1" applyAlignment="1" applyProtection="1">
      <alignment horizontal="center" vertical="center"/>
    </xf>
    <xf numFmtId="0" fontId="71" fillId="2" borderId="0" xfId="0" applyFont="1" applyFill="1" applyAlignment="1" applyProtection="1">
      <alignment horizontal="center" vertical="center"/>
    </xf>
    <xf numFmtId="0" fontId="71" fillId="2" borderId="5" xfId="0" applyFont="1" applyFill="1" applyBorder="1" applyAlignment="1" applyProtection="1">
      <alignment horizontal="center" vertical="center"/>
    </xf>
    <xf numFmtId="165" fontId="71" fillId="2" borderId="5" xfId="0" applyNumberFormat="1" applyFont="1" applyFill="1" applyBorder="1" applyAlignment="1" applyProtection="1">
      <alignment horizontal="center" vertical="center"/>
    </xf>
    <xf numFmtId="166" fontId="71" fillId="2" borderId="5" xfId="0" applyNumberFormat="1" applyFont="1" applyFill="1" applyBorder="1" applyAlignment="1" applyProtection="1">
      <alignment horizontal="center" vertical="center"/>
    </xf>
    <xf numFmtId="0" fontId="54" fillId="0" borderId="0" xfId="2" applyFont="1" applyProtection="1"/>
    <xf numFmtId="0" fontId="54" fillId="0" borderId="0" xfId="2" applyFont="1" applyAlignment="1" applyProtection="1">
      <alignment horizontal="center"/>
    </xf>
    <xf numFmtId="0" fontId="71" fillId="0" borderId="0" xfId="2" applyFont="1" applyProtection="1"/>
    <xf numFmtId="0" fontId="54" fillId="0" borderId="0" xfId="2" quotePrefix="1" applyFont="1" applyProtection="1"/>
    <xf numFmtId="0" fontId="45" fillId="0" borderId="0" xfId="12" applyFont="1" applyProtection="1"/>
    <xf numFmtId="1" fontId="72" fillId="0" borderId="0" xfId="0" applyNumberFormat="1" applyFont="1" applyAlignment="1" applyProtection="1">
      <alignment vertical="center"/>
      <protection locked="0"/>
    </xf>
    <xf numFmtId="0" fontId="71" fillId="0" borderId="5" xfId="0" applyFont="1" applyBorder="1" applyAlignment="1" applyProtection="1">
      <alignment horizontal="center" vertical="center" wrapText="1"/>
    </xf>
    <xf numFmtId="0" fontId="11" fillId="0" borderId="0" xfId="12" applyFont="1" applyProtection="1"/>
    <xf numFmtId="0" fontId="81" fillId="0" borderId="0" xfId="2" applyFont="1" applyAlignment="1" applyProtection="1">
      <alignment horizontal="center" vertical="center"/>
    </xf>
    <xf numFmtId="0" fontId="11" fillId="0" borderId="0" xfId="12" applyFont="1"/>
    <xf numFmtId="0" fontId="73" fillId="3" borderId="0" xfId="2" applyFont="1" applyFill="1"/>
    <xf numFmtId="164" fontId="71" fillId="3" borderId="0" xfId="2" applyNumberFormat="1" applyFont="1" applyFill="1" applyProtection="1"/>
    <xf numFmtId="164" fontId="71" fillId="2" borderId="5" xfId="0" applyNumberFormat="1" applyFont="1" applyFill="1" applyBorder="1" applyAlignment="1" applyProtection="1">
      <alignment horizontal="center" vertical="center"/>
    </xf>
    <xf numFmtId="0" fontId="54" fillId="2" borderId="0" xfId="2" applyFont="1" applyFill="1" applyAlignment="1" applyProtection="1">
      <alignment horizontal="left" vertical="center"/>
    </xf>
    <xf numFmtId="0" fontId="54" fillId="2" borderId="0" xfId="2" quotePrefix="1" applyFont="1" applyFill="1" applyAlignment="1" applyProtection="1">
      <alignment horizontal="left" vertical="center"/>
    </xf>
    <xf numFmtId="0" fontId="71" fillId="2" borderId="0" xfId="2" applyFont="1" applyFill="1" applyAlignment="1" applyProtection="1">
      <alignment horizontal="center" vertical="center"/>
    </xf>
    <xf numFmtId="164" fontId="71" fillId="0" borderId="0" xfId="2" applyNumberFormat="1" applyFont="1" applyAlignment="1" applyProtection="1">
      <alignment horizontal="center"/>
    </xf>
    <xf numFmtId="0" fontId="71" fillId="2" borderId="0" xfId="2" applyFont="1" applyFill="1" applyAlignment="1" applyProtection="1">
      <alignment vertical="center" wrapText="1"/>
    </xf>
    <xf numFmtId="2" fontId="71" fillId="2" borderId="5" xfId="0" applyNumberFormat="1" applyFont="1" applyFill="1" applyBorder="1" applyAlignment="1" applyProtection="1">
      <alignment horizontal="center" vertical="center"/>
    </xf>
    <xf numFmtId="0" fontId="71" fillId="0" borderId="0" xfId="0" quotePrefix="1" applyFont="1" applyAlignment="1" applyProtection="1">
      <alignment horizontal="center" vertical="center"/>
    </xf>
    <xf numFmtId="164" fontId="71" fillId="0" borderId="8" xfId="0" applyNumberFormat="1" applyFont="1" applyBorder="1" applyAlignment="1" applyProtection="1">
      <alignment horizontal="center" vertical="center"/>
    </xf>
    <xf numFmtId="164" fontId="71" fillId="0" borderId="0" xfId="0" applyNumberFormat="1" applyFont="1" applyAlignment="1" applyProtection="1">
      <alignment horizontal="center" vertical="center"/>
    </xf>
    <xf numFmtId="2" fontId="71" fillId="0" borderId="0" xfId="0" applyNumberFormat="1" applyFont="1" applyAlignment="1" applyProtection="1">
      <alignment horizontal="center" vertical="center"/>
    </xf>
    <xf numFmtId="2" fontId="71" fillId="0" borderId="0" xfId="0" applyNumberFormat="1" applyFont="1" applyAlignment="1" applyProtection="1">
      <alignment horizontal="center" vertical="center"/>
      <protection locked="0"/>
    </xf>
    <xf numFmtId="0" fontId="133" fillId="0" borderId="0" xfId="0" quotePrefix="1" applyFont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left" vertical="center"/>
      <protection locked="0"/>
    </xf>
    <xf numFmtId="1" fontId="133" fillId="0" borderId="0" xfId="0" quotePrefix="1" applyNumberFormat="1" applyFont="1" applyAlignment="1" applyProtection="1">
      <alignment horizontal="center" vertical="center"/>
      <protection locked="0"/>
    </xf>
    <xf numFmtId="0" fontId="71" fillId="0" borderId="0" xfId="0" applyFont="1" applyAlignment="1" applyProtection="1">
      <alignment horizontal="left" vertical="center"/>
      <protection locked="0"/>
    </xf>
    <xf numFmtId="0" fontId="71" fillId="2" borderId="0" xfId="2" applyFont="1" applyFill="1" applyAlignment="1" applyProtection="1">
      <alignment horizontal="left"/>
      <protection locked="0"/>
    </xf>
    <xf numFmtId="0" fontId="45" fillId="0" borderId="0" xfId="0" applyFont="1" applyAlignment="1" applyProtection="1">
      <alignment vertical="center"/>
      <protection locked="0"/>
    </xf>
    <xf numFmtId="0" fontId="71" fillId="3" borderId="0" xfId="0" applyFont="1" applyFill="1" applyAlignment="1" applyProtection="1">
      <alignment vertical="center"/>
      <protection locked="0"/>
    </xf>
    <xf numFmtId="0" fontId="54" fillId="0" borderId="0" xfId="0" quotePrefix="1" applyFont="1" applyAlignment="1" applyProtection="1">
      <alignment horizontal="left" vertical="center"/>
      <protection locked="0"/>
    </xf>
    <xf numFmtId="2" fontId="72" fillId="0" borderId="0" xfId="0" applyNumberFormat="1" applyFont="1" applyAlignment="1" applyProtection="1">
      <alignment horizontal="center" vertical="center"/>
      <protection locked="0"/>
    </xf>
    <xf numFmtId="165" fontId="72" fillId="0" borderId="0" xfId="0" applyNumberFormat="1" applyFont="1" applyAlignment="1" applyProtection="1">
      <alignment horizontal="center" vertical="center"/>
      <protection locked="0"/>
    </xf>
    <xf numFmtId="166" fontId="72" fillId="0" borderId="0" xfId="0" applyNumberFormat="1" applyFont="1" applyAlignment="1" applyProtection="1">
      <alignment horizontal="center" vertical="center"/>
      <protection locked="0"/>
    </xf>
    <xf numFmtId="0" fontId="71" fillId="2" borderId="0" xfId="0" applyFont="1" applyFill="1" applyAlignment="1" applyProtection="1">
      <alignment horizontal="left"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71" fillId="2" borderId="0" xfId="0" applyFont="1" applyFill="1" applyAlignment="1" applyProtection="1">
      <alignment vertical="center" wrapText="1"/>
      <protection locked="0"/>
    </xf>
    <xf numFmtId="0" fontId="71" fillId="2" borderId="0" xfId="0" applyFont="1" applyFill="1" applyAlignment="1" applyProtection="1">
      <alignment vertical="center" wrapText="1"/>
      <protection hidden="1"/>
    </xf>
    <xf numFmtId="0" fontId="134" fillId="0" borderId="0" xfId="0" applyFont="1" applyAlignment="1" applyProtection="1">
      <alignment vertical="center"/>
      <protection locked="0"/>
    </xf>
    <xf numFmtId="0" fontId="131" fillId="0" borderId="0" xfId="0" applyFont="1" applyAlignment="1" applyProtection="1">
      <alignment vertical="center"/>
      <protection locked="0"/>
    </xf>
    <xf numFmtId="0" fontId="132" fillId="0" borderId="0" xfId="0" applyFont="1" applyAlignment="1" applyProtection="1">
      <alignment vertical="center"/>
      <protection locked="0"/>
    </xf>
    <xf numFmtId="0" fontId="132" fillId="2" borderId="0" xfId="0" applyFont="1" applyFill="1" applyAlignment="1" applyProtection="1">
      <alignment vertical="center"/>
      <protection locked="0"/>
    </xf>
    <xf numFmtId="0" fontId="72" fillId="2" borderId="0" xfId="0" applyFont="1" applyFill="1" applyAlignment="1" applyProtection="1">
      <alignment vertical="center"/>
      <protection locked="0"/>
    </xf>
    <xf numFmtId="0" fontId="72" fillId="2" borderId="0" xfId="0" applyFont="1" applyFill="1" applyAlignment="1" applyProtection="1">
      <alignment horizontal="center" vertical="center"/>
      <protection locked="0"/>
    </xf>
    <xf numFmtId="0" fontId="72" fillId="2" borderId="0" xfId="0" applyFont="1" applyFill="1" applyAlignment="1" applyProtection="1">
      <alignment horizontal="left" vertical="center"/>
      <protection locked="0"/>
    </xf>
    <xf numFmtId="0" fontId="133" fillId="0" borderId="0" xfId="0" applyFont="1" applyAlignment="1" applyProtection="1">
      <alignment horizontal="center" vertical="center"/>
      <protection locked="0"/>
    </xf>
    <xf numFmtId="0" fontId="126" fillId="0" borderId="0" xfId="0" applyFont="1" applyAlignment="1" applyProtection="1">
      <alignment horizontal="center" vertical="center"/>
      <protection locked="0"/>
    </xf>
    <xf numFmtId="0" fontId="11" fillId="0" borderId="67" xfId="0" applyFont="1" applyBorder="1" applyAlignment="1">
      <alignment vertical="center"/>
    </xf>
    <xf numFmtId="0" fontId="72" fillId="0" borderId="0" xfId="0" quotePrefix="1" applyFont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center" vertical="center" wrapText="1" shrinkToFit="1"/>
      <protection locked="0"/>
    </xf>
    <xf numFmtId="0" fontId="72" fillId="0" borderId="0" xfId="0" applyFont="1" applyAlignment="1" applyProtection="1">
      <alignment vertical="center" wrapText="1" shrinkToFit="1"/>
      <protection locked="0"/>
    </xf>
    <xf numFmtId="0" fontId="72" fillId="0" borderId="0" xfId="0" applyFont="1" applyAlignment="1" applyProtection="1">
      <alignment horizontal="center" vertical="center" wrapText="1"/>
      <protection locked="0"/>
    </xf>
    <xf numFmtId="0" fontId="128" fillId="0" borderId="0" xfId="0" quotePrefix="1" applyFont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left" vertical="center"/>
      <protection locked="0"/>
    </xf>
    <xf numFmtId="0" fontId="131" fillId="0" borderId="0" xfId="0" applyFont="1" applyAlignment="1" applyProtection="1">
      <alignment horizontal="left" vertical="center"/>
      <protection locked="0"/>
    </xf>
    <xf numFmtId="0" fontId="72" fillId="0" borderId="0" xfId="0" quotePrefix="1" applyFont="1" applyAlignment="1" applyProtection="1">
      <alignment horizontal="center" vertical="center"/>
      <protection locked="0"/>
    </xf>
    <xf numFmtId="1" fontId="72" fillId="0" borderId="0" xfId="0" quotePrefix="1" applyNumberFormat="1" applyFont="1" applyAlignment="1" applyProtection="1">
      <alignment horizontal="center" vertical="center"/>
      <protection locked="0"/>
    </xf>
    <xf numFmtId="164" fontId="72" fillId="0" borderId="0" xfId="0" applyNumberFormat="1" applyFont="1" applyAlignment="1" applyProtection="1">
      <alignment horizontal="center" vertical="center"/>
      <protection locked="0"/>
    </xf>
    <xf numFmtId="1" fontId="72" fillId="0" borderId="0" xfId="0" applyNumberFormat="1" applyFont="1" applyAlignment="1" applyProtection="1">
      <alignment horizontal="center" vertical="center"/>
      <protection locked="0"/>
    </xf>
    <xf numFmtId="0" fontId="131" fillId="0" borderId="8" xfId="0" applyFont="1" applyBorder="1" applyAlignment="1" applyProtection="1">
      <alignment horizontal="left" vertical="center"/>
      <protection locked="0"/>
    </xf>
    <xf numFmtId="0" fontId="119" fillId="0" borderId="0" xfId="12" applyFont="1" applyProtection="1"/>
    <xf numFmtId="0" fontId="70" fillId="3" borderId="0" xfId="0" applyNumberFormat="1" applyFont="1" applyFill="1" applyAlignment="1" applyProtection="1">
      <alignment horizontal="left" vertical="center"/>
    </xf>
    <xf numFmtId="1" fontId="70" fillId="3" borderId="0" xfId="0" applyNumberFormat="1" applyFont="1" applyFill="1" applyAlignment="1" applyProtection="1">
      <alignment horizontal="left" vertical="center"/>
    </xf>
    <xf numFmtId="2" fontId="70" fillId="0" borderId="6" xfId="0" applyNumberFormat="1" applyFont="1" applyBorder="1" applyAlignment="1" applyProtection="1">
      <alignment horizontal="right" vertical="center"/>
    </xf>
    <xf numFmtId="165" fontId="70" fillId="0" borderId="6" xfId="0" applyNumberFormat="1" applyFont="1" applyBorder="1" applyAlignment="1" applyProtection="1">
      <alignment horizontal="right" vertical="center"/>
    </xf>
    <xf numFmtId="0" fontId="70" fillId="0" borderId="5" xfId="0" applyFont="1" applyBorder="1" applyAlignment="1" applyProtection="1">
      <alignment horizontal="center" vertical="center" wrapText="1"/>
    </xf>
    <xf numFmtId="2" fontId="70" fillId="0" borderId="5" xfId="12" applyNumberFormat="1" applyFont="1" applyBorder="1" applyAlignment="1" applyProtection="1">
      <alignment horizontal="center" vertical="center"/>
    </xf>
    <xf numFmtId="2" fontId="70" fillId="0" borderId="5" xfId="0" applyNumberFormat="1" applyFont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70" fillId="0" borderId="9" xfId="12" applyNumberFormat="1" applyFont="1" applyBorder="1" applyAlignment="1" applyProtection="1">
      <alignment horizontal="left" vertical="center"/>
    </xf>
    <xf numFmtId="2" fontId="70" fillId="0" borderId="9" xfId="0" applyNumberFormat="1" applyFont="1" applyBorder="1" applyAlignment="1" applyProtection="1">
      <alignment horizontal="center" vertical="center" wrapText="1"/>
    </xf>
    <xf numFmtId="164" fontId="70" fillId="0" borderId="5" xfId="0" applyNumberFormat="1" applyFont="1" applyBorder="1" applyAlignment="1" applyProtection="1">
      <alignment horizontal="center" vertical="center" wrapText="1"/>
    </xf>
    <xf numFmtId="2" fontId="70" fillId="0" borderId="7" xfId="0" applyNumberFormat="1" applyFont="1" applyBorder="1" applyAlignment="1" applyProtection="1">
      <alignment horizontal="center" vertical="center" wrapText="1"/>
    </xf>
    <xf numFmtId="165" fontId="70" fillId="0" borderId="5" xfId="12" applyNumberFormat="1" applyFont="1" applyBorder="1" applyAlignment="1" applyProtection="1">
      <alignment horizontal="center" vertical="center"/>
    </xf>
    <xf numFmtId="165" fontId="70" fillId="0" borderId="9" xfId="0" applyNumberFormat="1" applyFont="1" applyBorder="1" applyAlignment="1" applyProtection="1">
      <alignment horizontal="center" vertical="center" wrapText="1"/>
    </xf>
    <xf numFmtId="0" fontId="70" fillId="0" borderId="0" xfId="0" applyFont="1" applyAlignment="1" applyProtection="1">
      <alignment horizontal="left" vertical="center"/>
      <protection locked="0"/>
    </xf>
    <xf numFmtId="0" fontId="6" fillId="13" borderId="7" xfId="10" applyFont="1" applyFill="1" applyBorder="1"/>
    <xf numFmtId="0" fontId="6" fillId="13" borderId="24" xfId="10" applyFont="1" applyFill="1" applyBorder="1"/>
    <xf numFmtId="0" fontId="42" fillId="3" borderId="0" xfId="0" applyNumberFormat="1" applyFont="1" applyFill="1" applyAlignment="1" applyProtection="1">
      <alignment horizontal="left" vertical="center"/>
    </xf>
    <xf numFmtId="0" fontId="70" fillId="0" borderId="0" xfId="0" applyNumberFormat="1" applyFont="1" applyAlignment="1" applyProtection="1">
      <alignment horizontal="left" vertical="center"/>
    </xf>
    <xf numFmtId="0" fontId="42" fillId="3" borderId="0" xfId="0" applyNumberFormat="1" applyFont="1" applyFill="1" applyAlignment="1" applyProtection="1">
      <alignment vertical="center"/>
    </xf>
    <xf numFmtId="1" fontId="6" fillId="3" borderId="5" xfId="3" applyNumberFormat="1" applyFont="1" applyFill="1" applyBorder="1" applyAlignment="1">
      <alignment horizontal="center" vertical="center"/>
    </xf>
    <xf numFmtId="0" fontId="70" fillId="3" borderId="0" xfId="0" applyFont="1" applyFill="1" applyAlignment="1" applyProtection="1">
      <alignment horizontal="left" vertical="center"/>
      <protection locked="0"/>
    </xf>
    <xf numFmtId="167" fontId="57" fillId="3" borderId="5" xfId="3" applyNumberFormat="1" applyFont="1" applyFill="1" applyBorder="1" applyAlignment="1">
      <alignment horizontal="center"/>
    </xf>
    <xf numFmtId="167" fontId="16" fillId="12" borderId="5" xfId="3" applyNumberFormat="1" applyFont="1" applyFill="1" applyBorder="1" applyAlignment="1">
      <alignment horizontal="center" vertical="center"/>
    </xf>
    <xf numFmtId="0" fontId="42" fillId="2" borderId="0" xfId="0" applyFont="1" applyFill="1" applyAlignment="1" applyProtection="1">
      <alignment vertical="top"/>
      <protection locked="0"/>
    </xf>
    <xf numFmtId="1" fontId="135" fillId="0" borderId="5" xfId="1" applyNumberFormat="1" applyFont="1" applyBorder="1" applyAlignment="1">
      <alignment horizontal="center" vertical="center"/>
    </xf>
    <xf numFmtId="0" fontId="135" fillId="0" borderId="44" xfId="1" applyFont="1" applyBorder="1" applyAlignment="1">
      <alignment horizontal="center" vertical="center"/>
    </xf>
    <xf numFmtId="0" fontId="135" fillId="5" borderId="40" xfId="1" applyFont="1" applyFill="1" applyBorder="1" applyAlignment="1">
      <alignment horizontal="center" vertical="center"/>
    </xf>
    <xf numFmtId="0" fontId="135" fillId="0" borderId="5" xfId="1" applyFont="1" applyBorder="1" applyAlignment="1">
      <alignment horizontal="center" vertical="center"/>
    </xf>
    <xf numFmtId="1" fontId="135" fillId="0" borderId="3" xfId="1" applyNumberFormat="1" applyFont="1" applyBorder="1" applyAlignment="1">
      <alignment horizontal="center" vertical="center"/>
    </xf>
    <xf numFmtId="2" fontId="42" fillId="0" borderId="5" xfId="12" applyNumberFormat="1" applyFont="1" applyBorder="1" applyAlignment="1" applyProtection="1">
      <alignment horizontal="center" vertical="center"/>
    </xf>
    <xf numFmtId="0" fontId="14" fillId="0" borderId="29" xfId="2" applyFont="1" applyBorder="1" applyAlignment="1">
      <alignment horizontal="center" vertical="center" wrapText="1"/>
    </xf>
    <xf numFmtId="0" fontId="14" fillId="0" borderId="30" xfId="2" applyFont="1" applyBorder="1" applyAlignment="1">
      <alignment horizontal="center" vertical="center" wrapText="1"/>
    </xf>
    <xf numFmtId="0" fontId="14" fillId="0" borderId="52" xfId="2" applyFont="1" applyBorder="1" applyAlignment="1">
      <alignment horizontal="center" vertical="center" wrapText="1"/>
    </xf>
    <xf numFmtId="0" fontId="110" fillId="3" borderId="29" xfId="3" applyFont="1" applyFill="1" applyBorder="1" applyAlignment="1">
      <alignment horizontal="center" vertical="center"/>
    </xf>
    <xf numFmtId="0" fontId="110" fillId="3" borderId="52" xfId="3" applyFont="1" applyFill="1" applyBorder="1" applyAlignment="1">
      <alignment horizontal="center" vertical="center"/>
    </xf>
    <xf numFmtId="0" fontId="16" fillId="3" borderId="29" xfId="3" applyFont="1" applyFill="1" applyBorder="1" applyAlignment="1">
      <alignment horizontal="center" vertical="center"/>
    </xf>
    <xf numFmtId="0" fontId="16" fillId="3" borderId="30" xfId="3" applyFont="1" applyFill="1" applyBorder="1" applyAlignment="1">
      <alignment horizontal="center" vertical="center"/>
    </xf>
    <xf numFmtId="0" fontId="16" fillId="3" borderId="52" xfId="3" applyFont="1" applyFill="1" applyBorder="1" applyAlignment="1">
      <alignment horizontal="center" vertical="center"/>
    </xf>
    <xf numFmtId="0" fontId="57" fillId="16" borderId="5" xfId="2" applyFont="1" applyFill="1" applyBorder="1" applyAlignment="1">
      <alignment horizontal="center" vertical="center" wrapText="1"/>
    </xf>
    <xf numFmtId="0" fontId="63" fillId="3" borderId="3" xfId="3" applyFont="1" applyFill="1" applyBorder="1" applyAlignment="1">
      <alignment horizontal="center" vertical="center" wrapText="1"/>
    </xf>
    <xf numFmtId="0" fontId="63" fillId="3" borderId="1" xfId="3" applyFont="1" applyFill="1" applyBorder="1" applyAlignment="1">
      <alignment horizontal="center" vertical="center" wrapText="1"/>
    </xf>
    <xf numFmtId="0" fontId="63" fillId="3" borderId="4" xfId="3" applyFont="1" applyFill="1" applyBorder="1" applyAlignment="1">
      <alignment horizontal="center" vertical="center" wrapText="1"/>
    </xf>
    <xf numFmtId="0" fontId="16" fillId="3" borderId="3" xfId="3" applyFont="1" applyFill="1" applyBorder="1" applyAlignment="1">
      <alignment horizontal="center" vertical="center" wrapText="1"/>
    </xf>
    <xf numFmtId="0" fontId="16" fillId="3" borderId="1" xfId="3" applyFont="1" applyFill="1" applyBorder="1" applyAlignment="1">
      <alignment horizontal="center" vertical="center" wrapText="1"/>
    </xf>
    <xf numFmtId="0" fontId="16" fillId="3" borderId="4" xfId="3" applyFont="1" applyFill="1" applyBorder="1" applyAlignment="1">
      <alignment horizontal="center" vertical="center" wrapText="1"/>
    </xf>
    <xf numFmtId="0" fontId="57" fillId="16" borderId="5" xfId="2" applyFont="1" applyFill="1" applyBorder="1" applyAlignment="1">
      <alignment horizontal="center" vertical="center"/>
    </xf>
    <xf numFmtId="0" fontId="57" fillId="16" borderId="3" xfId="2" applyFont="1" applyFill="1" applyBorder="1" applyAlignment="1">
      <alignment horizontal="center" vertical="center"/>
    </xf>
    <xf numFmtId="0" fontId="57" fillId="16" borderId="1" xfId="2" applyFont="1" applyFill="1" applyBorder="1" applyAlignment="1">
      <alignment horizontal="center" vertical="center"/>
    </xf>
    <xf numFmtId="0" fontId="57" fillId="16" borderId="4" xfId="2" applyFont="1" applyFill="1" applyBorder="1" applyAlignment="1">
      <alignment horizontal="center" vertical="center"/>
    </xf>
    <xf numFmtId="0" fontId="15" fillId="0" borderId="0" xfId="2" applyFont="1" applyAlignment="1">
      <alignment horizontal="center"/>
    </xf>
    <xf numFmtId="0" fontId="37" fillId="0" borderId="0" xfId="2" applyFont="1" applyAlignment="1">
      <alignment horizontal="center" vertical="center"/>
    </xf>
    <xf numFmtId="0" fontId="10" fillId="0" borderId="0" xfId="13" applyFont="1" applyAlignment="1">
      <alignment horizontal="center"/>
    </xf>
    <xf numFmtId="0" fontId="4" fillId="0" borderId="21" xfId="2" applyBorder="1" applyAlignment="1">
      <alignment horizontal="center" wrapText="1"/>
    </xf>
    <xf numFmtId="0" fontId="15" fillId="0" borderId="29" xfId="2" applyFont="1" applyBorder="1" applyAlignment="1">
      <alignment horizontal="center"/>
    </xf>
    <xf numFmtId="0" fontId="15" fillId="0" borderId="30" xfId="2" applyFont="1" applyBorder="1" applyAlignment="1">
      <alignment horizontal="center"/>
    </xf>
    <xf numFmtId="0" fontId="15" fillId="0" borderId="52" xfId="2" applyFont="1" applyBorder="1" applyAlignment="1">
      <alignment horizontal="center"/>
    </xf>
    <xf numFmtId="0" fontId="37" fillId="0" borderId="58" xfId="2" applyFont="1" applyBorder="1" applyAlignment="1">
      <alignment horizontal="center" vertical="center"/>
    </xf>
    <xf numFmtId="0" fontId="37" fillId="0" borderId="45" xfId="2" applyFont="1" applyBorder="1" applyAlignment="1">
      <alignment horizontal="center" vertical="center"/>
    </xf>
    <xf numFmtId="0" fontId="37" fillId="0" borderId="59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4" fillId="0" borderId="29" xfId="3" applyBorder="1" applyAlignment="1">
      <alignment horizontal="left" vertical="center"/>
    </xf>
    <xf numFmtId="0" fontId="4" fillId="0" borderId="30" xfId="3" applyBorder="1" applyAlignment="1">
      <alignment horizontal="left" vertical="center"/>
    </xf>
    <xf numFmtId="0" fontId="4" fillId="0" borderId="52" xfId="3" applyBorder="1" applyAlignment="1">
      <alignment horizontal="left" vertical="center"/>
    </xf>
    <xf numFmtId="0" fontId="63" fillId="3" borderId="43" xfId="3" applyFont="1" applyFill="1" applyBorder="1" applyAlignment="1">
      <alignment horizontal="center" vertical="center" wrapText="1"/>
    </xf>
    <xf numFmtId="0" fontId="63" fillId="3" borderId="5" xfId="3" applyFont="1" applyFill="1" applyBorder="1" applyAlignment="1">
      <alignment horizontal="center" vertical="center" wrapText="1"/>
    </xf>
    <xf numFmtId="0" fontId="64" fillId="3" borderId="5" xfId="3" applyFont="1" applyFill="1" applyBorder="1" applyAlignment="1">
      <alignment horizontal="center" vertical="center"/>
    </xf>
    <xf numFmtId="0" fontId="64" fillId="3" borderId="5" xfId="3" applyFont="1" applyFill="1" applyBorder="1" applyAlignment="1">
      <alignment horizontal="center" vertical="center" wrapText="1"/>
    </xf>
    <xf numFmtId="0" fontId="8" fillId="3" borderId="42" xfId="3" applyFont="1" applyFill="1" applyBorder="1" applyAlignment="1">
      <alignment horizontal="center" vertical="center"/>
    </xf>
    <xf numFmtId="0" fontId="8" fillId="3" borderId="43" xfId="3" applyFont="1" applyFill="1" applyBorder="1" applyAlignment="1">
      <alignment horizontal="center" vertical="center"/>
    </xf>
    <xf numFmtId="0" fontId="8" fillId="3" borderId="44" xfId="3" applyFont="1" applyFill="1" applyBorder="1" applyAlignment="1">
      <alignment horizontal="center" vertical="center"/>
    </xf>
    <xf numFmtId="0" fontId="10" fillId="3" borderId="42" xfId="3" applyFont="1" applyFill="1" applyBorder="1" applyAlignment="1">
      <alignment horizontal="center" vertical="center"/>
    </xf>
    <xf numFmtId="0" fontId="10" fillId="3" borderId="43" xfId="3" applyFont="1" applyFill="1" applyBorder="1" applyAlignment="1">
      <alignment horizontal="center" vertical="center"/>
    </xf>
    <xf numFmtId="0" fontId="10" fillId="3" borderId="44" xfId="3" applyFont="1" applyFill="1" applyBorder="1" applyAlignment="1">
      <alignment horizontal="center" vertical="center"/>
    </xf>
    <xf numFmtId="0" fontId="19" fillId="3" borderId="29" xfId="3" applyFont="1" applyFill="1" applyBorder="1" applyAlignment="1">
      <alignment horizontal="center" vertical="center"/>
    </xf>
    <xf numFmtId="0" fontId="19" fillId="3" borderId="52" xfId="3" applyFont="1" applyFill="1" applyBorder="1" applyAlignment="1">
      <alignment horizontal="center" vertical="center"/>
    </xf>
    <xf numFmtId="0" fontId="7" fillId="16" borderId="49" xfId="3" applyFont="1" applyFill="1" applyBorder="1" applyAlignment="1">
      <alignment horizontal="center" vertical="center" wrapText="1"/>
    </xf>
    <xf numFmtId="0" fontId="7" fillId="16" borderId="50" xfId="3" applyFont="1" applyFill="1" applyBorder="1" applyAlignment="1">
      <alignment horizontal="center" vertical="center" wrapText="1"/>
    </xf>
    <xf numFmtId="0" fontId="7" fillId="16" borderId="51" xfId="3" applyFont="1" applyFill="1" applyBorder="1" applyAlignment="1">
      <alignment horizontal="center" vertical="center" wrapText="1"/>
    </xf>
    <xf numFmtId="0" fontId="7" fillId="16" borderId="42" xfId="3" applyFont="1" applyFill="1" applyBorder="1" applyAlignment="1">
      <alignment horizontal="center" vertical="center" wrapText="1"/>
    </xf>
    <xf numFmtId="0" fontId="7" fillId="16" borderId="25" xfId="3" applyFont="1" applyFill="1" applyBorder="1" applyAlignment="1">
      <alignment horizontal="center" vertical="center" wrapText="1"/>
    </xf>
    <xf numFmtId="0" fontId="7" fillId="16" borderId="38" xfId="3" applyFont="1" applyFill="1" applyBorder="1" applyAlignment="1">
      <alignment horizontal="center" vertical="center" wrapText="1"/>
    </xf>
    <xf numFmtId="0" fontId="16" fillId="3" borderId="5" xfId="3" applyFont="1" applyFill="1" applyBorder="1" applyAlignment="1">
      <alignment horizontal="left" vertical="center" wrapText="1"/>
    </xf>
    <xf numFmtId="0" fontId="63" fillId="3" borderId="49" xfId="3" applyFont="1" applyFill="1" applyBorder="1" applyAlignment="1">
      <alignment horizontal="center" vertical="center" wrapText="1"/>
    </xf>
    <xf numFmtId="0" fontId="63" fillId="3" borderId="50" xfId="3" applyFont="1" applyFill="1" applyBorder="1" applyAlignment="1">
      <alignment horizontal="center" vertical="center" wrapText="1"/>
    </xf>
    <xf numFmtId="0" fontId="63" fillId="3" borderId="54" xfId="3" applyFont="1" applyFill="1" applyBorder="1" applyAlignment="1">
      <alignment horizontal="center" vertical="center" wrapText="1"/>
    </xf>
    <xf numFmtId="0" fontId="37" fillId="0" borderId="44" xfId="3" applyFont="1" applyBorder="1" applyAlignment="1">
      <alignment horizontal="center" vertical="center" wrapText="1"/>
    </xf>
    <xf numFmtId="0" fontId="37" fillId="0" borderId="26" xfId="3" applyFont="1" applyBorder="1" applyAlignment="1">
      <alignment horizontal="center" vertical="center" wrapText="1"/>
    </xf>
    <xf numFmtId="0" fontId="7" fillId="16" borderId="49" xfId="3" applyFont="1" applyFill="1" applyBorder="1" applyAlignment="1">
      <alignment horizontal="center" vertical="center"/>
    </xf>
    <xf numFmtId="0" fontId="7" fillId="16" borderId="50" xfId="3" applyFont="1" applyFill="1" applyBorder="1" applyAlignment="1">
      <alignment horizontal="center" vertical="center"/>
    </xf>
    <xf numFmtId="0" fontId="7" fillId="16" borderId="51" xfId="3" applyFont="1" applyFill="1" applyBorder="1" applyAlignment="1">
      <alignment horizontal="center" vertical="center"/>
    </xf>
    <xf numFmtId="0" fontId="37" fillId="0" borderId="75" xfId="3" applyFont="1" applyBorder="1" applyAlignment="1">
      <alignment horizontal="center" vertical="center" wrapText="1"/>
    </xf>
    <xf numFmtId="0" fontId="8" fillId="16" borderId="42" xfId="3" applyFont="1" applyFill="1" applyBorder="1" applyAlignment="1">
      <alignment horizontal="center" vertical="center" wrapText="1"/>
    </xf>
    <xf numFmtId="0" fontId="8" fillId="16" borderId="25" xfId="3" applyFont="1" applyFill="1" applyBorder="1" applyAlignment="1">
      <alignment horizontal="center" vertical="center" wrapText="1"/>
    </xf>
    <xf numFmtId="0" fontId="8" fillId="16" borderId="43" xfId="3" applyFont="1" applyFill="1" applyBorder="1" applyAlignment="1">
      <alignment horizontal="center" vertical="center" wrapText="1"/>
    </xf>
    <xf numFmtId="0" fontId="8" fillId="16" borderId="5" xfId="3" applyFont="1" applyFill="1" applyBorder="1" applyAlignment="1">
      <alignment horizontal="center" vertical="center" wrapText="1"/>
    </xf>
    <xf numFmtId="0" fontId="64" fillId="16" borderId="43" xfId="3" applyFont="1" applyFill="1" applyBorder="1" applyAlignment="1">
      <alignment horizontal="center" vertical="center" wrapText="1"/>
    </xf>
    <xf numFmtId="0" fontId="64" fillId="16" borderId="5" xfId="3" applyFont="1" applyFill="1" applyBorder="1" applyAlignment="1">
      <alignment horizontal="center" vertical="center" wrapText="1"/>
    </xf>
    <xf numFmtId="0" fontId="64" fillId="16" borderId="43" xfId="3" applyFont="1" applyFill="1" applyBorder="1" applyAlignment="1">
      <alignment horizontal="center" vertical="center"/>
    </xf>
    <xf numFmtId="0" fontId="64" fillId="16" borderId="5" xfId="3" applyFont="1" applyFill="1" applyBorder="1" applyAlignment="1">
      <alignment horizontal="center" vertical="center"/>
    </xf>
    <xf numFmtId="0" fontId="9" fillId="3" borderId="23" xfId="3" applyFont="1" applyFill="1" applyBorder="1" applyAlignment="1">
      <alignment horizontal="center"/>
    </xf>
    <xf numFmtId="0" fontId="9" fillId="3" borderId="7" xfId="3" applyFont="1" applyFill="1" applyBorder="1" applyAlignment="1">
      <alignment horizontal="center"/>
    </xf>
    <xf numFmtId="0" fontId="9" fillId="3" borderId="9" xfId="3" applyFont="1" applyFill="1" applyBorder="1" applyAlignment="1">
      <alignment horizontal="center"/>
    </xf>
    <xf numFmtId="0" fontId="14" fillId="3" borderId="5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 wrapText="1"/>
    </xf>
    <xf numFmtId="2" fontId="4" fillId="6" borderId="20" xfId="3" applyNumberFormat="1" applyFill="1" applyBorder="1" applyAlignment="1">
      <alignment horizontal="center" vertical="center"/>
    </xf>
    <xf numFmtId="2" fontId="4" fillId="6" borderId="21" xfId="3" applyNumberFormat="1" applyFill="1" applyBorder="1" applyAlignment="1">
      <alignment horizontal="center" vertical="center"/>
    </xf>
    <xf numFmtId="2" fontId="4" fillId="6" borderId="22" xfId="3" applyNumberFormat="1" applyFill="1" applyBorder="1" applyAlignment="1">
      <alignment horizontal="center" vertical="center"/>
    </xf>
    <xf numFmtId="0" fontId="8" fillId="16" borderId="55" xfId="3" applyFont="1" applyFill="1" applyBorder="1" applyAlignment="1">
      <alignment horizontal="center" vertical="center" wrapText="1"/>
    </xf>
    <xf numFmtId="0" fontId="8" fillId="16" borderId="3" xfId="3" applyFont="1" applyFill="1" applyBorder="1" applyAlignment="1">
      <alignment horizontal="center" vertical="center" wrapText="1"/>
    </xf>
    <xf numFmtId="0" fontId="64" fillId="16" borderId="3" xfId="3" applyFont="1" applyFill="1" applyBorder="1" applyAlignment="1">
      <alignment horizontal="center" vertical="center" wrapText="1"/>
    </xf>
    <xf numFmtId="0" fontId="9" fillId="3" borderId="6" xfId="3" applyFont="1" applyFill="1" applyBorder="1" applyAlignment="1">
      <alignment horizontal="center"/>
    </xf>
    <xf numFmtId="0" fontId="116" fillId="3" borderId="3" xfId="3" applyFont="1" applyFill="1" applyBorder="1" applyAlignment="1">
      <alignment horizontal="center" vertical="center"/>
    </xf>
    <xf numFmtId="0" fontId="116" fillId="3" borderId="1" xfId="3" applyFont="1" applyFill="1" applyBorder="1" applyAlignment="1">
      <alignment horizontal="center" vertical="center"/>
    </xf>
    <xf numFmtId="0" fontId="4" fillId="3" borderId="28" xfId="3" applyFill="1" applyBorder="1" applyAlignment="1">
      <alignment horizontal="center"/>
    </xf>
    <xf numFmtId="0" fontId="4" fillId="3" borderId="10" xfId="3" applyFill="1" applyBorder="1" applyAlignment="1">
      <alignment horizontal="center"/>
    </xf>
    <xf numFmtId="0" fontId="4" fillId="3" borderId="14" xfId="3" applyFill="1" applyBorder="1" applyAlignment="1">
      <alignment horizontal="center"/>
    </xf>
    <xf numFmtId="0" fontId="7" fillId="3" borderId="13" xfId="3" applyFont="1" applyFill="1" applyBorder="1" applyAlignment="1">
      <alignment horizontal="center"/>
    </xf>
    <xf numFmtId="0" fontId="7" fillId="3" borderId="10" xfId="3" applyFont="1" applyFill="1" applyBorder="1" applyAlignment="1">
      <alignment horizontal="center"/>
    </xf>
    <xf numFmtId="0" fontId="7" fillId="3" borderId="14" xfId="3" applyFont="1" applyFill="1" applyBorder="1" applyAlignment="1">
      <alignment horizontal="center"/>
    </xf>
    <xf numFmtId="0" fontId="14" fillId="3" borderId="26" xfId="3" applyFont="1" applyFill="1" applyBorder="1" applyAlignment="1">
      <alignment horizontal="center" vertical="center" wrapText="1"/>
    </xf>
    <xf numFmtId="0" fontId="4" fillId="3" borderId="23" xfId="3" applyFill="1" applyBorder="1" applyAlignment="1">
      <alignment horizontal="center"/>
    </xf>
    <xf numFmtId="0" fontId="4" fillId="3" borderId="7" xfId="3" applyFill="1" applyBorder="1" applyAlignment="1">
      <alignment horizontal="center"/>
    </xf>
    <xf numFmtId="0" fontId="4" fillId="3" borderId="9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0" fontId="7" fillId="3" borderId="7" xfId="3" applyFont="1" applyFill="1" applyBorder="1" applyAlignment="1">
      <alignment horizontal="center"/>
    </xf>
    <xf numFmtId="0" fontId="7" fillId="3" borderId="9" xfId="3" applyFont="1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3" borderId="24" xfId="3" applyFill="1" applyBorder="1" applyAlignment="1">
      <alignment horizontal="center"/>
    </xf>
    <xf numFmtId="0" fontId="10" fillId="6" borderId="15" xfId="3" applyFont="1" applyFill="1" applyBorder="1" applyAlignment="1">
      <alignment horizontal="center" vertical="center"/>
    </xf>
    <xf numFmtId="0" fontId="10" fillId="6" borderId="16" xfId="3" applyFont="1" applyFill="1" applyBorder="1" applyAlignment="1">
      <alignment horizontal="center" vertical="center"/>
    </xf>
    <xf numFmtId="0" fontId="10" fillId="6" borderId="17" xfId="3" applyFont="1" applyFill="1" applyBorder="1" applyAlignment="1">
      <alignment horizontal="center" vertical="center"/>
    </xf>
    <xf numFmtId="0" fontId="40" fillId="3" borderId="25" xfId="3" applyFont="1" applyFill="1" applyBorder="1" applyAlignment="1">
      <alignment horizontal="center" vertical="center"/>
    </xf>
    <xf numFmtId="0" fontId="40" fillId="3" borderId="5" xfId="3" applyFont="1" applyFill="1" applyBorder="1" applyAlignment="1">
      <alignment horizontal="center" vertical="center"/>
    </xf>
    <xf numFmtId="0" fontId="40" fillId="3" borderId="25" xfId="3" applyFont="1" applyFill="1" applyBorder="1" applyAlignment="1">
      <alignment horizontal="center"/>
    </xf>
    <xf numFmtId="0" fontId="40" fillId="3" borderId="5" xfId="3" applyFont="1" applyFill="1" applyBorder="1" applyAlignment="1">
      <alignment horizontal="center"/>
    </xf>
    <xf numFmtId="0" fontId="108" fillId="0" borderId="0" xfId="0" applyFont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43" fillId="0" borderId="5" xfId="1" applyFont="1" applyBorder="1" applyAlignment="1">
      <alignment horizontal="center" vertical="center"/>
    </xf>
    <xf numFmtId="0" fontId="107" fillId="2" borderId="0" xfId="2" applyFont="1" applyFill="1" applyAlignment="1">
      <alignment horizontal="center" vertical="center"/>
    </xf>
    <xf numFmtId="0" fontId="42" fillId="0" borderId="0" xfId="2" applyFont="1" applyAlignment="1">
      <alignment horizontal="center" vertical="center"/>
    </xf>
    <xf numFmtId="9" fontId="43" fillId="0" borderId="0" xfId="2" applyNumberFormat="1" applyFont="1" applyAlignment="1">
      <alignment horizontal="center" vertical="center"/>
    </xf>
    <xf numFmtId="0" fontId="43" fillId="0" borderId="0" xfId="2" applyFont="1" applyAlignment="1">
      <alignment horizontal="center" vertical="center"/>
    </xf>
    <xf numFmtId="0" fontId="107" fillId="2" borderId="5" xfId="0" applyFont="1" applyFill="1" applyBorder="1" applyAlignment="1">
      <alignment horizontal="center" vertical="top" wrapText="1"/>
    </xf>
    <xf numFmtId="164" fontId="42" fillId="0" borderId="5" xfId="2" quotePrefix="1" applyNumberFormat="1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top" wrapText="1"/>
    </xf>
    <xf numFmtId="0" fontId="43" fillId="0" borderId="7" xfId="0" applyFont="1" applyBorder="1" applyAlignment="1">
      <alignment horizontal="center" vertical="top" wrapText="1"/>
    </xf>
    <xf numFmtId="0" fontId="43" fillId="0" borderId="9" xfId="0" applyFont="1" applyBorder="1" applyAlignment="1">
      <alignment horizontal="center" vertical="top" wrapText="1"/>
    </xf>
    <xf numFmtId="0" fontId="43" fillId="0" borderId="5" xfId="2" applyFont="1" applyBorder="1" applyAlignment="1">
      <alignment horizontal="center" vertical="top" wrapText="1"/>
    </xf>
    <xf numFmtId="0" fontId="43" fillId="0" borderId="6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top"/>
    </xf>
    <xf numFmtId="0" fontId="43" fillId="0" borderId="4" xfId="0" applyFont="1" applyBorder="1" applyAlignment="1">
      <alignment horizontal="center" vertical="top"/>
    </xf>
    <xf numFmtId="0" fontId="107" fillId="2" borderId="6" xfId="0" applyFont="1" applyFill="1" applyBorder="1" applyAlignment="1">
      <alignment horizontal="center"/>
    </xf>
    <xf numFmtId="0" fontId="107" fillId="2" borderId="7" xfId="0" applyFont="1" applyFill="1" applyBorder="1" applyAlignment="1">
      <alignment horizontal="center"/>
    </xf>
    <xf numFmtId="164" fontId="51" fillId="2" borderId="3" xfId="0" quotePrefix="1" applyNumberFormat="1" applyFont="1" applyFill="1" applyBorder="1" applyAlignment="1">
      <alignment horizontal="center" vertical="center"/>
    </xf>
    <xf numFmtId="164" fontId="51" fillId="2" borderId="1" xfId="0" quotePrefix="1" applyNumberFormat="1" applyFont="1" applyFill="1" applyBorder="1" applyAlignment="1">
      <alignment horizontal="center" vertical="center"/>
    </xf>
    <xf numFmtId="164" fontId="51" fillId="2" borderId="4" xfId="0" quotePrefix="1" applyNumberFormat="1" applyFont="1" applyFill="1" applyBorder="1" applyAlignment="1">
      <alignment horizontal="center" vertical="center"/>
    </xf>
    <xf numFmtId="0" fontId="107" fillId="2" borderId="3" xfId="0" applyFont="1" applyFill="1" applyBorder="1" applyAlignment="1">
      <alignment horizontal="center" vertical="top"/>
    </xf>
    <xf numFmtId="0" fontId="107" fillId="2" borderId="4" xfId="0" applyFont="1" applyFill="1" applyBorder="1" applyAlignment="1">
      <alignment horizontal="center" vertical="top"/>
    </xf>
    <xf numFmtId="0" fontId="24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top"/>
    </xf>
    <xf numFmtId="0" fontId="21" fillId="0" borderId="9" xfId="0" applyFont="1" applyBorder="1" applyAlignment="1">
      <alignment horizontal="center" vertical="top"/>
    </xf>
    <xf numFmtId="0" fontId="30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1" fontId="24" fillId="0" borderId="47" xfId="0" applyNumberFormat="1" applyFont="1" applyBorder="1" applyAlignment="1">
      <alignment horizontal="left" vertical="center"/>
    </xf>
    <xf numFmtId="164" fontId="51" fillId="2" borderId="0" xfId="2" quotePrefix="1" applyNumberFormat="1" applyFont="1" applyFill="1" applyAlignment="1">
      <alignment horizontal="center" vertical="center"/>
    </xf>
    <xf numFmtId="0" fontId="21" fillId="0" borderId="7" xfId="0" applyFont="1" applyBorder="1" applyAlignment="1">
      <alignment horizontal="center" vertical="top"/>
    </xf>
    <xf numFmtId="0" fontId="42" fillId="0" borderId="6" xfId="1" applyFont="1" applyBorder="1" applyAlignment="1">
      <alignment vertical="center"/>
    </xf>
    <xf numFmtId="0" fontId="42" fillId="0" borderId="7" xfId="1" applyFont="1" applyBorder="1" applyAlignment="1">
      <alignment vertical="center"/>
    </xf>
    <xf numFmtId="0" fontId="43" fillId="0" borderId="5" xfId="0" applyFont="1" applyBorder="1" applyAlignment="1" applyProtection="1">
      <alignment horizontal="center" vertical="center"/>
      <protection locked="0"/>
    </xf>
    <xf numFmtId="0" fontId="42" fillId="0" borderId="5" xfId="0" applyFont="1" applyBorder="1" applyAlignment="1" applyProtection="1">
      <alignment horizontal="center" vertical="center"/>
      <protection locked="0"/>
    </xf>
    <xf numFmtId="0" fontId="42" fillId="0" borderId="5" xfId="0" applyFont="1" applyBorder="1" applyAlignment="1" applyProtection="1">
      <alignment horizontal="center" vertical="center" wrapText="1"/>
      <protection locked="0"/>
    </xf>
    <xf numFmtId="0" fontId="107" fillId="2" borderId="5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43" fillId="0" borderId="0" xfId="0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 vertical="center" wrapText="1"/>
      <protection locked="0"/>
    </xf>
    <xf numFmtId="0" fontId="42" fillId="0" borderId="6" xfId="0" applyFont="1" applyBorder="1" applyAlignment="1" applyProtection="1">
      <alignment horizontal="center" vertical="center"/>
      <protection locked="0"/>
    </xf>
    <xf numFmtId="0" fontId="42" fillId="0" borderId="9" xfId="0" applyFont="1" applyBorder="1" applyAlignment="1" applyProtection="1">
      <alignment horizontal="center" vertical="center"/>
      <protection locked="0"/>
    </xf>
    <xf numFmtId="0" fontId="43" fillId="0" borderId="6" xfId="0" applyFont="1" applyBorder="1" applyAlignment="1" applyProtection="1">
      <alignment horizontal="center" vertical="center"/>
      <protection locked="0"/>
    </xf>
    <xf numFmtId="0" fontId="43" fillId="0" borderId="9" xfId="0" applyFont="1" applyBorder="1" applyAlignment="1" applyProtection="1">
      <alignment horizontal="center" vertical="center"/>
      <protection locked="0"/>
    </xf>
    <xf numFmtId="0" fontId="107" fillId="2" borderId="5" xfId="0" applyFont="1" applyFill="1" applyBorder="1" applyAlignment="1">
      <alignment horizontal="center" vertical="top"/>
    </xf>
    <xf numFmtId="0" fontId="56" fillId="0" borderId="5" xfId="0" quotePrefix="1" applyFont="1" applyBorder="1" applyAlignment="1" applyProtection="1">
      <alignment horizontal="center" vertical="center" wrapText="1"/>
      <protection locked="0"/>
    </xf>
    <xf numFmtId="0" fontId="45" fillId="0" borderId="5" xfId="2" applyFont="1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124" fillId="0" borderId="0" xfId="0" applyFont="1" applyAlignment="1" applyProtection="1">
      <alignment horizontal="center" vertical="center"/>
    </xf>
    <xf numFmtId="0" fontId="71" fillId="3" borderId="6" xfId="0" quotePrefix="1" applyFont="1" applyFill="1" applyBorder="1" applyAlignment="1" applyProtection="1">
      <alignment horizontal="center" vertical="center"/>
      <protection locked="0"/>
    </xf>
    <xf numFmtId="0" fontId="71" fillId="3" borderId="7" xfId="0" quotePrefix="1" applyFont="1" applyFill="1" applyBorder="1" applyAlignment="1" applyProtection="1">
      <alignment horizontal="center" vertical="center"/>
      <protection locked="0"/>
    </xf>
    <xf numFmtId="0" fontId="71" fillId="3" borderId="9" xfId="0" quotePrefix="1" applyFont="1" applyFill="1" applyBorder="1" applyAlignment="1" applyProtection="1">
      <alignment horizontal="center" vertical="center"/>
      <protection locked="0"/>
    </xf>
    <xf numFmtId="0" fontId="71" fillId="2" borderId="3" xfId="0" applyFont="1" applyFill="1" applyBorder="1" applyAlignment="1" applyProtection="1">
      <alignment horizontal="center" vertical="center" wrapText="1"/>
    </xf>
    <xf numFmtId="0" fontId="71" fillId="2" borderId="4" xfId="0" applyFont="1" applyFill="1" applyBorder="1" applyAlignment="1" applyProtection="1">
      <alignment horizontal="center" vertical="center" wrapText="1"/>
    </xf>
    <xf numFmtId="0" fontId="71" fillId="0" borderId="3" xfId="12" applyFont="1" applyBorder="1" applyAlignment="1" applyProtection="1">
      <alignment horizontal="center" vertical="center"/>
    </xf>
    <xf numFmtId="0" fontId="71" fillId="0" borderId="1" xfId="12" applyFont="1" applyBorder="1" applyAlignment="1" applyProtection="1">
      <alignment horizontal="center" vertical="center"/>
    </xf>
    <xf numFmtId="0" fontId="71" fillId="0" borderId="6" xfId="0" applyFont="1" applyBorder="1" applyAlignment="1" applyProtection="1">
      <alignment horizontal="center" vertical="center"/>
    </xf>
    <xf numFmtId="0" fontId="71" fillId="0" borderId="7" xfId="0" applyFont="1" applyBorder="1" applyAlignment="1" applyProtection="1">
      <alignment horizontal="center" vertical="center"/>
    </xf>
    <xf numFmtId="0" fontId="71" fillId="2" borderId="5" xfId="2" applyFont="1" applyFill="1" applyBorder="1" applyAlignment="1" applyProtection="1">
      <alignment horizontal="center" vertical="center"/>
    </xf>
    <xf numFmtId="0" fontId="45" fillId="0" borderId="5" xfId="12" applyFont="1" applyBorder="1" applyAlignment="1" applyProtection="1">
      <alignment horizontal="center"/>
    </xf>
    <xf numFmtId="0" fontId="45" fillId="0" borderId="5" xfId="2" applyFont="1" applyBorder="1" applyAlignment="1" applyProtection="1">
      <alignment horizontal="center"/>
    </xf>
    <xf numFmtId="0" fontId="70" fillId="0" borderId="6" xfId="12" applyFont="1" applyBorder="1" applyAlignment="1" applyProtection="1">
      <alignment horizontal="center" vertical="center"/>
    </xf>
    <xf numFmtId="0" fontId="70" fillId="0" borderId="9" xfId="12" applyFont="1" applyBorder="1" applyAlignment="1" applyProtection="1">
      <alignment horizontal="center" vertical="center"/>
    </xf>
    <xf numFmtId="2" fontId="70" fillId="0" borderId="5" xfId="12" applyNumberFormat="1" applyFont="1" applyBorder="1" applyAlignment="1" applyProtection="1">
      <alignment horizontal="center" vertical="center"/>
      <protection locked="0"/>
    </xf>
    <xf numFmtId="164" fontId="70" fillId="3" borderId="6" xfId="0" applyNumberFormat="1" applyFont="1" applyFill="1" applyBorder="1" applyAlignment="1" applyProtection="1">
      <alignment horizontal="center" vertical="center"/>
      <protection locked="0"/>
    </xf>
    <xf numFmtId="164" fontId="70" fillId="3" borderId="7" xfId="0" applyNumberFormat="1" applyFont="1" applyFill="1" applyBorder="1" applyAlignment="1" applyProtection="1">
      <alignment horizontal="center" vertical="center"/>
      <protection locked="0"/>
    </xf>
    <xf numFmtId="0" fontId="54" fillId="3" borderId="0" xfId="0" applyFont="1" applyFill="1" applyAlignment="1" applyProtection="1">
      <alignment horizontal="left" vertical="center"/>
    </xf>
    <xf numFmtId="0" fontId="71" fillId="0" borderId="5" xfId="0" applyFont="1" applyBorder="1" applyAlignment="1">
      <alignment horizontal="center" vertical="center"/>
    </xf>
    <xf numFmtId="0" fontId="70" fillId="3" borderId="6" xfId="1" applyFont="1" applyFill="1" applyBorder="1" applyAlignment="1" applyProtection="1">
      <alignment horizontal="left" vertical="center"/>
      <protection locked="0"/>
    </xf>
    <xf numFmtId="0" fontId="70" fillId="3" borderId="7" xfId="1" applyFont="1" applyFill="1" applyBorder="1" applyAlignment="1" applyProtection="1">
      <alignment horizontal="left" vertical="center"/>
      <protection locked="0"/>
    </xf>
    <xf numFmtId="0" fontId="70" fillId="3" borderId="9" xfId="1" applyFont="1" applyFill="1" applyBorder="1" applyAlignment="1" applyProtection="1">
      <alignment horizontal="left" vertical="center"/>
      <protection locked="0"/>
    </xf>
    <xf numFmtId="0" fontId="71" fillId="0" borderId="5" xfId="0" applyFont="1" applyBorder="1" applyAlignment="1" applyProtection="1">
      <alignment horizontal="center" vertical="center"/>
    </xf>
    <xf numFmtId="0" fontId="71" fillId="0" borderId="5" xfId="0" applyFont="1" applyBorder="1" applyAlignment="1" applyProtection="1">
      <alignment horizontal="center" vertical="center" wrapText="1"/>
    </xf>
    <xf numFmtId="0" fontId="70" fillId="0" borderId="5" xfId="0" applyFont="1" applyBorder="1" applyAlignment="1" applyProtection="1">
      <alignment horizontal="center" vertical="center"/>
      <protection locked="0"/>
    </xf>
    <xf numFmtId="0" fontId="71" fillId="0" borderId="9" xfId="0" applyFont="1" applyBorder="1" applyAlignment="1" applyProtection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70" fillId="3" borderId="6" xfId="0" applyFont="1" applyFill="1" applyBorder="1" applyAlignment="1" applyProtection="1">
      <alignment horizontal="left" vertical="center"/>
      <protection locked="0"/>
    </xf>
    <xf numFmtId="0" fontId="70" fillId="3" borderId="7" xfId="0" applyFont="1" applyFill="1" applyBorder="1" applyAlignment="1" applyProtection="1">
      <alignment horizontal="left" vertical="center"/>
      <protection locked="0"/>
    </xf>
    <xf numFmtId="0" fontId="70" fillId="3" borderId="9" xfId="0" applyFont="1" applyFill="1" applyBorder="1" applyAlignment="1" applyProtection="1">
      <alignment horizontal="left" vertical="center"/>
      <protection locked="0"/>
    </xf>
    <xf numFmtId="0" fontId="54" fillId="0" borderId="5" xfId="0" applyFont="1" applyBorder="1" applyAlignment="1" applyProtection="1">
      <alignment horizontal="center" vertical="center" wrapText="1"/>
    </xf>
    <xf numFmtId="164" fontId="71" fillId="0" borderId="5" xfId="0" applyNumberFormat="1" applyFont="1" applyBorder="1" applyAlignment="1" applyProtection="1">
      <alignment horizontal="center" vertical="center"/>
    </xf>
    <xf numFmtId="0" fontId="54" fillId="0" borderId="6" xfId="0" applyFont="1" applyBorder="1" applyAlignment="1" applyProtection="1">
      <alignment horizontal="center" vertical="center"/>
    </xf>
    <xf numFmtId="0" fontId="54" fillId="0" borderId="7" xfId="0" applyFont="1" applyBorder="1" applyAlignment="1" applyProtection="1">
      <alignment horizontal="center" vertical="center"/>
    </xf>
    <xf numFmtId="0" fontId="54" fillId="0" borderId="9" xfId="0" applyFont="1" applyBorder="1" applyAlignment="1" applyProtection="1">
      <alignment horizontal="center" vertical="center"/>
    </xf>
    <xf numFmtId="0" fontId="71" fillId="0" borderId="0" xfId="0" applyFont="1" applyAlignment="1" applyProtection="1">
      <alignment horizontal="left" vertical="center" wrapText="1"/>
      <protection locked="0"/>
    </xf>
    <xf numFmtId="164" fontId="70" fillId="0" borderId="6" xfId="0" applyNumberFormat="1" applyFont="1" applyBorder="1" applyAlignment="1" applyProtection="1">
      <alignment horizontal="center" vertical="center"/>
      <protection locked="0"/>
    </xf>
    <xf numFmtId="164" fontId="70" fillId="0" borderId="7" xfId="0" applyNumberFormat="1" applyFont="1" applyBorder="1" applyAlignment="1" applyProtection="1">
      <alignment horizontal="center" vertical="center"/>
      <protection locked="0"/>
    </xf>
    <xf numFmtId="0" fontId="54" fillId="0" borderId="6" xfId="0" applyFont="1" applyBorder="1" applyAlignment="1" applyProtection="1">
      <alignment horizontal="center" vertical="center" wrapText="1"/>
    </xf>
    <xf numFmtId="0" fontId="54" fillId="0" borderId="9" xfId="0" applyFont="1" applyBorder="1" applyAlignment="1" applyProtection="1">
      <alignment horizontal="center" vertical="center" wrapText="1"/>
    </xf>
    <xf numFmtId="0" fontId="70" fillId="0" borderId="6" xfId="0" applyFont="1" applyBorder="1" applyAlignment="1" applyProtection="1">
      <alignment horizontal="center" vertical="center"/>
      <protection locked="0"/>
    </xf>
    <xf numFmtId="0" fontId="70" fillId="0" borderId="9" xfId="0" applyFont="1" applyBorder="1" applyAlignment="1" applyProtection="1">
      <alignment horizontal="center" vertical="center"/>
      <protection locked="0"/>
    </xf>
    <xf numFmtId="0" fontId="71" fillId="0" borderId="3" xfId="0" applyFont="1" applyBorder="1" applyAlignment="1" applyProtection="1">
      <alignment horizontal="center" vertical="center"/>
    </xf>
    <xf numFmtId="0" fontId="71" fillId="0" borderId="4" xfId="0" applyFont="1" applyBorder="1" applyAlignment="1" applyProtection="1">
      <alignment horizontal="center" vertical="center"/>
    </xf>
    <xf numFmtId="2" fontId="71" fillId="0" borderId="6" xfId="0" applyNumberFormat="1" applyFont="1" applyBorder="1" applyAlignment="1" applyProtection="1">
      <alignment horizontal="center" vertical="center"/>
    </xf>
    <xf numFmtId="2" fontId="71" fillId="0" borderId="9" xfId="0" applyNumberFormat="1" applyFont="1" applyBorder="1" applyAlignment="1" applyProtection="1">
      <alignment horizontal="center" vertical="center"/>
    </xf>
    <xf numFmtId="0" fontId="71" fillId="2" borderId="6" xfId="0" applyFont="1" applyFill="1" applyBorder="1" applyAlignment="1" applyProtection="1">
      <alignment horizontal="center"/>
    </xf>
    <xf numFmtId="0" fontId="71" fillId="2" borderId="7" xfId="0" applyFont="1" applyFill="1" applyBorder="1" applyAlignment="1" applyProtection="1">
      <alignment horizontal="center"/>
    </xf>
    <xf numFmtId="0" fontId="71" fillId="2" borderId="9" xfId="0" applyFont="1" applyFill="1" applyBorder="1" applyAlignment="1" applyProtection="1">
      <alignment horizontal="center"/>
    </xf>
    <xf numFmtId="2" fontId="48" fillId="0" borderId="5" xfId="12" applyNumberFormat="1" applyFont="1" applyBorder="1" applyAlignment="1" applyProtection="1">
      <alignment horizontal="center"/>
      <protection locked="0"/>
    </xf>
    <xf numFmtId="0" fontId="72" fillId="0" borderId="0" xfId="0" applyFont="1" applyAlignment="1" applyProtection="1">
      <alignment horizontal="center" vertical="center" wrapText="1"/>
      <protection locked="0"/>
    </xf>
    <xf numFmtId="0" fontId="54" fillId="2" borderId="6" xfId="0" applyFont="1" applyFill="1" applyBorder="1" applyAlignment="1" applyProtection="1">
      <alignment horizontal="center" vertical="center"/>
      <protection locked="0"/>
    </xf>
    <xf numFmtId="0" fontId="54" fillId="2" borderId="9" xfId="0" applyFont="1" applyFill="1" applyBorder="1" applyAlignment="1" applyProtection="1">
      <alignment horizontal="center" vertical="center"/>
      <protection locked="0"/>
    </xf>
    <xf numFmtId="0" fontId="71" fillId="3" borderId="0" xfId="0" quotePrefix="1" applyFont="1" applyFill="1" applyAlignment="1" applyProtection="1">
      <alignment horizontal="left" vertical="center"/>
      <protection locked="0"/>
    </xf>
    <xf numFmtId="0" fontId="71" fillId="2" borderId="0" xfId="0" applyFont="1" applyFill="1" applyAlignment="1" applyProtection="1">
      <alignment horizontal="left" vertical="center" wrapText="1"/>
      <protection locked="0"/>
    </xf>
    <xf numFmtId="0" fontId="70" fillId="3" borderId="0" xfId="0" applyFont="1" applyFill="1" applyAlignment="1" applyProtection="1">
      <alignment horizontal="left" vertical="center"/>
      <protection locked="0"/>
    </xf>
    <xf numFmtId="2" fontId="70" fillId="0" borderId="5" xfId="12" applyNumberFormat="1" applyFont="1" applyBorder="1" applyAlignment="1" applyProtection="1">
      <alignment horizontal="center"/>
      <protection locked="0"/>
    </xf>
    <xf numFmtId="164" fontId="70" fillId="0" borderId="5" xfId="0" applyNumberFormat="1" applyFont="1" applyBorder="1" applyAlignment="1" applyProtection="1">
      <alignment horizontal="center" vertical="center"/>
      <protection locked="0"/>
    </xf>
    <xf numFmtId="164" fontId="70" fillId="0" borderId="9" xfId="0" applyNumberFormat="1" applyFont="1" applyBorder="1" applyAlignment="1" applyProtection="1">
      <alignment horizontal="center" vertical="center"/>
      <protection locked="0"/>
    </xf>
    <xf numFmtId="0" fontId="54" fillId="0" borderId="2" xfId="1" applyFont="1" applyBorder="1" applyAlignment="1" applyProtection="1">
      <alignment horizontal="center" vertical="center"/>
      <protection locked="0"/>
    </xf>
    <xf numFmtId="0" fontId="71" fillId="0" borderId="0" xfId="0" applyFont="1" applyBorder="1" applyAlignment="1" applyProtection="1">
      <alignment horizontal="center" vertical="center" wrapText="1"/>
    </xf>
    <xf numFmtId="2" fontId="70" fillId="0" borderId="6" xfId="0" applyNumberFormat="1" applyFont="1" applyBorder="1" applyAlignment="1" applyProtection="1">
      <alignment horizontal="center" vertical="center"/>
      <protection locked="0"/>
    </xf>
    <xf numFmtId="2" fontId="70" fillId="0" borderId="9" xfId="0" applyNumberFormat="1" applyFont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left" vertical="center" wrapText="1"/>
    </xf>
    <xf numFmtId="0" fontId="42" fillId="0" borderId="6" xfId="0" applyFont="1" applyBorder="1" applyAlignment="1" applyProtection="1">
      <alignment horizontal="center" vertical="center"/>
    </xf>
    <xf numFmtId="0" fontId="42" fillId="0" borderId="7" xfId="0" applyFont="1" applyBorder="1" applyAlignment="1" applyProtection="1">
      <alignment horizontal="center" vertical="center"/>
    </xf>
    <xf numFmtId="0" fontId="42" fillId="0" borderId="5" xfId="0" applyFont="1" applyBorder="1" applyAlignment="1" applyProtection="1">
      <alignment horizontal="center" vertical="center"/>
    </xf>
    <xf numFmtId="0" fontId="42" fillId="0" borderId="5" xfId="0" applyFont="1" applyBorder="1" applyAlignment="1" applyProtection="1">
      <alignment horizontal="center" vertical="center" wrapText="1"/>
    </xf>
    <xf numFmtId="0" fontId="42" fillId="0" borderId="3" xfId="0" applyFont="1" applyBorder="1" applyAlignment="1" applyProtection="1">
      <alignment horizontal="center" vertical="center"/>
    </xf>
    <xf numFmtId="0" fontId="42" fillId="0" borderId="4" xfId="0" applyFont="1" applyBorder="1" applyAlignment="1" applyProtection="1">
      <alignment horizontal="center" vertical="center"/>
    </xf>
    <xf numFmtId="1" fontId="42" fillId="0" borderId="0" xfId="12" applyNumberFormat="1" applyFont="1" applyAlignment="1">
      <alignment horizontal="right" vertical="center"/>
    </xf>
    <xf numFmtId="0" fontId="51" fillId="2" borderId="5" xfId="0" applyFont="1" applyFill="1" applyBorder="1" applyAlignment="1" applyProtection="1">
      <alignment horizontal="center" vertical="top" wrapText="1"/>
    </xf>
    <xf numFmtId="0" fontId="42" fillId="0" borderId="5" xfId="12" applyFont="1" applyBorder="1" applyAlignment="1" applyProtection="1">
      <alignment horizontal="center" vertical="top" wrapText="1"/>
    </xf>
    <xf numFmtId="0" fontId="51" fillId="2" borderId="5" xfId="0" applyFont="1" applyFill="1" applyBorder="1" applyAlignment="1" applyProtection="1">
      <alignment horizontal="center" vertical="top"/>
    </xf>
    <xf numFmtId="0" fontId="51" fillId="2" borderId="0" xfId="0" applyFont="1" applyFill="1" applyBorder="1" applyAlignment="1" applyProtection="1">
      <alignment horizontal="center" vertical="center" wrapText="1"/>
    </xf>
    <xf numFmtId="0" fontId="42" fillId="0" borderId="0" xfId="12" applyFont="1" applyAlignment="1">
      <alignment horizontal="center" vertical="center" wrapText="1"/>
    </xf>
    <xf numFmtId="2" fontId="4" fillId="0" borderId="3" xfId="12" quotePrefix="1" applyNumberFormat="1" applyBorder="1" applyAlignment="1" applyProtection="1">
      <alignment horizontal="center" vertical="center"/>
    </xf>
    <xf numFmtId="2" fontId="4" fillId="0" borderId="4" xfId="12" applyNumberFormat="1" applyBorder="1" applyAlignment="1" applyProtection="1">
      <alignment horizontal="center" vertical="center"/>
    </xf>
    <xf numFmtId="0" fontId="42" fillId="0" borderId="6" xfId="12" applyFont="1" applyBorder="1" applyAlignment="1" applyProtection="1">
      <alignment horizontal="center" vertical="center"/>
    </xf>
    <xf numFmtId="0" fontId="42" fillId="0" borderId="7" xfId="12" applyFont="1" applyBorder="1" applyAlignment="1" applyProtection="1">
      <alignment horizontal="center" vertical="center"/>
    </xf>
    <xf numFmtId="0" fontId="42" fillId="0" borderId="0" xfId="12" applyFont="1" applyAlignment="1">
      <alignment horizontal="center" vertical="top" wrapText="1"/>
    </xf>
    <xf numFmtId="0" fontId="42" fillId="0" borderId="0" xfId="12" applyFont="1" applyAlignment="1">
      <alignment horizontal="center" vertical="top"/>
    </xf>
    <xf numFmtId="0" fontId="71" fillId="2" borderId="5" xfId="0" applyFont="1" applyFill="1" applyBorder="1" applyAlignment="1" applyProtection="1">
      <alignment horizontal="center" vertical="top" wrapText="1"/>
    </xf>
    <xf numFmtId="0" fontId="71" fillId="0" borderId="5" xfId="12" applyFont="1" applyBorder="1" applyAlignment="1" applyProtection="1">
      <alignment horizontal="center" vertical="top" wrapText="1"/>
    </xf>
    <xf numFmtId="0" fontId="80" fillId="5" borderId="5" xfId="0" applyFont="1" applyFill="1" applyBorder="1" applyAlignment="1">
      <alignment horizontal="center" vertical="center"/>
    </xf>
    <xf numFmtId="0" fontId="57" fillId="0" borderId="5" xfId="0" applyFont="1" applyBorder="1" applyAlignment="1">
      <alignment vertical="center"/>
    </xf>
    <xf numFmtId="0" fontId="81" fillId="0" borderId="13" xfId="1" applyFont="1" applyBorder="1" applyAlignment="1">
      <alignment horizontal="center" vertical="center"/>
    </xf>
    <xf numFmtId="0" fontId="81" fillId="0" borderId="10" xfId="1" applyFont="1" applyBorder="1" applyAlignment="1">
      <alignment horizontal="center" vertical="center"/>
    </xf>
    <xf numFmtId="0" fontId="81" fillId="0" borderId="14" xfId="1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57" fillId="0" borderId="4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1" fontId="77" fillId="2" borderId="11" xfId="0" applyNumberFormat="1" applyFont="1" applyFill="1" applyBorder="1" applyAlignment="1" applyProtection="1">
      <alignment horizontal="center" vertical="center"/>
      <protection locked="0"/>
    </xf>
    <xf numFmtId="1" fontId="77" fillId="2" borderId="12" xfId="0" applyNumberFormat="1" applyFont="1" applyFill="1" applyBorder="1" applyAlignment="1" applyProtection="1">
      <alignment horizontal="center" vertical="center"/>
      <protection locked="0"/>
    </xf>
    <xf numFmtId="1" fontId="77" fillId="2" borderId="2" xfId="0" applyNumberFormat="1" applyFont="1" applyFill="1" applyBorder="1" applyAlignment="1" applyProtection="1">
      <alignment horizontal="center" vertical="center"/>
      <protection locked="0"/>
    </xf>
    <xf numFmtId="1" fontId="77" fillId="2" borderId="57" xfId="0" applyNumberFormat="1" applyFont="1" applyFill="1" applyBorder="1" applyAlignment="1" applyProtection="1">
      <alignment horizontal="center" vertical="center"/>
      <protection locked="0"/>
    </xf>
    <xf numFmtId="1" fontId="77" fillId="2" borderId="13" xfId="0" applyNumberFormat="1" applyFont="1" applyFill="1" applyBorder="1" applyAlignment="1" applyProtection="1">
      <alignment horizontal="center" vertical="center"/>
      <protection locked="0"/>
    </xf>
    <xf numFmtId="1" fontId="77" fillId="2" borderId="14" xfId="0" applyNumberFormat="1" applyFont="1" applyFill="1" applyBorder="1" applyAlignment="1" applyProtection="1">
      <alignment horizontal="center" vertical="center"/>
      <protection locked="0"/>
    </xf>
    <xf numFmtId="0" fontId="50" fillId="0" borderId="6" xfId="0" applyFont="1" applyBorder="1" applyAlignment="1" applyProtection="1">
      <alignment horizontal="center" vertical="center"/>
      <protection locked="0"/>
    </xf>
    <xf numFmtId="0" fontId="50" fillId="0" borderId="9" xfId="0" applyFont="1" applyBorder="1" applyAlignment="1" applyProtection="1">
      <alignment horizontal="center" vertical="center"/>
      <protection locked="0"/>
    </xf>
    <xf numFmtId="0" fontId="56" fillId="0" borderId="5" xfId="0" applyFont="1" applyBorder="1" applyAlignment="1" applyProtection="1">
      <alignment horizontal="center" vertical="center"/>
      <protection locked="0"/>
    </xf>
    <xf numFmtId="0" fontId="51" fillId="2" borderId="5" xfId="0" applyFont="1" applyFill="1" applyBorder="1" applyAlignment="1" applyProtection="1">
      <alignment vertical="center"/>
    </xf>
    <xf numFmtId="0" fontId="43" fillId="0" borderId="6" xfId="0" applyFont="1" applyBorder="1" applyAlignment="1" applyProtection="1">
      <alignment horizontal="center" vertical="center" wrapText="1"/>
    </xf>
    <xf numFmtId="0" fontId="43" fillId="0" borderId="9" xfId="0" applyFont="1" applyBorder="1" applyAlignment="1" applyProtection="1">
      <alignment horizontal="center" vertical="center" wrapText="1"/>
    </xf>
    <xf numFmtId="0" fontId="43" fillId="0" borderId="7" xfId="0" applyFont="1" applyBorder="1" applyAlignment="1" applyProtection="1">
      <alignment horizontal="center" vertical="center" wrapText="1"/>
    </xf>
    <xf numFmtId="0" fontId="51" fillId="2" borderId="0" xfId="0" applyFont="1" applyFill="1" applyAlignment="1" applyProtection="1">
      <alignment horizontal="center" vertical="top" wrapText="1"/>
    </xf>
    <xf numFmtId="0" fontId="71" fillId="2" borderId="5" xfId="0" applyFont="1" applyFill="1" applyBorder="1" applyAlignment="1" applyProtection="1">
      <alignment horizontal="center" vertical="top"/>
    </xf>
    <xf numFmtId="0" fontId="51" fillId="2" borderId="0" xfId="0" applyFont="1" applyFill="1" applyAlignment="1" applyProtection="1">
      <alignment horizontal="center" vertical="center" wrapText="1"/>
    </xf>
    <xf numFmtId="165" fontId="51" fillId="2" borderId="3" xfId="0" applyNumberFormat="1" applyFont="1" applyFill="1" applyBorder="1" applyAlignment="1">
      <alignment horizontal="center" vertical="center"/>
    </xf>
    <xf numFmtId="165" fontId="51" fillId="2" borderId="1" xfId="0" applyNumberFormat="1" applyFont="1" applyFill="1" applyBorder="1" applyAlignment="1">
      <alignment horizontal="center" vertical="center"/>
    </xf>
    <xf numFmtId="165" fontId="51" fillId="2" borderId="4" xfId="0" applyNumberFormat="1" applyFont="1" applyFill="1" applyBorder="1" applyAlignment="1">
      <alignment horizontal="center" vertical="center"/>
    </xf>
    <xf numFmtId="2" fontId="42" fillId="0" borderId="5" xfId="12" applyNumberFormat="1" applyFont="1" applyBorder="1" applyAlignment="1" applyProtection="1">
      <alignment horizontal="center" vertical="top" wrapText="1"/>
    </xf>
    <xf numFmtId="0" fontId="56" fillId="3" borderId="0" xfId="0" applyFont="1" applyFill="1" applyAlignment="1" applyProtection="1">
      <alignment horizontal="center" vertical="center"/>
    </xf>
    <xf numFmtId="0" fontId="55" fillId="0" borderId="0" xfId="0" applyFont="1" applyAlignment="1" applyProtection="1">
      <alignment horizontal="center" vertical="center"/>
    </xf>
    <xf numFmtId="0" fontId="51" fillId="2" borderId="6" xfId="0" applyFont="1" applyFill="1" applyBorder="1" applyAlignment="1" applyProtection="1">
      <alignment vertical="center"/>
    </xf>
    <xf numFmtId="0" fontId="51" fillId="2" borderId="7" xfId="0" applyFont="1" applyFill="1" applyBorder="1" applyAlignment="1" applyProtection="1">
      <alignment vertical="center"/>
    </xf>
    <xf numFmtId="0" fontId="51" fillId="2" borderId="9" xfId="0" applyFont="1" applyFill="1" applyBorder="1" applyAlignment="1" applyProtection="1">
      <alignment vertical="center"/>
    </xf>
    <xf numFmtId="0" fontId="51" fillId="3" borderId="6" xfId="0" applyFont="1" applyFill="1" applyBorder="1" applyAlignment="1" applyProtection="1">
      <alignment vertical="center"/>
    </xf>
    <xf numFmtId="0" fontId="51" fillId="3" borderId="7" xfId="0" applyFont="1" applyFill="1" applyBorder="1" applyAlignment="1" applyProtection="1">
      <alignment vertical="center"/>
    </xf>
    <xf numFmtId="0" fontId="51" fillId="3" borderId="9" xfId="0" applyFont="1" applyFill="1" applyBorder="1" applyAlignment="1" applyProtection="1">
      <alignment vertical="center"/>
    </xf>
    <xf numFmtId="0" fontId="42" fillId="3" borderId="6" xfId="1" applyFont="1" applyFill="1" applyBorder="1" applyAlignment="1" applyProtection="1">
      <alignment vertical="center"/>
    </xf>
    <xf numFmtId="0" fontId="42" fillId="3" borderId="7" xfId="1" applyFont="1" applyFill="1" applyBorder="1" applyAlignment="1" applyProtection="1">
      <alignment vertical="center"/>
    </xf>
    <xf numFmtId="0" fontId="42" fillId="3" borderId="9" xfId="1" applyFont="1" applyFill="1" applyBorder="1" applyAlignment="1" applyProtection="1">
      <alignment vertical="center"/>
    </xf>
    <xf numFmtId="0" fontId="42" fillId="2" borderId="0" xfId="0" applyFont="1" applyFill="1" applyAlignment="1" applyProtection="1">
      <alignment horizontal="left" vertical="center" wrapText="1"/>
      <protection locked="0"/>
    </xf>
    <xf numFmtId="0" fontId="42" fillId="0" borderId="5" xfId="12" applyFont="1" applyFill="1" applyBorder="1" applyAlignment="1" applyProtection="1">
      <alignment horizontal="center" vertical="top" wrapText="1"/>
    </xf>
    <xf numFmtId="0" fontId="51" fillId="0" borderId="5" xfId="0" applyFont="1" applyFill="1" applyBorder="1" applyAlignment="1" applyProtection="1">
      <alignment horizontal="center" vertical="top"/>
    </xf>
    <xf numFmtId="0" fontId="51" fillId="0" borderId="5" xfId="0" applyFont="1" applyFill="1" applyBorder="1" applyAlignment="1" applyProtection="1">
      <alignment horizontal="center" vertical="top" wrapText="1"/>
    </xf>
    <xf numFmtId="0" fontId="42" fillId="0" borderId="9" xfId="0" applyFont="1" applyBorder="1" applyAlignment="1" applyProtection="1">
      <alignment horizontal="center" vertical="center"/>
    </xf>
    <xf numFmtId="0" fontId="42" fillId="0" borderId="6" xfId="0" applyFont="1" applyBorder="1" applyAlignment="1" applyProtection="1">
      <alignment horizontal="center"/>
    </xf>
    <xf numFmtId="0" fontId="42" fillId="0" borderId="9" xfId="0" applyFont="1" applyBorder="1" applyAlignment="1" applyProtection="1">
      <alignment horizontal="center"/>
    </xf>
    <xf numFmtId="0" fontId="50" fillId="0" borderId="0" xfId="0" applyFont="1" applyAlignment="1" applyProtection="1">
      <alignment horizontal="center" vertical="center"/>
      <protection locked="0"/>
    </xf>
    <xf numFmtId="0" fontId="51" fillId="2" borderId="0" xfId="0" applyFont="1" applyFill="1" applyAlignment="1">
      <alignment horizontal="center" vertical="center" wrapText="1"/>
    </xf>
    <xf numFmtId="0" fontId="70" fillId="3" borderId="6" xfId="1" applyFont="1" applyFill="1" applyBorder="1" applyAlignment="1" applyProtection="1">
      <alignment horizontal="left" vertical="center"/>
    </xf>
    <xf numFmtId="0" fontId="70" fillId="3" borderId="7" xfId="1" applyFont="1" applyFill="1" applyBorder="1" applyAlignment="1" applyProtection="1">
      <alignment horizontal="left" vertical="center"/>
    </xf>
    <xf numFmtId="0" fontId="70" fillId="3" borderId="9" xfId="1" applyFont="1" applyFill="1" applyBorder="1" applyAlignment="1" applyProtection="1">
      <alignment horizontal="left" vertical="center"/>
    </xf>
    <xf numFmtId="0" fontId="56" fillId="0" borderId="0" xfId="0" applyFont="1" applyAlignment="1" applyProtection="1">
      <alignment horizontal="center" vertical="center"/>
      <protection locked="0"/>
    </xf>
    <xf numFmtId="0" fontId="42" fillId="0" borderId="4" xfId="0" applyFont="1" applyBorder="1" applyAlignment="1" applyProtection="1">
      <alignment horizontal="center"/>
    </xf>
    <xf numFmtId="0" fontId="71" fillId="0" borderId="5" xfId="12" applyFont="1" applyBorder="1" applyAlignment="1" applyProtection="1">
      <alignment horizontal="center" vertical="center"/>
    </xf>
    <xf numFmtId="0" fontId="43" fillId="0" borderId="6" xfId="0" applyFont="1" applyBorder="1" applyAlignment="1" applyProtection="1">
      <alignment horizontal="center" vertical="top"/>
    </xf>
    <xf numFmtId="0" fontId="43" fillId="0" borderId="7" xfId="0" applyFont="1" applyBorder="1" applyAlignment="1" applyProtection="1">
      <alignment horizontal="center" vertical="top"/>
    </xf>
    <xf numFmtId="0" fontId="43" fillId="0" borderId="9" xfId="0" applyFont="1" applyBorder="1" applyAlignment="1" applyProtection="1">
      <alignment horizontal="center" vertical="top"/>
    </xf>
    <xf numFmtId="0" fontId="70" fillId="3" borderId="6" xfId="0" applyFont="1" applyFill="1" applyBorder="1" applyAlignment="1" applyProtection="1">
      <alignment horizontal="left" vertical="center"/>
    </xf>
    <xf numFmtId="0" fontId="70" fillId="3" borderId="7" xfId="0" applyFont="1" applyFill="1" applyBorder="1" applyAlignment="1" applyProtection="1">
      <alignment horizontal="left" vertical="center"/>
    </xf>
    <xf numFmtId="0" fontId="70" fillId="3" borderId="9" xfId="0" applyFont="1" applyFill="1" applyBorder="1" applyAlignment="1" applyProtection="1">
      <alignment horizontal="left" vertical="center"/>
    </xf>
    <xf numFmtId="0" fontId="51" fillId="2" borderId="0" xfId="0" applyFont="1" applyFill="1" applyBorder="1" applyAlignment="1">
      <alignment horizontal="center" vertical="top"/>
    </xf>
    <xf numFmtId="2" fontId="42" fillId="0" borderId="3" xfId="12" quotePrefix="1" applyNumberFormat="1" applyFont="1" applyBorder="1" applyAlignment="1" applyProtection="1">
      <alignment horizontal="center" vertical="center"/>
    </xf>
    <xf numFmtId="2" fontId="42" fillId="0" borderId="4" xfId="12" applyNumberFormat="1" applyFont="1" applyBorder="1" applyAlignment="1" applyProtection="1">
      <alignment horizontal="center" vertical="center"/>
    </xf>
    <xf numFmtId="0" fontId="51" fillId="2" borderId="0" xfId="0" applyFont="1" applyFill="1" applyAlignment="1">
      <alignment horizontal="center" vertical="top" wrapText="1"/>
    </xf>
    <xf numFmtId="0" fontId="51" fillId="2" borderId="11" xfId="0" applyFont="1" applyFill="1" applyBorder="1" applyAlignment="1" applyProtection="1">
      <alignment horizontal="center" vertical="top" wrapText="1"/>
    </xf>
    <xf numFmtId="0" fontId="51" fillId="2" borderId="12" xfId="0" applyFont="1" applyFill="1" applyBorder="1" applyAlignment="1" applyProtection="1">
      <alignment horizontal="center" vertical="top" wrapText="1"/>
    </xf>
    <xf numFmtId="0" fontId="51" fillId="2" borderId="13" xfId="0" applyFont="1" applyFill="1" applyBorder="1" applyAlignment="1" applyProtection="1">
      <alignment horizontal="center" vertical="top" wrapText="1"/>
    </xf>
    <xf numFmtId="0" fontId="51" fillId="2" borderId="14" xfId="0" applyFont="1" applyFill="1" applyBorder="1" applyAlignment="1" applyProtection="1">
      <alignment horizontal="center" vertical="top" wrapText="1"/>
    </xf>
    <xf numFmtId="0" fontId="71" fillId="2" borderId="6" xfId="0" applyFont="1" applyFill="1" applyBorder="1" applyAlignment="1" applyProtection="1">
      <alignment horizontal="center" vertical="top" wrapText="1"/>
    </xf>
    <xf numFmtId="0" fontId="71" fillId="2" borderId="9" xfId="0" applyFont="1" applyFill="1" applyBorder="1" applyAlignment="1" applyProtection="1">
      <alignment horizontal="center" vertical="top" wrapText="1"/>
    </xf>
    <xf numFmtId="0" fontId="51" fillId="2" borderId="6" xfId="0" applyFont="1" applyFill="1" applyBorder="1" applyAlignment="1" applyProtection="1">
      <alignment horizontal="center" vertical="top" wrapText="1"/>
    </xf>
    <xf numFmtId="0" fontId="51" fillId="2" borderId="9" xfId="0" applyFont="1" applyFill="1" applyBorder="1" applyAlignment="1" applyProtection="1">
      <alignment horizontal="center" vertical="top" wrapText="1"/>
    </xf>
    <xf numFmtId="0" fontId="42" fillId="2" borderId="0" xfId="0" applyFont="1" applyFill="1" applyAlignment="1" applyProtection="1">
      <alignment horizontal="left" vertical="top" wrapText="1"/>
      <protection locked="0"/>
    </xf>
    <xf numFmtId="0" fontId="42" fillId="0" borderId="5" xfId="12" applyFont="1" applyBorder="1" applyAlignment="1" applyProtection="1">
      <alignment horizontal="center" vertical="center"/>
    </xf>
    <xf numFmtId="0" fontId="43" fillId="0" borderId="0" xfId="0" applyFont="1" applyAlignment="1" applyProtection="1">
      <alignment horizontal="center" vertical="center" wrapText="1"/>
    </xf>
    <xf numFmtId="0" fontId="96" fillId="3" borderId="18" xfId="3" applyFont="1" applyFill="1" applyBorder="1" applyAlignment="1">
      <alignment horizontal="center" vertical="center"/>
    </xf>
    <xf numFmtId="0" fontId="96" fillId="3" borderId="0" xfId="3" applyFont="1" applyFill="1" applyAlignment="1">
      <alignment horizontal="center" vertical="center"/>
    </xf>
    <xf numFmtId="0" fontId="96" fillId="3" borderId="19" xfId="3" applyFont="1" applyFill="1" applyBorder="1" applyAlignment="1">
      <alignment horizontal="center" vertical="center"/>
    </xf>
    <xf numFmtId="0" fontId="66" fillId="12" borderId="3" xfId="3" applyFont="1" applyFill="1" applyBorder="1" applyAlignment="1" applyProtection="1">
      <alignment horizontal="center" vertical="center" wrapText="1"/>
      <protection locked="0"/>
    </xf>
    <xf numFmtId="0" fontId="66" fillId="12" borderId="1" xfId="3" applyFont="1" applyFill="1" applyBorder="1" applyAlignment="1" applyProtection="1">
      <alignment horizontal="center" vertical="center" wrapText="1"/>
      <protection locked="0"/>
    </xf>
    <xf numFmtId="0" fontId="66" fillId="12" borderId="4" xfId="3" applyFont="1" applyFill="1" applyBorder="1" applyAlignment="1" applyProtection="1">
      <alignment horizontal="center" vertical="center" wrapText="1"/>
      <protection locked="0"/>
    </xf>
    <xf numFmtId="0" fontId="73" fillId="12" borderId="5" xfId="3" applyFont="1" applyFill="1" applyBorder="1" applyAlignment="1" applyProtection="1">
      <alignment horizontal="center" vertical="center" wrapText="1"/>
      <protection locked="0"/>
    </xf>
    <xf numFmtId="0" fontId="15" fillId="12" borderId="5" xfId="3" applyFont="1" applyFill="1" applyBorder="1" applyAlignment="1" applyProtection="1">
      <alignment horizontal="center"/>
      <protection locked="0"/>
    </xf>
    <xf numFmtId="0" fontId="14" fillId="12" borderId="6" xfId="3" applyFont="1" applyFill="1" applyBorder="1" applyAlignment="1" applyProtection="1">
      <alignment horizontal="center" vertical="center" wrapText="1"/>
      <protection locked="0"/>
    </xf>
    <xf numFmtId="0" fontId="14" fillId="12" borderId="7" xfId="3" applyFont="1" applyFill="1" applyBorder="1" applyAlignment="1" applyProtection="1">
      <alignment horizontal="center" vertical="center" wrapText="1"/>
      <protection locked="0"/>
    </xf>
    <xf numFmtId="0" fontId="14" fillId="12" borderId="9" xfId="3" applyFont="1" applyFill="1" applyBorder="1" applyAlignment="1" applyProtection="1">
      <alignment horizontal="center" vertical="center" wrapText="1"/>
      <protection locked="0"/>
    </xf>
    <xf numFmtId="0" fontId="14" fillId="12" borderId="6" xfId="3" applyFont="1" applyFill="1" applyBorder="1" applyAlignment="1" applyProtection="1">
      <alignment horizontal="center" vertical="center"/>
      <protection locked="0"/>
    </xf>
    <xf numFmtId="0" fontId="14" fillId="12" borderId="7" xfId="3" applyFont="1" applyFill="1" applyBorder="1" applyAlignment="1" applyProtection="1">
      <alignment horizontal="center" vertical="center"/>
      <protection locked="0"/>
    </xf>
    <xf numFmtId="0" fontId="14" fillId="12" borderId="9" xfId="3" applyFont="1" applyFill="1" applyBorder="1" applyAlignment="1" applyProtection="1">
      <alignment horizontal="center" vertical="center"/>
      <protection locked="0"/>
    </xf>
    <xf numFmtId="0" fontId="37" fillId="12" borderId="5" xfId="3" applyFont="1" applyFill="1" applyBorder="1" applyAlignment="1" applyProtection="1">
      <alignment horizontal="center" vertical="center" wrapText="1"/>
      <protection locked="0"/>
    </xf>
    <xf numFmtId="0" fontId="15" fillId="12" borderId="4" xfId="3" applyFont="1" applyFill="1" applyBorder="1" applyAlignment="1" applyProtection="1">
      <alignment horizontal="center"/>
      <protection locked="0"/>
    </xf>
    <xf numFmtId="0" fontId="15" fillId="12" borderId="6" xfId="3" applyFont="1" applyFill="1" applyBorder="1" applyAlignment="1" applyProtection="1">
      <alignment horizontal="center" vertical="center"/>
      <protection locked="0"/>
    </xf>
    <xf numFmtId="0" fontId="15" fillId="12" borderId="7" xfId="3" applyFont="1" applyFill="1" applyBorder="1" applyAlignment="1" applyProtection="1">
      <alignment horizontal="center" vertical="center"/>
      <protection locked="0"/>
    </xf>
    <xf numFmtId="0" fontId="15" fillId="12" borderId="9" xfId="3" applyFont="1" applyFill="1" applyBorder="1" applyAlignment="1" applyProtection="1">
      <alignment horizontal="center" vertical="center"/>
      <protection locked="0"/>
    </xf>
    <xf numFmtId="0" fontId="73" fillId="12" borderId="5" xfId="3" applyFont="1" applyFill="1" applyBorder="1" applyAlignment="1" applyProtection="1">
      <alignment horizontal="center" vertical="center"/>
      <protection locked="0"/>
    </xf>
    <xf numFmtId="0" fontId="39" fillId="0" borderId="34" xfId="10" applyFont="1" applyBorder="1" applyAlignment="1">
      <alignment horizontal="center"/>
    </xf>
    <xf numFmtId="0" fontId="39" fillId="0" borderId="35" xfId="10" applyFont="1" applyBorder="1" applyAlignment="1">
      <alignment horizontal="center"/>
    </xf>
    <xf numFmtId="0" fontId="39" fillId="0" borderId="63" xfId="10" applyFont="1" applyBorder="1" applyAlignment="1">
      <alignment horizontal="center"/>
    </xf>
    <xf numFmtId="0" fontId="4" fillId="14" borderId="58" xfId="3" applyFill="1" applyBorder="1" applyAlignment="1">
      <alignment horizontal="center" wrapText="1"/>
    </xf>
    <xf numFmtId="0" fontId="4" fillId="14" borderId="59" xfId="3" applyFill="1" applyBorder="1" applyAlignment="1">
      <alignment horizontal="center" wrapText="1"/>
    </xf>
    <xf numFmtId="0" fontId="47" fillId="14" borderId="23" xfId="3" applyFont="1" applyFill="1" applyBorder="1" applyAlignment="1">
      <alignment horizontal="center" vertical="center" wrapText="1"/>
    </xf>
    <xf numFmtId="0" fontId="47" fillId="14" borderId="7" xfId="3" applyFont="1" applyFill="1" applyBorder="1" applyAlignment="1">
      <alignment horizontal="center" vertical="center" wrapText="1"/>
    </xf>
    <xf numFmtId="0" fontId="47" fillId="14" borderId="24" xfId="3" applyFont="1" applyFill="1" applyBorder="1" applyAlignment="1">
      <alignment horizontal="center" vertical="center" wrapText="1"/>
    </xf>
    <xf numFmtId="0" fontId="37" fillId="3" borderId="23" xfId="10" applyFont="1" applyFill="1" applyBorder="1" applyAlignment="1">
      <alignment horizontal="center" vertical="center"/>
    </xf>
    <xf numFmtId="0" fontId="37" fillId="3" borderId="7" xfId="10" applyFont="1" applyFill="1" applyBorder="1" applyAlignment="1">
      <alignment horizontal="center" vertical="center"/>
    </xf>
    <xf numFmtId="0" fontId="37" fillId="3" borderId="9" xfId="10" applyFont="1" applyFill="1" applyBorder="1" applyAlignment="1">
      <alignment horizontal="center" vertical="center"/>
    </xf>
    <xf numFmtId="0" fontId="84" fillId="3" borderId="0" xfId="3" applyFont="1" applyFill="1" applyAlignment="1">
      <alignment horizontal="left" wrapText="1"/>
    </xf>
    <xf numFmtId="0" fontId="74" fillId="3" borderId="0" xfId="3" applyFont="1" applyFill="1" applyAlignment="1">
      <alignment horizontal="center" vertical="center" wrapText="1"/>
    </xf>
    <xf numFmtId="0" fontId="14" fillId="12" borderId="13" xfId="3" applyFont="1" applyFill="1" applyBorder="1" applyAlignment="1" applyProtection="1">
      <alignment horizontal="center" vertical="center"/>
      <protection locked="0"/>
    </xf>
    <xf numFmtId="0" fontId="14" fillId="12" borderId="10" xfId="3" applyFont="1" applyFill="1" applyBorder="1" applyAlignment="1" applyProtection="1">
      <alignment horizontal="center" vertical="center"/>
      <protection locked="0"/>
    </xf>
    <xf numFmtId="0" fontId="14" fillId="12" borderId="14" xfId="3" applyFont="1" applyFill="1" applyBorder="1" applyAlignment="1" applyProtection="1">
      <alignment horizontal="center" vertical="center"/>
      <protection locked="0"/>
    </xf>
    <xf numFmtId="0" fontId="97" fillId="3" borderId="58" xfId="10" applyFont="1" applyFill="1" applyBorder="1" applyAlignment="1">
      <alignment horizontal="center" vertical="center" wrapText="1"/>
    </xf>
    <xf numFmtId="0" fontId="97" fillId="3" borderId="45" xfId="10" applyFont="1" applyFill="1" applyBorder="1" applyAlignment="1">
      <alignment horizontal="center" vertical="center" wrapText="1"/>
    </xf>
    <xf numFmtId="0" fontId="97" fillId="3" borderId="59" xfId="10" applyFont="1" applyFill="1" applyBorder="1" applyAlignment="1">
      <alignment horizontal="center" vertical="center" wrapText="1"/>
    </xf>
    <xf numFmtId="0" fontId="37" fillId="14" borderId="33" xfId="3" applyFont="1" applyFill="1" applyBorder="1" applyAlignment="1">
      <alignment horizontal="center" vertical="center" wrapText="1"/>
    </xf>
    <xf numFmtId="0" fontId="37" fillId="14" borderId="27" xfId="3" applyFont="1" applyFill="1" applyBorder="1" applyAlignment="1">
      <alignment horizontal="center" vertical="center" wrapText="1"/>
    </xf>
    <xf numFmtId="0" fontId="37" fillId="14" borderId="64" xfId="3" applyFont="1" applyFill="1" applyBorder="1" applyAlignment="1">
      <alignment horizontal="center" vertical="center" wrapText="1"/>
    </xf>
    <xf numFmtId="0" fontId="16" fillId="14" borderId="23" xfId="3" applyFont="1" applyFill="1" applyBorder="1" applyAlignment="1">
      <alignment horizontal="center" vertical="center" wrapText="1"/>
    </xf>
    <xf numFmtId="0" fontId="16" fillId="14" borderId="7" xfId="3" applyFont="1" applyFill="1" applyBorder="1" applyAlignment="1">
      <alignment horizontal="center" vertical="center" wrapText="1"/>
    </xf>
    <xf numFmtId="0" fontId="16" fillId="14" borderId="24" xfId="3" applyFont="1" applyFill="1" applyBorder="1" applyAlignment="1">
      <alignment horizontal="center" vertical="center" wrapText="1"/>
    </xf>
    <xf numFmtId="0" fontId="14" fillId="3" borderId="34" xfId="10" applyFont="1" applyFill="1" applyBorder="1" applyAlignment="1">
      <alignment horizontal="center" vertical="center" wrapText="1"/>
    </xf>
    <xf numFmtId="0" fontId="14" fillId="3" borderId="35" xfId="10" applyFont="1" applyFill="1" applyBorder="1" applyAlignment="1">
      <alignment horizontal="center" vertical="center" wrapText="1"/>
    </xf>
    <xf numFmtId="0" fontId="14" fillId="3" borderId="63" xfId="10" applyFont="1" applyFill="1" applyBorder="1" applyAlignment="1">
      <alignment horizontal="center" vertical="center" wrapText="1"/>
    </xf>
    <xf numFmtId="0" fontId="14" fillId="3" borderId="23" xfId="10" applyFont="1" applyFill="1" applyBorder="1" applyAlignment="1">
      <alignment horizontal="center" vertical="center"/>
    </xf>
    <xf numFmtId="0" fontId="14" fillId="3" borderId="7" xfId="10" applyFont="1" applyFill="1" applyBorder="1" applyAlignment="1">
      <alignment horizontal="center" vertical="center"/>
    </xf>
    <xf numFmtId="0" fontId="14" fillId="3" borderId="24" xfId="10" applyFont="1" applyFill="1" applyBorder="1" applyAlignment="1">
      <alignment horizontal="center" vertical="center"/>
    </xf>
    <xf numFmtId="0" fontId="16" fillId="14" borderId="34" xfId="3" applyFont="1" applyFill="1" applyBorder="1" applyAlignment="1">
      <alignment horizontal="center" vertical="center"/>
    </xf>
    <xf numFmtId="0" fontId="16" fillId="14" borderId="35" xfId="3" applyFont="1" applyFill="1" applyBorder="1" applyAlignment="1">
      <alignment horizontal="center" vertical="center"/>
    </xf>
    <xf numFmtId="0" fontId="16" fillId="14" borderId="63" xfId="3" applyFont="1" applyFill="1" applyBorder="1" applyAlignment="1">
      <alignment horizontal="center" vertical="center"/>
    </xf>
    <xf numFmtId="0" fontId="63" fillId="14" borderId="49" xfId="3" applyFont="1" applyFill="1" applyBorder="1" applyAlignment="1">
      <alignment horizontal="center" vertical="center" wrapText="1"/>
    </xf>
    <xf numFmtId="0" fontId="63" fillId="14" borderId="50" xfId="3" applyFont="1" applyFill="1" applyBorder="1" applyAlignment="1">
      <alignment horizontal="center" vertical="center" wrapText="1"/>
    </xf>
    <xf numFmtId="0" fontId="63" fillId="14" borderId="51" xfId="3" applyFont="1" applyFill="1" applyBorder="1" applyAlignment="1">
      <alignment horizontal="center" vertical="center" wrapText="1"/>
    </xf>
    <xf numFmtId="0" fontId="63" fillId="14" borderId="32" xfId="3" applyFont="1" applyFill="1" applyBorder="1" applyAlignment="1">
      <alignment horizontal="center" vertical="center" wrapText="1"/>
    </xf>
    <xf numFmtId="0" fontId="63" fillId="14" borderId="1" xfId="3" applyFont="1" applyFill="1" applyBorder="1" applyAlignment="1">
      <alignment horizontal="center" vertical="center" wrapText="1"/>
    </xf>
    <xf numFmtId="0" fontId="63" fillId="14" borderId="62" xfId="3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6" fillId="3" borderId="0" xfId="0" applyFont="1" applyFill="1" applyAlignment="1">
      <alignment horizontal="center" vertical="center"/>
    </xf>
    <xf numFmtId="0" fontId="43" fillId="0" borderId="6" xfId="0" applyFont="1" applyBorder="1" applyAlignment="1">
      <alignment horizontal="center" vertical="top"/>
    </xf>
    <xf numFmtId="0" fontId="43" fillId="0" borderId="7" xfId="0" applyFont="1" applyBorder="1" applyAlignment="1">
      <alignment horizontal="center" vertical="top"/>
    </xf>
    <xf numFmtId="0" fontId="43" fillId="0" borderId="9" xfId="0" applyFont="1" applyBorder="1" applyAlignment="1">
      <alignment horizontal="center" vertical="top"/>
    </xf>
    <xf numFmtId="0" fontId="43" fillId="0" borderId="5" xfId="0" applyFont="1" applyBorder="1" applyAlignment="1">
      <alignment horizontal="center" vertical="top" wrapText="1"/>
    </xf>
    <xf numFmtId="0" fontId="51" fillId="3" borderId="6" xfId="0" applyFont="1" applyFill="1" applyBorder="1" applyAlignment="1">
      <alignment horizontal="left" vertical="center"/>
    </xf>
    <xf numFmtId="0" fontId="51" fillId="3" borderId="7" xfId="0" applyFont="1" applyFill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7" xfId="1" applyFont="1" applyFill="1" applyBorder="1" applyAlignment="1">
      <alignment horizontal="left" vertical="center"/>
    </xf>
    <xf numFmtId="0" fontId="42" fillId="0" borderId="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51" fillId="2" borderId="5" xfId="0" applyFont="1" applyFill="1" applyBorder="1" applyAlignment="1">
      <alignment horizontal="center" vertical="top" wrapText="1"/>
    </xf>
    <xf numFmtId="0" fontId="42" fillId="0" borderId="5" xfId="12" applyFont="1" applyBorder="1" applyAlignment="1">
      <alignment horizontal="center" vertical="top" wrapText="1"/>
    </xf>
    <xf numFmtId="0" fontId="51" fillId="2" borderId="5" xfId="0" applyFont="1" applyFill="1" applyBorder="1" applyAlignment="1">
      <alignment horizontal="center" vertical="top"/>
    </xf>
    <xf numFmtId="164" fontId="71" fillId="2" borderId="5" xfId="0" quotePrefix="1" applyNumberFormat="1" applyFont="1" applyFill="1" applyBorder="1" applyAlignment="1">
      <alignment horizontal="center" vertical="center"/>
    </xf>
    <xf numFmtId="0" fontId="71" fillId="2" borderId="5" xfId="0" applyFont="1" applyFill="1" applyBorder="1" applyAlignment="1">
      <alignment horizontal="center" vertical="top" wrapText="1"/>
    </xf>
    <xf numFmtId="0" fontId="71" fillId="0" borderId="5" xfId="12" applyFont="1" applyBorder="1" applyAlignment="1">
      <alignment horizontal="center" vertical="top" wrapText="1"/>
    </xf>
    <xf numFmtId="0" fontId="70" fillId="0" borderId="6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164" fontId="71" fillId="0" borderId="3" xfId="0" quotePrefix="1" applyNumberFormat="1" applyFont="1" applyBorder="1" applyAlignment="1">
      <alignment horizontal="center" vertical="center" wrapText="1"/>
    </xf>
    <xf numFmtId="164" fontId="71" fillId="0" borderId="1" xfId="0" applyNumberFormat="1" applyFont="1" applyBorder="1" applyAlignment="1">
      <alignment horizontal="center" vertical="center" wrapText="1"/>
    </xf>
    <xf numFmtId="164" fontId="71" fillId="0" borderId="4" xfId="0" applyNumberFormat="1" applyFont="1" applyBorder="1" applyAlignment="1">
      <alignment horizontal="center" vertical="center" wrapText="1"/>
    </xf>
    <xf numFmtId="0" fontId="71" fillId="2" borderId="5" xfId="0" applyFont="1" applyFill="1" applyBorder="1" applyAlignment="1">
      <alignment horizontal="center" vertical="top"/>
    </xf>
    <xf numFmtId="0" fontId="51" fillId="2" borderId="2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5" xfId="12" applyFont="1" applyBorder="1" applyAlignment="1">
      <alignment horizontal="center" vertical="center"/>
    </xf>
    <xf numFmtId="2" fontId="4" fillId="0" borderId="3" xfId="12" quotePrefix="1" applyNumberFormat="1" applyBorder="1" applyAlignment="1">
      <alignment horizontal="center" vertical="center"/>
    </xf>
    <xf numFmtId="2" fontId="4" fillId="0" borderId="4" xfId="12" applyNumberFormat="1" applyBorder="1" applyAlignment="1">
      <alignment horizontal="center" vertical="center"/>
    </xf>
    <xf numFmtId="0" fontId="4" fillId="0" borderId="0" xfId="3" applyAlignment="1">
      <alignment horizontal="center" wrapText="1"/>
    </xf>
    <xf numFmtId="0" fontId="16" fillId="3" borderId="3" xfId="3" applyFont="1" applyFill="1" applyBorder="1" applyAlignment="1">
      <alignment horizontal="center" vertical="top" wrapText="1"/>
    </xf>
    <xf numFmtId="0" fontId="16" fillId="3" borderId="1" xfId="3" applyFont="1" applyFill="1" applyBorder="1" applyAlignment="1">
      <alignment horizontal="center" vertical="top" wrapText="1"/>
    </xf>
    <xf numFmtId="0" fontId="16" fillId="3" borderId="4" xfId="3" applyFont="1" applyFill="1" applyBorder="1" applyAlignment="1">
      <alignment horizontal="center" vertical="top" wrapText="1"/>
    </xf>
    <xf numFmtId="0" fontId="63" fillId="3" borderId="3" xfId="3" applyFont="1" applyFill="1" applyBorder="1" applyAlignment="1">
      <alignment horizontal="center" vertical="top" wrapText="1"/>
    </xf>
    <xf numFmtId="0" fontId="63" fillId="3" borderId="1" xfId="3" applyFont="1" applyFill="1" applyBorder="1" applyAlignment="1">
      <alignment horizontal="center" vertical="top" wrapText="1"/>
    </xf>
    <xf numFmtId="0" fontId="63" fillId="3" borderId="4" xfId="3" applyFont="1" applyFill="1" applyBorder="1" applyAlignment="1">
      <alignment horizontal="center" vertical="top" wrapText="1"/>
    </xf>
    <xf numFmtId="0" fontId="100" fillId="0" borderId="6" xfId="3" applyFont="1" applyBorder="1" applyAlignment="1">
      <alignment horizontal="center"/>
    </xf>
    <xf numFmtId="0" fontId="100" fillId="0" borderId="7" xfId="3" applyFont="1" applyBorder="1" applyAlignment="1">
      <alignment horizontal="center"/>
    </xf>
    <xf numFmtId="0" fontId="100" fillId="0" borderId="9" xfId="3" applyFont="1" applyBorder="1" applyAlignment="1">
      <alignment horizontal="center"/>
    </xf>
    <xf numFmtId="0" fontId="16" fillId="3" borderId="0" xfId="3" applyFont="1" applyFill="1" applyBorder="1" applyAlignment="1">
      <alignment horizontal="center" vertical="center" wrapText="1"/>
    </xf>
    <xf numFmtId="0" fontId="37" fillId="0" borderId="6" xfId="3" applyFont="1" applyBorder="1" applyAlignment="1">
      <alignment horizontal="center" vertical="center"/>
    </xf>
    <xf numFmtId="0" fontId="37" fillId="0" borderId="7" xfId="3" applyFont="1" applyBorder="1" applyAlignment="1">
      <alignment horizontal="center" vertical="center"/>
    </xf>
    <xf numFmtId="0" fontId="37" fillId="0" borderId="9" xfId="3" applyFont="1" applyBorder="1" applyAlignment="1">
      <alignment horizontal="center" vertical="center"/>
    </xf>
    <xf numFmtId="1" fontId="37" fillId="3" borderId="23" xfId="3" applyNumberFormat="1" applyFont="1" applyFill="1" applyBorder="1" applyAlignment="1">
      <alignment horizontal="center" vertical="center" wrapText="1"/>
    </xf>
    <xf numFmtId="1" fontId="37" fillId="3" borderId="7" xfId="3" applyNumberFormat="1" applyFont="1" applyFill="1" applyBorder="1" applyAlignment="1">
      <alignment horizontal="center" vertical="center" wrapText="1"/>
    </xf>
    <xf numFmtId="1" fontId="37" fillId="3" borderId="9" xfId="3" applyNumberFormat="1" applyFont="1" applyFill="1" applyBorder="1" applyAlignment="1">
      <alignment horizontal="center" vertical="center" wrapText="1"/>
    </xf>
    <xf numFmtId="1" fontId="4" fillId="3" borderId="6" xfId="3" applyNumberFormat="1" applyFill="1" applyBorder="1" applyAlignment="1">
      <alignment horizontal="center" vertical="center" wrapText="1"/>
    </xf>
    <xf numFmtId="1" fontId="4" fillId="3" borderId="7" xfId="3" applyNumberFormat="1" applyFill="1" applyBorder="1" applyAlignment="1">
      <alignment horizontal="center" vertical="center" wrapText="1"/>
    </xf>
    <xf numFmtId="1" fontId="4" fillId="3" borderId="9" xfId="3" applyNumberFormat="1" applyFill="1" applyBorder="1" applyAlignment="1">
      <alignment horizontal="center" vertical="center" wrapText="1"/>
    </xf>
    <xf numFmtId="0" fontId="110" fillId="3" borderId="5" xfId="3" applyFont="1" applyFill="1" applyBorder="1" applyAlignment="1">
      <alignment horizontal="center" vertical="center"/>
    </xf>
    <xf numFmtId="1" fontId="66" fillId="5" borderId="76" xfId="3" applyNumberFormat="1" applyFont="1" applyFill="1" applyBorder="1" applyAlignment="1">
      <alignment horizontal="center" vertical="center" wrapText="1"/>
    </xf>
    <xf numFmtId="1" fontId="66" fillId="5" borderId="71" xfId="3" applyNumberFormat="1" applyFont="1" applyFill="1" applyBorder="1" applyAlignment="1">
      <alignment horizontal="center" vertical="center" wrapText="1"/>
    </xf>
    <xf numFmtId="1" fontId="66" fillId="5" borderId="72" xfId="3" applyNumberFormat="1" applyFont="1" applyFill="1" applyBorder="1" applyAlignment="1">
      <alignment horizontal="center" vertical="center" wrapText="1"/>
    </xf>
    <xf numFmtId="1" fontId="122" fillId="3" borderId="9" xfId="3" applyNumberFormat="1" applyFont="1" applyFill="1" applyBorder="1" applyAlignment="1">
      <alignment horizontal="center" vertical="center" wrapText="1"/>
    </xf>
    <xf numFmtId="1" fontId="122" fillId="3" borderId="5" xfId="3" applyNumberFormat="1" applyFont="1" applyFill="1" applyBorder="1" applyAlignment="1">
      <alignment horizontal="center" vertical="center" wrapText="1"/>
    </xf>
    <xf numFmtId="0" fontId="37" fillId="9" borderId="44" xfId="3" applyFont="1" applyFill="1" applyBorder="1" applyAlignment="1">
      <alignment horizontal="center" vertical="center"/>
    </xf>
    <xf numFmtId="0" fontId="37" fillId="9" borderId="26" xfId="3" applyFont="1" applyFill="1" applyBorder="1" applyAlignment="1">
      <alignment horizontal="center" vertical="center"/>
    </xf>
    <xf numFmtId="0" fontId="14" fillId="9" borderId="5" xfId="3" applyFont="1" applyFill="1" applyBorder="1" applyAlignment="1">
      <alignment horizontal="center" vertical="center"/>
    </xf>
    <xf numFmtId="0" fontId="15" fillId="9" borderId="42" xfId="3" applyFont="1" applyFill="1" applyBorder="1" applyAlignment="1">
      <alignment horizontal="center"/>
    </xf>
    <xf numFmtId="0" fontId="15" fillId="9" borderId="43" xfId="3" applyFont="1" applyFill="1" applyBorder="1" applyAlignment="1">
      <alignment horizontal="center"/>
    </xf>
    <xf numFmtId="0" fontId="14" fillId="9" borderId="43" xfId="3" applyFont="1" applyFill="1" applyBorder="1" applyAlignment="1">
      <alignment horizontal="center" vertical="center"/>
    </xf>
    <xf numFmtId="0" fontId="15" fillId="9" borderId="25" xfId="3" applyFont="1" applyFill="1" applyBorder="1" applyAlignment="1">
      <alignment horizontal="center"/>
    </xf>
    <xf numFmtId="0" fontId="15" fillId="9" borderId="5" xfId="3" applyFont="1" applyFill="1" applyBorder="1" applyAlignment="1">
      <alignment horizontal="center"/>
    </xf>
    <xf numFmtId="1" fontId="37" fillId="9" borderId="58" xfId="3" applyNumberFormat="1" applyFont="1" applyFill="1" applyBorder="1" applyAlignment="1">
      <alignment horizontal="center" vertical="center" wrapText="1"/>
    </xf>
    <xf numFmtId="1" fontId="37" fillId="9" borderId="45" xfId="3" applyNumberFormat="1" applyFont="1" applyFill="1" applyBorder="1" applyAlignment="1">
      <alignment horizontal="center" vertical="center" wrapText="1"/>
    </xf>
    <xf numFmtId="1" fontId="37" fillId="9" borderId="59" xfId="3" applyNumberFormat="1" applyFont="1" applyFill="1" applyBorder="1" applyAlignment="1">
      <alignment horizontal="center" vertical="center" wrapText="1"/>
    </xf>
    <xf numFmtId="0" fontId="15" fillId="9" borderId="23" xfId="3" applyFont="1" applyFill="1" applyBorder="1" applyAlignment="1">
      <alignment horizontal="center"/>
    </xf>
    <xf numFmtId="0" fontId="15" fillId="9" borderId="7" xfId="3" applyFont="1" applyFill="1" applyBorder="1" applyAlignment="1">
      <alignment horizontal="center"/>
    </xf>
    <xf numFmtId="0" fontId="15" fillId="9" borderId="9" xfId="3" applyFont="1" applyFill="1" applyBorder="1" applyAlignment="1">
      <alignment horizontal="center"/>
    </xf>
    <xf numFmtId="0" fontId="14" fillId="9" borderId="3" xfId="3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37" fillId="9" borderId="75" xfId="3" applyFont="1" applyFill="1" applyBorder="1" applyAlignment="1">
      <alignment horizontal="center" vertical="center"/>
    </xf>
    <xf numFmtId="0" fontId="37" fillId="9" borderId="27" xfId="3" applyFont="1" applyFill="1" applyBorder="1" applyAlignment="1">
      <alignment horizontal="center" vertical="center"/>
    </xf>
    <xf numFmtId="0" fontId="37" fillId="9" borderId="37" xfId="3" applyFont="1" applyFill="1" applyBorder="1" applyAlignment="1">
      <alignment horizontal="center" vertical="center"/>
    </xf>
    <xf numFmtId="0" fontId="14" fillId="9" borderId="6" xfId="3" applyFont="1" applyFill="1" applyBorder="1" applyAlignment="1">
      <alignment horizontal="center" vertical="center"/>
    </xf>
    <xf numFmtId="0" fontId="14" fillId="9" borderId="7" xfId="3" applyFont="1" applyFill="1" applyBorder="1" applyAlignment="1">
      <alignment horizontal="center" vertical="center"/>
    </xf>
    <xf numFmtId="0" fontId="14" fillId="9" borderId="9" xfId="3" applyFont="1" applyFill="1" applyBorder="1" applyAlignment="1">
      <alignment horizontal="center" vertical="center"/>
    </xf>
    <xf numFmtId="0" fontId="14" fillId="9" borderId="35" xfId="3" applyFont="1" applyFill="1" applyBorder="1" applyAlignment="1">
      <alignment horizontal="center" vertical="center"/>
    </xf>
    <xf numFmtId="0" fontId="14" fillId="9" borderId="8" xfId="3" applyFont="1" applyFill="1" applyBorder="1" applyAlignment="1">
      <alignment horizontal="center" vertical="center"/>
    </xf>
    <xf numFmtId="0" fontId="37" fillId="9" borderId="76" xfId="3" applyFont="1" applyFill="1" applyBorder="1" applyAlignment="1">
      <alignment horizontal="center" vertical="center"/>
    </xf>
    <xf numFmtId="0" fontId="37" fillId="9" borderId="71" xfId="3" applyFont="1" applyFill="1" applyBorder="1" applyAlignment="1">
      <alignment horizontal="center" vertical="center"/>
    </xf>
    <xf numFmtId="0" fontId="37" fillId="9" borderId="77" xfId="3" applyFont="1" applyFill="1" applyBorder="1" applyAlignment="1">
      <alignment horizontal="center" vertical="center"/>
    </xf>
    <xf numFmtId="0" fontId="6" fillId="0" borderId="0" xfId="9" applyFont="1" applyAlignment="1">
      <alignment horizontal="left" vertical="center" wrapText="1"/>
    </xf>
    <xf numFmtId="0" fontId="9" fillId="0" borderId="0" xfId="9" applyFont="1" applyAlignment="1">
      <alignment horizontal="left" vertical="center" wrapText="1"/>
    </xf>
    <xf numFmtId="172" fontId="9" fillId="0" borderId="0" xfId="9" applyNumberFormat="1" applyFont="1" applyAlignment="1">
      <alignment horizontal="left" vertical="top" wrapText="1"/>
    </xf>
    <xf numFmtId="1" fontId="9" fillId="0" borderId="0" xfId="9" applyNumberFormat="1" applyFont="1" applyAlignment="1">
      <alignment horizontal="left" vertical="top" wrapText="1"/>
    </xf>
    <xf numFmtId="0" fontId="9" fillId="0" borderId="0" xfId="9" applyFont="1" applyAlignment="1">
      <alignment horizontal="left" vertical="top" wrapText="1"/>
    </xf>
    <xf numFmtId="0" fontId="9" fillId="5" borderId="0" xfId="9" applyFont="1" applyFill="1" applyAlignment="1">
      <alignment horizontal="justify" vertical="center" wrapText="1"/>
    </xf>
    <xf numFmtId="172" fontId="9" fillId="0" borderId="0" xfId="9" applyNumberFormat="1" applyFont="1" applyAlignment="1">
      <alignment horizontal="left" vertical="center" wrapText="1"/>
    </xf>
    <xf numFmtId="0" fontId="9" fillId="0" borderId="6" xfId="9" applyFont="1" applyBorder="1" applyAlignment="1">
      <alignment horizontal="left" vertical="top" wrapText="1"/>
    </xf>
    <xf numFmtId="0" fontId="9" fillId="0" borderId="7" xfId="9" applyFont="1" applyBorder="1" applyAlignment="1">
      <alignment horizontal="left" vertical="top" wrapText="1"/>
    </xf>
    <xf numFmtId="0" fontId="91" fillId="0" borderId="0" xfId="9" applyFont="1" applyAlignment="1" applyProtection="1">
      <alignment horizontal="left"/>
      <protection locked="0"/>
    </xf>
    <xf numFmtId="0" fontId="92" fillId="0" borderId="0" xfId="9" applyFont="1" applyAlignment="1" applyProtection="1">
      <alignment horizontal="left" vertical="center" wrapText="1"/>
      <protection locked="0"/>
    </xf>
    <xf numFmtId="0" fontId="9" fillId="0" borderId="0" xfId="9" applyFont="1" applyAlignment="1" applyProtection="1">
      <alignment horizontal="left" vertical="top" wrapText="1"/>
      <protection locked="0"/>
    </xf>
    <xf numFmtId="0" fontId="9" fillId="0" borderId="0" xfId="9" applyFont="1" applyAlignment="1" applyProtection="1">
      <alignment horizontal="justify" vertical="top" wrapText="1"/>
      <protection locked="0"/>
    </xf>
    <xf numFmtId="178" fontId="91" fillId="0" borderId="0" xfId="9" quotePrefix="1" applyNumberFormat="1" applyFont="1" applyAlignment="1" applyProtection="1">
      <alignment horizontal="left" vertical="center"/>
      <protection locked="0"/>
    </xf>
    <xf numFmtId="178" fontId="91" fillId="0" borderId="0" xfId="9" applyNumberFormat="1" applyFont="1" applyAlignment="1" applyProtection="1">
      <alignment horizontal="left" vertical="center"/>
      <protection locked="0"/>
    </xf>
    <xf numFmtId="0" fontId="87" fillId="0" borderId="0" xfId="9" applyFont="1" applyAlignment="1">
      <alignment horizontal="center"/>
    </xf>
    <xf numFmtId="0" fontId="91" fillId="0" borderId="0" xfId="9" quotePrefix="1" applyFont="1" applyAlignment="1" applyProtection="1">
      <alignment horizontal="left"/>
      <protection locked="0"/>
    </xf>
    <xf numFmtId="1" fontId="9" fillId="0" borderId="0" xfId="9" applyNumberFormat="1" applyFont="1" applyAlignment="1">
      <alignment horizontal="left" vertical="center" wrapText="1"/>
    </xf>
    <xf numFmtId="0" fontId="92" fillId="0" borderId="0" xfId="9" quotePrefix="1" applyFont="1" applyAlignment="1" applyProtection="1">
      <alignment horizontal="left" vertical="center" wrapText="1"/>
      <protection locked="0"/>
    </xf>
    <xf numFmtId="11" fontId="91" fillId="0" borderId="0" xfId="9" quotePrefix="1" applyNumberFormat="1" applyFont="1" applyAlignment="1" applyProtection="1">
      <alignment horizontal="left"/>
      <protection locked="0"/>
    </xf>
    <xf numFmtId="0" fontId="9" fillId="0" borderId="0" xfId="9" applyFont="1" applyAlignment="1" applyProtection="1">
      <alignment horizontal="left" vertical="center" wrapText="1"/>
      <protection locked="0"/>
    </xf>
    <xf numFmtId="0" fontId="89" fillId="0" borderId="0" xfId="9" applyFont="1" applyAlignment="1" applyProtection="1">
      <alignment horizontal="center" vertical="center"/>
      <protection locked="0"/>
    </xf>
    <xf numFmtId="172" fontId="91" fillId="0" borderId="0" xfId="9" quotePrefix="1" applyNumberFormat="1" applyFont="1" applyAlignment="1" applyProtection="1">
      <alignment horizontal="center" vertical="center"/>
      <protection locked="0"/>
    </xf>
    <xf numFmtId="172" fontId="91" fillId="0" borderId="0" xfId="9" applyNumberFormat="1" applyFont="1" applyAlignment="1" applyProtection="1">
      <alignment horizontal="center" vertical="center"/>
      <protection locked="0"/>
    </xf>
    <xf numFmtId="0" fontId="9" fillId="0" borderId="0" xfId="9" applyFont="1" applyAlignment="1">
      <alignment horizontal="center"/>
    </xf>
    <xf numFmtId="0" fontId="34" fillId="0" borderId="0" xfId="9" applyFont="1" applyAlignment="1">
      <alignment horizontal="right" vertical="center"/>
    </xf>
    <xf numFmtId="0" fontId="88" fillId="0" borderId="0" xfId="9" applyFont="1" applyAlignment="1">
      <alignment horizontal="center"/>
    </xf>
    <xf numFmtId="0" fontId="104" fillId="0" borderId="0" xfId="2" applyFont="1" applyAlignment="1">
      <alignment horizontal="left" vertical="center" wrapText="1"/>
    </xf>
    <xf numFmtId="0" fontId="104" fillId="0" borderId="0" xfId="2" applyFont="1" applyAlignment="1">
      <alignment horizontal="left" vertical="center"/>
    </xf>
    <xf numFmtId="0" fontId="104" fillId="0" borderId="0" xfId="2" applyFont="1" applyAlignment="1">
      <alignment horizontal="left"/>
    </xf>
    <xf numFmtId="0" fontId="103" fillId="0" borderId="0" xfId="2" applyFont="1" applyAlignment="1">
      <alignment horizontal="left"/>
    </xf>
    <xf numFmtId="1" fontId="104" fillId="0" borderId="6" xfId="2" applyNumberFormat="1" applyFont="1" applyBorder="1" applyAlignment="1">
      <alignment horizontal="center" vertical="center" wrapText="1"/>
    </xf>
    <xf numFmtId="0" fontId="104" fillId="0" borderId="9" xfId="2" applyFont="1" applyBorder="1" applyAlignment="1">
      <alignment horizontal="center" vertical="center" wrapText="1"/>
    </xf>
    <xf numFmtId="0" fontId="102" fillId="0" borderId="0" xfId="2" applyFont="1" applyAlignment="1" applyProtection="1">
      <alignment horizontal="center" vertical="center"/>
      <protection locked="0"/>
    </xf>
    <xf numFmtId="0" fontId="103" fillId="0" borderId="0" xfId="2" applyFont="1" applyAlignment="1">
      <alignment horizontal="center" vertical="center"/>
    </xf>
    <xf numFmtId="0" fontId="104" fillId="0" borderId="0" xfId="2" applyFont="1" applyAlignment="1">
      <alignment horizontal="left" vertical="top" wrapText="1"/>
    </xf>
    <xf numFmtId="0" fontId="104" fillId="0" borderId="6" xfId="2" applyFont="1" applyBorder="1" applyAlignment="1">
      <alignment horizontal="center" vertical="center"/>
    </xf>
    <xf numFmtId="0" fontId="104" fillId="0" borderId="9" xfId="2" applyFont="1" applyBorder="1" applyAlignment="1">
      <alignment horizontal="center" vertical="center"/>
    </xf>
    <xf numFmtId="0" fontId="14" fillId="9" borderId="5" xfId="5" applyFont="1" applyFill="1" applyBorder="1" applyAlignment="1">
      <alignment horizontal="center" vertical="center"/>
    </xf>
    <xf numFmtId="0" fontId="15" fillId="9" borderId="5" xfId="3" applyFont="1" applyFill="1" applyBorder="1" applyAlignment="1">
      <alignment horizontal="center" vertical="center"/>
    </xf>
    <xf numFmtId="0" fontId="38" fillId="9" borderId="5" xfId="3" applyFont="1" applyFill="1" applyBorder="1" applyAlignment="1">
      <alignment horizontal="center" vertical="center"/>
    </xf>
    <xf numFmtId="0" fontId="4" fillId="0" borderId="15" xfId="5" applyBorder="1" applyAlignment="1">
      <alignment horizontal="center" vertical="center"/>
    </xf>
    <xf numFmtId="0" fontId="4" fillId="0" borderId="18" xfId="5" applyBorder="1" applyAlignment="1">
      <alignment horizontal="center" vertical="center"/>
    </xf>
    <xf numFmtId="0" fontId="4" fillId="0" borderId="20" xfId="5" applyBorder="1" applyAlignment="1">
      <alignment horizontal="center" vertical="center"/>
    </xf>
    <xf numFmtId="0" fontId="16" fillId="9" borderId="5" xfId="3" applyFont="1" applyFill="1" applyBorder="1" applyAlignment="1">
      <alignment horizontal="center" vertical="center"/>
    </xf>
    <xf numFmtId="0" fontId="62" fillId="6" borderId="29" xfId="5" applyFont="1" applyFill="1" applyBorder="1" applyAlignment="1">
      <alignment horizontal="center" vertical="center"/>
    </xf>
    <xf numFmtId="0" fontId="62" fillId="6" borderId="16" xfId="5" applyFont="1" applyFill="1" applyBorder="1" applyAlignment="1">
      <alignment horizontal="center" vertical="center"/>
    </xf>
    <xf numFmtId="0" fontId="62" fillId="6" borderId="30" xfId="5" applyFont="1" applyFill="1" applyBorder="1" applyAlignment="1">
      <alignment horizontal="center" vertical="center"/>
    </xf>
    <xf numFmtId="0" fontId="62" fillId="6" borderId="17" xfId="5" applyFont="1" applyFill="1" applyBorder="1" applyAlignment="1">
      <alignment horizontal="center" vertical="center"/>
    </xf>
    <xf numFmtId="1" fontId="63" fillId="9" borderId="5" xfId="5" applyNumberFormat="1" applyFont="1" applyFill="1" applyBorder="1" applyAlignment="1">
      <alignment horizontal="center" vertical="center"/>
    </xf>
    <xf numFmtId="1" fontId="63" fillId="9" borderId="15" xfId="5" applyNumberFormat="1" applyFont="1" applyFill="1" applyBorder="1" applyAlignment="1">
      <alignment horizontal="center" vertical="center"/>
    </xf>
    <xf numFmtId="1" fontId="63" fillId="9" borderId="17" xfId="5" applyNumberFormat="1" applyFont="1" applyFill="1" applyBorder="1" applyAlignment="1">
      <alignment horizontal="center" vertical="center"/>
    </xf>
    <xf numFmtId="0" fontId="14" fillId="9" borderId="29" xfId="5" applyFont="1" applyFill="1" applyBorder="1" applyAlignment="1">
      <alignment horizontal="center" vertical="center"/>
    </xf>
    <xf numFmtId="0" fontId="14" fillId="9" borderId="31" xfId="5" applyFont="1" applyFill="1" applyBorder="1" applyAlignment="1">
      <alignment horizontal="center" vertical="center"/>
    </xf>
    <xf numFmtId="0" fontId="14" fillId="9" borderId="60" xfId="5" applyFont="1" applyFill="1" applyBorder="1" applyAlignment="1">
      <alignment horizontal="center" vertical="center"/>
    </xf>
    <xf numFmtId="0" fontId="14" fillId="9" borderId="30" xfId="5" applyFont="1" applyFill="1" applyBorder="1" applyAlignment="1">
      <alignment horizontal="center" vertical="center"/>
    </xf>
    <xf numFmtId="0" fontId="14" fillId="9" borderId="58" xfId="5" applyFont="1" applyFill="1" applyBorder="1" applyAlignment="1">
      <alignment horizontal="center" vertical="center"/>
    </xf>
    <xf numFmtId="0" fontId="14" fillId="9" borderId="59" xfId="5" applyFont="1" applyFill="1" applyBorder="1" applyAlignment="1">
      <alignment horizontal="center" vertical="center"/>
    </xf>
    <xf numFmtId="0" fontId="15" fillId="9" borderId="29" xfId="3" applyFont="1" applyFill="1" applyBorder="1" applyAlignment="1">
      <alignment horizontal="center" vertical="center"/>
    </xf>
    <xf numFmtId="0" fontId="15" fillId="9" borderId="31" xfId="3" applyFont="1" applyFill="1" applyBorder="1" applyAlignment="1">
      <alignment horizontal="center" vertical="center"/>
    </xf>
    <xf numFmtId="0" fontId="38" fillId="9" borderId="20" xfId="3" applyFont="1" applyFill="1" applyBorder="1" applyAlignment="1">
      <alignment horizontal="center" vertical="center"/>
    </xf>
    <xf numFmtId="0" fontId="15" fillId="9" borderId="61" xfId="3" applyFont="1" applyFill="1" applyBorder="1" applyAlignment="1">
      <alignment horizontal="center" vertical="center"/>
    </xf>
    <xf numFmtId="0" fontId="4" fillId="0" borderId="58" xfId="5" applyBorder="1" applyAlignment="1">
      <alignment horizontal="center" vertical="center"/>
    </xf>
    <xf numFmtId="0" fontId="4" fillId="0" borderId="45" xfId="5" applyBorder="1" applyAlignment="1">
      <alignment horizontal="center" vertical="center"/>
    </xf>
    <xf numFmtId="0" fontId="4" fillId="0" borderId="59" xfId="5" applyBorder="1" applyAlignment="1">
      <alignment horizontal="center" vertical="center"/>
    </xf>
    <xf numFmtId="0" fontId="16" fillId="9" borderId="15" xfId="3" applyFont="1" applyFill="1" applyBorder="1" applyAlignment="1">
      <alignment horizontal="center" vertical="center"/>
    </xf>
    <xf numFmtId="0" fontId="16" fillId="9" borderId="16" xfId="3" applyFont="1" applyFill="1" applyBorder="1" applyAlignment="1">
      <alignment horizontal="center" vertical="center"/>
    </xf>
    <xf numFmtId="0" fontId="16" fillId="9" borderId="17" xfId="3" applyFont="1" applyFill="1" applyBorder="1" applyAlignment="1">
      <alignment horizontal="center" vertical="center"/>
    </xf>
    <xf numFmtId="0" fontId="16" fillId="9" borderId="29" xfId="3" applyFont="1" applyFill="1" applyBorder="1" applyAlignment="1">
      <alignment horizontal="center" vertical="center"/>
    </xf>
    <xf numFmtId="0" fontId="16" fillId="9" borderId="30" xfId="3" applyFont="1" applyFill="1" applyBorder="1" applyAlignment="1">
      <alignment horizontal="center" vertical="center"/>
    </xf>
    <xf numFmtId="0" fontId="16" fillId="9" borderId="52" xfId="3" applyFont="1" applyFill="1" applyBorder="1" applyAlignment="1">
      <alignment horizontal="center" vertical="center"/>
    </xf>
    <xf numFmtId="0" fontId="7" fillId="9" borderId="25" xfId="5" applyFont="1" applyFill="1" applyBorder="1" applyAlignment="1">
      <alignment horizontal="center" vertical="center"/>
    </xf>
    <xf numFmtId="0" fontId="7" fillId="9" borderId="5" xfId="5" applyFont="1" applyFill="1" applyBorder="1" applyAlignment="1">
      <alignment horizontal="center" vertical="center"/>
    </xf>
    <xf numFmtId="1" fontId="16" fillId="5" borderId="5" xfId="5" applyNumberFormat="1" applyFont="1" applyFill="1" applyBorder="1" applyAlignment="1">
      <alignment horizontal="center" vertical="center"/>
    </xf>
    <xf numFmtId="1" fontId="16" fillId="5" borderId="6" xfId="5" applyNumberFormat="1" applyFont="1" applyFill="1" applyBorder="1" applyAlignment="1">
      <alignment horizontal="center" vertical="center"/>
    </xf>
    <xf numFmtId="0" fontId="8" fillId="5" borderId="5" xfId="5" applyFont="1" applyFill="1" applyBorder="1" applyAlignment="1">
      <alignment horizontal="center" vertical="center"/>
    </xf>
    <xf numFmtId="0" fontId="8" fillId="5" borderId="6" xfId="5" applyFont="1" applyFill="1" applyBorder="1" applyAlignment="1">
      <alignment horizontal="center" vertical="center"/>
    </xf>
    <xf numFmtId="0" fontId="16" fillId="9" borderId="43" xfId="3" applyFont="1" applyFill="1" applyBorder="1" applyAlignment="1">
      <alignment horizontal="center" vertical="center"/>
    </xf>
    <xf numFmtId="1" fontId="16" fillId="5" borderId="43" xfId="5" applyNumberFormat="1" applyFont="1" applyFill="1" applyBorder="1" applyAlignment="1">
      <alignment horizontal="center" vertical="center"/>
    </xf>
    <xf numFmtId="1" fontId="16" fillId="5" borderId="36" xfId="5" applyNumberFormat="1" applyFont="1" applyFill="1" applyBorder="1" applyAlignment="1">
      <alignment horizontal="center" vertical="center"/>
    </xf>
    <xf numFmtId="0" fontId="64" fillId="9" borderId="5" xfId="5" applyFont="1" applyFill="1" applyBorder="1" applyAlignment="1">
      <alignment horizontal="center" vertical="center"/>
    </xf>
    <xf numFmtId="0" fontId="8" fillId="9" borderId="42" xfId="5" applyFont="1" applyFill="1" applyBorder="1" applyAlignment="1">
      <alignment horizontal="center" vertical="center"/>
    </xf>
    <xf numFmtId="0" fontId="8" fillId="9" borderId="25" xfId="5" applyFont="1" applyFill="1" applyBorder="1" applyAlignment="1">
      <alignment horizontal="center" vertical="center"/>
    </xf>
    <xf numFmtId="0" fontId="8" fillId="9" borderId="43" xfId="5" applyFont="1" applyFill="1" applyBorder="1" applyAlignment="1">
      <alignment horizontal="center" vertical="center" wrapText="1"/>
    </xf>
    <xf numFmtId="0" fontId="8" fillId="9" borderId="5" xfId="5" applyFont="1" applyFill="1" applyBorder="1" applyAlignment="1">
      <alignment horizontal="center" vertical="center" wrapText="1"/>
    </xf>
    <xf numFmtId="0" fontId="8" fillId="9" borderId="43" xfId="5" applyFont="1" applyFill="1" applyBorder="1" applyAlignment="1">
      <alignment horizontal="center" vertical="center"/>
    </xf>
    <xf numFmtId="0" fontId="8" fillId="9" borderId="5" xfId="5" applyFont="1" applyFill="1" applyBorder="1" applyAlignment="1">
      <alignment horizontal="center" vertical="center"/>
    </xf>
    <xf numFmtId="0" fontId="16" fillId="3" borderId="43" xfId="3" applyFont="1" applyFill="1" applyBorder="1" applyAlignment="1">
      <alignment horizontal="left" vertical="center" wrapText="1"/>
    </xf>
    <xf numFmtId="0" fontId="16" fillId="3" borderId="44" xfId="3" applyFont="1" applyFill="1" applyBorder="1" applyAlignment="1">
      <alignment horizontal="left" vertical="center" wrapText="1"/>
    </xf>
    <xf numFmtId="0" fontId="7" fillId="3" borderId="58" xfId="5" applyFont="1" applyFill="1" applyBorder="1" applyAlignment="1">
      <alignment horizontal="center" vertical="center"/>
    </xf>
    <xf numFmtId="0" fontId="7" fillId="3" borderId="59" xfId="5" applyFont="1" applyFill="1" applyBorder="1" applyAlignment="1">
      <alignment horizontal="center" vertical="center"/>
    </xf>
    <xf numFmtId="0" fontId="16" fillId="3" borderId="29" xfId="5" applyFont="1" applyFill="1" applyBorder="1" applyAlignment="1">
      <alignment horizontal="center" vertical="center"/>
    </xf>
    <xf numFmtId="0" fontId="16" fillId="3" borderId="30" xfId="5" applyFont="1" applyFill="1" applyBorder="1" applyAlignment="1">
      <alignment horizontal="center" vertical="center"/>
    </xf>
    <xf numFmtId="0" fontId="16" fillId="3" borderId="52" xfId="5" applyFont="1" applyFill="1" applyBorder="1" applyAlignment="1">
      <alignment horizontal="center" vertical="center"/>
    </xf>
    <xf numFmtId="0" fontId="8" fillId="9" borderId="34" xfId="5" applyFont="1" applyFill="1" applyBorder="1" applyAlignment="1" applyProtection="1">
      <alignment horizontal="center" vertical="center"/>
      <protection locked="0"/>
    </xf>
    <xf numFmtId="0" fontId="8" fillId="9" borderId="35" xfId="5" applyFont="1" applyFill="1" applyBorder="1" applyAlignment="1" applyProtection="1">
      <alignment horizontal="center" vertical="center"/>
      <protection locked="0"/>
    </xf>
    <xf numFmtId="0" fontId="8" fillId="9" borderId="16" xfId="5" applyFont="1" applyFill="1" applyBorder="1" applyAlignment="1" applyProtection="1">
      <alignment horizontal="center" vertical="center"/>
      <protection locked="0"/>
    </xf>
    <xf numFmtId="0" fontId="8" fillId="9" borderId="63" xfId="5" applyFont="1" applyFill="1" applyBorder="1" applyAlignment="1" applyProtection="1">
      <alignment horizontal="center" vertical="center"/>
      <protection locked="0"/>
    </xf>
    <xf numFmtId="0" fontId="8" fillId="3" borderId="5" xfId="3" applyFont="1" applyFill="1" applyBorder="1" applyAlignment="1">
      <alignment horizontal="center" vertical="center"/>
    </xf>
    <xf numFmtId="0" fontId="8" fillId="9" borderId="38" xfId="5" applyFont="1" applyFill="1" applyBorder="1" applyAlignment="1" applyProtection="1">
      <alignment horizontal="center" vertical="center"/>
      <protection locked="0"/>
    </xf>
    <xf numFmtId="0" fontId="8" fillId="9" borderId="39" xfId="5" applyFont="1" applyFill="1" applyBorder="1" applyAlignment="1" applyProtection="1">
      <alignment horizontal="center" vertical="center"/>
      <protection locked="0"/>
    </xf>
    <xf numFmtId="0" fontId="8" fillId="9" borderId="62" xfId="5" applyFont="1" applyFill="1" applyBorder="1" applyAlignment="1" applyProtection="1">
      <alignment horizontal="center" vertical="center"/>
      <protection locked="0"/>
    </xf>
    <xf numFmtId="0" fontId="8" fillId="9" borderId="40" xfId="5" applyFont="1" applyFill="1" applyBorder="1" applyAlignment="1" applyProtection="1">
      <alignment horizontal="center" vertical="center"/>
      <protection locked="0"/>
    </xf>
    <xf numFmtId="0" fontId="16" fillId="3" borderId="36" xfId="3" applyFont="1" applyFill="1" applyBorder="1" applyAlignment="1">
      <alignment horizontal="left" vertical="center" wrapText="1"/>
    </xf>
    <xf numFmtId="0" fontId="16" fillId="3" borderId="35" xfId="3" applyFont="1" applyFill="1" applyBorder="1" applyAlignment="1">
      <alignment horizontal="left" vertical="center" wrapText="1"/>
    </xf>
    <xf numFmtId="0" fontId="16" fillId="3" borderId="63" xfId="3" applyFont="1" applyFill="1" applyBorder="1" applyAlignment="1">
      <alignment horizontal="left" vertical="center" wrapText="1"/>
    </xf>
    <xf numFmtId="0" fontId="64" fillId="3" borderId="5" xfId="5" applyFont="1" applyFill="1" applyBorder="1" applyAlignment="1">
      <alignment horizontal="center" vertical="center"/>
    </xf>
    <xf numFmtId="0" fontId="64" fillId="3" borderId="6" xfId="5" applyFont="1" applyFill="1" applyBorder="1" applyAlignment="1">
      <alignment horizontal="center" vertical="center"/>
    </xf>
    <xf numFmtId="0" fontId="64" fillId="3" borderId="26" xfId="5" applyFont="1" applyFill="1" applyBorder="1" applyAlignment="1">
      <alignment horizontal="center" vertical="center"/>
    </xf>
    <xf numFmtId="0" fontId="16" fillId="3" borderId="55" xfId="5" applyFont="1" applyFill="1" applyBorder="1" applyAlignment="1">
      <alignment horizontal="center" vertical="center" wrapText="1"/>
    </xf>
    <xf numFmtId="0" fontId="16" fillId="3" borderId="50" xfId="5" applyFont="1" applyFill="1" applyBorder="1" applyAlignment="1">
      <alignment horizontal="center" vertical="center" wrapText="1"/>
    </xf>
    <xf numFmtId="0" fontId="16" fillId="3" borderId="54" xfId="5" applyFont="1" applyFill="1" applyBorder="1" applyAlignment="1">
      <alignment horizontal="center" vertical="center" wrapText="1"/>
    </xf>
    <xf numFmtId="0" fontId="16" fillId="3" borderId="5" xfId="5" applyFont="1" applyFill="1" applyBorder="1" applyAlignment="1">
      <alignment horizontal="center" vertical="center" wrapText="1"/>
    </xf>
    <xf numFmtId="0" fontId="8" fillId="3" borderId="26" xfId="3" applyFont="1" applyFill="1" applyBorder="1" applyAlignment="1">
      <alignment horizontal="center" vertical="center" wrapText="1"/>
    </xf>
    <xf numFmtId="0" fontId="7" fillId="3" borderId="3" xfId="5" applyFont="1" applyFill="1" applyBorder="1" applyAlignment="1">
      <alignment horizontal="center"/>
    </xf>
    <xf numFmtId="0" fontId="7" fillId="3" borderId="4" xfId="5" applyFont="1" applyFill="1" applyBorder="1" applyAlignment="1">
      <alignment horizontal="center"/>
    </xf>
  </cellXfs>
  <cellStyles count="14">
    <cellStyle name="Normal" xfId="0" builtinId="0"/>
    <cellStyle name="Normal 2" xfId="2" xr:uid="{00000000-0005-0000-0000-000001000000}"/>
    <cellStyle name="Normal 2 2" xfId="3" xr:uid="{00000000-0005-0000-0000-000002000000}"/>
    <cellStyle name="Normal 2 3" xfId="9" xr:uid="{3B53AB31-E99A-46C7-9F2A-9B4F7E0216B2}"/>
    <cellStyle name="Normal 2 3 2" xfId="11" xr:uid="{2ECD7D26-213C-49A1-A855-3D594C63740F}"/>
    <cellStyle name="Normal 3" xfId="5" xr:uid="{00000000-0005-0000-0000-000003000000}"/>
    <cellStyle name="Normal 4" xfId="6" xr:uid="{00000000-0005-0000-0000-000004000000}"/>
    <cellStyle name="Normal 4 2" xfId="4" xr:uid="{00000000-0005-0000-0000-000005000000}"/>
    <cellStyle name="Normal 5" xfId="8" xr:uid="{AB26C88E-EA2E-48B3-98A4-D9A27A94473E}"/>
    <cellStyle name="Normal 5 2" xfId="10" xr:uid="{3B449E12-E948-42F9-BCE0-754FAAC81DA4}"/>
    <cellStyle name="Normal 6" xfId="13" xr:uid="{CA79D90D-7519-47B1-A7C1-8056234E1827}"/>
    <cellStyle name="Normal_Daftar kelistrikan (ecg)" xfId="1" xr:uid="{00000000-0005-0000-0000-000006000000}"/>
    <cellStyle name="Normal_Daftar kelistrikan (ecg) 2" xfId="12" xr:uid="{86DFB2A3-7A8C-4AF6-9425-135485740161}"/>
    <cellStyle name="Percent 2" xfId="7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image" Target="../media/image7.tmp"/><Relationship Id="rId5" Type="http://schemas.openxmlformats.org/officeDocument/2006/relationships/image" Target="../media/image6.tmp"/><Relationship Id="rId4" Type="http://schemas.openxmlformats.org/officeDocument/2006/relationships/image" Target="../media/image5.tm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413092</xdr:colOff>
      <xdr:row>27</xdr:row>
      <xdr:rowOff>157490</xdr:rowOff>
    </xdr:from>
    <xdr:to>
      <xdr:col>7</xdr:col>
      <xdr:colOff>734011</xdr:colOff>
      <xdr:row>27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27</xdr:row>
      <xdr:rowOff>157490</xdr:rowOff>
    </xdr:from>
    <xdr:to>
      <xdr:col>7</xdr:col>
      <xdr:colOff>734011</xdr:colOff>
      <xdr:row>27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2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2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2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2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2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2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2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30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2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391697</xdr:colOff>
      <xdr:row>30</xdr:row>
      <xdr:rowOff>52497</xdr:rowOff>
    </xdr:from>
    <xdr:to>
      <xdr:col>9</xdr:col>
      <xdr:colOff>712616</xdr:colOff>
      <xdr:row>30</xdr:row>
      <xdr:rowOff>52497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6678197" y="55960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29</xdr:row>
      <xdr:rowOff>157490</xdr:rowOff>
    </xdr:from>
    <xdr:to>
      <xdr:col>8</xdr:col>
      <xdr:colOff>734011</xdr:colOff>
      <xdr:row>29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29</xdr:row>
      <xdr:rowOff>157490</xdr:rowOff>
    </xdr:from>
    <xdr:to>
      <xdr:col>8</xdr:col>
      <xdr:colOff>734011</xdr:colOff>
      <xdr:row>29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29</xdr:row>
      <xdr:rowOff>157490</xdr:rowOff>
    </xdr:from>
    <xdr:to>
      <xdr:col>8</xdr:col>
      <xdr:colOff>734011</xdr:colOff>
      <xdr:row>29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29</xdr:row>
      <xdr:rowOff>157490</xdr:rowOff>
    </xdr:from>
    <xdr:to>
      <xdr:col>8</xdr:col>
      <xdr:colOff>734011</xdr:colOff>
      <xdr:row>29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4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4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4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4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4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4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4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4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30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4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95250</xdr:colOff>
          <xdr:row>30</xdr:row>
          <xdr:rowOff>0</xdr:rowOff>
        </xdr:from>
        <xdr:to>
          <xdr:col>12</xdr:col>
          <xdr:colOff>438150</xdr:colOff>
          <xdr:row>30</xdr:row>
          <xdr:rowOff>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4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413092</xdr:colOff>
      <xdr:row>61</xdr:row>
      <xdr:rowOff>157490</xdr:rowOff>
    </xdr:from>
    <xdr:to>
      <xdr:col>9</xdr:col>
      <xdr:colOff>734011</xdr:colOff>
      <xdr:row>61</xdr:row>
      <xdr:rowOff>157490</xdr:rowOff>
    </xdr:to>
    <xdr:sp macro="" textlink="">
      <xdr:nvSpPr>
        <xdr:cNvPr id="242" name="Text Box 6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 txBox="1">
          <a:spLocks noChangeArrowheads="1"/>
        </xdr:cNvSpPr>
      </xdr:nvSpPr>
      <xdr:spPr bwMode="auto">
        <a:xfrm>
          <a:off x="5137492" y="10225415"/>
          <a:ext cx="1780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30</xdr:row>
      <xdr:rowOff>157490</xdr:rowOff>
    </xdr:from>
    <xdr:to>
      <xdr:col>8</xdr:col>
      <xdr:colOff>734011</xdr:colOff>
      <xdr:row>30</xdr:row>
      <xdr:rowOff>157490</xdr:rowOff>
    </xdr:to>
    <xdr:sp macro="" textlink="">
      <xdr:nvSpPr>
        <xdr:cNvPr id="243" name="Text Box 6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 txBox="1">
          <a:spLocks noChangeArrowheads="1"/>
        </xdr:cNvSpPr>
      </xdr:nvSpPr>
      <xdr:spPr bwMode="auto">
        <a:xfrm>
          <a:off x="5314498" y="5346631"/>
          <a:ext cx="2923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30</xdr:row>
      <xdr:rowOff>157490</xdr:rowOff>
    </xdr:from>
    <xdr:to>
      <xdr:col>8</xdr:col>
      <xdr:colOff>734011</xdr:colOff>
      <xdr:row>30</xdr:row>
      <xdr:rowOff>157490</xdr:rowOff>
    </xdr:to>
    <xdr:sp macro="" textlink="">
      <xdr:nvSpPr>
        <xdr:cNvPr id="244" name="Text Box 7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 txBox="1">
          <a:spLocks noChangeArrowheads="1"/>
        </xdr:cNvSpPr>
      </xdr:nvSpPr>
      <xdr:spPr bwMode="auto">
        <a:xfrm>
          <a:off x="5314498" y="5346631"/>
          <a:ext cx="2923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30</xdr:row>
      <xdr:rowOff>157490</xdr:rowOff>
    </xdr:from>
    <xdr:to>
      <xdr:col>8</xdr:col>
      <xdr:colOff>734011</xdr:colOff>
      <xdr:row>30</xdr:row>
      <xdr:rowOff>157490</xdr:rowOff>
    </xdr:to>
    <xdr:sp macro="" textlink="">
      <xdr:nvSpPr>
        <xdr:cNvPr id="245" name="Text Box 6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 txBox="1">
          <a:spLocks noChangeArrowheads="1"/>
        </xdr:cNvSpPr>
      </xdr:nvSpPr>
      <xdr:spPr bwMode="auto">
        <a:xfrm>
          <a:off x="5314498" y="5346631"/>
          <a:ext cx="2923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30</xdr:row>
      <xdr:rowOff>157490</xdr:rowOff>
    </xdr:from>
    <xdr:to>
      <xdr:col>8</xdr:col>
      <xdr:colOff>734011</xdr:colOff>
      <xdr:row>30</xdr:row>
      <xdr:rowOff>157490</xdr:rowOff>
    </xdr:to>
    <xdr:sp macro="" textlink="">
      <xdr:nvSpPr>
        <xdr:cNvPr id="246" name="Text Box 7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 txBox="1">
          <a:spLocks noChangeArrowheads="1"/>
        </xdr:cNvSpPr>
      </xdr:nvSpPr>
      <xdr:spPr bwMode="auto">
        <a:xfrm>
          <a:off x="5314498" y="5346631"/>
          <a:ext cx="2923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6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6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6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06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06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2" name="Object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06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3" name="Object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06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4" name="Object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06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5" name="Object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06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95250</xdr:colOff>
          <xdr:row>26</xdr:row>
          <xdr:rowOff>0</xdr:rowOff>
        </xdr:from>
        <xdr:to>
          <xdr:col>15</xdr:col>
          <xdr:colOff>488950</xdr:colOff>
          <xdr:row>26</xdr:row>
          <xdr:rowOff>0</xdr:rowOff>
        </xdr:to>
        <xdr:sp macro="" textlink="">
          <xdr:nvSpPr>
            <xdr:cNvPr id="29706" name="Object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06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413092</xdr:colOff>
      <xdr:row>57</xdr:row>
      <xdr:rowOff>157490</xdr:rowOff>
    </xdr:from>
    <xdr:to>
      <xdr:col>8</xdr:col>
      <xdr:colOff>734011</xdr:colOff>
      <xdr:row>57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>
          <a:spLocks noChangeArrowheads="1"/>
        </xdr:cNvSpPr>
      </xdr:nvSpPr>
      <xdr:spPr bwMode="auto">
        <a:xfrm>
          <a:off x="6756742" y="10892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57</xdr:row>
      <xdr:rowOff>157490</xdr:rowOff>
    </xdr:from>
    <xdr:to>
      <xdr:col>8</xdr:col>
      <xdr:colOff>734011</xdr:colOff>
      <xdr:row>57</xdr:row>
      <xdr:rowOff>157490</xdr:rowOff>
    </xdr:to>
    <xdr:sp macro="" textlink="">
      <xdr:nvSpPr>
        <xdr:cNvPr id="54" name="Text Box 6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>
          <a:spLocks noChangeArrowheads="1"/>
        </xdr:cNvSpPr>
      </xdr:nvSpPr>
      <xdr:spPr bwMode="auto">
        <a:xfrm>
          <a:off x="6756742" y="10892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57</xdr:row>
      <xdr:rowOff>157490</xdr:rowOff>
    </xdr:from>
    <xdr:to>
      <xdr:col>8</xdr:col>
      <xdr:colOff>734011</xdr:colOff>
      <xdr:row>57</xdr:row>
      <xdr:rowOff>157490</xdr:rowOff>
    </xdr:to>
    <xdr:sp macro="" textlink="">
      <xdr:nvSpPr>
        <xdr:cNvPr id="55" name="Text Box 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 txBox="1">
          <a:spLocks noChangeArrowheads="1"/>
        </xdr:cNvSpPr>
      </xdr:nvSpPr>
      <xdr:spPr bwMode="auto">
        <a:xfrm>
          <a:off x="6756742" y="10892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57</xdr:row>
      <xdr:rowOff>157490</xdr:rowOff>
    </xdr:from>
    <xdr:to>
      <xdr:col>8</xdr:col>
      <xdr:colOff>734011</xdr:colOff>
      <xdr:row>57</xdr:row>
      <xdr:rowOff>157490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>
          <a:spLocks noChangeArrowheads="1"/>
        </xdr:cNvSpPr>
      </xdr:nvSpPr>
      <xdr:spPr bwMode="auto">
        <a:xfrm>
          <a:off x="6756742" y="10892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>
          <a:spLocks noChangeArrowheads="1"/>
        </xdr:cNvSpPr>
      </xdr:nvSpPr>
      <xdr:spPr bwMode="auto">
        <a:xfrm>
          <a:off x="6756742" y="11082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>
          <a:spLocks noChangeArrowheads="1"/>
        </xdr:cNvSpPr>
      </xdr:nvSpPr>
      <xdr:spPr bwMode="auto">
        <a:xfrm>
          <a:off x="6756742" y="11082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59" name="Text Box 6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 txBox="1">
          <a:spLocks noChangeArrowheads="1"/>
        </xdr:cNvSpPr>
      </xdr:nvSpPr>
      <xdr:spPr bwMode="auto">
        <a:xfrm>
          <a:off x="6756742" y="11082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61" name="Text Box 7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62" name="Text Box 6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63" name="Text Box 7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04" name="Text Box 6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05" name="Text Box 6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06" name="Text Box 7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07" name="Text Box 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08" name="Text Box 6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09" name="Text Box 6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10" name="Text Box 7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11" name="Text Box 6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12" name="Text Box 6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13" name="Text Box 6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14" name="Text Box 7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67</xdr:row>
      <xdr:rowOff>157490</xdr:rowOff>
    </xdr:from>
    <xdr:to>
      <xdr:col>8</xdr:col>
      <xdr:colOff>734011</xdr:colOff>
      <xdr:row>67</xdr:row>
      <xdr:rowOff>157490</xdr:rowOff>
    </xdr:to>
    <xdr:sp macro="" textlink="">
      <xdr:nvSpPr>
        <xdr:cNvPr id="115" name="Text Box 6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 txBox="1">
          <a:spLocks noChangeArrowheads="1"/>
        </xdr:cNvSpPr>
      </xdr:nvSpPr>
      <xdr:spPr bwMode="auto">
        <a:xfrm>
          <a:off x="6756742" y="14625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16" name="Text Box 6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17" name="Text Box 6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18" name="Text Box 7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19" name="Text Box 6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20" name="Text Box 6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21" name="Text Box 6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22" name="Text Box 7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23" name="Text Box 6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40" name="Text Box 6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 txBox="1">
          <a:spLocks noChangeArrowheads="1"/>
        </xdr:cNvSpPr>
      </xdr:nvSpPr>
      <xdr:spPr bwMode="auto">
        <a:xfrm>
          <a:off x="6756742" y="11082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41" name="Text Box 6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 txBox="1">
          <a:spLocks noChangeArrowheads="1"/>
        </xdr:cNvSpPr>
      </xdr:nvSpPr>
      <xdr:spPr bwMode="auto">
        <a:xfrm>
          <a:off x="6756742" y="11082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42" name="Text Box 7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 txBox="1">
          <a:spLocks noChangeArrowheads="1"/>
        </xdr:cNvSpPr>
      </xdr:nvSpPr>
      <xdr:spPr bwMode="auto">
        <a:xfrm>
          <a:off x="6756742" y="11082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43" name="Text Box 6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 txBox="1">
          <a:spLocks noChangeArrowheads="1"/>
        </xdr:cNvSpPr>
      </xdr:nvSpPr>
      <xdr:spPr bwMode="auto">
        <a:xfrm>
          <a:off x="6756742" y="11082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44" name="Text Box 6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45" name="Text Box 6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46" name="Text Box 7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47" name="Text Box 6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 txBox="1">
          <a:spLocks noChangeArrowheads="1"/>
        </xdr:cNvSpPr>
      </xdr:nvSpPr>
      <xdr:spPr bwMode="auto">
        <a:xfrm>
          <a:off x="6756742" y="11273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48" name="Text Box 6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49" name="Text Box 6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50" name="Text Box 7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51" name="Text Box 6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 txBox="1">
          <a:spLocks noChangeArrowheads="1"/>
        </xdr:cNvSpPr>
      </xdr:nvSpPr>
      <xdr:spPr bwMode="auto">
        <a:xfrm>
          <a:off x="6756742" y="114636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68" name="Text Box 6"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69" name="Text Box 6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0" name="Text Box 7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1" name="Text Box 6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2" name="Text Box 6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3" name="Text Box 6"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4" name="Text Box 7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5" name="Text Box 6"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 txBox="1">
          <a:spLocks noChangeArrowheads="1"/>
        </xdr:cNvSpPr>
      </xdr:nvSpPr>
      <xdr:spPr bwMode="auto">
        <a:xfrm>
          <a:off x="6756742" y="14816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6" name="Text Box 6"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 txBox="1">
          <a:spLocks noChangeArrowheads="1"/>
        </xdr:cNvSpPr>
      </xdr:nvSpPr>
      <xdr:spPr bwMode="auto">
        <a:xfrm>
          <a:off x="6368834" y="127911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7" name="Text Box 6"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 txBox="1">
          <a:spLocks noChangeArrowheads="1"/>
        </xdr:cNvSpPr>
      </xdr:nvSpPr>
      <xdr:spPr bwMode="auto">
        <a:xfrm>
          <a:off x="6368834" y="127911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8" name="Text Box 7"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 txBox="1">
          <a:spLocks noChangeArrowheads="1"/>
        </xdr:cNvSpPr>
      </xdr:nvSpPr>
      <xdr:spPr bwMode="auto">
        <a:xfrm>
          <a:off x="6368834" y="127911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79" name="Text Box 6"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 txBox="1">
          <a:spLocks noChangeArrowheads="1"/>
        </xdr:cNvSpPr>
      </xdr:nvSpPr>
      <xdr:spPr bwMode="auto">
        <a:xfrm>
          <a:off x="6368834" y="127911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80" name="Text Box 6"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 txBox="1">
          <a:spLocks noChangeArrowheads="1"/>
        </xdr:cNvSpPr>
      </xdr:nvSpPr>
      <xdr:spPr bwMode="auto">
        <a:xfrm>
          <a:off x="6368834" y="127911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81" name="Text Box 6"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 txBox="1">
          <a:spLocks noChangeArrowheads="1"/>
        </xdr:cNvSpPr>
      </xdr:nvSpPr>
      <xdr:spPr bwMode="auto">
        <a:xfrm>
          <a:off x="6368834" y="127911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68</xdr:row>
      <xdr:rowOff>157490</xdr:rowOff>
    </xdr:from>
    <xdr:to>
      <xdr:col>8</xdr:col>
      <xdr:colOff>734011</xdr:colOff>
      <xdr:row>68</xdr:row>
      <xdr:rowOff>157490</xdr:rowOff>
    </xdr:to>
    <xdr:sp macro="" textlink="">
      <xdr:nvSpPr>
        <xdr:cNvPr id="182" name="Text Box 7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 txBox="1">
          <a:spLocks noChangeArrowheads="1"/>
        </xdr:cNvSpPr>
      </xdr:nvSpPr>
      <xdr:spPr bwMode="auto">
        <a:xfrm>
          <a:off x="6368834" y="127911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84" name="Text Box 6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85" name="Text Box 6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86" name="Text Box 7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87" name="Text Box 6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88" name="Text Box 6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89" name="Text Box 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90" name="Text Box 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191" name="Text Box 6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92" name="Text Box 6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93" name="Text Box 6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94" name="Text Box 7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95" name="Text Box 6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 txBox="1">
          <a:spLocks noChangeArrowheads="1"/>
        </xdr:cNvSpPr>
      </xdr:nvSpPr>
      <xdr:spPr bwMode="auto">
        <a:xfrm>
          <a:off x="6368834" y="908586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183" name="Text Box 6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212" name="Text Box 6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213" name="Text Box 7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58</xdr:row>
      <xdr:rowOff>157490</xdr:rowOff>
    </xdr:from>
    <xdr:to>
      <xdr:col>8</xdr:col>
      <xdr:colOff>734011</xdr:colOff>
      <xdr:row>58</xdr:row>
      <xdr:rowOff>157490</xdr:rowOff>
    </xdr:to>
    <xdr:sp macro="" textlink="">
      <xdr:nvSpPr>
        <xdr:cNvPr id="214" name="Text Box 6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215" name="Text Box 6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216" name="Text Box 6"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217" name="Text Box 7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59</xdr:row>
      <xdr:rowOff>157490</xdr:rowOff>
    </xdr:from>
    <xdr:to>
      <xdr:col>8</xdr:col>
      <xdr:colOff>734011</xdr:colOff>
      <xdr:row>59</xdr:row>
      <xdr:rowOff>157490</xdr:rowOff>
    </xdr:to>
    <xdr:sp macro="" textlink="">
      <xdr:nvSpPr>
        <xdr:cNvPr id="218" name="Text Box 6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19" name="Text Box 6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20" name="Text Box 6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21" name="Text Box 7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22" name="Text Box 6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223" name="Text Box 6"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224" name="Text Box 6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225" name="Text Box 7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226" name="Text Box 6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 txBox="1">
          <a:spLocks noChangeArrowheads="1"/>
        </xdr:cNvSpPr>
      </xdr:nvSpPr>
      <xdr:spPr bwMode="auto">
        <a:xfrm>
          <a:off x="6358367" y="114618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413092</xdr:colOff>
      <xdr:row>29</xdr:row>
      <xdr:rowOff>157490</xdr:rowOff>
    </xdr:from>
    <xdr:to>
      <xdr:col>6</xdr:col>
      <xdr:colOff>734011</xdr:colOff>
      <xdr:row>29</xdr:row>
      <xdr:rowOff>157490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>
          <a:spLocks noChangeArrowheads="1"/>
        </xdr:cNvSpPr>
      </xdr:nvSpPr>
      <xdr:spPr bwMode="auto">
        <a:xfrm>
          <a:off x="59185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78" name="Object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7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79" name="Object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7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80" name="Object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7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81" name="Object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7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82" name="Object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07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83" name="Object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07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84" name="Object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07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7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32786" name="Object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07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61</xdr:row>
      <xdr:rowOff>157490</xdr:rowOff>
    </xdr:from>
    <xdr:to>
      <xdr:col>9</xdr:col>
      <xdr:colOff>734011</xdr:colOff>
      <xdr:row>61</xdr:row>
      <xdr:rowOff>157490</xdr:rowOff>
    </xdr:to>
    <xdr:sp macro="" textlink="">
      <xdr:nvSpPr>
        <xdr:cNvPr id="120" name="Text Box 6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SpPr txBox="1">
          <a:spLocks noChangeArrowheads="1"/>
        </xdr:cNvSpPr>
      </xdr:nvSpPr>
      <xdr:spPr bwMode="auto">
        <a:xfrm>
          <a:off x="6375742" y="11530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61</xdr:row>
      <xdr:rowOff>157490</xdr:rowOff>
    </xdr:from>
    <xdr:to>
      <xdr:col>9</xdr:col>
      <xdr:colOff>734011</xdr:colOff>
      <xdr:row>61</xdr:row>
      <xdr:rowOff>157490</xdr:rowOff>
    </xdr:to>
    <xdr:sp macro="" textlink="">
      <xdr:nvSpPr>
        <xdr:cNvPr id="121" name="Text Box 6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SpPr txBox="1">
          <a:spLocks noChangeArrowheads="1"/>
        </xdr:cNvSpPr>
      </xdr:nvSpPr>
      <xdr:spPr bwMode="auto">
        <a:xfrm>
          <a:off x="6375742" y="11530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61</xdr:row>
      <xdr:rowOff>157490</xdr:rowOff>
    </xdr:from>
    <xdr:to>
      <xdr:col>9</xdr:col>
      <xdr:colOff>734011</xdr:colOff>
      <xdr:row>61</xdr:row>
      <xdr:rowOff>157490</xdr:rowOff>
    </xdr:to>
    <xdr:sp macro="" textlink="">
      <xdr:nvSpPr>
        <xdr:cNvPr id="122" name="Text Box 7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SpPr txBox="1">
          <a:spLocks noChangeArrowheads="1"/>
        </xdr:cNvSpPr>
      </xdr:nvSpPr>
      <xdr:spPr bwMode="auto">
        <a:xfrm>
          <a:off x="6375742" y="11530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61</xdr:row>
      <xdr:rowOff>157490</xdr:rowOff>
    </xdr:from>
    <xdr:to>
      <xdr:col>9</xdr:col>
      <xdr:colOff>734011</xdr:colOff>
      <xdr:row>61</xdr:row>
      <xdr:rowOff>157490</xdr:rowOff>
    </xdr:to>
    <xdr:sp macro="" textlink="">
      <xdr:nvSpPr>
        <xdr:cNvPr id="123" name="Text Box 6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SpPr txBox="1">
          <a:spLocks noChangeArrowheads="1"/>
        </xdr:cNvSpPr>
      </xdr:nvSpPr>
      <xdr:spPr bwMode="auto">
        <a:xfrm>
          <a:off x="6375742" y="11530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151" name="Text Box 6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152" name="Text Box 7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153" name="Text Box 6">
          <a:extLst>
            <a:ext uri="{FF2B5EF4-FFF2-40B4-BE49-F238E27FC236}">
              <a16:creationId xmlns:a16="http://schemas.microsoft.com/office/drawing/2014/main" id="{00000000-0008-0000-0700-000099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154" name="Text Box 6">
          <a:extLst>
            <a:ext uri="{FF2B5EF4-FFF2-40B4-BE49-F238E27FC236}">
              <a16:creationId xmlns:a16="http://schemas.microsoft.com/office/drawing/2014/main" id="{00000000-0008-0000-0700-00009A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155" name="Text Box 7">
          <a:extLst>
            <a:ext uri="{FF2B5EF4-FFF2-40B4-BE49-F238E27FC236}">
              <a16:creationId xmlns:a16="http://schemas.microsoft.com/office/drawing/2014/main" id="{00000000-0008-0000-0700-00009B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156" name="Text Box 6">
          <a:extLst>
            <a:ext uri="{FF2B5EF4-FFF2-40B4-BE49-F238E27FC236}">
              <a16:creationId xmlns:a16="http://schemas.microsoft.com/office/drawing/2014/main" id="{00000000-0008-0000-0700-00009C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157" name="Text Box 7">
          <a:extLst>
            <a:ext uri="{FF2B5EF4-FFF2-40B4-BE49-F238E27FC236}">
              <a16:creationId xmlns:a16="http://schemas.microsoft.com/office/drawing/2014/main" id="{00000000-0008-0000-0700-00009D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158" name="Text Box 6">
          <a:extLst>
            <a:ext uri="{FF2B5EF4-FFF2-40B4-BE49-F238E27FC236}">
              <a16:creationId xmlns:a16="http://schemas.microsoft.com/office/drawing/2014/main" id="{00000000-0008-0000-0700-00009E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159" name="Text Box 7">
          <a:extLst>
            <a:ext uri="{FF2B5EF4-FFF2-40B4-BE49-F238E27FC236}">
              <a16:creationId xmlns:a16="http://schemas.microsoft.com/office/drawing/2014/main" id="{00000000-0008-0000-0700-00009F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160" name="Text Box 6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161" name="Text Box 7">
          <a:extLst>
            <a:ext uri="{FF2B5EF4-FFF2-40B4-BE49-F238E27FC236}">
              <a16:creationId xmlns:a16="http://schemas.microsoft.com/office/drawing/2014/main" id="{00000000-0008-0000-0700-0000A1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62" name="Text Box 6">
          <a:extLst>
            <a:ext uri="{FF2B5EF4-FFF2-40B4-BE49-F238E27FC236}">
              <a16:creationId xmlns:a16="http://schemas.microsoft.com/office/drawing/2014/main" id="{00000000-0008-0000-0700-0000A2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63" name="Text Box 6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64" name="Text Box 7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65" name="Text Box 6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66" name="Text Box 6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73" name="Text Box 6">
          <a:extLst>
            <a:ext uri="{FF2B5EF4-FFF2-40B4-BE49-F238E27FC236}">
              <a16:creationId xmlns:a16="http://schemas.microsoft.com/office/drawing/2014/main" id="{00000000-0008-0000-0700-0000AD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74" name="Text Box 7">
          <a:extLst>
            <a:ext uri="{FF2B5EF4-FFF2-40B4-BE49-F238E27FC236}">
              <a16:creationId xmlns:a16="http://schemas.microsoft.com/office/drawing/2014/main" id="{00000000-0008-0000-0700-0000AE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75" name="Text Box 6">
          <a:extLst>
            <a:ext uri="{FF2B5EF4-FFF2-40B4-BE49-F238E27FC236}">
              <a16:creationId xmlns:a16="http://schemas.microsoft.com/office/drawing/2014/main" id="{00000000-0008-0000-0700-0000AF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76" name="Text Box 6">
          <a:extLst>
            <a:ext uri="{FF2B5EF4-FFF2-40B4-BE49-F238E27FC236}">
              <a16:creationId xmlns:a16="http://schemas.microsoft.com/office/drawing/2014/main" id="{00000000-0008-0000-0700-0000B0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77" name="Text Box 6">
          <a:extLst>
            <a:ext uri="{FF2B5EF4-FFF2-40B4-BE49-F238E27FC236}">
              <a16:creationId xmlns:a16="http://schemas.microsoft.com/office/drawing/2014/main" id="{00000000-0008-0000-0700-0000B1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78" name="Text Box 7">
          <a:extLst>
            <a:ext uri="{FF2B5EF4-FFF2-40B4-BE49-F238E27FC236}">
              <a16:creationId xmlns:a16="http://schemas.microsoft.com/office/drawing/2014/main" id="{00000000-0008-0000-0700-0000B2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71</xdr:row>
      <xdr:rowOff>157490</xdr:rowOff>
    </xdr:from>
    <xdr:to>
      <xdr:col>9</xdr:col>
      <xdr:colOff>734011</xdr:colOff>
      <xdr:row>71</xdr:row>
      <xdr:rowOff>157490</xdr:rowOff>
    </xdr:to>
    <xdr:sp macro="" textlink="">
      <xdr:nvSpPr>
        <xdr:cNvPr id="179" name="Text Box 6">
          <a:extLst>
            <a:ext uri="{FF2B5EF4-FFF2-40B4-BE49-F238E27FC236}">
              <a16:creationId xmlns:a16="http://schemas.microsoft.com/office/drawing/2014/main" id="{00000000-0008-0000-0700-0000B3000000}"/>
            </a:ext>
          </a:extLst>
        </xdr:cNvPr>
        <xdr:cNvSpPr txBox="1">
          <a:spLocks noChangeArrowheads="1"/>
        </xdr:cNvSpPr>
      </xdr:nvSpPr>
      <xdr:spPr bwMode="auto">
        <a:xfrm>
          <a:off x="7385392" y="134924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0" name="Text Box 6">
          <a:extLst>
            <a:ext uri="{FF2B5EF4-FFF2-40B4-BE49-F238E27FC236}">
              <a16:creationId xmlns:a16="http://schemas.microsoft.com/office/drawing/2014/main" id="{00000000-0008-0000-0700-0000B4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1" name="Text Box 6">
          <a:extLst>
            <a:ext uri="{FF2B5EF4-FFF2-40B4-BE49-F238E27FC236}">
              <a16:creationId xmlns:a16="http://schemas.microsoft.com/office/drawing/2014/main" id="{00000000-0008-0000-0700-0000B5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2" name="Text Box 7">
          <a:extLst>
            <a:ext uri="{FF2B5EF4-FFF2-40B4-BE49-F238E27FC236}">
              <a16:creationId xmlns:a16="http://schemas.microsoft.com/office/drawing/2014/main" id="{00000000-0008-0000-0700-0000B6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3" name="Text Box 6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4" name="Text Box 6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5" name="Text Box 6">
          <a:extLst>
            <a:ext uri="{FF2B5EF4-FFF2-40B4-BE49-F238E27FC236}">
              <a16:creationId xmlns:a16="http://schemas.microsoft.com/office/drawing/2014/main" id="{00000000-0008-0000-0700-0000B9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6" name="Text Box 7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87" name="Text Box 6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188" name="Text Box 6">
          <a:extLst>
            <a:ext uri="{FF2B5EF4-FFF2-40B4-BE49-F238E27FC236}">
              <a16:creationId xmlns:a16="http://schemas.microsoft.com/office/drawing/2014/main" id="{00000000-0008-0000-0700-0000BC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09" name="Text Box 6">
          <a:extLst>
            <a:ext uri="{FF2B5EF4-FFF2-40B4-BE49-F238E27FC236}">
              <a16:creationId xmlns:a16="http://schemas.microsoft.com/office/drawing/2014/main" id="{00000000-0008-0000-0700-0000D1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10" name="Text Box 7">
          <a:extLst>
            <a:ext uri="{FF2B5EF4-FFF2-40B4-BE49-F238E27FC236}">
              <a16:creationId xmlns:a16="http://schemas.microsoft.com/office/drawing/2014/main" id="{00000000-0008-0000-0700-0000D2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11" name="Text Box 6">
          <a:extLst>
            <a:ext uri="{FF2B5EF4-FFF2-40B4-BE49-F238E27FC236}">
              <a16:creationId xmlns:a16="http://schemas.microsoft.com/office/drawing/2014/main" id="{00000000-0008-0000-0700-0000D3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12" name="Text Box 6">
          <a:extLst>
            <a:ext uri="{FF2B5EF4-FFF2-40B4-BE49-F238E27FC236}">
              <a16:creationId xmlns:a16="http://schemas.microsoft.com/office/drawing/2014/main" id="{00000000-0008-0000-0700-0000D4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13" name="Text Box 6">
          <a:extLst>
            <a:ext uri="{FF2B5EF4-FFF2-40B4-BE49-F238E27FC236}">
              <a16:creationId xmlns:a16="http://schemas.microsoft.com/office/drawing/2014/main" id="{00000000-0008-0000-0700-0000D5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14" name="Text Box 7">
          <a:extLst>
            <a:ext uri="{FF2B5EF4-FFF2-40B4-BE49-F238E27FC236}">
              <a16:creationId xmlns:a16="http://schemas.microsoft.com/office/drawing/2014/main" id="{00000000-0008-0000-0700-0000D6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15" name="Text Box 6">
          <a:extLst>
            <a:ext uri="{FF2B5EF4-FFF2-40B4-BE49-F238E27FC236}">
              <a16:creationId xmlns:a16="http://schemas.microsoft.com/office/drawing/2014/main" id="{00000000-0008-0000-0700-0000D7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16" name="Text Box 6">
          <a:extLst>
            <a:ext uri="{FF2B5EF4-FFF2-40B4-BE49-F238E27FC236}">
              <a16:creationId xmlns:a16="http://schemas.microsoft.com/office/drawing/2014/main" id="{00000000-0008-0000-0700-0000D8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17" name="Text Box 6">
          <a:extLst>
            <a:ext uri="{FF2B5EF4-FFF2-40B4-BE49-F238E27FC236}">
              <a16:creationId xmlns:a16="http://schemas.microsoft.com/office/drawing/2014/main" id="{00000000-0008-0000-0700-0000D9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18" name="Text Box 7">
          <a:extLst>
            <a:ext uri="{FF2B5EF4-FFF2-40B4-BE49-F238E27FC236}">
              <a16:creationId xmlns:a16="http://schemas.microsoft.com/office/drawing/2014/main" id="{00000000-0008-0000-0700-0000DA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19" name="Text Box 6">
          <a:extLst>
            <a:ext uri="{FF2B5EF4-FFF2-40B4-BE49-F238E27FC236}">
              <a16:creationId xmlns:a16="http://schemas.microsoft.com/office/drawing/2014/main" id="{00000000-0008-0000-0700-0000DB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0" name="Text Box 6">
          <a:extLst>
            <a:ext uri="{FF2B5EF4-FFF2-40B4-BE49-F238E27FC236}">
              <a16:creationId xmlns:a16="http://schemas.microsoft.com/office/drawing/2014/main" id="{00000000-0008-0000-0700-0000DC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1" name="Text Box 6">
          <a:extLst>
            <a:ext uri="{FF2B5EF4-FFF2-40B4-BE49-F238E27FC236}">
              <a16:creationId xmlns:a16="http://schemas.microsoft.com/office/drawing/2014/main" id="{00000000-0008-0000-0700-0000DD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2" name="Text Box 7">
          <a:extLst>
            <a:ext uri="{FF2B5EF4-FFF2-40B4-BE49-F238E27FC236}">
              <a16:creationId xmlns:a16="http://schemas.microsoft.com/office/drawing/2014/main" id="{00000000-0008-0000-0700-0000DE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3" name="Text Box 6">
          <a:extLst>
            <a:ext uri="{FF2B5EF4-FFF2-40B4-BE49-F238E27FC236}">
              <a16:creationId xmlns:a16="http://schemas.microsoft.com/office/drawing/2014/main" id="{00000000-0008-0000-0700-0000DF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4" name="Text Box 6">
          <a:extLst>
            <a:ext uri="{FF2B5EF4-FFF2-40B4-BE49-F238E27FC236}">
              <a16:creationId xmlns:a16="http://schemas.microsoft.com/office/drawing/2014/main" id="{00000000-0008-0000-0700-0000E0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5" name="Text Box 6">
          <a:extLst>
            <a:ext uri="{FF2B5EF4-FFF2-40B4-BE49-F238E27FC236}">
              <a16:creationId xmlns:a16="http://schemas.microsoft.com/office/drawing/2014/main" id="{00000000-0008-0000-0700-0000E1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6" name="Text Box 7">
          <a:extLst>
            <a:ext uri="{FF2B5EF4-FFF2-40B4-BE49-F238E27FC236}">
              <a16:creationId xmlns:a16="http://schemas.microsoft.com/office/drawing/2014/main" id="{00000000-0008-0000-0700-0000E2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7" name="Text Box 6">
          <a:extLst>
            <a:ext uri="{FF2B5EF4-FFF2-40B4-BE49-F238E27FC236}">
              <a16:creationId xmlns:a16="http://schemas.microsoft.com/office/drawing/2014/main" id="{00000000-0008-0000-0700-0000E3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8" name="Text Box 6">
          <a:extLst>
            <a:ext uri="{FF2B5EF4-FFF2-40B4-BE49-F238E27FC236}">
              <a16:creationId xmlns:a16="http://schemas.microsoft.com/office/drawing/2014/main" id="{00000000-0008-0000-0700-0000E4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29" name="Text Box 6">
          <a:extLst>
            <a:ext uri="{FF2B5EF4-FFF2-40B4-BE49-F238E27FC236}">
              <a16:creationId xmlns:a16="http://schemas.microsoft.com/office/drawing/2014/main" id="{00000000-0008-0000-0700-0000E5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30" name="Text Box 7">
          <a:extLst>
            <a:ext uri="{FF2B5EF4-FFF2-40B4-BE49-F238E27FC236}">
              <a16:creationId xmlns:a16="http://schemas.microsoft.com/office/drawing/2014/main" id="{00000000-0008-0000-0700-0000E6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31" name="Text Box 6">
          <a:extLst>
            <a:ext uri="{FF2B5EF4-FFF2-40B4-BE49-F238E27FC236}">
              <a16:creationId xmlns:a16="http://schemas.microsoft.com/office/drawing/2014/main" id="{00000000-0008-0000-0700-0000E7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32" name="Text Box 6">
          <a:extLst>
            <a:ext uri="{FF2B5EF4-FFF2-40B4-BE49-F238E27FC236}">
              <a16:creationId xmlns:a16="http://schemas.microsoft.com/office/drawing/2014/main" id="{00000000-0008-0000-0700-0000E8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33" name="Text Box 6">
          <a:extLst>
            <a:ext uri="{FF2B5EF4-FFF2-40B4-BE49-F238E27FC236}">
              <a16:creationId xmlns:a16="http://schemas.microsoft.com/office/drawing/2014/main" id="{00000000-0008-0000-0700-0000E9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234" name="Text Box 7">
          <a:extLst>
            <a:ext uri="{FF2B5EF4-FFF2-40B4-BE49-F238E27FC236}">
              <a16:creationId xmlns:a16="http://schemas.microsoft.com/office/drawing/2014/main" id="{00000000-0008-0000-0700-0000EA000000}"/>
            </a:ext>
          </a:extLst>
        </xdr:cNvPr>
        <xdr:cNvSpPr txBox="1">
          <a:spLocks noChangeArrowheads="1"/>
        </xdr:cNvSpPr>
      </xdr:nvSpPr>
      <xdr:spPr bwMode="auto">
        <a:xfrm>
          <a:off x="7385392" y="136829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35" name="Text Box 6">
          <a:extLst>
            <a:ext uri="{FF2B5EF4-FFF2-40B4-BE49-F238E27FC236}">
              <a16:creationId xmlns:a16="http://schemas.microsoft.com/office/drawing/2014/main" id="{00000000-0008-0000-0700-0000EB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36" name="Text Box 6">
          <a:extLst>
            <a:ext uri="{FF2B5EF4-FFF2-40B4-BE49-F238E27FC236}">
              <a16:creationId xmlns:a16="http://schemas.microsoft.com/office/drawing/2014/main" id="{00000000-0008-0000-0700-0000EC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37" name="Text Box 7">
          <a:extLst>
            <a:ext uri="{FF2B5EF4-FFF2-40B4-BE49-F238E27FC236}">
              <a16:creationId xmlns:a16="http://schemas.microsoft.com/office/drawing/2014/main" id="{00000000-0008-0000-0700-0000ED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38" name="Text Box 6">
          <a:extLst>
            <a:ext uri="{FF2B5EF4-FFF2-40B4-BE49-F238E27FC236}">
              <a16:creationId xmlns:a16="http://schemas.microsoft.com/office/drawing/2014/main" id="{00000000-0008-0000-0700-0000EE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39" name="Text Box 6">
          <a:extLst>
            <a:ext uri="{FF2B5EF4-FFF2-40B4-BE49-F238E27FC236}">
              <a16:creationId xmlns:a16="http://schemas.microsoft.com/office/drawing/2014/main" id="{00000000-0008-0000-0700-0000EF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40" name="Text Box 6">
          <a:extLst>
            <a:ext uri="{FF2B5EF4-FFF2-40B4-BE49-F238E27FC236}">
              <a16:creationId xmlns:a16="http://schemas.microsoft.com/office/drawing/2014/main" id="{00000000-0008-0000-0700-0000F0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41" name="Text Box 7">
          <a:extLst>
            <a:ext uri="{FF2B5EF4-FFF2-40B4-BE49-F238E27FC236}">
              <a16:creationId xmlns:a16="http://schemas.microsoft.com/office/drawing/2014/main" id="{00000000-0008-0000-0700-0000F1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42" name="Text Box 6">
          <a:extLst>
            <a:ext uri="{FF2B5EF4-FFF2-40B4-BE49-F238E27FC236}">
              <a16:creationId xmlns:a16="http://schemas.microsoft.com/office/drawing/2014/main" id="{00000000-0008-0000-0700-0000F2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43" name="Text Box 6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44" name="Text Box 6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45" name="Text Box 7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46" name="Text Box 6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47" name="Text Box 6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48" name="Text Box 6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49" name="Text Box 7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50" name="Text Box 6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SpPr txBox="1">
          <a:spLocks noChangeArrowheads="1"/>
        </xdr:cNvSpPr>
      </xdr:nvSpPr>
      <xdr:spPr bwMode="auto">
        <a:xfrm>
          <a:off x="6375742" y="11720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51" name="Text Box 6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52" name="Text Box 6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53" name="Text Box 7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54" name="Text Box 6">
          <a:extLst>
            <a:ext uri="{FF2B5EF4-FFF2-40B4-BE49-F238E27FC236}">
              <a16:creationId xmlns:a16="http://schemas.microsoft.com/office/drawing/2014/main" id="{00000000-0008-0000-0700-0000FE000000}"/>
            </a:ext>
          </a:extLst>
        </xdr:cNvPr>
        <xdr:cNvSpPr txBox="1">
          <a:spLocks noChangeArrowheads="1"/>
        </xdr:cNvSpPr>
      </xdr:nvSpPr>
      <xdr:spPr bwMode="auto">
        <a:xfrm>
          <a:off x="6375742" y="11911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55" name="Text Box 6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SpPr txBox="1">
          <a:spLocks noChangeArrowheads="1"/>
        </xdr:cNvSpPr>
      </xdr:nvSpPr>
      <xdr:spPr bwMode="auto">
        <a:xfrm>
          <a:off x="6375742" y="12101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56" name="Text Box 6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SpPr txBox="1">
          <a:spLocks noChangeArrowheads="1"/>
        </xdr:cNvSpPr>
      </xdr:nvSpPr>
      <xdr:spPr bwMode="auto">
        <a:xfrm>
          <a:off x="6375742" y="12101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57" name="Text Box 7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SpPr txBox="1">
          <a:spLocks noChangeArrowheads="1"/>
        </xdr:cNvSpPr>
      </xdr:nvSpPr>
      <xdr:spPr bwMode="auto">
        <a:xfrm>
          <a:off x="6375742" y="12101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58" name="Text Box 6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SpPr txBox="1">
          <a:spLocks noChangeArrowheads="1"/>
        </xdr:cNvSpPr>
      </xdr:nvSpPr>
      <xdr:spPr bwMode="auto">
        <a:xfrm>
          <a:off x="6375742" y="121018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59" name="Text Box 6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60" name="Text Box 6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61" name="Text Box 7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62" name="Text Box 6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SpPr txBox="1">
          <a:spLocks noChangeArrowheads="1"/>
        </xdr:cNvSpPr>
      </xdr:nvSpPr>
      <xdr:spPr bwMode="auto">
        <a:xfrm>
          <a:off x="6375742" y="122923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63" name="Text Box 6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64" name="Text Box 6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65" name="Text Box 7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62</xdr:row>
      <xdr:rowOff>157490</xdr:rowOff>
    </xdr:from>
    <xdr:to>
      <xdr:col>9</xdr:col>
      <xdr:colOff>734011</xdr:colOff>
      <xdr:row>62</xdr:row>
      <xdr:rowOff>157490</xdr:rowOff>
    </xdr:to>
    <xdr:sp macro="" textlink="">
      <xdr:nvSpPr>
        <xdr:cNvPr id="266" name="Text Box 6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67" name="Text Box 6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68" name="Text Box 6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69" name="Text Box 7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63</xdr:row>
      <xdr:rowOff>157490</xdr:rowOff>
    </xdr:from>
    <xdr:to>
      <xdr:col>9</xdr:col>
      <xdr:colOff>734011</xdr:colOff>
      <xdr:row>63</xdr:row>
      <xdr:rowOff>157490</xdr:rowOff>
    </xdr:to>
    <xdr:sp macro="" textlink="">
      <xdr:nvSpPr>
        <xdr:cNvPr id="270" name="Text Box 6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71" name="Text Box 6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72" name="Text Box 6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73" name="Text Box 7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64</xdr:row>
      <xdr:rowOff>157490</xdr:rowOff>
    </xdr:from>
    <xdr:to>
      <xdr:col>9</xdr:col>
      <xdr:colOff>734011</xdr:colOff>
      <xdr:row>64</xdr:row>
      <xdr:rowOff>157490</xdr:rowOff>
    </xdr:to>
    <xdr:sp macro="" textlink="">
      <xdr:nvSpPr>
        <xdr:cNvPr id="274" name="Text Box 6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75" name="Text Box 6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76" name="Text Box 6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77" name="Text Box 7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65</xdr:row>
      <xdr:rowOff>157490</xdr:rowOff>
    </xdr:from>
    <xdr:to>
      <xdr:col>9</xdr:col>
      <xdr:colOff>734011</xdr:colOff>
      <xdr:row>65</xdr:row>
      <xdr:rowOff>157490</xdr:rowOff>
    </xdr:to>
    <xdr:sp macro="" textlink="">
      <xdr:nvSpPr>
        <xdr:cNvPr id="278" name="Text Box 6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SpPr txBox="1">
          <a:spLocks noChangeArrowheads="1"/>
        </xdr:cNvSpPr>
      </xdr:nvSpPr>
      <xdr:spPr bwMode="auto">
        <a:xfrm>
          <a:off x="6594420" y="1183553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279" name="Text Box 7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SpPr txBox="1">
          <a:spLocks noChangeArrowheads="1"/>
        </xdr:cNvSpPr>
      </xdr:nvSpPr>
      <xdr:spPr bwMode="auto">
        <a:xfrm>
          <a:off x="4729108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87" name="Object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07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7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89" name="Object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07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90" name="Object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07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91" name="Object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07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92" name="Object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07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93" name="Object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07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7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30</xdr:row>
          <xdr:rowOff>0</xdr:rowOff>
        </xdr:from>
        <xdr:to>
          <xdr:col>7</xdr:col>
          <xdr:colOff>19050</xdr:colOff>
          <xdr:row>30</xdr:row>
          <xdr:rowOff>0</xdr:rowOff>
        </xdr:to>
        <xdr:sp macro="" textlink="">
          <xdr:nvSpPr>
            <xdr:cNvPr id="32795" name="Object 27" hidden="1">
              <a:extLst>
                <a:ext uri="{63B3BB69-23CF-44E3-9099-C40C66FF867C}">
                  <a14:compatExt spid="_x0000_s32795"/>
                </a:ext>
                <a:ext uri="{FF2B5EF4-FFF2-40B4-BE49-F238E27FC236}">
                  <a16:creationId xmlns:a16="http://schemas.microsoft.com/office/drawing/2014/main" id="{00000000-0008-0000-0700-00001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0" name="Text Box 6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1" name="Text Box 7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2" name="Text Box 6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3" name="Text Box 7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4" name="Text Box 6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5" name="Text Box 7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6" name="Text Box 6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7" name="Text Box 7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30</xdr:row>
      <xdr:rowOff>157490</xdr:rowOff>
    </xdr:from>
    <xdr:to>
      <xdr:col>7</xdr:col>
      <xdr:colOff>734011</xdr:colOff>
      <xdr:row>30</xdr:row>
      <xdr:rowOff>157490</xdr:rowOff>
    </xdr:to>
    <xdr:sp macro="" textlink="">
      <xdr:nvSpPr>
        <xdr:cNvPr id="288" name="Text Box 7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SpPr txBox="1">
          <a:spLocks noChangeArrowheads="1"/>
        </xdr:cNvSpPr>
      </xdr:nvSpPr>
      <xdr:spPr bwMode="auto">
        <a:xfrm>
          <a:off x="5860201" y="4890224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45" name="Text Box 6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46" name="Text Box 6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47" name="Text Box 7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48" name="Text Box 6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49" name="Text Box 6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50" name="Text Box 6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67" name="Text Box 7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157490</xdr:rowOff>
    </xdr:from>
    <xdr:to>
      <xdr:col>9</xdr:col>
      <xdr:colOff>734011</xdr:colOff>
      <xdr:row>72</xdr:row>
      <xdr:rowOff>157490</xdr:rowOff>
    </xdr:to>
    <xdr:sp macro="" textlink="">
      <xdr:nvSpPr>
        <xdr:cNvPr id="168" name="Text Box 6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SpPr txBox="1">
          <a:spLocks noChangeArrowheads="1"/>
        </xdr:cNvSpPr>
      </xdr:nvSpPr>
      <xdr:spPr bwMode="auto">
        <a:xfrm>
          <a:off x="6991295" y="1195459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72</xdr:row>
      <xdr:rowOff>8661</xdr:rowOff>
    </xdr:from>
    <xdr:to>
      <xdr:col>9</xdr:col>
      <xdr:colOff>734011</xdr:colOff>
      <xdr:row>72</xdr:row>
      <xdr:rowOff>8661</xdr:rowOff>
    </xdr:to>
    <xdr:sp macro="" textlink="">
      <xdr:nvSpPr>
        <xdr:cNvPr id="169" name="Text Box 6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SpPr txBox="1">
          <a:spLocks noChangeArrowheads="1"/>
        </xdr:cNvSpPr>
      </xdr:nvSpPr>
      <xdr:spPr bwMode="auto">
        <a:xfrm>
          <a:off x="6991295" y="1199428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413092</xdr:colOff>
      <xdr:row>29</xdr:row>
      <xdr:rowOff>157490</xdr:rowOff>
    </xdr:from>
    <xdr:to>
      <xdr:col>6</xdr:col>
      <xdr:colOff>734011</xdr:colOff>
      <xdr:row>29</xdr:row>
      <xdr:rowOff>157490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4727917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13" name="Object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A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14" name="Object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A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15" name="Object 3" hidden="1">
              <a:extLst>
                <a:ext uri="{63B3BB69-23CF-44E3-9099-C40C66FF867C}">
                  <a14:compatExt spid="_x0000_s64515"/>
                </a:ext>
                <a:ext uri="{FF2B5EF4-FFF2-40B4-BE49-F238E27FC236}">
                  <a16:creationId xmlns:a16="http://schemas.microsoft.com/office/drawing/2014/main" id="{00000000-0008-0000-0A00-000003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16" name="Object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A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17" name="Object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A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18" name="Object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A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19" name="Object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A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20" name="Object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A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30</xdr:row>
          <xdr:rowOff>0</xdr:rowOff>
        </xdr:from>
        <xdr:to>
          <xdr:col>6</xdr:col>
          <xdr:colOff>19050</xdr:colOff>
          <xdr:row>30</xdr:row>
          <xdr:rowOff>0</xdr:rowOff>
        </xdr:to>
        <xdr:sp macro="" textlink="">
          <xdr:nvSpPr>
            <xdr:cNvPr id="64521" name="Object 9" hidden="1">
              <a:extLst>
                <a:ext uri="{63B3BB69-23CF-44E3-9099-C40C66FF867C}">
                  <a14:compatExt spid="_x0000_s64521"/>
                </a:ext>
                <a:ext uri="{FF2B5EF4-FFF2-40B4-BE49-F238E27FC236}">
                  <a16:creationId xmlns:a16="http://schemas.microsoft.com/office/drawing/2014/main" id="{00000000-0008-0000-0A00-000009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18" name="Text Box 6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29</xdr:row>
      <xdr:rowOff>157490</xdr:rowOff>
    </xdr:from>
    <xdr:to>
      <xdr:col>7</xdr:col>
      <xdr:colOff>734011</xdr:colOff>
      <xdr:row>29</xdr:row>
      <xdr:rowOff>157490</xdr:rowOff>
    </xdr:to>
    <xdr:sp macro="" textlink="">
      <xdr:nvSpPr>
        <xdr:cNvPr id="19" name="Text Box 7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5861392" y="49295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6994867" y="10587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6994867" y="10587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6994867" y="10587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60</xdr:row>
      <xdr:rowOff>157490</xdr:rowOff>
    </xdr:from>
    <xdr:to>
      <xdr:col>8</xdr:col>
      <xdr:colOff>734011</xdr:colOff>
      <xdr:row>60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6994867" y="10587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31" name="Text Box 6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32" name="Text Box 7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33" name="Text Box 6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36" name="Text Box 6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37" name="Text Box 7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38" name="Text Box 6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45" name="Text Box 7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70</xdr:row>
      <xdr:rowOff>157490</xdr:rowOff>
    </xdr:from>
    <xdr:to>
      <xdr:col>8</xdr:col>
      <xdr:colOff>734011</xdr:colOff>
      <xdr:row>70</xdr:row>
      <xdr:rowOff>157490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 txBox="1">
          <a:spLocks noChangeArrowheads="1"/>
        </xdr:cNvSpPr>
      </xdr:nvSpPr>
      <xdr:spPr bwMode="auto">
        <a:xfrm>
          <a:off x="6994867" y="124066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52" name="Text Box 6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53" name="Text Box 7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54" name="Text Box 6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58" name="Text Box 6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59" name="Text Box 6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61" name="Text Box 7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62" name="Text Box 6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63" name="Text Box 6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67" name="Text Box 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68" name="Text Box 6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69" name="Text Box 7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0" name="Text Box 6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1" name="Text Box 6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4" name="Text Box 6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5" name="Text Box 6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6" name="Text Box 6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7" name="Text Box 7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8" name="Text Box 6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79" name="Text Box 6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71</xdr:row>
      <xdr:rowOff>157490</xdr:rowOff>
    </xdr:from>
    <xdr:to>
      <xdr:col>8</xdr:col>
      <xdr:colOff>734011</xdr:colOff>
      <xdr:row>71</xdr:row>
      <xdr:rowOff>157490</xdr:rowOff>
    </xdr:to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SpPr txBox="1">
          <a:spLocks noChangeArrowheads="1"/>
        </xdr:cNvSpPr>
      </xdr:nvSpPr>
      <xdr:spPr bwMode="auto">
        <a:xfrm>
          <a:off x="6994867" y="125971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82" name="Text Box 6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83" name="Text Box 6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84" name="Text Box 7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85" name="Text Box 6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86" name="Text Box 6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87" name="Text Box 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88" name="Text Box 7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89" name="Text Box 6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90" name="Text Box 6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91" name="Text Box 6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92" name="Text Box 7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93" name="Text Box 6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94" name="Text Box 6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95" name="Text Box 6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96" name="Text Box 7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97" name="Text Box 6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98" name="Text Box 6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99" name="Text Box 6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100" name="Text Box 7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101" name="Text Box 6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02" name="Text Box 6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03" name="Text Box 6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04" name="Text Box 7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05" name="Text Box 6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06" name="Text Box 6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07" name="Text Box 6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08" name="Text Box 7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09" name="Text Box 6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10" name="Text Box 6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11" name="Text Box 6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12" name="Text Box 7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61</xdr:row>
      <xdr:rowOff>157490</xdr:rowOff>
    </xdr:from>
    <xdr:to>
      <xdr:col>8</xdr:col>
      <xdr:colOff>734011</xdr:colOff>
      <xdr:row>61</xdr:row>
      <xdr:rowOff>157490</xdr:rowOff>
    </xdr:to>
    <xdr:sp macro="" textlink="">
      <xdr:nvSpPr>
        <xdr:cNvPr id="113" name="Text Box 6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SpPr txBox="1">
          <a:spLocks noChangeArrowheads="1"/>
        </xdr:cNvSpPr>
      </xdr:nvSpPr>
      <xdr:spPr bwMode="auto">
        <a:xfrm>
          <a:off x="6994867" y="10777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114" name="Text Box 6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115" name="Text Box 6">
          <a:extLst>
            <a:ext uri="{FF2B5EF4-FFF2-40B4-BE49-F238E27FC236}">
              <a16:creationId xmlns:a16="http://schemas.microsoft.com/office/drawing/2014/main" id="{00000000-0008-0000-0A00-000073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116" name="Text Box 7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62</xdr:row>
      <xdr:rowOff>157490</xdr:rowOff>
    </xdr:from>
    <xdr:to>
      <xdr:col>8</xdr:col>
      <xdr:colOff>734011</xdr:colOff>
      <xdr:row>62</xdr:row>
      <xdr:rowOff>157490</xdr:rowOff>
    </xdr:to>
    <xdr:sp macro="" textlink="">
      <xdr:nvSpPr>
        <xdr:cNvPr id="117" name="Text Box 6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SpPr txBox="1">
          <a:spLocks noChangeArrowheads="1"/>
        </xdr:cNvSpPr>
      </xdr:nvSpPr>
      <xdr:spPr bwMode="auto">
        <a:xfrm>
          <a:off x="6994867" y="10968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18" name="Text Box 6">
          <a:extLst>
            <a:ext uri="{FF2B5EF4-FFF2-40B4-BE49-F238E27FC236}">
              <a16:creationId xmlns:a16="http://schemas.microsoft.com/office/drawing/2014/main" id="{00000000-0008-0000-0A00-000076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19" name="Text Box 6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20" name="Text Box 7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63</xdr:row>
      <xdr:rowOff>157490</xdr:rowOff>
    </xdr:from>
    <xdr:to>
      <xdr:col>8</xdr:col>
      <xdr:colOff>734011</xdr:colOff>
      <xdr:row>63</xdr:row>
      <xdr:rowOff>157490</xdr:rowOff>
    </xdr:to>
    <xdr:sp macro="" textlink="">
      <xdr:nvSpPr>
        <xdr:cNvPr id="121" name="Text Box 6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SpPr txBox="1">
          <a:spLocks noChangeArrowheads="1"/>
        </xdr:cNvSpPr>
      </xdr:nvSpPr>
      <xdr:spPr bwMode="auto">
        <a:xfrm>
          <a:off x="6994867" y="11158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22" name="Text Box 6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23" name="Text Box 6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24" name="Text Box 7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64</xdr:row>
      <xdr:rowOff>157490</xdr:rowOff>
    </xdr:from>
    <xdr:to>
      <xdr:col>8</xdr:col>
      <xdr:colOff>734011</xdr:colOff>
      <xdr:row>64</xdr:row>
      <xdr:rowOff>157490</xdr:rowOff>
    </xdr:to>
    <xdr:sp macro="" textlink="">
      <xdr:nvSpPr>
        <xdr:cNvPr id="125" name="Text Box 6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SpPr txBox="1">
          <a:spLocks noChangeArrowheads="1"/>
        </xdr:cNvSpPr>
      </xdr:nvSpPr>
      <xdr:spPr bwMode="auto">
        <a:xfrm>
          <a:off x="6994867" y="11349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5</xdr:col>
      <xdr:colOff>413092</xdr:colOff>
      <xdr:row>12</xdr:row>
      <xdr:rowOff>157490</xdr:rowOff>
    </xdr:from>
    <xdr:to>
      <xdr:col>5</xdr:col>
      <xdr:colOff>734011</xdr:colOff>
      <xdr:row>12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5899492" y="5796290"/>
          <a:ext cx="1685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5</xdr:row>
      <xdr:rowOff>9525</xdr:rowOff>
    </xdr:from>
    <xdr:to>
      <xdr:col>19</xdr:col>
      <xdr:colOff>542925</xdr:colOff>
      <xdr:row>25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0" y="819150"/>
          <a:ext cx="3629025" cy="3381375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27</xdr:row>
      <xdr:rowOff>152400</xdr:rowOff>
    </xdr:from>
    <xdr:to>
      <xdr:col>9</xdr:col>
      <xdr:colOff>304800</xdr:colOff>
      <xdr:row>50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4438650"/>
          <a:ext cx="5588000" cy="357505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27</xdr:row>
      <xdr:rowOff>114300</xdr:rowOff>
    </xdr:from>
    <xdr:to>
      <xdr:col>22</xdr:col>
      <xdr:colOff>457598</xdr:colOff>
      <xdr:row>49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4400550"/>
          <a:ext cx="7334648" cy="351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317500</xdr:colOff>
      <xdr:row>77</xdr:row>
      <xdr:rowOff>63500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255000"/>
          <a:ext cx="3975100" cy="4032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10</xdr:col>
      <xdr:colOff>248450</xdr:colOff>
      <xdr:row>24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7700"/>
          <a:ext cx="5734850" cy="32385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57</xdr:row>
      <xdr:rowOff>142875</xdr:rowOff>
    </xdr:from>
    <xdr:to>
      <xdr:col>24</xdr:col>
      <xdr:colOff>1149</xdr:colOff>
      <xdr:row>77</xdr:row>
      <xdr:rowOff>48064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9372600"/>
          <a:ext cx="8230749" cy="31436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YANTEK\software%20DL%20gelar%20baru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LEMBAR"/>
      <sheetName val="CENTRI"/>
      <sheetName val="TENSI"/>
      <sheetName val="SUCTION"/>
      <sheetName val="SK Oven Lab Incu"/>
      <sheetName val="3 LEMBAR"/>
      <sheetName val="SURAT KET."/>
      <sheetName val="Alat"/>
      <sheetName val="No. Order"/>
      <sheetName val="CEKLIST BULAN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1.bin"/><Relationship Id="rId13" Type="http://schemas.openxmlformats.org/officeDocument/2006/relationships/oleObject" Target="../embeddings/oleObject56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50.bin"/><Relationship Id="rId12" Type="http://schemas.openxmlformats.org/officeDocument/2006/relationships/oleObject" Target="../embeddings/oleObject55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49.bin"/><Relationship Id="rId11" Type="http://schemas.openxmlformats.org/officeDocument/2006/relationships/oleObject" Target="../embeddings/oleObject54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3.bin"/><Relationship Id="rId4" Type="http://schemas.openxmlformats.org/officeDocument/2006/relationships/oleObject" Target="../embeddings/oleObject48.bin"/><Relationship Id="rId9" Type="http://schemas.openxmlformats.org/officeDocument/2006/relationships/oleObject" Target="../embeddings/oleObject5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13" Type="http://schemas.openxmlformats.org/officeDocument/2006/relationships/oleObject" Target="../embeddings/oleObject18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12.bin"/><Relationship Id="rId12" Type="http://schemas.openxmlformats.org/officeDocument/2006/relationships/oleObject" Target="../embeddings/oleObject1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1.bin"/><Relationship Id="rId11" Type="http://schemas.openxmlformats.org/officeDocument/2006/relationships/oleObject" Target="../embeddings/oleObject16.bin"/><Relationship Id="rId5" Type="http://schemas.openxmlformats.org/officeDocument/2006/relationships/image" Target="../media/image1.emf"/><Relationship Id="rId15" Type="http://schemas.openxmlformats.org/officeDocument/2006/relationships/comments" Target="../comments1.xml"/><Relationship Id="rId10" Type="http://schemas.openxmlformats.org/officeDocument/2006/relationships/oleObject" Target="../embeddings/oleObject15.bin"/><Relationship Id="rId4" Type="http://schemas.openxmlformats.org/officeDocument/2006/relationships/oleObject" Target="../embeddings/oleObject10.bin"/><Relationship Id="rId9" Type="http://schemas.openxmlformats.org/officeDocument/2006/relationships/oleObject" Target="../embeddings/oleObject14.bin"/><Relationship Id="rId14" Type="http://schemas.openxmlformats.org/officeDocument/2006/relationships/oleObject" Target="../embeddings/oleObject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13" Type="http://schemas.openxmlformats.org/officeDocument/2006/relationships/oleObject" Target="../embeddings/oleObject28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22.bin"/><Relationship Id="rId12" Type="http://schemas.openxmlformats.org/officeDocument/2006/relationships/oleObject" Target="../embeddings/oleObject27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1.bin"/><Relationship Id="rId11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20.bin"/><Relationship Id="rId9" Type="http://schemas.openxmlformats.org/officeDocument/2006/relationships/oleObject" Target="../embeddings/oleObject24.bin"/><Relationship Id="rId14" Type="http://schemas.openxmlformats.org/officeDocument/2006/relationships/oleObject" Target="../embeddings/oleObject29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13" Type="http://schemas.openxmlformats.org/officeDocument/2006/relationships/oleObject" Target="../embeddings/oleObject38.bin"/><Relationship Id="rId18" Type="http://schemas.openxmlformats.org/officeDocument/2006/relationships/oleObject" Target="../embeddings/oleObject43.bin"/><Relationship Id="rId3" Type="http://schemas.openxmlformats.org/officeDocument/2006/relationships/vmlDrawing" Target="../drawings/vmlDrawing4.vml"/><Relationship Id="rId21" Type="http://schemas.openxmlformats.org/officeDocument/2006/relationships/oleObject" Target="../embeddings/oleObject46.bin"/><Relationship Id="rId7" Type="http://schemas.openxmlformats.org/officeDocument/2006/relationships/oleObject" Target="../embeddings/oleObject32.bin"/><Relationship Id="rId12" Type="http://schemas.openxmlformats.org/officeDocument/2006/relationships/oleObject" Target="../embeddings/oleObject37.bin"/><Relationship Id="rId17" Type="http://schemas.openxmlformats.org/officeDocument/2006/relationships/oleObject" Target="../embeddings/oleObject42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41.bin"/><Relationship Id="rId20" Type="http://schemas.openxmlformats.org/officeDocument/2006/relationships/oleObject" Target="../embeddings/oleObject45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.bin"/><Relationship Id="rId11" Type="http://schemas.openxmlformats.org/officeDocument/2006/relationships/oleObject" Target="../embeddings/oleObject36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40.bin"/><Relationship Id="rId10" Type="http://schemas.openxmlformats.org/officeDocument/2006/relationships/oleObject" Target="../embeddings/oleObject35.bin"/><Relationship Id="rId19" Type="http://schemas.openxmlformats.org/officeDocument/2006/relationships/oleObject" Target="../embeddings/oleObject44.bin"/><Relationship Id="rId4" Type="http://schemas.openxmlformats.org/officeDocument/2006/relationships/oleObject" Target="../embeddings/oleObject30.bin"/><Relationship Id="rId9" Type="http://schemas.openxmlformats.org/officeDocument/2006/relationships/oleObject" Target="../embeddings/oleObject34.bin"/><Relationship Id="rId14" Type="http://schemas.openxmlformats.org/officeDocument/2006/relationships/oleObject" Target="../embeddings/oleObject39.bin"/><Relationship Id="rId22" Type="http://schemas.openxmlformats.org/officeDocument/2006/relationships/oleObject" Target="../embeddings/oleObject4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55C7-D7A2-49E6-99D0-25B2C9AB2B8C}">
  <dimension ref="A3:W51"/>
  <sheetViews>
    <sheetView topLeftCell="A31" zoomScale="96" zoomScaleNormal="96" workbookViewId="0">
      <selection activeCell="A44" sqref="A44"/>
    </sheetView>
  </sheetViews>
  <sheetFormatPr defaultColWidth="9.1796875" defaultRowHeight="12.5" x14ac:dyDescent="0.25"/>
  <cols>
    <col min="1" max="1" width="17.453125" style="326" customWidth="1"/>
    <col min="2" max="2" width="10.7265625" style="326" customWidth="1"/>
    <col min="3" max="5" width="9.1796875" style="326"/>
    <col min="6" max="6" width="2.81640625" style="326" customWidth="1"/>
    <col min="7" max="7" width="17.54296875" style="326" customWidth="1"/>
    <col min="8" max="11" width="9.1796875" style="326"/>
    <col min="12" max="12" width="1.7265625" style="326" customWidth="1"/>
    <col min="13" max="13" width="18.1796875" style="326" customWidth="1"/>
    <col min="14" max="18" width="9.1796875" style="326"/>
    <col min="19" max="19" width="16.81640625" style="326" customWidth="1"/>
    <col min="20" max="16384" width="9.1796875" style="326"/>
  </cols>
  <sheetData>
    <row r="3" spans="1:23" ht="27" customHeight="1" thickBot="1" x14ac:dyDescent="0.3">
      <c r="A3" s="1444" t="s">
        <v>470</v>
      </c>
      <c r="B3" s="1444"/>
      <c r="C3" s="1444"/>
      <c r="D3" s="1444"/>
      <c r="E3" s="1444"/>
      <c r="G3" s="1444" t="s">
        <v>471</v>
      </c>
      <c r="H3" s="1444"/>
      <c r="I3" s="1444"/>
      <c r="J3" s="1444"/>
      <c r="K3" s="1444"/>
      <c r="M3" s="1444" t="s">
        <v>472</v>
      </c>
      <c r="N3" s="1444"/>
      <c r="O3" s="1444"/>
      <c r="P3" s="1444"/>
      <c r="Q3" s="1444"/>
    </row>
    <row r="4" spans="1:23" ht="14.5" thickBot="1" x14ac:dyDescent="0.35">
      <c r="A4" s="1445" t="s">
        <v>473</v>
      </c>
      <c r="B4" s="1446"/>
      <c r="C4" s="1447"/>
      <c r="D4" s="1448" t="s">
        <v>86</v>
      </c>
      <c r="E4" s="1448" t="s">
        <v>474</v>
      </c>
      <c r="G4" s="1445" t="s">
        <v>473</v>
      </c>
      <c r="H4" s="1446"/>
      <c r="I4" s="1447"/>
      <c r="J4" s="1448" t="s">
        <v>86</v>
      </c>
      <c r="K4" s="1448" t="s">
        <v>474</v>
      </c>
      <c r="M4" s="1445" t="s">
        <v>473</v>
      </c>
      <c r="N4" s="1446"/>
      <c r="O4" s="1447"/>
      <c r="P4" s="1448" t="s">
        <v>86</v>
      </c>
      <c r="Q4" s="1448" t="s">
        <v>474</v>
      </c>
      <c r="S4" s="1441"/>
      <c r="T4" s="1441"/>
      <c r="U4" s="1441"/>
      <c r="V4" s="1442"/>
      <c r="W4" s="1442"/>
    </row>
    <row r="5" spans="1:23" ht="13.5" thickBot="1" x14ac:dyDescent="0.3">
      <c r="A5" s="1422" t="s">
        <v>111</v>
      </c>
      <c r="B5" s="1423"/>
      <c r="C5" s="1424"/>
      <c r="D5" s="1449"/>
      <c r="E5" s="1449"/>
      <c r="G5" s="1422" t="s">
        <v>111</v>
      </c>
      <c r="H5" s="1423"/>
      <c r="I5" s="1424"/>
      <c r="J5" s="1449"/>
      <c r="K5" s="1449"/>
      <c r="M5" s="1422" t="s">
        <v>111</v>
      </c>
      <c r="N5" s="1423"/>
      <c r="O5" s="1424"/>
      <c r="P5" s="1449"/>
      <c r="Q5" s="1449"/>
      <c r="S5" s="1451"/>
      <c r="T5" s="1451"/>
      <c r="U5" s="1451"/>
      <c r="V5" s="1442"/>
      <c r="W5" s="1442"/>
    </row>
    <row r="6" spans="1:23" ht="15" thickBot="1" x14ac:dyDescent="0.3">
      <c r="A6" s="913" t="s">
        <v>475</v>
      </c>
      <c r="B6" s="914">
        <v>2017</v>
      </c>
      <c r="C6" s="915">
        <v>2018</v>
      </c>
      <c r="D6" s="1450"/>
      <c r="E6" s="1450"/>
      <c r="G6" s="913" t="s">
        <v>475</v>
      </c>
      <c r="H6" s="914">
        <v>2017</v>
      </c>
      <c r="I6" s="915">
        <v>2018</v>
      </c>
      <c r="J6" s="1450"/>
      <c r="K6" s="1450"/>
      <c r="M6" s="913" t="s">
        <v>475</v>
      </c>
      <c r="N6" s="914">
        <v>2017</v>
      </c>
      <c r="O6" s="915">
        <v>2018</v>
      </c>
      <c r="P6" s="1450"/>
      <c r="Q6" s="1450"/>
      <c r="S6" s="916"/>
      <c r="T6" s="917"/>
      <c r="U6" s="918"/>
      <c r="V6" s="1442"/>
      <c r="W6" s="1442"/>
    </row>
    <row r="7" spans="1:23" ht="14.5" thickBot="1" x14ac:dyDescent="0.3">
      <c r="A7" s="919">
        <v>500</v>
      </c>
      <c r="B7" s="920">
        <v>-2E-3</v>
      </c>
      <c r="C7" s="920">
        <v>8.9999999999999993E-3</v>
      </c>
      <c r="D7" s="920">
        <f>0.5*(MAX(B7:C7)-MIN(B7:C7))</f>
        <v>5.4999999999999997E-3</v>
      </c>
      <c r="E7" s="921">
        <v>1.2999999999999999E-2</v>
      </c>
      <c r="G7" s="919">
        <v>500</v>
      </c>
      <c r="H7" s="920">
        <v>-2E-3</v>
      </c>
      <c r="I7" s="920">
        <v>8.9999999999999993E-3</v>
      </c>
      <c r="J7" s="920">
        <f>0.5*(MAX(H7:I7)-MIN(H7:I7))</f>
        <v>5.4999999999999997E-3</v>
      </c>
      <c r="K7" s="921">
        <v>1.2999999999999999E-2</v>
      </c>
      <c r="M7" s="919">
        <v>500</v>
      </c>
      <c r="N7" s="920">
        <v>-2E-3</v>
      </c>
      <c r="O7" s="920">
        <v>8.9999999999999993E-3</v>
      </c>
      <c r="P7" s="920">
        <f>0.5*(MAX(N7:O7)-MIN(N7:O7))</f>
        <v>5.4999999999999997E-3</v>
      </c>
      <c r="Q7" s="921">
        <v>1.2999999999999999E-2</v>
      </c>
      <c r="S7" s="922"/>
      <c r="T7" s="629"/>
      <c r="U7" s="629"/>
      <c r="V7" s="629"/>
      <c r="W7" s="629"/>
    </row>
    <row r="8" spans="1:23" ht="14.5" thickBot="1" x14ac:dyDescent="0.3">
      <c r="A8" s="919">
        <v>1000</v>
      </c>
      <c r="B8" s="920">
        <v>-0.04</v>
      </c>
      <c r="C8" s="920">
        <v>0.04</v>
      </c>
      <c r="D8" s="920">
        <f>0.5*(MAX(B8:C8)-MIN(B8:C8))</f>
        <v>0.04</v>
      </c>
      <c r="E8" s="921">
        <v>0.02</v>
      </c>
      <c r="G8" s="919">
        <v>1000</v>
      </c>
      <c r="H8" s="920">
        <v>-0.04</v>
      </c>
      <c r="I8" s="920">
        <v>0.04</v>
      </c>
      <c r="J8" s="920">
        <f>0.5*(MAX(H8:I8)-MIN(H8:I8))</f>
        <v>0.04</v>
      </c>
      <c r="K8" s="921">
        <v>0.02</v>
      </c>
      <c r="M8" s="919">
        <v>1000</v>
      </c>
      <c r="N8" s="920">
        <v>-0.04</v>
      </c>
      <c r="O8" s="920">
        <v>0.04</v>
      </c>
      <c r="P8" s="920">
        <f>0.5*(MAX(N8:O8)-MIN(N8:O8))</f>
        <v>0.04</v>
      </c>
      <c r="Q8" s="921">
        <v>0.02</v>
      </c>
      <c r="S8" s="922"/>
      <c r="T8" s="629"/>
      <c r="U8" s="629"/>
      <c r="V8" s="629"/>
      <c r="W8" s="629"/>
    </row>
    <row r="18" spans="1:17" ht="27.75" customHeight="1" thickBot="1" x14ac:dyDescent="0.3">
      <c r="A18" s="1444" t="s">
        <v>476</v>
      </c>
      <c r="B18" s="1444"/>
      <c r="C18" s="1444"/>
      <c r="D18" s="1444"/>
      <c r="E18" s="1444"/>
      <c r="G18" s="1444" t="s">
        <v>477</v>
      </c>
      <c r="H18" s="1444"/>
      <c r="I18" s="1444"/>
      <c r="J18" s="1444"/>
      <c r="K18" s="1444"/>
      <c r="M18" s="1444" t="s">
        <v>478</v>
      </c>
      <c r="N18" s="1444"/>
      <c r="O18" s="1444"/>
      <c r="P18" s="1444"/>
      <c r="Q18" s="1444"/>
    </row>
    <row r="19" spans="1:17" ht="14.5" thickBot="1" x14ac:dyDescent="0.35">
      <c r="A19" s="1445" t="s">
        <v>473</v>
      </c>
      <c r="B19" s="1446"/>
      <c r="C19" s="1447"/>
      <c r="D19" s="1448" t="s">
        <v>86</v>
      </c>
      <c r="E19" s="1448" t="s">
        <v>474</v>
      </c>
      <c r="G19" s="1445" t="s">
        <v>473</v>
      </c>
      <c r="H19" s="1446"/>
      <c r="I19" s="1447"/>
      <c r="J19" s="1448" t="s">
        <v>86</v>
      </c>
      <c r="K19" s="1448" t="s">
        <v>474</v>
      </c>
      <c r="M19" s="1445" t="s">
        <v>473</v>
      </c>
      <c r="N19" s="1446"/>
      <c r="O19" s="1447"/>
      <c r="P19" s="1448" t="s">
        <v>86</v>
      </c>
      <c r="Q19" s="1448" t="s">
        <v>474</v>
      </c>
    </row>
    <row r="20" spans="1:17" ht="13.5" thickBot="1" x14ac:dyDescent="0.3">
      <c r="A20" s="1422" t="s">
        <v>111</v>
      </c>
      <c r="B20" s="1423"/>
      <c r="C20" s="1424"/>
      <c r="D20" s="1449"/>
      <c r="E20" s="1449"/>
      <c r="G20" s="1422" t="s">
        <v>111</v>
      </c>
      <c r="H20" s="1423"/>
      <c r="I20" s="1424"/>
      <c r="J20" s="1449"/>
      <c r="K20" s="1449"/>
      <c r="M20" s="1422" t="s">
        <v>111</v>
      </c>
      <c r="N20" s="1423"/>
      <c r="O20" s="1424"/>
      <c r="P20" s="1449"/>
      <c r="Q20" s="1449"/>
    </row>
    <row r="21" spans="1:17" ht="15" thickBot="1" x14ac:dyDescent="0.3">
      <c r="A21" s="913" t="s">
        <v>475</v>
      </c>
      <c r="B21" s="914">
        <v>2017</v>
      </c>
      <c r="C21" s="915">
        <v>2018</v>
      </c>
      <c r="D21" s="1450"/>
      <c r="E21" s="1450"/>
      <c r="G21" s="913" t="s">
        <v>475</v>
      </c>
      <c r="H21" s="914">
        <v>2017</v>
      </c>
      <c r="I21" s="915">
        <v>2018</v>
      </c>
      <c r="J21" s="1450"/>
      <c r="K21" s="1450"/>
      <c r="M21" s="913" t="s">
        <v>475</v>
      </c>
      <c r="N21" s="914">
        <v>2017</v>
      </c>
      <c r="O21" s="915">
        <v>2018</v>
      </c>
      <c r="P21" s="1450"/>
      <c r="Q21" s="1450"/>
    </row>
    <row r="22" spans="1:17" ht="14.5" thickBot="1" x14ac:dyDescent="0.3">
      <c r="A22" s="919">
        <v>500</v>
      </c>
      <c r="B22" s="920">
        <v>-2E-3</v>
      </c>
      <c r="C22" s="920">
        <v>8.9999999999999993E-3</v>
      </c>
      <c r="D22" s="920">
        <f>0.5*(MAX(B22:C22)-MIN(B22:C22))</f>
        <v>5.4999999999999997E-3</v>
      </c>
      <c r="E22" s="921">
        <v>1.2999999999999999E-2</v>
      </c>
      <c r="G22" s="919">
        <v>500</v>
      </c>
      <c r="H22" s="920">
        <v>-2E-3</v>
      </c>
      <c r="I22" s="920">
        <v>8.9999999999999993E-3</v>
      </c>
      <c r="J22" s="920">
        <f>0.5*(MAX(H22:I22)-MIN(H22:I22))</f>
        <v>5.4999999999999997E-3</v>
      </c>
      <c r="K22" s="921">
        <v>1.2999999999999999E-2</v>
      </c>
      <c r="M22" s="919">
        <v>500</v>
      </c>
      <c r="N22" s="920">
        <v>-2E-3</v>
      </c>
      <c r="O22" s="920">
        <v>8.9999999999999993E-3</v>
      </c>
      <c r="P22" s="920">
        <f>0.5*(MAX(N22:O22)-MIN(N22:O22))</f>
        <v>5.4999999999999997E-3</v>
      </c>
      <c r="Q22" s="921">
        <v>1.2999999999999999E-2</v>
      </c>
    </row>
    <row r="23" spans="1:17" ht="14.5" thickBot="1" x14ac:dyDescent="0.3">
      <c r="A23" s="919">
        <v>1000</v>
      </c>
      <c r="B23" s="920">
        <v>-0.04</v>
      </c>
      <c r="C23" s="920">
        <v>0.04</v>
      </c>
      <c r="D23" s="920">
        <f>0.5*(MAX(B23:C23)-MIN(B23:C23))</f>
        <v>0.04</v>
      </c>
      <c r="E23" s="921">
        <v>0.02</v>
      </c>
      <c r="G23" s="919">
        <v>1000</v>
      </c>
      <c r="H23" s="920">
        <v>-0.04</v>
      </c>
      <c r="I23" s="920">
        <v>0.04</v>
      </c>
      <c r="J23" s="920">
        <f>0.5*(MAX(H23:I23)-MIN(H23:I23))</f>
        <v>0.04</v>
      </c>
      <c r="K23" s="921">
        <v>0.02</v>
      </c>
      <c r="M23" s="919">
        <v>1000</v>
      </c>
      <c r="N23" s="920">
        <v>-0.04</v>
      </c>
      <c r="O23" s="920">
        <v>0.04</v>
      </c>
      <c r="P23" s="920">
        <f>0.5*(MAX(N23:O23)-MIN(N23:O23))</f>
        <v>0.04</v>
      </c>
      <c r="Q23" s="921">
        <v>0.02</v>
      </c>
    </row>
    <row r="33" spans="1:17" ht="15" x14ac:dyDescent="0.3">
      <c r="A33" s="923"/>
      <c r="B33" s="923"/>
      <c r="C33" s="923"/>
      <c r="D33" s="923"/>
      <c r="E33" s="923"/>
      <c r="N33" s="1443"/>
      <c r="O33" s="1443"/>
      <c r="P33" s="1443"/>
      <c r="Q33" s="1443"/>
    </row>
    <row r="34" spans="1:17" ht="28.5" customHeight="1" x14ac:dyDescent="0.25">
      <c r="A34" s="1430" t="e">
        <f t="shared" ref="A34:C39" si="0">IF($A$44=$A$45,A3,IF($A$44=$A$46,G3,IF($A$44=$A$47,M3,IF($A$44=$A$48,A18,IF($A$44=$A$49,G18,IF($A$44=$A$50,M18))))))</f>
        <v>#REF!</v>
      </c>
      <c r="B34" s="1430"/>
      <c r="C34" s="1430"/>
      <c r="D34" s="1430"/>
      <c r="E34" s="1430"/>
      <c r="G34" s="1431" t="s">
        <v>49</v>
      </c>
      <c r="H34" s="1431" t="s">
        <v>393</v>
      </c>
      <c r="I34" s="1431" t="s">
        <v>118</v>
      </c>
      <c r="J34" s="1434" t="s">
        <v>91</v>
      </c>
      <c r="K34" s="1434" t="s">
        <v>90</v>
      </c>
      <c r="N34" s="924"/>
      <c r="O34" s="924"/>
      <c r="P34" s="924"/>
      <c r="Q34" s="924"/>
    </row>
    <row r="35" spans="1:17" x14ac:dyDescent="0.25">
      <c r="A35" s="1437" t="e">
        <f t="shared" si="0"/>
        <v>#REF!</v>
      </c>
      <c r="B35" s="1437"/>
      <c r="C35" s="1437"/>
      <c r="D35" s="1438" t="e">
        <f>IF($A$44=$A$45,D4,IF($A$44=$A$46,J4,IF($A$44=$A$47,P4,IF($A$44=$A$48,D19,IF($A$44=$A$49,J19,IF($A$44=$A$50,P19))))))</f>
        <v>#REF!</v>
      </c>
      <c r="E35" s="1438" t="e">
        <f>IF($A$44=$A$45,E4,IF($A$44=$A$46,K4,IF($A$44=$A$47,Q4,IF($A$44=$A$48,E19,IF($A$44=$A$49,K19,IF($A$44=$A$50,Q19))))))</f>
        <v>#REF!</v>
      </c>
      <c r="G35" s="1432"/>
      <c r="H35" s="1432"/>
      <c r="I35" s="1432"/>
      <c r="J35" s="1435"/>
      <c r="K35" s="1435"/>
      <c r="N35" s="925"/>
      <c r="O35" s="924"/>
      <c r="P35" s="925"/>
      <c r="Q35" s="925"/>
    </row>
    <row r="36" spans="1:17" x14ac:dyDescent="0.25">
      <c r="A36" s="1437" t="e">
        <f t="shared" si="0"/>
        <v>#REF!</v>
      </c>
      <c r="B36" s="1437"/>
      <c r="C36" s="1437"/>
      <c r="D36" s="1439"/>
      <c r="E36" s="1439"/>
      <c r="G36" s="1433"/>
      <c r="H36" s="1433"/>
      <c r="I36" s="1433"/>
      <c r="J36" s="1436"/>
      <c r="K36" s="1436"/>
      <c r="N36" s="924"/>
      <c r="O36" s="924"/>
      <c r="P36" s="924"/>
      <c r="Q36" s="924"/>
    </row>
    <row r="37" spans="1:17" x14ac:dyDescent="0.25">
      <c r="A37" s="926" t="e">
        <f t="shared" si="0"/>
        <v>#REF!</v>
      </c>
      <c r="B37" s="926" t="e">
        <f t="shared" si="0"/>
        <v>#REF!</v>
      </c>
      <c r="C37" s="926" t="e">
        <f t="shared" si="0"/>
        <v>#REF!</v>
      </c>
      <c r="D37" s="1440"/>
      <c r="E37" s="1440"/>
      <c r="G37" s="927" t="e">
        <f>A38</f>
        <v>#REF!</v>
      </c>
      <c r="H37" s="928" t="e">
        <f>C38</f>
        <v>#REF!</v>
      </c>
      <c r="I37" s="929" t="e">
        <f>G37+H37</f>
        <v>#REF!</v>
      </c>
      <c r="J37" s="714" t="e">
        <f>D38</f>
        <v>#REF!</v>
      </c>
      <c r="K37" s="714" t="e">
        <f>E38</f>
        <v>#REF!</v>
      </c>
    </row>
    <row r="38" spans="1:17" x14ac:dyDescent="0.25">
      <c r="A38" s="930" t="e">
        <f t="shared" si="0"/>
        <v>#REF!</v>
      </c>
      <c r="B38" s="930" t="e">
        <f t="shared" si="0"/>
        <v>#REF!</v>
      </c>
      <c r="C38" s="930" t="e">
        <f t="shared" si="0"/>
        <v>#REF!</v>
      </c>
      <c r="D38" s="930" t="e">
        <f>IF($A$44=$A$45,D7,IF($A$44=$A$46,J7,IF($A$44=$A$47,P7,IF($A$44=$A$48,D22,IF($A$44=$A$49,J22,IF($A$44=$A$50,P22))))))</f>
        <v>#REF!</v>
      </c>
      <c r="E38" s="930" t="e">
        <f>IF($A$44=$A$45,E7,IF($A$44=$A$46,K7,IF($A$44=$A$47,Q7,IF($A$44=$A$48,E22,IF($A$44=$A$49,K22,IF($A$44=$A$50,Q22))))))</f>
        <v>#REF!</v>
      </c>
      <c r="G38" s="927" t="e">
        <f>A39</f>
        <v>#REF!</v>
      </c>
      <c r="H38" s="928" t="e">
        <f>C39</f>
        <v>#REF!</v>
      </c>
      <c r="I38" s="929" t="e">
        <f>G38+H38</f>
        <v>#REF!</v>
      </c>
      <c r="J38" s="714" t="e">
        <f>D39</f>
        <v>#REF!</v>
      </c>
      <c r="K38" s="714" t="e">
        <f>E39</f>
        <v>#REF!</v>
      </c>
    </row>
    <row r="39" spans="1:17" x14ac:dyDescent="0.25">
      <c r="A39" s="930" t="e">
        <f t="shared" si="0"/>
        <v>#REF!</v>
      </c>
      <c r="B39" s="930" t="e">
        <f t="shared" si="0"/>
        <v>#REF!</v>
      </c>
      <c r="C39" s="930" t="e">
        <f t="shared" si="0"/>
        <v>#REF!</v>
      </c>
      <c r="D39" s="930" t="e">
        <f>IF($A$44=$A$45,D8,IF($A$44=$A$46,J8,IF($A$44=$A$47,P8,IF($A$44=$A$48,D23,IF($A$44=$A$49,J23,IF($A$44=$A$50,P23))))))</f>
        <v>#REF!</v>
      </c>
      <c r="E39" s="930" t="e">
        <f>IF($A$44=$A$45,E8,IF($A$44=$A$46,K8,IF($A$44=$A$47,Q8,IF($A$44=$A$48,E23,IF($A$44=$A$49,K23,IF($A$44=$A$50,Q23))))))</f>
        <v>#REF!</v>
      </c>
    </row>
    <row r="43" spans="1:17" ht="13" thickBot="1" x14ac:dyDescent="0.3"/>
    <row r="44" spans="1:17" ht="13" thickBot="1" x14ac:dyDescent="0.3">
      <c r="A44" s="715" t="e">
        <f>ID!#REF!</f>
        <v>#REF!</v>
      </c>
      <c r="B44" s="716"/>
      <c r="C44" s="716"/>
      <c r="D44" s="716"/>
      <c r="E44" s="716"/>
      <c r="F44" s="716"/>
      <c r="G44" s="716"/>
      <c r="H44" s="716"/>
      <c r="I44" s="1425" t="s">
        <v>399</v>
      </c>
      <c r="J44" s="1426"/>
      <c r="K44" s="717"/>
    </row>
    <row r="45" spans="1:17" x14ac:dyDescent="0.25">
      <c r="A45" s="931" t="s">
        <v>470</v>
      </c>
      <c r="B45" s="718"/>
      <c r="C45" s="718"/>
      <c r="D45" s="718"/>
      <c r="E45" s="718"/>
      <c r="F45" s="718"/>
      <c r="G45" s="718"/>
      <c r="H45" s="718"/>
      <c r="I45" s="719">
        <f>B6</f>
        <v>2017</v>
      </c>
      <c r="J45" s="719">
        <f>C6</f>
        <v>2018</v>
      </c>
      <c r="K45" s="720">
        <v>1</v>
      </c>
    </row>
    <row r="46" spans="1:17" x14ac:dyDescent="0.25">
      <c r="A46" s="932" t="s">
        <v>471</v>
      </c>
      <c r="B46" s="721"/>
      <c r="C46" s="721"/>
      <c r="D46" s="721"/>
      <c r="E46" s="721"/>
      <c r="F46" s="721"/>
      <c r="G46" s="721"/>
      <c r="H46" s="721"/>
      <c r="I46" s="722">
        <f>H6</f>
        <v>2017</v>
      </c>
      <c r="J46" s="722">
        <f>I6</f>
        <v>2018</v>
      </c>
      <c r="K46" s="723">
        <v>2</v>
      </c>
    </row>
    <row r="47" spans="1:17" x14ac:dyDescent="0.25">
      <c r="A47" s="932" t="s">
        <v>472</v>
      </c>
      <c r="B47" s="724"/>
      <c r="C47" s="724"/>
      <c r="D47" s="724"/>
      <c r="E47" s="724"/>
      <c r="F47" s="724"/>
      <c r="G47" s="724"/>
      <c r="H47" s="724"/>
      <c r="I47" s="722">
        <f>N6</f>
        <v>2017</v>
      </c>
      <c r="J47" s="722">
        <f>O6</f>
        <v>2018</v>
      </c>
      <c r="K47" s="725">
        <v>3</v>
      </c>
    </row>
    <row r="48" spans="1:17" x14ac:dyDescent="0.25">
      <c r="A48" s="932" t="s">
        <v>476</v>
      </c>
      <c r="B48" s="724"/>
      <c r="C48" s="724"/>
      <c r="D48" s="724"/>
      <c r="E48" s="724"/>
      <c r="F48" s="724"/>
      <c r="G48" s="724"/>
      <c r="H48" s="724"/>
      <c r="I48" s="722">
        <f>B21</f>
        <v>2017</v>
      </c>
      <c r="J48" s="722">
        <f>C21</f>
        <v>2018</v>
      </c>
      <c r="K48" s="725">
        <v>4</v>
      </c>
    </row>
    <row r="49" spans="1:11" x14ac:dyDescent="0.25">
      <c r="A49" s="932" t="s">
        <v>477</v>
      </c>
      <c r="B49" s="724"/>
      <c r="C49" s="724"/>
      <c r="D49" s="724"/>
      <c r="E49" s="724"/>
      <c r="F49" s="724"/>
      <c r="G49" s="724"/>
      <c r="H49" s="724"/>
      <c r="I49" s="722">
        <f>H21</f>
        <v>2017</v>
      </c>
      <c r="J49" s="722">
        <f>I21</f>
        <v>2018</v>
      </c>
      <c r="K49" s="725">
        <v>5</v>
      </c>
    </row>
    <row r="50" spans="1:11" ht="13" thickBot="1" x14ac:dyDescent="0.3">
      <c r="A50" s="933" t="s">
        <v>478</v>
      </c>
      <c r="B50" s="726"/>
      <c r="C50" s="726"/>
      <c r="D50" s="726"/>
      <c r="E50" s="726"/>
      <c r="F50" s="726"/>
      <c r="G50" s="726"/>
      <c r="H50" s="726"/>
      <c r="I50" s="727">
        <f>N21</f>
        <v>2017</v>
      </c>
      <c r="J50" s="727">
        <f>O21</f>
        <v>2018</v>
      </c>
      <c r="K50" s="728">
        <v>6</v>
      </c>
    </row>
    <row r="51" spans="1:11" ht="13" thickBot="1" x14ac:dyDescent="0.3">
      <c r="A51" s="1427" t="e">
        <f>VLOOKUP(A44,A45:K50,11,(FALSE))</f>
        <v>#REF!</v>
      </c>
      <c r="B51" s="1428"/>
      <c r="C51" s="1428"/>
      <c r="D51" s="1428"/>
      <c r="E51" s="1428"/>
      <c r="F51" s="1428"/>
      <c r="G51" s="1428"/>
      <c r="H51" s="1428"/>
      <c r="I51" s="1428"/>
      <c r="J51" s="1428"/>
      <c r="K51" s="1429"/>
    </row>
  </sheetData>
  <mergeCells count="47">
    <mergeCell ref="A5:C5"/>
    <mergeCell ref="G5:I5"/>
    <mergeCell ref="M5:O5"/>
    <mergeCell ref="S5:U5"/>
    <mergeCell ref="A3:E3"/>
    <mergeCell ref="G3:K3"/>
    <mergeCell ref="M3:Q3"/>
    <mergeCell ref="A4:C4"/>
    <mergeCell ref="D4:D6"/>
    <mergeCell ref="E4:E6"/>
    <mergeCell ref="G4:I4"/>
    <mergeCell ref="J4:J6"/>
    <mergeCell ref="K4:K6"/>
    <mergeCell ref="M4:O4"/>
    <mergeCell ref="P4:P6"/>
    <mergeCell ref="Q4:Q6"/>
    <mergeCell ref="S4:U4"/>
    <mergeCell ref="V4:V6"/>
    <mergeCell ref="W4:W6"/>
    <mergeCell ref="N33:Q33"/>
    <mergeCell ref="A18:E18"/>
    <mergeCell ref="G18:K18"/>
    <mergeCell ref="M18:Q18"/>
    <mergeCell ref="A19:C19"/>
    <mergeCell ref="D19:D21"/>
    <mergeCell ref="E19:E21"/>
    <mergeCell ref="G19:I19"/>
    <mergeCell ref="J19:J21"/>
    <mergeCell ref="K19:K21"/>
    <mergeCell ref="M19:O19"/>
    <mergeCell ref="P19:P21"/>
    <mergeCell ref="Q19:Q21"/>
    <mergeCell ref="A20:C20"/>
    <mergeCell ref="G20:I20"/>
    <mergeCell ref="M20:O20"/>
    <mergeCell ref="I44:J44"/>
    <mergeCell ref="A51:K51"/>
    <mergeCell ref="A34:E34"/>
    <mergeCell ref="G34:G36"/>
    <mergeCell ref="H34:H36"/>
    <mergeCell ref="I34:I36"/>
    <mergeCell ref="J34:J36"/>
    <mergeCell ref="K34:K36"/>
    <mergeCell ref="A35:C35"/>
    <mergeCell ref="D35:D37"/>
    <mergeCell ref="E35:E37"/>
    <mergeCell ref="A36:C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47EE-A125-4547-B2B7-6499B682CCCD}">
  <dimension ref="A1:Q111"/>
  <sheetViews>
    <sheetView view="pageBreakPreview" topLeftCell="A46" zoomScale="96" zoomScaleNormal="100" zoomScaleSheetLayoutView="96" zoomScalePageLayoutView="86" workbookViewId="0">
      <selection activeCell="N103" sqref="N103"/>
    </sheetView>
  </sheetViews>
  <sheetFormatPr defaultColWidth="9.26953125" defaultRowHeight="14" x14ac:dyDescent="0.25"/>
  <cols>
    <col min="1" max="1" width="4.453125" style="139" customWidth="1"/>
    <col min="2" max="2" width="4.26953125" style="139" customWidth="1"/>
    <col min="3" max="3" width="19.26953125" style="139" customWidth="1"/>
    <col min="4" max="4" width="2.7265625" style="139" customWidth="1"/>
    <col min="5" max="9" width="17" style="139" customWidth="1"/>
    <col min="10" max="10" width="11.81640625" style="139" customWidth="1"/>
    <col min="11" max="11" width="16.54296875" style="139" customWidth="1"/>
    <col min="12" max="12" width="9.453125" style="139" customWidth="1"/>
    <col min="13" max="16384" width="9.26953125" style="139"/>
  </cols>
  <sheetData>
    <row r="1" spans="1:11" ht="18" x14ac:dyDescent="0.25">
      <c r="A1" s="1806" t="str">
        <f>PENYELIA!A1</f>
        <v>HASIL KALIBRASI KALIBRASI SHORT WAVE DIATHERMY</v>
      </c>
      <c r="B1" s="1806"/>
      <c r="C1" s="1806"/>
      <c r="D1" s="1806"/>
      <c r="E1" s="1806"/>
      <c r="F1" s="1806"/>
      <c r="G1" s="1806"/>
      <c r="H1" s="1806"/>
      <c r="I1" s="1806"/>
      <c r="J1" s="1806"/>
      <c r="K1" s="1806"/>
    </row>
    <row r="2" spans="1:11" ht="15.5" x14ac:dyDescent="0.25">
      <c r="A2" s="1807" t="str">
        <f>PENYELIA!A2</f>
        <v>Nomor Sertifikat : 43 / 19 / III - 25 / E - 009.678 DL</v>
      </c>
      <c r="B2" s="1807"/>
      <c r="C2" s="1807"/>
      <c r="D2" s="1807"/>
      <c r="E2" s="1807"/>
      <c r="F2" s="1807"/>
      <c r="G2" s="1807"/>
      <c r="H2" s="1807"/>
      <c r="I2" s="1807"/>
      <c r="J2" s="1807"/>
      <c r="K2" s="1807"/>
    </row>
    <row r="3" spans="1:11" x14ac:dyDescent="0.25">
      <c r="A3" s="337"/>
      <c r="B3" s="337"/>
      <c r="C3" s="337"/>
      <c r="D3" s="337"/>
      <c r="E3" s="337"/>
      <c r="F3" s="337"/>
      <c r="G3" s="337"/>
      <c r="H3" s="337"/>
      <c r="I3" s="337"/>
      <c r="J3" s="337"/>
    </row>
    <row r="4" spans="1:11" x14ac:dyDescent="0.25">
      <c r="A4" s="337"/>
      <c r="B4" s="337"/>
      <c r="C4" s="337"/>
      <c r="D4" s="337"/>
      <c r="E4" s="337"/>
      <c r="F4" s="337"/>
      <c r="G4" s="337"/>
      <c r="H4" s="337"/>
      <c r="I4" s="337"/>
      <c r="J4" s="337"/>
    </row>
    <row r="5" spans="1:11" x14ac:dyDescent="0.25">
      <c r="A5" s="139" t="str">
        <f>PENYELIA!A4</f>
        <v>Merek</v>
      </c>
      <c r="C5" s="338"/>
      <c r="D5" s="112" t="s">
        <v>1</v>
      </c>
      <c r="E5" s="339" t="str">
        <f>PENYELIA!E4</f>
        <v>x</v>
      </c>
    </row>
    <row r="6" spans="1:11" x14ac:dyDescent="0.25">
      <c r="A6" s="139" t="str">
        <f>PENYELIA!A5</f>
        <v>Model/Tipe</v>
      </c>
      <c r="C6" s="338"/>
      <c r="D6" s="112" t="s">
        <v>1</v>
      </c>
      <c r="E6" s="339" t="str">
        <f>PENYELIA!E5</f>
        <v>s</v>
      </c>
    </row>
    <row r="7" spans="1:11" x14ac:dyDescent="0.25">
      <c r="A7" s="139" t="str">
        <f>PENYELIA!A6</f>
        <v>No. Seri</v>
      </c>
      <c r="C7" s="338"/>
      <c r="D7" s="112" t="s">
        <v>1</v>
      </c>
      <c r="E7" s="339" t="str">
        <f>PENYELIA!E6</f>
        <v>d</v>
      </c>
      <c r="F7" s="340"/>
    </row>
    <row r="8" spans="1:11" x14ac:dyDescent="0.25">
      <c r="A8" s="139" t="str">
        <f>PENYELIA!A7</f>
        <v>Tanggal Penerimaan Alat</v>
      </c>
      <c r="C8" s="338"/>
      <c r="D8" s="112"/>
      <c r="E8" s="339" t="str">
        <f>PENYELIA!E7</f>
        <v>s</v>
      </c>
      <c r="F8" s="340"/>
    </row>
    <row r="9" spans="1:11" x14ac:dyDescent="0.25">
      <c r="A9" s="139" t="str">
        <f>PENYELIA!A8</f>
        <v>Tanggal Kalibrasi</v>
      </c>
      <c r="C9" s="338"/>
      <c r="D9" s="112" t="s">
        <v>1</v>
      </c>
      <c r="E9" s="339" t="str">
        <f>PENYELIA!E8</f>
        <v>d</v>
      </c>
    </row>
    <row r="10" spans="1:11" x14ac:dyDescent="0.25">
      <c r="A10" s="139" t="str">
        <f>PENYELIA!A9</f>
        <v>Tempat Kalibrasi</v>
      </c>
      <c r="C10" s="338"/>
      <c r="D10" s="112" t="s">
        <v>1</v>
      </c>
      <c r="E10" s="339" t="str">
        <f>PENYELIA!E9</f>
        <v>f</v>
      </c>
    </row>
    <row r="11" spans="1:11" x14ac:dyDescent="0.25">
      <c r="A11" s="139" t="str">
        <f>PENYELIA!A10</f>
        <v>Nama Ruang</v>
      </c>
      <c r="C11" s="338"/>
      <c r="D11" s="112" t="s">
        <v>1</v>
      </c>
      <c r="E11" s="339" t="str">
        <f>PENYELIA!E10</f>
        <v>g</v>
      </c>
    </row>
    <row r="12" spans="1:11" x14ac:dyDescent="0.25">
      <c r="A12" s="139" t="str">
        <f>PENYELIA!A11</f>
        <v>Metode Kerja</v>
      </c>
      <c r="C12" s="338"/>
      <c r="D12" s="112" t="s">
        <v>1</v>
      </c>
      <c r="E12" s="339" t="str">
        <f>PENYELIA!E11</f>
        <v>KL.MK 13</v>
      </c>
    </row>
    <row r="13" spans="1:11" ht="3.75" customHeight="1" x14ac:dyDescent="0.25"/>
    <row r="14" spans="1:11" x14ac:dyDescent="0.25">
      <c r="A14" s="341" t="s">
        <v>9</v>
      </c>
      <c r="B14" s="341" t="str">
        <f>PENYELIA!B13</f>
        <v>Kondisi Ruang</v>
      </c>
    </row>
    <row r="15" spans="1:11" ht="3.75" customHeight="1" x14ac:dyDescent="0.25">
      <c r="A15" s="341"/>
      <c r="B15" s="341"/>
    </row>
    <row r="16" spans="1:11" x14ac:dyDescent="0.25">
      <c r="B16" s="139" t="str">
        <f>PENYELIA!B14</f>
        <v xml:space="preserve">1. Suhu </v>
      </c>
      <c r="D16" s="112" t="s">
        <v>1</v>
      </c>
      <c r="E16" s="342" t="str">
        <f>PENYELIA!E14</f>
        <v>( 23.2 ± 0.3 )</v>
      </c>
      <c r="F16" s="422"/>
      <c r="G16" s="424"/>
      <c r="H16" s="424"/>
    </row>
    <row r="17" spans="1:10" x14ac:dyDescent="0.25">
      <c r="B17" s="139" t="str">
        <f>PENYELIA!B15</f>
        <v xml:space="preserve">2. Kelembaban </v>
      </c>
      <c r="D17" s="112" t="s">
        <v>1</v>
      </c>
      <c r="E17" s="342" t="str">
        <f>PENYELIA!E15</f>
        <v>( 39.2 ± 2.6 )</v>
      </c>
      <c r="F17" s="422"/>
      <c r="G17" s="424"/>
      <c r="H17" s="424"/>
    </row>
    <row r="18" spans="1:10" x14ac:dyDescent="0.25">
      <c r="B18" s="139" t="str">
        <f>PENYELIA!B16</f>
        <v>3. Tegangan Jala-jala</v>
      </c>
      <c r="D18" s="112" t="s">
        <v>1</v>
      </c>
      <c r="E18" s="342" t="str">
        <f>PENYELIA!E16</f>
        <v>( 220.1 ± 2.6 ) Volt</v>
      </c>
      <c r="F18" s="423"/>
      <c r="G18" s="343"/>
      <c r="H18" s="424"/>
    </row>
    <row r="19" spans="1:10" ht="3.75" customHeight="1" x14ac:dyDescent="0.25">
      <c r="C19" s="338"/>
      <c r="D19" s="343"/>
    </row>
    <row r="20" spans="1:10" x14ac:dyDescent="0.25">
      <c r="A20" s="341" t="s">
        <v>204</v>
      </c>
      <c r="B20" s="341" t="str">
        <f>PENYELIA!B18</f>
        <v>Pemeriksaan Kondisi Fisik dan Fungsi Alat</v>
      </c>
    </row>
    <row r="21" spans="1:10" ht="3.75" customHeight="1" x14ac:dyDescent="0.25">
      <c r="A21" s="341"/>
      <c r="B21" s="341"/>
    </row>
    <row r="22" spans="1:10" x14ac:dyDescent="0.25">
      <c r="A22" s="341"/>
      <c r="B22" s="139" t="s">
        <v>21</v>
      </c>
      <c r="C22" s="338"/>
      <c r="D22" s="112" t="s">
        <v>1</v>
      </c>
      <c r="E22" s="339" t="str">
        <f>PENYELIA!E19</f>
        <v>Baik</v>
      </c>
    </row>
    <row r="23" spans="1:10" x14ac:dyDescent="0.25">
      <c r="B23" s="139" t="s">
        <v>23</v>
      </c>
      <c r="C23" s="338"/>
      <c r="D23" s="112" t="s">
        <v>1</v>
      </c>
      <c r="E23" s="339" t="str">
        <f>PENYELIA!E20</f>
        <v>Baik</v>
      </c>
    </row>
    <row r="24" spans="1:10" ht="3.75" customHeight="1" x14ac:dyDescent="0.25">
      <c r="E24" s="344"/>
    </row>
    <row r="25" spans="1:10" x14ac:dyDescent="0.25">
      <c r="A25" s="341" t="s">
        <v>24</v>
      </c>
      <c r="B25" s="341" t="str">
        <f>PENYELIA!B22</f>
        <v xml:space="preserve">Pengujian keselamatan listrik </v>
      </c>
      <c r="E25" s="344"/>
    </row>
    <row r="26" spans="1:10" ht="3.75" customHeight="1" x14ac:dyDescent="0.25">
      <c r="A26" s="341"/>
      <c r="B26" s="341"/>
      <c r="E26" s="344"/>
    </row>
    <row r="27" spans="1:10" ht="30.75" customHeight="1" x14ac:dyDescent="0.25">
      <c r="B27" s="345" t="s">
        <v>26</v>
      </c>
      <c r="C27" s="1808" t="s">
        <v>27</v>
      </c>
      <c r="D27" s="1809"/>
      <c r="E27" s="1809"/>
      <c r="F27" s="1809"/>
      <c r="G27" s="1808" t="s">
        <v>28</v>
      </c>
      <c r="H27" s="1810"/>
      <c r="I27" s="1811" t="s">
        <v>29</v>
      </c>
      <c r="J27" s="1811"/>
    </row>
    <row r="28" spans="1:10" ht="15" customHeight="1" x14ac:dyDescent="0.25">
      <c r="B28" s="346">
        <v>1</v>
      </c>
      <c r="C28" s="992" t="str">
        <f>PENYELIA!C24</f>
        <v xml:space="preserve">Resistansi Isolasi </v>
      </c>
      <c r="D28" s="347"/>
      <c r="E28" s="348"/>
      <c r="F28" s="348"/>
      <c r="G28" s="365" t="str">
        <f>PENYELIA!H24</f>
        <v>-</v>
      </c>
      <c r="H28" s="349" t="str">
        <f>PENYELIA!I24</f>
        <v/>
      </c>
      <c r="I28" s="421">
        <f>PENYELIA!J24</f>
        <v>2</v>
      </c>
      <c r="J28" s="81" t="str">
        <f>PENYELIA!K24</f>
        <v>M Ω</v>
      </c>
    </row>
    <row r="29" spans="1:10" ht="15" customHeight="1" x14ac:dyDescent="0.25">
      <c r="B29" s="346">
        <v>2</v>
      </c>
      <c r="C29" s="1812" t="str">
        <f>PENYELIA!C25</f>
        <v>Resistansi Pembumian Protektif (kabel dapat dilepas)</v>
      </c>
      <c r="D29" s="1813"/>
      <c r="E29" s="1813"/>
      <c r="F29" s="1813"/>
      <c r="G29" s="365" t="str">
        <f>PENYELIA!H25</f>
        <v>-</v>
      </c>
      <c r="H29" s="349" t="str">
        <f>PENYELIA!I25</f>
        <v/>
      </c>
      <c r="I29" s="977">
        <f>PENYELIA!J25</f>
        <v>0.2</v>
      </c>
      <c r="J29" s="81" t="str">
        <f>PENYELIA!K25</f>
        <v xml:space="preserve"> Ω</v>
      </c>
    </row>
    <row r="30" spans="1:10" ht="15" customHeight="1" x14ac:dyDescent="0.25">
      <c r="B30" s="346">
        <v>3</v>
      </c>
      <c r="C30" s="1814" t="str">
        <f>PENYELIA!C26</f>
        <v>Arus bocor peralatan untuk peralatan elektromedik kelas I</v>
      </c>
      <c r="D30" s="1815"/>
      <c r="E30" s="1815"/>
      <c r="F30" s="1815"/>
      <c r="G30" s="365" t="str">
        <f>PENYELIA!H26</f>
        <v>-</v>
      </c>
      <c r="H30" s="349" t="str">
        <f>PENYELIA!I26</f>
        <v/>
      </c>
      <c r="I30" s="421">
        <f>PENYELIA!J26</f>
        <v>500</v>
      </c>
      <c r="J30" s="81" t="str">
        <f>PENYELIA!K26</f>
        <v xml:space="preserve"> µA</v>
      </c>
    </row>
    <row r="31" spans="1:10" ht="15" customHeight="1" x14ac:dyDescent="0.25">
      <c r="B31" s="346">
        <v>4</v>
      </c>
      <c r="C31" s="992" t="str">
        <f>PENYELIA!C27</f>
        <v>Arus bocor peralatan yang diaplikasikan</v>
      </c>
      <c r="D31" s="348"/>
      <c r="E31" s="348"/>
      <c r="F31" s="348"/>
      <c r="G31" s="365" t="str">
        <f>PENYELIA!H27</f>
        <v>-</v>
      </c>
      <c r="H31" s="349" t="str">
        <f>PENYELIA!I27</f>
        <v/>
      </c>
      <c r="I31" s="421" t="str">
        <f>PENYELIA!J27</f>
        <v>≤ 50</v>
      </c>
      <c r="J31" s="81" t="str">
        <f>PENYELIA!K27</f>
        <v xml:space="preserve"> µA</v>
      </c>
    </row>
    <row r="32" spans="1:10" ht="3.75" customHeight="1" x14ac:dyDescent="0.25">
      <c r="E32" s="344"/>
    </row>
    <row r="33" spans="1:14" x14ac:dyDescent="0.25">
      <c r="A33" s="350" t="s">
        <v>46</v>
      </c>
      <c r="B33" s="350" t="str">
        <f>PENYELIA!B29</f>
        <v>Pengujian Kinerja</v>
      </c>
    </row>
    <row r="34" spans="1:14" ht="3.75" customHeight="1" x14ac:dyDescent="0.25">
      <c r="A34" s="350"/>
      <c r="B34" s="350"/>
    </row>
    <row r="35" spans="1:14" s="129" customFormat="1" ht="15.5" x14ac:dyDescent="0.25">
      <c r="A35" s="350"/>
      <c r="B35" s="350" t="str">
        <f>PENYELIA!B31</f>
        <v xml:space="preserve">a. </v>
      </c>
      <c r="C35" s="350" t="str">
        <f>PENYELIA!C31</f>
        <v>Pengamatan Transmisi Energi Gelombang Pendek</v>
      </c>
      <c r="E35" s="139"/>
      <c r="F35" s="139"/>
      <c r="G35" s="139"/>
      <c r="H35" s="139"/>
      <c r="I35" s="139"/>
      <c r="J35" s="139"/>
      <c r="K35" s="139"/>
      <c r="L35" s="139"/>
      <c r="M35" s="12"/>
      <c r="N35" s="12"/>
    </row>
    <row r="36" spans="1:14" s="129" customFormat="1" ht="6" customHeight="1" x14ac:dyDescent="0.25">
      <c r="A36" s="350"/>
      <c r="B36" s="350"/>
      <c r="C36" s="350"/>
      <c r="D36" s="350"/>
      <c r="E36" s="350"/>
      <c r="F36" s="350"/>
      <c r="G36" s="350"/>
      <c r="H36" s="350"/>
      <c r="I36" s="350"/>
      <c r="J36" s="139"/>
      <c r="K36" s="139"/>
      <c r="L36" s="139"/>
      <c r="M36" s="12"/>
      <c r="N36" s="12"/>
    </row>
    <row r="37" spans="1:14" s="129" customFormat="1" ht="15.5" x14ac:dyDescent="0.25">
      <c r="A37" s="350"/>
      <c r="B37" s="1805" t="str">
        <f>PENYELIA!B33</f>
        <v>Pengamatan</v>
      </c>
      <c r="C37" s="1805"/>
      <c r="D37" s="1805" t="str">
        <f>PENYELIA!D33</f>
        <v>Setting Alat</v>
      </c>
      <c r="E37" s="1805"/>
      <c r="F37" s="350"/>
      <c r="G37" s="350">
        <f>ID!G43</f>
        <v>0</v>
      </c>
      <c r="H37" s="350"/>
      <c r="I37" s="350"/>
      <c r="J37" s="139"/>
      <c r="K37" s="139"/>
      <c r="L37" s="139"/>
      <c r="M37" s="12"/>
      <c r="N37" s="12"/>
    </row>
    <row r="38" spans="1:14" s="129" customFormat="1" ht="46.5" customHeight="1" x14ac:dyDescent="0.25">
      <c r="A38" s="350"/>
      <c r="B38" s="1805" t="str">
        <f>PENYELIA!B34</f>
        <v>Lampu / Tabung Flourosen</v>
      </c>
      <c r="C38" s="1805"/>
      <c r="D38" s="1805" t="str">
        <f>PENYELIA!D34</f>
        <v>0 - 50 Watt / 0.5 dari nilai lampu / tabung flourosen</v>
      </c>
      <c r="E38" s="1805"/>
      <c r="F38" s="350"/>
      <c r="G38" s="350">
        <f>ID!G44</f>
        <v>0</v>
      </c>
      <c r="H38" s="350"/>
      <c r="I38" s="350"/>
      <c r="J38" s="139"/>
      <c r="K38" s="139"/>
      <c r="L38" s="139"/>
      <c r="M38" s="12"/>
      <c r="N38" s="12"/>
    </row>
    <row r="39" spans="1:14" s="129" customFormat="1" ht="6" customHeight="1" x14ac:dyDescent="0.25">
      <c r="A39" s="350"/>
      <c r="B39" s="950"/>
      <c r="C39" s="950"/>
      <c r="D39" s="950"/>
      <c r="E39" s="950"/>
      <c r="F39" s="350"/>
      <c r="G39" s="350"/>
      <c r="H39" s="350"/>
      <c r="I39" s="350"/>
      <c r="J39" s="139"/>
      <c r="K39" s="139"/>
      <c r="L39" s="139"/>
      <c r="M39" s="12"/>
      <c r="N39" s="12"/>
    </row>
    <row r="40" spans="1:14" s="129" customFormat="1" ht="15.5" x14ac:dyDescent="0.25">
      <c r="A40" s="350"/>
      <c r="B40" s="950"/>
      <c r="C40" s="1023" t="str">
        <f>PENYELIA!C38</f>
        <v>- Frekuensi Output</v>
      </c>
      <c r="D40" s="950"/>
      <c r="E40" s="950"/>
      <c r="F40" s="350"/>
      <c r="G40" s="350"/>
      <c r="H40" s="350"/>
      <c r="I40" s="350"/>
      <c r="J40" s="139"/>
      <c r="K40" s="139"/>
      <c r="L40" s="139"/>
      <c r="M40" s="12"/>
      <c r="N40" s="12"/>
    </row>
    <row r="41" spans="1:14" s="129" customFormat="1" ht="6" customHeight="1" x14ac:dyDescent="0.25">
      <c r="A41" s="350"/>
      <c r="B41" s="950"/>
      <c r="C41" s="950"/>
      <c r="D41" s="950"/>
      <c r="E41" s="950"/>
      <c r="F41" s="350"/>
      <c r="G41" s="350"/>
      <c r="H41" s="350"/>
      <c r="I41" s="350"/>
      <c r="J41" s="139"/>
      <c r="K41" s="139"/>
      <c r="L41" s="139"/>
      <c r="M41" s="12"/>
      <c r="N41" s="12"/>
    </row>
    <row r="42" spans="1:14" s="129" customFormat="1" ht="16.5" customHeight="1" x14ac:dyDescent="0.25">
      <c r="A42" s="350"/>
      <c r="B42" s="1805" t="str">
        <f>PENYELIA!B41</f>
        <v>(MHz)</v>
      </c>
      <c r="C42" s="1805"/>
      <c r="D42" s="1805">
        <f>PENYELIA!D41</f>
        <v>0</v>
      </c>
      <c r="E42" s="1805"/>
      <c r="F42" s="350"/>
      <c r="G42" s="350" t="e">
        <f>ID!#REF!</f>
        <v>#REF!</v>
      </c>
      <c r="H42" s="350"/>
      <c r="I42" s="350"/>
      <c r="J42" s="139"/>
      <c r="K42" s="139"/>
      <c r="L42" s="139"/>
      <c r="M42" s="12"/>
      <c r="N42" s="12"/>
    </row>
    <row r="43" spans="1:14" s="129" customFormat="1" ht="16.5" customHeight="1" x14ac:dyDescent="0.25">
      <c r="A43" s="350"/>
      <c r="B43" s="1805">
        <f>PENYELIA!B42</f>
        <v>27.12</v>
      </c>
      <c r="C43" s="1805"/>
      <c r="D43" s="1805">
        <f>PENYELIA!D42</f>
        <v>0</v>
      </c>
      <c r="E43" s="1805"/>
      <c r="F43" s="350"/>
      <c r="G43" s="350">
        <f>ID!G48</f>
        <v>0</v>
      </c>
      <c r="H43" s="350"/>
      <c r="I43" s="350"/>
      <c r="J43" s="139"/>
      <c r="K43" s="139"/>
      <c r="L43" s="139"/>
      <c r="M43" s="12"/>
      <c r="N43" s="12"/>
    </row>
    <row r="44" spans="1:14" s="129" customFormat="1" ht="16.5" customHeight="1" x14ac:dyDescent="0.25">
      <c r="A44" s="350"/>
      <c r="B44" s="350"/>
      <c r="C44" s="350"/>
      <c r="E44" s="139"/>
      <c r="F44" s="139"/>
      <c r="G44" s="139"/>
      <c r="H44" s="139"/>
      <c r="I44" s="139"/>
      <c r="J44" s="139"/>
      <c r="K44" s="139"/>
      <c r="L44" s="139"/>
      <c r="M44" s="12"/>
      <c r="N44" s="12"/>
    </row>
    <row r="45" spans="1:14" s="936" customFormat="1" x14ac:dyDescent="0.3">
      <c r="A45" s="663"/>
      <c r="B45" s="663" t="e">
        <f>PENYELIA!#REF!</f>
        <v>#REF!</v>
      </c>
      <c r="C45" s="663" t="e">
        <f>PENYELIA!#REF!</f>
        <v>#REF!</v>
      </c>
      <c r="D45" s="934"/>
      <c r="E45" s="934"/>
      <c r="F45" s="934"/>
      <c r="G45" s="934"/>
      <c r="H45" s="663"/>
      <c r="I45" s="663"/>
      <c r="J45" s="670"/>
      <c r="K45" s="670"/>
      <c r="L45" s="670"/>
      <c r="M45" s="935"/>
    </row>
    <row r="46" spans="1:14" s="936" customFormat="1" ht="3.75" customHeight="1" x14ac:dyDescent="0.3">
      <c r="A46" s="663"/>
      <c r="B46" s="663"/>
      <c r="C46" s="664"/>
      <c r="D46" s="934"/>
      <c r="E46" s="934"/>
      <c r="F46" s="934"/>
      <c r="G46" s="934"/>
      <c r="H46" s="663"/>
      <c r="I46" s="663"/>
      <c r="J46" s="670"/>
      <c r="K46" s="670"/>
      <c r="L46" s="670"/>
      <c r="M46" s="935"/>
    </row>
    <row r="47" spans="1:14" s="936" customFormat="1" x14ac:dyDescent="0.3">
      <c r="A47" s="663"/>
      <c r="B47" s="663"/>
      <c r="C47" s="664" t="str">
        <f>PENYELIA!C44</f>
        <v>- Pulse Frekuensi (Hz)</v>
      </c>
      <c r="D47" s="934"/>
      <c r="E47" s="934"/>
      <c r="F47" s="934"/>
      <c r="G47" s="934"/>
      <c r="H47" s="663"/>
      <c r="I47" s="663"/>
      <c r="J47" s="670"/>
      <c r="K47" s="670"/>
      <c r="L47" s="670"/>
      <c r="M47" s="935"/>
    </row>
    <row r="48" spans="1:14" s="936" customFormat="1" ht="4.5" customHeight="1" x14ac:dyDescent="0.3">
      <c r="A48" s="663"/>
      <c r="B48" s="663"/>
      <c r="C48" s="664"/>
      <c r="D48" s="934"/>
      <c r="E48" s="934"/>
      <c r="F48" s="934"/>
      <c r="G48" s="934"/>
      <c r="H48" s="663"/>
      <c r="I48" s="663"/>
      <c r="J48" s="670"/>
      <c r="K48" s="670"/>
      <c r="L48" s="670"/>
      <c r="M48" s="935"/>
    </row>
    <row r="49" spans="2:17" s="944" customFormat="1" ht="14.25" customHeight="1" x14ac:dyDescent="0.3">
      <c r="B49" s="1816" t="str">
        <f>PENYELIA!B46</f>
        <v>No</v>
      </c>
      <c r="C49" s="1818" t="str">
        <f>PENYELIA!C46</f>
        <v>Setting Alat</v>
      </c>
      <c r="D49" s="1819"/>
      <c r="E49" s="1820" t="s">
        <v>49</v>
      </c>
      <c r="F49" s="1821" t="s">
        <v>95</v>
      </c>
      <c r="G49" s="1821" t="s">
        <v>483</v>
      </c>
      <c r="H49" s="1822" t="s">
        <v>50</v>
      </c>
      <c r="I49" s="1820" t="s">
        <v>484</v>
      </c>
      <c r="K49" s="1733"/>
      <c r="L49" s="1665"/>
      <c r="M49" s="1666"/>
    </row>
    <row r="50" spans="2:17" s="944" customFormat="1" ht="30.75" customHeight="1" x14ac:dyDescent="0.3">
      <c r="B50" s="1817"/>
      <c r="C50" s="1818" t="str">
        <f>PENYELIA!C47</f>
        <v>(Hz)</v>
      </c>
      <c r="D50" s="1819"/>
      <c r="E50" s="1820"/>
      <c r="F50" s="1821"/>
      <c r="G50" s="1821"/>
      <c r="H50" s="1822"/>
      <c r="I50" s="1820"/>
      <c r="K50" s="1733"/>
      <c r="L50" s="1665"/>
      <c r="M50" s="1666"/>
    </row>
    <row r="51" spans="2:17" s="944" customFormat="1" x14ac:dyDescent="0.3">
      <c r="B51" s="396">
        <v>1</v>
      </c>
      <c r="C51" s="1818">
        <f>PENYELIA!C48</f>
        <v>1</v>
      </c>
      <c r="D51" s="1819"/>
      <c r="E51" s="951">
        <f>PENYELIA!E48</f>
        <v>1.0013433333333335</v>
      </c>
      <c r="F51" s="951">
        <f>PENYELIA!F48</f>
        <v>1.343333333333474E-3</v>
      </c>
      <c r="G51" s="951">
        <f>PENYELIA!G48</f>
        <v>0.1343333333333474</v>
      </c>
      <c r="H51" s="1823" t="s">
        <v>375</v>
      </c>
      <c r="I51" s="952">
        <f>PENYELIA!I48</f>
        <v>0.41335545284188852</v>
      </c>
      <c r="K51" s="943"/>
      <c r="L51" s="943"/>
      <c r="M51" s="1018"/>
      <c r="O51" s="1019"/>
      <c r="P51" s="1020"/>
    </row>
    <row r="52" spans="2:17" s="936" customFormat="1" ht="17.149999999999999" customHeight="1" x14ac:dyDescent="0.3">
      <c r="B52" s="396">
        <v>2</v>
      </c>
      <c r="C52" s="1818">
        <f>PENYELIA!C49</f>
        <v>2</v>
      </c>
      <c r="D52" s="1819"/>
      <c r="E52" s="951">
        <f>PENYELIA!E49</f>
        <v>2.0000100000000001</v>
      </c>
      <c r="F52" s="951">
        <f>PENYELIA!F49</f>
        <v>1.0000000000065512E-5</v>
      </c>
      <c r="G52" s="951">
        <f>PENYELIA!G49</f>
        <v>5.000000000032756E-4</v>
      </c>
      <c r="H52" s="1823"/>
      <c r="I52" s="952">
        <f>PENYELIA!I49</f>
        <v>0.29254445807396956</v>
      </c>
      <c r="K52" s="943"/>
      <c r="L52" s="943"/>
      <c r="M52" s="1018"/>
      <c r="N52" s="944"/>
      <c r="O52" s="1019"/>
      <c r="P52" s="1021"/>
      <c r="Q52" s="1022"/>
    </row>
    <row r="53" spans="2:17" s="936" customFormat="1" ht="17.149999999999999" customHeight="1" x14ac:dyDescent="0.3">
      <c r="B53" s="396">
        <v>3</v>
      </c>
      <c r="C53" s="1818">
        <f>PENYELIA!C50</f>
        <v>3</v>
      </c>
      <c r="D53" s="1819"/>
      <c r="E53" s="951">
        <f>PENYELIA!E50</f>
        <v>3.0000100000000001</v>
      </c>
      <c r="F53" s="951">
        <f>PENYELIA!F50</f>
        <v>1.0000000000065512E-5</v>
      </c>
      <c r="G53" s="951">
        <f>PENYELIA!G50</f>
        <v>3.3333333333551707E-4</v>
      </c>
      <c r="H53" s="1823"/>
      <c r="I53" s="952">
        <f>PENYELIA!I50</f>
        <v>0.29182265447723754</v>
      </c>
      <c r="K53" s="943"/>
      <c r="L53" s="943"/>
      <c r="M53" s="1018"/>
      <c r="N53" s="944"/>
      <c r="O53" s="1019"/>
      <c r="P53" s="1020"/>
    </row>
    <row r="54" spans="2:17" s="936" customFormat="1" ht="17.149999999999999" customHeight="1" x14ac:dyDescent="0.3">
      <c r="B54" s="396">
        <v>4</v>
      </c>
      <c r="C54" s="1818">
        <f>PENYELIA!C51</f>
        <v>4</v>
      </c>
      <c r="D54" s="1819"/>
      <c r="E54" s="951">
        <f>PENYELIA!E51</f>
        <v>4.0000099999999996</v>
      </c>
      <c r="F54" s="951">
        <f>PENYELIA!F51</f>
        <v>9.9999999996214228E-6</v>
      </c>
      <c r="G54" s="951">
        <f>PENYELIA!G51</f>
        <v>2.4999999999053557E-4</v>
      </c>
      <c r="H54" s="1823"/>
      <c r="I54" s="952">
        <f>PENYELIA!I51</f>
        <v>0.2915697457543231</v>
      </c>
      <c r="K54" s="943"/>
      <c r="L54" s="943"/>
      <c r="M54" s="1018"/>
      <c r="N54" s="944"/>
      <c r="O54" s="1019"/>
      <c r="P54" s="1020"/>
    </row>
    <row r="55" spans="2:17" s="936" customFormat="1" ht="17.149999999999999" customHeight="1" x14ac:dyDescent="0.3">
      <c r="B55" s="396">
        <v>5</v>
      </c>
      <c r="C55" s="1818">
        <f>PENYELIA!C52</f>
        <v>5</v>
      </c>
      <c r="D55" s="1819"/>
      <c r="E55" s="951">
        <f>PENYELIA!E52</f>
        <v>5.0000099999999996</v>
      </c>
      <c r="F55" s="951">
        <f>PENYELIA!F52</f>
        <v>9.9999999996214228E-6</v>
      </c>
      <c r="G55" s="951">
        <f>PENYELIA!G52</f>
        <v>1.9999999999242846E-4</v>
      </c>
      <c r="H55" s="1823"/>
      <c r="I55" s="952">
        <f>PENYELIA!I52</f>
        <v>0.29145261612850004</v>
      </c>
      <c r="K55" s="943"/>
      <c r="L55" s="943"/>
      <c r="M55" s="1018"/>
      <c r="N55" s="944"/>
      <c r="O55" s="1019"/>
      <c r="P55" s="1020"/>
    </row>
    <row r="56" spans="2:17" s="936" customFormat="1" ht="3.75" customHeight="1" x14ac:dyDescent="0.3">
      <c r="B56" s="958"/>
      <c r="C56" s="959"/>
      <c r="D56" s="960"/>
      <c r="E56" s="961"/>
      <c r="F56" s="961"/>
      <c r="G56" s="961"/>
      <c r="H56" s="962"/>
      <c r="I56" s="963"/>
      <c r="J56" s="964"/>
      <c r="M56" s="965"/>
      <c r="P56" s="966"/>
    </row>
    <row r="57" spans="2:17" s="936" customFormat="1" ht="15" customHeight="1" x14ac:dyDescent="0.35">
      <c r="B57" s="937"/>
      <c r="C57" s="937" t="str">
        <f>PENYELIA!C54</f>
        <v xml:space="preserve">- Pulse Width (µs) </v>
      </c>
      <c r="D57" s="938"/>
      <c r="E57" s="938"/>
      <c r="F57" s="938"/>
      <c r="G57" s="938"/>
      <c r="H57" s="938"/>
      <c r="I57" s="938"/>
      <c r="J57" s="938"/>
      <c r="K57" s="939"/>
      <c r="L57" s="939"/>
      <c r="M57" s="967"/>
      <c r="P57" s="940"/>
    </row>
    <row r="58" spans="2:17" s="936" customFormat="1" ht="3.75" customHeight="1" x14ac:dyDescent="0.35">
      <c r="B58" s="941"/>
      <c r="C58" s="941"/>
      <c r="D58" s="941"/>
      <c r="E58" s="941"/>
      <c r="F58" s="941"/>
      <c r="G58" s="941"/>
      <c r="H58" s="941"/>
      <c r="I58" s="941"/>
      <c r="J58" s="941"/>
      <c r="K58" s="939"/>
      <c r="L58" s="939"/>
      <c r="M58" s="967"/>
      <c r="P58" s="940"/>
    </row>
    <row r="59" spans="2:17" s="936" customFormat="1" ht="15" customHeight="1" x14ac:dyDescent="0.35">
      <c r="B59" s="1816" t="str">
        <f>PENYELIA!B56</f>
        <v>No</v>
      </c>
      <c r="C59" s="1818" t="str">
        <f>PENYELIA!C56</f>
        <v>Setting Alat</v>
      </c>
      <c r="D59" s="1819"/>
      <c r="E59" s="1824" t="s">
        <v>49</v>
      </c>
      <c r="F59" s="1825" t="s">
        <v>95</v>
      </c>
      <c r="G59" s="1825" t="s">
        <v>483</v>
      </c>
      <c r="H59" s="1831" t="s">
        <v>50</v>
      </c>
      <c r="I59" s="1824" t="s">
        <v>484</v>
      </c>
      <c r="K59" s="1717"/>
      <c r="L59" s="1660"/>
      <c r="M59" s="1655"/>
      <c r="P59" s="940"/>
    </row>
    <row r="60" spans="2:17" s="936" customFormat="1" ht="30" customHeight="1" x14ac:dyDescent="0.35">
      <c r="B60" s="1817"/>
      <c r="C60" s="1818" t="str">
        <f>PENYELIA!C57</f>
        <v>(µs)</v>
      </c>
      <c r="D60" s="1819"/>
      <c r="E60" s="1824"/>
      <c r="F60" s="1825"/>
      <c r="G60" s="1825"/>
      <c r="H60" s="1831"/>
      <c r="I60" s="1824"/>
      <c r="K60" s="1717"/>
      <c r="L60" s="1660"/>
      <c r="M60" s="1655"/>
      <c r="P60" s="940"/>
    </row>
    <row r="61" spans="2:17" s="936" customFormat="1" ht="15" customHeight="1" x14ac:dyDescent="0.35">
      <c r="B61" s="396">
        <v>1</v>
      </c>
      <c r="C61" s="1826">
        <f>PENYELIA!C58</f>
        <v>10</v>
      </c>
      <c r="D61" s="1827"/>
      <c r="E61" s="942">
        <f>PENYELIA!E58</f>
        <v>11.182657908034361</v>
      </c>
      <c r="F61" s="942">
        <f>PENYELIA!F58</f>
        <v>1.1826579080343613</v>
      </c>
      <c r="G61" s="942">
        <f>PENYELIA!G58</f>
        <v>11.826579080343613</v>
      </c>
      <c r="H61" s="1828" t="s">
        <v>375</v>
      </c>
      <c r="I61" s="1011">
        <f>PENYELIA!I58</f>
        <v>0.63044061834166676</v>
      </c>
      <c r="K61" s="943"/>
      <c r="L61" s="943"/>
      <c r="M61" s="1018"/>
      <c r="N61" s="944"/>
      <c r="P61" s="940"/>
    </row>
    <row r="62" spans="2:17" s="936" customFormat="1" ht="15" customHeight="1" x14ac:dyDescent="0.35">
      <c r="B62" s="396">
        <v>2</v>
      </c>
      <c r="C62" s="1826">
        <f>PENYELIA!C59</f>
        <v>50</v>
      </c>
      <c r="D62" s="1827"/>
      <c r="E62" s="942">
        <f>PENYELIA!E59</f>
        <v>51.267508842849921</v>
      </c>
      <c r="F62" s="942">
        <f>PENYELIA!F59</f>
        <v>1.2675088428499208</v>
      </c>
      <c r="G62" s="942">
        <f>PENYELIA!G59</f>
        <v>2.5350176856998416</v>
      </c>
      <c r="H62" s="1829"/>
      <c r="I62" s="1011">
        <f>PENYELIA!I59</f>
        <v>0.26168439519377695</v>
      </c>
      <c r="K62" s="943"/>
      <c r="L62" s="943"/>
      <c r="M62" s="1018"/>
      <c r="N62" s="944"/>
      <c r="P62" s="940"/>
    </row>
    <row r="63" spans="2:17" s="936" customFormat="1" ht="15" customHeight="1" x14ac:dyDescent="0.35">
      <c r="B63" s="396">
        <v>3</v>
      </c>
      <c r="C63" s="1826">
        <f>PENYELIA!C60</f>
        <v>100</v>
      </c>
      <c r="D63" s="1827"/>
      <c r="E63" s="942">
        <f>PENYELIA!E60</f>
        <v>101.37357251136937</v>
      </c>
      <c r="F63" s="942">
        <f>PENYELIA!F60</f>
        <v>1.3735725113693746</v>
      </c>
      <c r="G63" s="942">
        <f>PENYELIA!G60</f>
        <v>1.3735725113693746</v>
      </c>
      <c r="H63" s="1829"/>
      <c r="I63" s="1011">
        <f>PENYELIA!I60</f>
        <v>0.24058213567029954</v>
      </c>
      <c r="K63" s="943"/>
      <c r="L63" s="943"/>
      <c r="M63" s="1018"/>
      <c r="N63" s="944"/>
      <c r="P63" s="940"/>
    </row>
    <row r="64" spans="2:17" s="936" customFormat="1" ht="15" customHeight="1" x14ac:dyDescent="0.35">
      <c r="B64" s="396">
        <v>4</v>
      </c>
      <c r="C64" s="1826">
        <f>PENYELIA!C61</f>
        <v>300</v>
      </c>
      <c r="D64" s="1827"/>
      <c r="E64" s="942">
        <f>PENYELIA!E61</f>
        <v>301.7978271854472</v>
      </c>
      <c r="F64" s="942">
        <f>PENYELIA!F61</f>
        <v>1.7978271854472041</v>
      </c>
      <c r="G64" s="942">
        <f>PENYELIA!G61</f>
        <v>0.5992757284824014</v>
      </c>
      <c r="H64" s="1829"/>
      <c r="I64" s="1011">
        <f>PENYELIA!I61</f>
        <v>0.2330944256753178</v>
      </c>
      <c r="K64" s="943"/>
      <c r="L64" s="943"/>
      <c r="M64" s="1018"/>
      <c r="N64" s="944"/>
      <c r="P64" s="940"/>
    </row>
    <row r="65" spans="1:16" s="936" customFormat="1" ht="15" customHeight="1" x14ac:dyDescent="0.35">
      <c r="B65" s="396">
        <v>5</v>
      </c>
      <c r="C65" s="1826">
        <f>PENYELIA!C62</f>
        <v>500</v>
      </c>
      <c r="D65" s="1827"/>
      <c r="E65" s="942">
        <f>PENYELIA!E62</f>
        <v>502.22208185952502</v>
      </c>
      <c r="F65" s="942">
        <f>PENYELIA!F62</f>
        <v>2.2220818595250194</v>
      </c>
      <c r="G65" s="942">
        <f>PENYELIA!G62</f>
        <v>0.44441637190500383</v>
      </c>
      <c r="H65" s="1830"/>
      <c r="I65" s="1011">
        <f>PENYELIA!I62</f>
        <v>0.23227417340396206</v>
      </c>
      <c r="K65" s="943"/>
      <c r="L65" s="943"/>
      <c r="M65" s="1018"/>
      <c r="N65" s="944"/>
      <c r="P65" s="940"/>
    </row>
    <row r="66" spans="1:16" s="936" customFormat="1" ht="3.75" customHeight="1" x14ac:dyDescent="0.35">
      <c r="B66" s="939"/>
      <c r="C66" s="939"/>
      <c r="D66" s="939"/>
      <c r="E66" s="939"/>
      <c r="F66" s="939"/>
      <c r="G66" s="939"/>
      <c r="H66" s="939"/>
      <c r="I66" s="939"/>
      <c r="J66" s="939"/>
      <c r="K66" s="939"/>
      <c r="L66" s="939"/>
      <c r="M66" s="967"/>
      <c r="P66" s="940"/>
    </row>
    <row r="67" spans="1:16" s="936" customFormat="1" x14ac:dyDescent="0.3">
      <c r="B67" s="680">
        <f>PENYELIA!B64</f>
        <v>0</v>
      </c>
      <c r="C67" s="680" t="str">
        <f>PENYELIA!C64</f>
        <v>- Waktu Therapy</v>
      </c>
      <c r="D67" s="672"/>
      <c r="E67" s="681"/>
      <c r="F67" s="681"/>
      <c r="G67" s="681"/>
      <c r="H67" s="681"/>
      <c r="I67" s="935"/>
      <c r="J67" s="935"/>
      <c r="K67" s="935"/>
      <c r="L67" s="935"/>
      <c r="M67" s="967"/>
    </row>
    <row r="68" spans="1:16" s="936" customFormat="1" ht="3.75" customHeight="1" x14ac:dyDescent="0.3">
      <c r="B68" s="672"/>
      <c r="C68" s="683"/>
      <c r="D68" s="672"/>
      <c r="E68" s="681"/>
      <c r="F68" s="681"/>
      <c r="G68" s="681"/>
      <c r="H68" s="681"/>
      <c r="I68" s="935"/>
      <c r="J68" s="935"/>
      <c r="K68" s="935"/>
      <c r="L68" s="935"/>
      <c r="M68" s="967"/>
    </row>
    <row r="69" spans="1:16" s="936" customFormat="1" ht="15" customHeight="1" x14ac:dyDescent="0.3">
      <c r="B69" s="1816" t="str">
        <f>B59</f>
        <v>No</v>
      </c>
      <c r="C69" s="1833" t="s">
        <v>149</v>
      </c>
      <c r="D69" s="1833"/>
      <c r="E69" s="1820" t="s">
        <v>49</v>
      </c>
      <c r="F69" s="1821" t="s">
        <v>95</v>
      </c>
      <c r="G69" s="1821" t="s">
        <v>483</v>
      </c>
      <c r="H69" s="1822" t="s">
        <v>50</v>
      </c>
      <c r="I69" s="1820" t="s">
        <v>484</v>
      </c>
      <c r="K69" s="1832"/>
      <c r="M69" s="139"/>
      <c r="N69" s="139"/>
      <c r="O69" s="139"/>
    </row>
    <row r="70" spans="1:16" s="936" customFormat="1" ht="30.75" customHeight="1" x14ac:dyDescent="0.3">
      <c r="B70" s="1817"/>
      <c r="C70" s="1833" t="s">
        <v>379</v>
      </c>
      <c r="D70" s="1833"/>
      <c r="E70" s="1820"/>
      <c r="F70" s="1821"/>
      <c r="G70" s="1821"/>
      <c r="H70" s="1822"/>
      <c r="I70" s="1820"/>
      <c r="K70" s="1832"/>
      <c r="M70" s="139"/>
      <c r="N70" s="139"/>
      <c r="O70" s="139"/>
    </row>
    <row r="71" spans="1:16" s="936" customFormat="1" ht="15" customHeight="1" x14ac:dyDescent="0.3">
      <c r="B71" s="396">
        <v>1</v>
      </c>
      <c r="C71" s="1834">
        <v>300</v>
      </c>
      <c r="D71" s="1834"/>
      <c r="E71" s="945">
        <f>IFERROR('Sert Stopwatch'!D198,"-")</f>
        <v>0</v>
      </c>
      <c r="F71" s="945">
        <f>IFERROR('Sert Stopwatch'!H198,"-")</f>
        <v>0</v>
      </c>
      <c r="G71" s="945">
        <f>IFERROR('Sert Stopwatch'!I198,"-")</f>
        <v>2016</v>
      </c>
      <c r="H71" s="1835" t="s">
        <v>375</v>
      </c>
      <c r="I71" s="1024">
        <f>IFERROR('Sert Stopwatch'!K198,"-")</f>
        <v>1</v>
      </c>
      <c r="K71" s="946"/>
      <c r="M71" s="1025"/>
      <c r="N71" s="1025"/>
      <c r="O71" s="1025"/>
    </row>
    <row r="72" spans="1:16" s="936" customFormat="1" ht="15" customHeight="1" x14ac:dyDescent="0.3">
      <c r="B72" s="396">
        <v>2</v>
      </c>
      <c r="C72" s="1834">
        <v>600</v>
      </c>
      <c r="D72" s="1834"/>
      <c r="E72" s="945">
        <f>IFERROR('Sert Stopwatch'!D199,"-")</f>
        <v>0</v>
      </c>
      <c r="F72" s="945">
        <f>IFERROR('Sert Stopwatch'!H199,"-")</f>
        <v>0</v>
      </c>
      <c r="G72" s="945">
        <f>IFERROR('Sert Stopwatch'!I199,"-")</f>
        <v>2018</v>
      </c>
      <c r="H72" s="1836"/>
      <c r="I72" s="1024">
        <f>IFERROR('Sert Stopwatch'!K199,"-")</f>
        <v>2</v>
      </c>
      <c r="K72" s="946"/>
      <c r="M72" s="1025"/>
      <c r="N72" s="1025"/>
      <c r="O72" s="1025"/>
    </row>
    <row r="73" spans="1:16" s="129" customFormat="1" ht="3.75" customHeight="1" x14ac:dyDescent="0.25">
      <c r="A73" s="97"/>
      <c r="B73" s="93"/>
      <c r="C73" s="93"/>
      <c r="E73" s="98"/>
      <c r="F73" s="99"/>
      <c r="G73" s="99"/>
      <c r="H73" s="99"/>
      <c r="I73" s="99"/>
      <c r="J73" s="99"/>
      <c r="K73" s="99"/>
      <c r="L73" s="100"/>
      <c r="M73" s="74"/>
      <c r="N73" s="74"/>
    </row>
    <row r="74" spans="1:16" s="129" customFormat="1" ht="15.5" x14ac:dyDescent="0.25">
      <c r="A74" s="96" t="s">
        <v>57</v>
      </c>
      <c r="B74" s="96" t="s">
        <v>58</v>
      </c>
      <c r="C74" s="93"/>
      <c r="D74" s="366"/>
      <c r="E74" s="93"/>
      <c r="F74" s="93"/>
      <c r="G74" s="93"/>
      <c r="H74" s="93"/>
      <c r="I74" s="93"/>
      <c r="J74" s="93"/>
      <c r="K74" s="93"/>
      <c r="L74" s="93"/>
      <c r="M74" s="73"/>
      <c r="N74" s="137"/>
    </row>
    <row r="75" spans="1:16" s="129" customFormat="1" ht="3.75" customHeight="1" x14ac:dyDescent="0.25">
      <c r="A75" s="96"/>
      <c r="B75" s="96"/>
      <c r="C75" s="93"/>
      <c r="D75" s="366"/>
      <c r="E75" s="93"/>
      <c r="F75" s="93"/>
      <c r="G75" s="93"/>
      <c r="H75" s="93"/>
      <c r="I75" s="93"/>
      <c r="J75" s="93"/>
      <c r="K75" s="93"/>
      <c r="L75" s="93"/>
      <c r="M75" s="73"/>
      <c r="N75" s="137"/>
    </row>
    <row r="76" spans="1:16" s="129" customFormat="1" ht="15.5" x14ac:dyDescent="0.25">
      <c r="A76" s="96"/>
      <c r="B76" s="131" t="str">
        <f>PENYELIA!B72</f>
        <v>Ketidakpastian pengujian kinerja dilaporkan pada tingkat kepercayaan 95% dengan faktor cakupan (k) = 2</v>
      </c>
      <c r="C76" s="93"/>
      <c r="D76" s="366"/>
      <c r="E76" s="93"/>
      <c r="F76" s="93"/>
      <c r="G76" s="93"/>
      <c r="H76" s="93"/>
      <c r="I76" s="93"/>
      <c r="J76" s="93"/>
      <c r="K76" s="93"/>
      <c r="L76" s="93"/>
      <c r="M76" s="73"/>
    </row>
    <row r="77" spans="1:16" s="129" customFormat="1" ht="15.5" x14ac:dyDescent="0.25">
      <c r="A77" s="96"/>
      <c r="B77" s="131" t="str">
        <f>PENYELIA!B73</f>
        <v>Hasil pengujian Keselamatan Listrik tertelusur ke Satuan Internasional melalui PT. KALIMAN (LK-032-IDN)</v>
      </c>
      <c r="C77" s="93"/>
      <c r="D77" s="366"/>
      <c r="E77" s="93"/>
      <c r="F77" s="93"/>
      <c r="G77" s="93"/>
      <c r="H77" s="93"/>
      <c r="I77" s="93"/>
      <c r="J77" s="93"/>
      <c r="K77" s="93"/>
      <c r="L77" s="93"/>
      <c r="M77" s="73"/>
      <c r="N77" s="73"/>
    </row>
    <row r="78" spans="1:16" s="129" customFormat="1" ht="15.5" x14ac:dyDescent="0.25">
      <c r="A78" s="96"/>
      <c r="B78" s="131" t="str">
        <f>PENYELIA!B74</f>
        <v>Hasil kalibrasi Pulse Frekuensi dan Pulse Width tertelusur ke Satuan Internasional melalui PT. KALIMAN (LK-032-IDN)</v>
      </c>
      <c r="C78" s="93"/>
      <c r="D78" s="366"/>
      <c r="E78" s="93"/>
      <c r="F78" s="93"/>
      <c r="G78" s="93"/>
      <c r="H78" s="93"/>
      <c r="I78" s="93"/>
      <c r="J78" s="93"/>
      <c r="K78" s="93"/>
      <c r="L78" s="93"/>
      <c r="M78" s="73"/>
      <c r="N78" s="73"/>
    </row>
    <row r="79" spans="1:16" s="129" customFormat="1" ht="15.5" x14ac:dyDescent="0.25">
      <c r="A79" s="96"/>
      <c r="B79" s="131" t="str">
        <f>PENYELIA!B75</f>
        <v>Hasil kalibrasi Waktu Therapy tertelusur ke Satuan Internasional ( SI ) melalui PT KALIMAN (LK-032-IDN)</v>
      </c>
      <c r="C79" s="90"/>
      <c r="D79" s="366"/>
      <c r="E79" s="90"/>
      <c r="F79" s="90"/>
      <c r="G79" s="90"/>
      <c r="H79" s="90"/>
      <c r="I79" s="90"/>
      <c r="J79" s="90"/>
      <c r="K79" s="90"/>
      <c r="L79" s="90"/>
      <c r="M79" s="72"/>
      <c r="N79" s="72"/>
    </row>
    <row r="80" spans="1:16" s="129" customFormat="1" ht="15.5" x14ac:dyDescent="0.25">
      <c r="A80" s="96"/>
      <c r="B80" s="131" t="str">
        <f>PENYELIA!B76</f>
        <v>Tidak dilakukan pengujian keselamatan listrik</v>
      </c>
      <c r="C80" s="101"/>
      <c r="D80" s="366"/>
      <c r="E80" s="101"/>
      <c r="F80" s="101"/>
      <c r="G80" s="101"/>
      <c r="H80" s="101"/>
      <c r="I80" s="101"/>
      <c r="J80" s="101"/>
      <c r="K80" s="101"/>
      <c r="L80" s="101"/>
      <c r="M80" s="87"/>
      <c r="N80" s="87"/>
    </row>
    <row r="81" spans="1:16" s="129" customFormat="1" ht="3.75" customHeight="1" x14ac:dyDescent="0.25">
      <c r="A81" s="96"/>
      <c r="B81" s="131"/>
      <c r="C81" s="93"/>
      <c r="D81" s="366"/>
      <c r="E81" s="93"/>
      <c r="F81" s="93"/>
      <c r="G81" s="93"/>
      <c r="H81" s="93"/>
      <c r="I81" s="93"/>
      <c r="J81" s="93"/>
      <c r="K81" s="93"/>
      <c r="L81" s="93"/>
      <c r="M81" s="73"/>
      <c r="N81" s="73"/>
    </row>
    <row r="82" spans="1:16" s="129" customFormat="1" ht="15.5" x14ac:dyDescent="0.25">
      <c r="A82" s="96" t="s">
        <v>64</v>
      </c>
      <c r="B82" s="102" t="str">
        <f>PENYELIA!B78</f>
        <v>Alat Ukur Yang Digunakan</v>
      </c>
      <c r="C82" s="90"/>
      <c r="D82" s="366"/>
      <c r="E82" s="90"/>
      <c r="F82" s="90"/>
      <c r="G82" s="90"/>
      <c r="H82" s="90"/>
      <c r="I82" s="90"/>
      <c r="J82" s="90"/>
      <c r="K82" s="90"/>
      <c r="L82" s="90"/>
      <c r="M82" s="72"/>
      <c r="N82" s="72"/>
    </row>
    <row r="83" spans="1:16" s="129" customFormat="1" ht="3.75" customHeight="1" x14ac:dyDescent="0.25">
      <c r="A83" s="96"/>
      <c r="B83" s="102"/>
      <c r="C83" s="90"/>
      <c r="D83" s="366"/>
      <c r="E83" s="90"/>
      <c r="F83" s="90"/>
      <c r="G83" s="90"/>
      <c r="H83" s="90"/>
      <c r="I83" s="90"/>
      <c r="J83" s="90"/>
      <c r="K83" s="90"/>
      <c r="L83" s="90"/>
      <c r="M83" s="72"/>
      <c r="N83" s="72"/>
    </row>
    <row r="84" spans="1:16" s="129" customFormat="1" ht="15.5" x14ac:dyDescent="0.25">
      <c r="A84" s="103"/>
      <c r="B84" s="104" t="str">
        <f>PENYELIA!B79</f>
        <v>Medical Scope Meter, Merk : Fluke, Model 190M-4, SN : 48832901 CH : B</v>
      </c>
      <c r="C84" s="104"/>
      <c r="D84" s="366"/>
      <c r="E84" s="104"/>
      <c r="F84" s="104"/>
      <c r="G84" s="104"/>
      <c r="H84" s="104"/>
      <c r="I84" s="104"/>
      <c r="J84" s="104"/>
      <c r="K84" s="90"/>
      <c r="L84" s="90"/>
      <c r="M84" s="72"/>
      <c r="N84" s="72"/>
      <c r="P84" s="312"/>
    </row>
    <row r="85" spans="1:16" s="129" customFormat="1" ht="15.5" x14ac:dyDescent="0.25">
      <c r="A85" s="103"/>
      <c r="B85" s="104" t="str">
        <f>PENYELIA!B80</f>
        <v>Electrical Safety Analyzer, Merek : Fluke, Model : ESA 615, SN : 3148908</v>
      </c>
      <c r="C85" s="104"/>
      <c r="D85" s="366"/>
      <c r="E85" s="104"/>
      <c r="F85" s="104"/>
      <c r="G85" s="104"/>
      <c r="H85" s="104"/>
      <c r="I85" s="104"/>
      <c r="J85" s="104"/>
      <c r="K85" s="90"/>
      <c r="L85" s="90"/>
      <c r="M85" s="72"/>
      <c r="N85" s="72"/>
    </row>
    <row r="86" spans="1:16" s="129" customFormat="1" ht="15.5" x14ac:dyDescent="0.25">
      <c r="A86" s="103"/>
      <c r="B86" s="104" t="str">
        <f>PENYELIA!B81</f>
        <v>Stopwatch, Merek : EXTECH, Model : 365535, SN :001382</v>
      </c>
      <c r="C86" s="104"/>
      <c r="D86" s="366"/>
      <c r="E86" s="104"/>
      <c r="F86" s="104"/>
      <c r="G86" s="104"/>
      <c r="H86" s="104"/>
      <c r="I86" s="104"/>
      <c r="J86" s="104"/>
      <c r="K86" s="90"/>
      <c r="L86" s="90"/>
      <c r="M86" s="72"/>
      <c r="N86" s="72"/>
    </row>
    <row r="87" spans="1:16" s="129" customFormat="1" ht="15.5" x14ac:dyDescent="0.25">
      <c r="A87" s="103"/>
      <c r="B87" s="104" t="e">
        <f>PENYELIA!B82</f>
        <v>#REF!</v>
      </c>
      <c r="C87" s="104"/>
      <c r="D87" s="366"/>
      <c r="E87" s="104"/>
      <c r="F87" s="104"/>
      <c r="G87" s="104"/>
      <c r="H87" s="104"/>
      <c r="I87" s="104"/>
      <c r="J87" s="104"/>
      <c r="K87" s="105"/>
      <c r="L87" s="105"/>
      <c r="M87" s="75"/>
      <c r="N87" s="72"/>
    </row>
    <row r="88" spans="1:16" s="129" customFormat="1" ht="4.5" customHeight="1" x14ac:dyDescent="0.25">
      <c r="A88" s="90"/>
      <c r="B88" s="106"/>
      <c r="C88" s="106"/>
      <c r="D88" s="366"/>
      <c r="E88" s="106"/>
      <c r="F88" s="106"/>
      <c r="G88" s="106"/>
      <c r="H88" s="106"/>
      <c r="I88" s="106"/>
      <c r="J88" s="106"/>
      <c r="K88" s="106"/>
      <c r="L88" s="90"/>
      <c r="M88" s="72"/>
      <c r="N88" s="72"/>
    </row>
    <row r="89" spans="1:16" s="129" customFormat="1" ht="15.5" x14ac:dyDescent="0.25">
      <c r="A89" s="92" t="s">
        <v>66</v>
      </c>
      <c r="B89" s="107" t="s">
        <v>67</v>
      </c>
      <c r="C89" s="90"/>
      <c r="D89" s="366"/>
      <c r="E89" s="90"/>
      <c r="F89" s="90"/>
      <c r="G89" s="90"/>
      <c r="H89" s="90"/>
      <c r="I89" s="90"/>
      <c r="J89" s="90"/>
      <c r="K89" s="90"/>
      <c r="L89" s="90"/>
      <c r="M89" s="72"/>
      <c r="N89" s="72"/>
    </row>
    <row r="90" spans="1:16" s="129" customFormat="1" ht="3.75" customHeight="1" x14ac:dyDescent="0.25">
      <c r="A90" s="92"/>
      <c r="B90" s="107"/>
      <c r="C90" s="90"/>
      <c r="D90" s="366"/>
      <c r="E90" s="90"/>
      <c r="F90" s="90"/>
      <c r="G90" s="90"/>
      <c r="H90" s="90"/>
      <c r="I90" s="90"/>
      <c r="J90" s="90"/>
      <c r="K90" s="90"/>
      <c r="L90" s="90"/>
      <c r="M90" s="72"/>
      <c r="N90" s="72"/>
    </row>
    <row r="91" spans="1:16" s="141" customFormat="1" ht="15" customHeight="1" x14ac:dyDescent="0.25">
      <c r="A91" s="96"/>
      <c r="B91" s="1742" t="str">
        <f>PENYELIA!B86</f>
        <v>Alat yang dikalibrasi dalam batas toleransi dan dinyatakan LAIK PAKAI</v>
      </c>
      <c r="C91" s="1742"/>
      <c r="D91" s="1742"/>
      <c r="E91" s="1742"/>
      <c r="F91" s="1742"/>
      <c r="G91" s="1742"/>
      <c r="H91" s="1742"/>
      <c r="I91" s="1742"/>
      <c r="J91" s="1742"/>
      <c r="K91" s="1027"/>
      <c r="L91" s="138"/>
      <c r="M91" s="130"/>
      <c r="N91" s="130"/>
    </row>
    <row r="92" spans="1:16" s="141" customFormat="1" ht="15" customHeight="1" x14ac:dyDescent="0.25">
      <c r="A92" s="96"/>
      <c r="B92" s="1742"/>
      <c r="C92" s="1742"/>
      <c r="D92" s="1742"/>
      <c r="E92" s="1742"/>
      <c r="F92" s="1742"/>
      <c r="G92" s="1742"/>
      <c r="H92" s="1742"/>
      <c r="I92" s="1742"/>
      <c r="J92" s="1742"/>
      <c r="K92" s="1027"/>
      <c r="L92" s="138"/>
      <c r="M92" s="130"/>
      <c r="N92" s="130"/>
    </row>
    <row r="93" spans="1:16" s="129" customFormat="1" ht="3.75" customHeight="1" x14ac:dyDescent="0.25">
      <c r="A93" s="90"/>
      <c r="B93" s="105"/>
      <c r="C93" s="90"/>
      <c r="D93" s="366"/>
      <c r="E93" s="90"/>
      <c r="F93" s="90"/>
      <c r="G93" s="90"/>
      <c r="H93" s="90"/>
      <c r="I93" s="90"/>
      <c r="J93" s="90"/>
      <c r="K93" s="90"/>
      <c r="L93" s="90"/>
      <c r="M93" s="72"/>
      <c r="N93" s="72"/>
    </row>
    <row r="94" spans="1:16" s="129" customFormat="1" ht="15.5" x14ac:dyDescent="0.25">
      <c r="A94" s="96" t="s">
        <v>68</v>
      </c>
      <c r="B94" s="102" t="s">
        <v>511</v>
      </c>
      <c r="C94" s="90"/>
      <c r="D94" s="366"/>
      <c r="E94" s="90"/>
      <c r="F94" s="90"/>
      <c r="G94" s="90"/>
      <c r="H94" s="90"/>
      <c r="I94" s="90"/>
      <c r="J94" s="90"/>
      <c r="K94" s="108"/>
      <c r="L94" s="90"/>
      <c r="M94" s="76"/>
      <c r="N94" s="76"/>
    </row>
    <row r="95" spans="1:16" s="129" customFormat="1" ht="3.75" customHeight="1" x14ac:dyDescent="0.25">
      <c r="A95" s="96"/>
      <c r="B95" s="102"/>
      <c r="C95" s="90"/>
      <c r="D95" s="366"/>
      <c r="E95" s="90"/>
      <c r="F95" s="90"/>
      <c r="G95" s="90"/>
      <c r="H95" s="90"/>
      <c r="I95" s="90"/>
      <c r="J95" s="90"/>
      <c r="K95" s="108"/>
      <c r="L95" s="90"/>
      <c r="M95" s="76"/>
      <c r="N95" s="76"/>
    </row>
    <row r="96" spans="1:16" s="129" customFormat="1" ht="15.5" x14ac:dyDescent="0.25">
      <c r="A96" s="96"/>
      <c r="B96" s="113" t="str">
        <f>PENYELIA!B89</f>
        <v>Azhar Alamsyah</v>
      </c>
      <c r="C96" s="113"/>
      <c r="D96" s="366"/>
      <c r="E96" s="113"/>
      <c r="F96" s="90"/>
      <c r="G96" s="90"/>
      <c r="H96" s="90"/>
      <c r="I96" s="90"/>
      <c r="J96" s="90"/>
      <c r="K96" s="108"/>
      <c r="L96" s="90"/>
      <c r="M96" s="76"/>
      <c r="N96" s="76"/>
    </row>
    <row r="97" spans="1:14" s="129" customFormat="1" ht="18.5" x14ac:dyDescent="0.25">
      <c r="A97" s="77"/>
      <c r="B97" s="77"/>
      <c r="C97" s="77"/>
      <c r="D97" s="366"/>
      <c r="E97" s="77"/>
      <c r="F97" s="77"/>
      <c r="G97" s="77"/>
      <c r="H97" s="77"/>
      <c r="I97" s="77"/>
      <c r="J97" s="1716"/>
      <c r="K97" s="1716"/>
      <c r="L97" s="77"/>
      <c r="M97" s="77"/>
      <c r="N97" s="77"/>
    </row>
    <row r="98" spans="1:14" s="129" customFormat="1" ht="15" customHeight="1" x14ac:dyDescent="0.25">
      <c r="A98" s="78"/>
      <c r="B98" s="1721"/>
      <c r="C98" s="1721"/>
      <c r="D98" s="1721"/>
      <c r="E98" s="1721"/>
      <c r="F98" s="1721"/>
      <c r="G98" s="134"/>
      <c r="I98" s="336" t="s">
        <v>210</v>
      </c>
      <c r="J98" s="1030"/>
      <c r="K98" s="1030"/>
      <c r="L98" s="78"/>
      <c r="M98" s="78"/>
      <c r="N98" s="78"/>
    </row>
    <row r="99" spans="1:14" s="129" customFormat="1" ht="15" customHeight="1" x14ac:dyDescent="0.25">
      <c r="A99" s="78"/>
      <c r="B99" s="131"/>
      <c r="C99" s="90"/>
      <c r="D99" s="90"/>
      <c r="E99" s="90"/>
      <c r="F99" s="90"/>
      <c r="G99" s="1026"/>
      <c r="I99" s="336" t="s">
        <v>211</v>
      </c>
      <c r="J99" s="1030"/>
      <c r="K99" s="1030"/>
      <c r="L99" s="78"/>
      <c r="M99" s="78"/>
      <c r="N99" s="78"/>
    </row>
    <row r="100" spans="1:14" s="129" customFormat="1" ht="15.75" customHeight="1" x14ac:dyDescent="0.25">
      <c r="A100" s="72"/>
      <c r="B100" s="131"/>
      <c r="C100" s="90"/>
      <c r="D100" s="90"/>
      <c r="E100" s="90"/>
      <c r="F100" s="90"/>
      <c r="G100" s="90"/>
      <c r="I100" s="336" t="s">
        <v>212</v>
      </c>
      <c r="J100" s="1030"/>
      <c r="K100" s="1030"/>
      <c r="L100" s="73"/>
      <c r="M100" s="72"/>
      <c r="N100" s="72"/>
    </row>
    <row r="101" spans="1:14" s="129" customFormat="1" ht="6.75" customHeight="1" x14ac:dyDescent="0.25">
      <c r="A101" s="366"/>
      <c r="B101" s="366"/>
      <c r="C101" s="366"/>
      <c r="D101" s="366"/>
      <c r="E101" s="366"/>
      <c r="F101" s="366"/>
      <c r="G101" s="366"/>
      <c r="I101" s="336"/>
      <c r="J101" s="366"/>
      <c r="K101" s="366"/>
    </row>
    <row r="102" spans="1:14" x14ac:dyDescent="0.25">
      <c r="A102" s="350"/>
      <c r="B102" s="350"/>
      <c r="I102" s="336"/>
    </row>
    <row r="103" spans="1:14" x14ac:dyDescent="0.25">
      <c r="A103" s="350"/>
      <c r="B103" s="350"/>
      <c r="I103" s="336"/>
    </row>
    <row r="104" spans="1:14" x14ac:dyDescent="0.25">
      <c r="A104" s="350"/>
      <c r="B104" s="350"/>
      <c r="I104" s="109"/>
    </row>
    <row r="105" spans="1:14" x14ac:dyDescent="0.3">
      <c r="A105" s="350"/>
      <c r="B105" s="350"/>
      <c r="I105" s="1028" t="s">
        <v>213</v>
      </c>
    </row>
    <row r="106" spans="1:14" x14ac:dyDescent="0.25">
      <c r="A106" s="350"/>
      <c r="B106" s="350"/>
      <c r="I106" s="1029" t="s">
        <v>214</v>
      </c>
    </row>
    <row r="107" spans="1:14" x14ac:dyDescent="0.25">
      <c r="A107" s="350"/>
      <c r="B107" s="350"/>
    </row>
    <row r="108" spans="1:14" ht="17.25" customHeight="1" x14ac:dyDescent="0.2">
      <c r="A108" s="90"/>
      <c r="B108" s="90"/>
      <c r="C108" s="90"/>
      <c r="D108" s="90"/>
      <c r="E108" s="90"/>
      <c r="F108" s="90"/>
      <c r="G108" s="90"/>
      <c r="H108" s="90"/>
      <c r="I108" s="90"/>
      <c r="J108" s="351" t="s">
        <v>215</v>
      </c>
    </row>
    <row r="111" spans="1:14" x14ac:dyDescent="0.25">
      <c r="G111" s="140"/>
      <c r="H111" s="110"/>
      <c r="I111" s="111"/>
    </row>
  </sheetData>
  <sheetProtection formatCells="0" formatColumns="0" formatRows="0" insertColumns="0" insertRows="0" deleteColumns="0" deleteRows="0"/>
  <mergeCells count="64">
    <mergeCell ref="J97:K97"/>
    <mergeCell ref="B98:F98"/>
    <mergeCell ref="H69:H70"/>
    <mergeCell ref="I69:I70"/>
    <mergeCell ref="K69:K70"/>
    <mergeCell ref="C70:D70"/>
    <mergeCell ref="C71:D71"/>
    <mergeCell ref="H71:H72"/>
    <mergeCell ref="C72:D72"/>
    <mergeCell ref="G69:G70"/>
    <mergeCell ref="B69:B70"/>
    <mergeCell ref="C69:D69"/>
    <mergeCell ref="E69:E70"/>
    <mergeCell ref="F69:F70"/>
    <mergeCell ref="B91:J92"/>
    <mergeCell ref="I59:I60"/>
    <mergeCell ref="K59:K60"/>
    <mergeCell ref="L59:L60"/>
    <mergeCell ref="M59:M60"/>
    <mergeCell ref="C60:D60"/>
    <mergeCell ref="H59:H60"/>
    <mergeCell ref="C61:D61"/>
    <mergeCell ref="H61:H65"/>
    <mergeCell ref="C62:D62"/>
    <mergeCell ref="C63:D63"/>
    <mergeCell ref="C64:D64"/>
    <mergeCell ref="C65:D65"/>
    <mergeCell ref="B59:B60"/>
    <mergeCell ref="C59:D59"/>
    <mergeCell ref="E59:E60"/>
    <mergeCell ref="F59:F60"/>
    <mergeCell ref="G59:G60"/>
    <mergeCell ref="C51:D51"/>
    <mergeCell ref="H51:H55"/>
    <mergeCell ref="C52:D52"/>
    <mergeCell ref="C53:D53"/>
    <mergeCell ref="C54:D54"/>
    <mergeCell ref="C55:D55"/>
    <mergeCell ref="M49:M50"/>
    <mergeCell ref="B43:C43"/>
    <mergeCell ref="D43:E43"/>
    <mergeCell ref="B49:B50"/>
    <mergeCell ref="C49:D49"/>
    <mergeCell ref="E49:E50"/>
    <mergeCell ref="F49:F50"/>
    <mergeCell ref="C50:D50"/>
    <mergeCell ref="G49:G50"/>
    <mergeCell ref="H49:H50"/>
    <mergeCell ref="I49:I50"/>
    <mergeCell ref="K49:K50"/>
    <mergeCell ref="L49:L50"/>
    <mergeCell ref="B42:C42"/>
    <mergeCell ref="D42:E42"/>
    <mergeCell ref="A1:K1"/>
    <mergeCell ref="A2:K2"/>
    <mergeCell ref="C27:F27"/>
    <mergeCell ref="G27:H27"/>
    <mergeCell ref="I27:J27"/>
    <mergeCell ref="C29:F29"/>
    <mergeCell ref="C30:F30"/>
    <mergeCell ref="B37:C37"/>
    <mergeCell ref="D37:E37"/>
    <mergeCell ref="B38:C38"/>
    <mergeCell ref="D38:E38"/>
  </mergeCells>
  <conditionalFormatting sqref="J97">
    <cfRule type="colorScale" priority="1">
      <colorScale>
        <cfvo type="num" val="&quot;0-70&quot;"/>
        <cfvo type="max"/>
        <color rgb="FFFF0000"/>
        <color rgb="FF00B050"/>
      </colorScale>
    </cfRule>
  </conditionalFormatting>
  <dataValidations count="3">
    <dataValidation type="list" allowBlank="1" showInputMessage="1" sqref="B88" xr:uid="{A08FA72A-D0CE-44DF-B45A-5B94B2E1E90B}">
      <formula1>#REF!</formula1>
    </dataValidation>
    <dataValidation type="list" allowBlank="1" showInputMessage="1" showErrorMessage="1" sqref="K87:M87 K84:M84" xr:uid="{549C4D27-F4B0-4078-B7DE-515C119758BB}">
      <formula1>#REF!</formula1>
    </dataValidation>
    <dataValidation allowBlank="1" showInputMessage="1" sqref="A2 B96" xr:uid="{31FB4266-303C-4B36-AC7A-0F94F68162C7}"/>
  </dataValidations>
  <printOptions horizontalCentered="1"/>
  <pageMargins left="0.17" right="0.17" top="0.31496062992126" bottom="0.39370078740157499" header="0.196850393700787" footer="0.15748031496063"/>
  <pageSetup paperSize="9" scale="79" orientation="portrait" r:id="rId1"/>
  <headerFooter>
    <oddHeader>&amp;R&amp;8LHK.MK. 097 - 19 / Rev. 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2" manualBreakCount="2">
    <brk id="73" max="9" man="1"/>
    <brk id="108" max="16383" man="1"/>
  </rowBreaks>
  <drawing r:id="rId2"/>
  <legacyDrawing r:id="rId3"/>
  <oleObjects>
    <mc:AlternateContent xmlns:mc="http://schemas.openxmlformats.org/markup-compatibility/2006">
      <mc:Choice Requires="x14">
        <oleObject progId="Equation.3" shapeId="64513" r:id="rId4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13" r:id="rId4"/>
      </mc:Fallback>
    </mc:AlternateContent>
    <mc:AlternateContent xmlns:mc="http://schemas.openxmlformats.org/markup-compatibility/2006">
      <mc:Choice Requires="x14">
        <oleObject progId="Equation.3" shapeId="64514" r:id="rId6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14" r:id="rId6"/>
      </mc:Fallback>
    </mc:AlternateContent>
    <mc:AlternateContent xmlns:mc="http://schemas.openxmlformats.org/markup-compatibility/2006">
      <mc:Choice Requires="x14">
        <oleObject progId="Equation.3" shapeId="64515" r:id="rId7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15" r:id="rId7"/>
      </mc:Fallback>
    </mc:AlternateContent>
    <mc:AlternateContent xmlns:mc="http://schemas.openxmlformats.org/markup-compatibility/2006">
      <mc:Choice Requires="x14">
        <oleObject progId="Equation.3" shapeId="64516" r:id="rId8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16" r:id="rId8"/>
      </mc:Fallback>
    </mc:AlternateContent>
    <mc:AlternateContent xmlns:mc="http://schemas.openxmlformats.org/markup-compatibility/2006">
      <mc:Choice Requires="x14">
        <oleObject progId="Equation.3" shapeId="64517" r:id="rId9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17" r:id="rId9"/>
      </mc:Fallback>
    </mc:AlternateContent>
    <mc:AlternateContent xmlns:mc="http://schemas.openxmlformats.org/markup-compatibility/2006">
      <mc:Choice Requires="x14">
        <oleObject progId="Equation.3" shapeId="64518" r:id="rId10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18" r:id="rId10"/>
      </mc:Fallback>
    </mc:AlternateContent>
    <mc:AlternateContent xmlns:mc="http://schemas.openxmlformats.org/markup-compatibility/2006">
      <mc:Choice Requires="x14">
        <oleObject progId="Equation.3" shapeId="64519" r:id="rId11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19" r:id="rId11"/>
      </mc:Fallback>
    </mc:AlternateContent>
    <mc:AlternateContent xmlns:mc="http://schemas.openxmlformats.org/markup-compatibility/2006">
      <mc:Choice Requires="x14">
        <oleObject progId="Equation.3" shapeId="64520" r:id="rId12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20" r:id="rId12"/>
      </mc:Fallback>
    </mc:AlternateContent>
    <mc:AlternateContent xmlns:mc="http://schemas.openxmlformats.org/markup-compatibility/2006">
      <mc:Choice Requires="x14">
        <oleObject progId="Equation.3" shapeId="64521" r:id="rId13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64521" r:id="rId1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AB91"/>
  <sheetViews>
    <sheetView topLeftCell="A91" zoomScale="142" zoomScaleNormal="142" workbookViewId="0">
      <selection activeCell="C14" sqref="C14"/>
    </sheetView>
  </sheetViews>
  <sheetFormatPr defaultRowHeight="12.5" x14ac:dyDescent="0.25"/>
  <cols>
    <col min="2" max="2" width="21.54296875" customWidth="1"/>
    <col min="3" max="3" width="17.7265625" customWidth="1"/>
    <col min="4" max="4" width="12" customWidth="1"/>
    <col min="5" max="5" width="11.26953125" customWidth="1"/>
  </cols>
  <sheetData>
    <row r="4" spans="2:28" ht="15.5" x14ac:dyDescent="0.25">
      <c r="B4" s="313" t="s">
        <v>142</v>
      </c>
      <c r="C4" s="320" t="s">
        <v>556</v>
      </c>
      <c r="D4" s="318" t="s">
        <v>552</v>
      </c>
      <c r="E4" s="135"/>
      <c r="F4" s="135"/>
      <c r="G4" s="135"/>
      <c r="H4" s="135"/>
      <c r="I4" s="133"/>
      <c r="J4" s="133"/>
      <c r="K4" s="133"/>
    </row>
    <row r="5" spans="2:28" ht="15.5" x14ac:dyDescent="0.25">
      <c r="B5" s="135" t="s">
        <v>216</v>
      </c>
      <c r="C5" s="320" t="s">
        <v>557</v>
      </c>
      <c r="D5" s="319" t="s">
        <v>551</v>
      </c>
      <c r="E5" s="135"/>
      <c r="F5" s="135"/>
      <c r="G5" s="135"/>
      <c r="H5" s="135"/>
      <c r="I5" s="133"/>
      <c r="J5" s="133"/>
      <c r="K5" s="133"/>
      <c r="V5" s="129"/>
      <c r="W5" s="129"/>
      <c r="X5" s="129"/>
      <c r="Y5" s="129"/>
      <c r="Z5" s="129"/>
      <c r="AA5" s="129"/>
      <c r="AB5" s="129"/>
    </row>
    <row r="6" spans="2:28" ht="15.5" x14ac:dyDescent="0.25">
      <c r="B6" s="322" t="s">
        <v>217</v>
      </c>
      <c r="J6" s="135" t="s">
        <v>218</v>
      </c>
      <c r="V6" s="142"/>
      <c r="W6" s="79" t="s">
        <v>219</v>
      </c>
      <c r="X6" s="88" t="s">
        <v>220</v>
      </c>
      <c r="Y6" s="129"/>
      <c r="Z6" s="129"/>
      <c r="AA6" s="129"/>
      <c r="AB6" s="129"/>
    </row>
    <row r="7" spans="2:28" ht="15.5" x14ac:dyDescent="0.25">
      <c r="B7" s="314" t="s">
        <v>221</v>
      </c>
      <c r="J7" s="135" t="s">
        <v>222</v>
      </c>
      <c r="V7" s="143" t="b">
        <f>IF(PENYELIA!J25=W6,0.2,IF(PENYELIA!J25=W7,0.3))</f>
        <v>0</v>
      </c>
      <c r="W7" s="79" t="s">
        <v>38</v>
      </c>
      <c r="X7" s="89" t="s">
        <v>223</v>
      </c>
      <c r="Y7" s="129"/>
      <c r="Z7" s="129"/>
      <c r="AA7" s="129"/>
      <c r="AB7" s="129"/>
    </row>
    <row r="8" spans="2:28" ht="15.5" x14ac:dyDescent="0.25">
      <c r="F8" s="1017"/>
      <c r="G8" s="1017" t="s">
        <v>509</v>
      </c>
      <c r="H8" s="1017" t="s">
        <v>510</v>
      </c>
      <c r="I8" s="1017"/>
      <c r="J8" s="1017"/>
      <c r="V8" s="143">
        <f>IF(PENYELIA!C26=X8,W8,W9)</f>
        <v>500</v>
      </c>
      <c r="W8" s="79">
        <v>500</v>
      </c>
      <c r="X8" s="88" t="s">
        <v>146</v>
      </c>
      <c r="Y8" s="129"/>
      <c r="Z8" s="129"/>
      <c r="AA8" s="129"/>
      <c r="AB8" s="129"/>
    </row>
    <row r="9" spans="2:28" ht="15.5" x14ac:dyDescent="0.25">
      <c r="F9" s="1016">
        <f>27.12*0.6%</f>
        <v>0.16272</v>
      </c>
      <c r="G9" s="1016">
        <f>27.12+F9</f>
        <v>27.282720000000001</v>
      </c>
      <c r="H9" s="1016">
        <f>27.12-F9</f>
        <v>26.957280000000001</v>
      </c>
      <c r="I9" s="1017" t="str">
        <f>IF(J9&lt;=26.96,"Tidak Baik",IF(J9&gt;=27.28,"Tidak Baik","Baik"))</f>
        <v>Baik</v>
      </c>
      <c r="J9" s="1017">
        <f>SCOPE!N186</f>
        <v>27.120010000000001</v>
      </c>
      <c r="V9" s="142"/>
      <c r="W9" s="79">
        <v>100</v>
      </c>
      <c r="X9" s="88" t="s">
        <v>203</v>
      </c>
      <c r="Y9" s="129"/>
      <c r="Z9" s="129"/>
      <c r="AA9" s="129"/>
      <c r="AB9" s="129"/>
    </row>
    <row r="10" spans="2:28" ht="13" x14ac:dyDescent="0.25">
      <c r="V10" s="144" t="s">
        <v>224</v>
      </c>
      <c r="W10" s="129"/>
      <c r="X10" s="145">
        <f>PENYELIA!J91</f>
        <v>80</v>
      </c>
      <c r="Y10" s="129"/>
      <c r="Z10" s="129"/>
      <c r="AA10" s="129"/>
      <c r="AB10" s="129"/>
    </row>
    <row r="11" spans="2:28" ht="15.5" x14ac:dyDescent="0.25">
      <c r="B11" s="135"/>
      <c r="C11" s="135"/>
      <c r="D11" s="135"/>
      <c r="E11" s="135"/>
      <c r="F11" s="135"/>
      <c r="G11" s="135" t="s">
        <v>59</v>
      </c>
      <c r="H11" s="135"/>
      <c r="I11" s="133"/>
      <c r="J11" s="133"/>
      <c r="K11" s="133"/>
      <c r="P11" s="323" t="s">
        <v>225</v>
      </c>
      <c r="V11" s="144" t="s">
        <v>89</v>
      </c>
      <c r="W11" s="129"/>
      <c r="X11" s="129"/>
      <c r="Y11" s="129"/>
      <c r="Z11" s="129"/>
      <c r="AA11" s="129"/>
      <c r="AB11" s="129"/>
    </row>
    <row r="12" spans="2:28" ht="15.5" x14ac:dyDescent="0.3">
      <c r="B12" s="401">
        <v>0.2</v>
      </c>
      <c r="C12" s="614" t="s">
        <v>200</v>
      </c>
      <c r="D12" s="135"/>
      <c r="E12" s="135"/>
      <c r="F12" s="135" t="str">
        <f>H12&amp;G11&amp;G12</f>
        <v>≤ 0.2</v>
      </c>
      <c r="G12" s="615">
        <v>0.2</v>
      </c>
      <c r="H12" s="616" t="str">
        <f>"≤"</f>
        <v>≤</v>
      </c>
      <c r="I12" s="133"/>
      <c r="J12" s="133"/>
      <c r="K12" s="146"/>
      <c r="P12" s="323" t="s">
        <v>226</v>
      </c>
      <c r="V12" s="129"/>
      <c r="W12" s="129"/>
      <c r="X12" s="129"/>
      <c r="Y12" s="129"/>
      <c r="Z12" s="129"/>
      <c r="AA12" s="129"/>
      <c r="AB12" s="129"/>
    </row>
    <row r="13" spans="2:28" ht="15.5" x14ac:dyDescent="0.25">
      <c r="B13" s="401">
        <v>0.3</v>
      </c>
      <c r="C13" s="314" t="s">
        <v>145</v>
      </c>
      <c r="D13" s="135"/>
      <c r="E13" s="135"/>
      <c r="F13" s="135" t="str">
        <f>H12&amp;G11&amp;G13</f>
        <v>≤ 0.3</v>
      </c>
      <c r="G13" s="615">
        <v>0.3</v>
      </c>
      <c r="H13" s="135"/>
      <c r="I13" s="133"/>
      <c r="J13" s="133"/>
      <c r="K13" s="147"/>
      <c r="P13" s="323" t="s">
        <v>227</v>
      </c>
      <c r="V13" s="129"/>
      <c r="W13" s="129"/>
      <c r="X13" s="129"/>
      <c r="Y13" s="129"/>
      <c r="Z13" s="129"/>
      <c r="AA13" s="129"/>
      <c r="AB13" s="129"/>
    </row>
    <row r="14" spans="2:28" x14ac:dyDescent="0.25">
      <c r="B14" s="400">
        <v>500</v>
      </c>
      <c r="C14" s="614" t="s">
        <v>146</v>
      </c>
      <c r="D14" s="135"/>
      <c r="E14" s="135"/>
      <c r="F14" s="135"/>
      <c r="G14" s="615" t="s">
        <v>41</v>
      </c>
      <c r="H14" s="135"/>
      <c r="I14" s="135">
        <v>500</v>
      </c>
      <c r="J14" s="135"/>
      <c r="K14" s="321" t="s">
        <v>228</v>
      </c>
      <c r="P14" s="323" t="s">
        <v>229</v>
      </c>
    </row>
    <row r="15" spans="2:28" x14ac:dyDescent="0.25">
      <c r="B15" s="400">
        <v>100</v>
      </c>
      <c r="C15" s="614" t="s">
        <v>203</v>
      </c>
      <c r="D15" s="135"/>
      <c r="E15" s="135"/>
      <c r="F15" s="135"/>
      <c r="G15" s="615" t="s">
        <v>43</v>
      </c>
      <c r="H15" s="135"/>
      <c r="I15" s="135">
        <v>100</v>
      </c>
      <c r="J15" s="135"/>
      <c r="K15" s="321" t="s">
        <v>230</v>
      </c>
      <c r="P15" s="323" t="s">
        <v>231</v>
      </c>
    </row>
    <row r="16" spans="2:28" ht="15.5" x14ac:dyDescent="0.25">
      <c r="B16" s="135"/>
      <c r="C16" s="135"/>
      <c r="D16" s="135"/>
      <c r="E16" s="135"/>
      <c r="F16" s="135"/>
      <c r="G16" s="135"/>
      <c r="H16" s="617"/>
      <c r="I16" s="136"/>
      <c r="J16" s="136"/>
      <c r="K16" s="156" t="s">
        <v>89</v>
      </c>
      <c r="P16" s="323" t="s">
        <v>232</v>
      </c>
    </row>
    <row r="17" spans="2:16" ht="15.5" x14ac:dyDescent="0.25">
      <c r="B17" s="135"/>
      <c r="C17" s="135"/>
      <c r="D17" s="135"/>
      <c r="E17" s="135"/>
      <c r="F17" s="135"/>
      <c r="G17" s="135"/>
      <c r="H17" s="315"/>
      <c r="I17" s="133"/>
      <c r="J17" s="133"/>
      <c r="K17" s="133" t="s">
        <v>89</v>
      </c>
      <c r="P17" s="323" t="s">
        <v>233</v>
      </c>
    </row>
    <row r="18" spans="2:16" ht="15.5" x14ac:dyDescent="0.25">
      <c r="B18" s="948" t="s">
        <v>479</v>
      </c>
      <c r="C18" s="135"/>
      <c r="D18" s="135" t="e">
        <f>IF(ID!#REF!='kata-kata'!$B$18,'kata-kata'!B20,'kata-kata'!B21)</f>
        <v>#REF!</v>
      </c>
      <c r="E18" s="135"/>
      <c r="F18" s="135"/>
      <c r="G18" s="135"/>
      <c r="H18" s="135"/>
      <c r="I18" s="133"/>
      <c r="J18" s="133"/>
      <c r="K18" s="133"/>
      <c r="P18" s="323" t="s">
        <v>234</v>
      </c>
    </row>
    <row r="19" spans="2:16" ht="15.5" x14ac:dyDescent="0.25">
      <c r="B19" s="948" t="s">
        <v>482</v>
      </c>
      <c r="C19" s="135"/>
      <c r="D19" s="135" t="e">
        <f>IF(ID!#REF!='kata-kata'!$B$18,'kata-kata'!B22,'kata-kata'!B23)</f>
        <v>#REF!</v>
      </c>
      <c r="E19" s="135"/>
      <c r="F19" s="135"/>
      <c r="G19" s="135"/>
      <c r="H19" s="135"/>
      <c r="I19" s="133"/>
      <c r="J19" s="133"/>
      <c r="K19" s="133"/>
      <c r="P19" s="323" t="s">
        <v>235</v>
      </c>
    </row>
    <row r="20" spans="2:16" ht="15.5" x14ac:dyDescent="0.25">
      <c r="B20" s="316" t="s">
        <v>486</v>
      </c>
      <c r="C20" s="135"/>
      <c r="D20" s="135"/>
      <c r="E20" s="317"/>
      <c r="F20" s="317"/>
      <c r="G20" s="317"/>
      <c r="H20" s="135"/>
      <c r="I20" s="133"/>
      <c r="J20" s="133"/>
      <c r="K20" s="133"/>
      <c r="P20" s="323" t="s">
        <v>236</v>
      </c>
    </row>
    <row r="21" spans="2:16" ht="15.5" x14ac:dyDescent="0.25">
      <c r="B21" s="316" t="s">
        <v>488</v>
      </c>
      <c r="C21" s="135"/>
      <c r="D21" s="135"/>
      <c r="E21" s="317"/>
      <c r="F21" s="317"/>
      <c r="G21" s="317"/>
      <c r="H21" s="317"/>
      <c r="I21" s="134"/>
      <c r="J21" s="134"/>
      <c r="K21" s="134"/>
      <c r="P21" s="323" t="s">
        <v>237</v>
      </c>
    </row>
    <row r="22" spans="2:16" ht="15.5" x14ac:dyDescent="0.25">
      <c r="B22" s="316" t="s">
        <v>487</v>
      </c>
      <c r="C22" s="135"/>
      <c r="D22" s="135"/>
      <c r="E22" s="135"/>
      <c r="F22" s="135"/>
      <c r="G22" s="135"/>
      <c r="H22" s="317"/>
      <c r="I22" s="134"/>
      <c r="J22" s="134"/>
      <c r="K22" s="134"/>
      <c r="P22" s="323" t="s">
        <v>238</v>
      </c>
    </row>
    <row r="23" spans="2:16" ht="15.5" x14ac:dyDescent="0.25">
      <c r="B23" s="316" t="s">
        <v>489</v>
      </c>
      <c r="C23" s="135"/>
      <c r="D23" s="135"/>
      <c r="E23" s="135"/>
      <c r="F23" s="315"/>
      <c r="G23" s="135"/>
      <c r="H23" s="135"/>
      <c r="I23" s="133"/>
      <c r="J23" s="133"/>
      <c r="K23" s="133"/>
      <c r="P23" s="323" t="s">
        <v>239</v>
      </c>
    </row>
    <row r="24" spans="2:16" ht="15.5" x14ac:dyDescent="0.25">
      <c r="B24" s="135"/>
      <c r="C24" s="135"/>
      <c r="D24" s="135"/>
      <c r="E24" s="135"/>
      <c r="F24" s="315"/>
      <c r="G24" s="135"/>
      <c r="H24" s="135"/>
      <c r="I24" s="133"/>
      <c r="J24" s="133"/>
      <c r="K24" s="133"/>
      <c r="P24" s="323" t="s">
        <v>240</v>
      </c>
    </row>
    <row r="25" spans="2:16" x14ac:dyDescent="0.25">
      <c r="B25" s="135"/>
      <c r="P25" s="323" t="s">
        <v>241</v>
      </c>
    </row>
    <row r="26" spans="2:16" ht="15.5" x14ac:dyDescent="0.25">
      <c r="B26" s="135"/>
      <c r="C26" s="135"/>
      <c r="D26" s="135"/>
      <c r="E26" s="135"/>
      <c r="F26" s="315"/>
      <c r="G26" s="135"/>
      <c r="H26" s="135"/>
      <c r="I26" s="133"/>
      <c r="J26" s="133"/>
      <c r="K26" s="133"/>
      <c r="P26" s="323" t="s">
        <v>151</v>
      </c>
    </row>
    <row r="27" spans="2:16" ht="15.5" x14ac:dyDescent="0.25">
      <c r="B27" s="135"/>
      <c r="C27" s="135"/>
      <c r="D27" s="135"/>
      <c r="E27" s="135"/>
      <c r="F27" s="315"/>
      <c r="G27" s="135"/>
      <c r="H27" s="135"/>
      <c r="I27" s="133"/>
      <c r="J27" s="133"/>
      <c r="K27" s="133"/>
      <c r="P27" s="323" t="s">
        <v>242</v>
      </c>
    </row>
    <row r="28" spans="2:16" x14ac:dyDescent="0.25">
      <c r="B28" s="135"/>
      <c r="P28" s="323" t="s">
        <v>243</v>
      </c>
    </row>
    <row r="29" spans="2:16" x14ac:dyDescent="0.25">
      <c r="B29" s="135"/>
      <c r="P29" s="323" t="s">
        <v>244</v>
      </c>
    </row>
    <row r="30" spans="2:16" x14ac:dyDescent="0.25">
      <c r="P30" s="323" t="s">
        <v>245</v>
      </c>
    </row>
    <row r="31" spans="2:16" x14ac:dyDescent="0.25">
      <c r="P31" s="323" t="s">
        <v>246</v>
      </c>
    </row>
    <row r="33" spans="1:5" ht="13" x14ac:dyDescent="0.3">
      <c r="B33" s="372" t="str">
        <f>ID!B82</f>
        <v>Alat Ukur Yang Digunakan</v>
      </c>
    </row>
    <row r="34" spans="1:5" x14ac:dyDescent="0.25">
      <c r="B34" s="374" t="s">
        <v>247</v>
      </c>
      <c r="C34" s="374" t="s">
        <v>0</v>
      </c>
      <c r="D34" s="374" t="s">
        <v>248</v>
      </c>
      <c r="E34" s="374" t="s">
        <v>249</v>
      </c>
    </row>
    <row r="35" spans="1:5" s="373" customFormat="1" x14ac:dyDescent="0.25">
      <c r="A35" s="389">
        <v>1</v>
      </c>
      <c r="B35" s="375" t="s">
        <v>250</v>
      </c>
      <c r="C35" s="376" t="s">
        <v>251</v>
      </c>
      <c r="D35" s="376" t="s">
        <v>252</v>
      </c>
      <c r="E35" s="377">
        <v>631339</v>
      </c>
    </row>
    <row r="36" spans="1:5" x14ac:dyDescent="0.25">
      <c r="A36" s="389">
        <v>2</v>
      </c>
      <c r="B36" s="375" t="s">
        <v>250</v>
      </c>
      <c r="C36" s="376" t="s">
        <v>251</v>
      </c>
      <c r="D36" s="376" t="s">
        <v>252</v>
      </c>
      <c r="E36" s="377">
        <v>631340</v>
      </c>
    </row>
    <row r="37" spans="1:5" x14ac:dyDescent="0.25">
      <c r="A37" s="389">
        <v>3</v>
      </c>
      <c r="B37" s="375" t="s">
        <v>250</v>
      </c>
      <c r="C37" s="376" t="s">
        <v>251</v>
      </c>
      <c r="D37" s="376" t="s">
        <v>252</v>
      </c>
      <c r="E37" s="377">
        <v>631341</v>
      </c>
    </row>
    <row r="38" spans="1:5" x14ac:dyDescent="0.25">
      <c r="A38" s="389">
        <v>4</v>
      </c>
      <c r="B38" s="375" t="s">
        <v>250</v>
      </c>
      <c r="C38" s="376" t="s">
        <v>251</v>
      </c>
      <c r="D38" s="376" t="s">
        <v>252</v>
      </c>
      <c r="E38" s="377">
        <v>632334</v>
      </c>
    </row>
    <row r="39" spans="1:5" x14ac:dyDescent="0.25">
      <c r="A39" s="389">
        <v>5</v>
      </c>
      <c r="B39" s="375" t="s">
        <v>250</v>
      </c>
      <c r="C39" s="378" t="s">
        <v>253</v>
      </c>
      <c r="D39" s="378" t="s">
        <v>254</v>
      </c>
      <c r="E39" s="377">
        <v>180812179</v>
      </c>
    </row>
    <row r="40" spans="1:5" x14ac:dyDescent="0.25">
      <c r="A40" s="389">
        <v>6</v>
      </c>
      <c r="B40" s="375" t="s">
        <v>250</v>
      </c>
      <c r="C40" s="378" t="s">
        <v>253</v>
      </c>
      <c r="D40" s="378" t="s">
        <v>255</v>
      </c>
      <c r="E40" s="377">
        <v>180812200</v>
      </c>
    </row>
    <row r="41" spans="1:5" x14ac:dyDescent="0.25">
      <c r="A41" s="389">
        <v>7</v>
      </c>
      <c r="B41" s="379" t="s">
        <v>250</v>
      </c>
      <c r="C41" s="380" t="s">
        <v>253</v>
      </c>
      <c r="D41" s="380" t="s">
        <v>256</v>
      </c>
      <c r="E41" s="381">
        <v>180812206</v>
      </c>
    </row>
    <row r="42" spans="1:5" x14ac:dyDescent="0.25">
      <c r="A42" s="389"/>
      <c r="B42" s="379"/>
      <c r="C42" s="380"/>
      <c r="D42" s="380"/>
      <c r="E42" s="381"/>
    </row>
    <row r="43" spans="1:5" x14ac:dyDescent="0.25">
      <c r="A43" s="389">
        <v>8</v>
      </c>
      <c r="B43" s="382" t="s">
        <v>257</v>
      </c>
      <c r="C43" s="383" t="s">
        <v>258</v>
      </c>
      <c r="D43" s="383" t="s">
        <v>259</v>
      </c>
      <c r="E43" s="384">
        <v>1837056</v>
      </c>
    </row>
    <row r="44" spans="1:5" x14ac:dyDescent="0.25">
      <c r="A44" s="389">
        <v>9</v>
      </c>
      <c r="B44" s="382" t="s">
        <v>257</v>
      </c>
      <c r="C44" s="383" t="s">
        <v>258</v>
      </c>
      <c r="D44" s="383" t="s">
        <v>260</v>
      </c>
      <c r="E44" s="384">
        <v>1834020</v>
      </c>
    </row>
    <row r="45" spans="1:5" x14ac:dyDescent="0.25">
      <c r="A45" s="389">
        <v>10</v>
      </c>
      <c r="B45" s="382" t="s">
        <v>257</v>
      </c>
      <c r="C45" s="383" t="s">
        <v>258</v>
      </c>
      <c r="D45" s="383" t="s">
        <v>261</v>
      </c>
      <c r="E45" s="384">
        <v>2853077</v>
      </c>
    </row>
    <row r="46" spans="1:5" x14ac:dyDescent="0.25">
      <c r="A46" s="389">
        <v>11</v>
      </c>
      <c r="B46" s="382" t="s">
        <v>257</v>
      </c>
      <c r="C46" s="383" t="s">
        <v>258</v>
      </c>
      <c r="D46" s="383" t="s">
        <v>262</v>
      </c>
      <c r="E46" s="384">
        <v>2853078</v>
      </c>
    </row>
    <row r="47" spans="1:5" x14ac:dyDescent="0.25">
      <c r="A47" s="389">
        <v>12</v>
      </c>
      <c r="B47" s="382" t="s">
        <v>257</v>
      </c>
      <c r="C47" s="383" t="s">
        <v>258</v>
      </c>
      <c r="D47" s="383" t="s">
        <v>263</v>
      </c>
      <c r="E47" s="384">
        <v>3148907</v>
      </c>
    </row>
    <row r="48" spans="1:5" x14ac:dyDescent="0.25">
      <c r="A48" s="389">
        <v>13</v>
      </c>
      <c r="B48" s="382" t="s">
        <v>257</v>
      </c>
      <c r="C48" s="383" t="s">
        <v>258</v>
      </c>
      <c r="D48" s="383" t="s">
        <v>264</v>
      </c>
      <c r="E48" s="384">
        <v>3148908</v>
      </c>
    </row>
    <row r="49" spans="1:5" x14ac:dyDescent="0.25">
      <c r="A49" s="389">
        <v>14</v>
      </c>
      <c r="B49" s="382" t="s">
        <v>257</v>
      </c>
      <c r="C49" s="383" t="s">
        <v>258</v>
      </c>
      <c r="D49" s="383" t="s">
        <v>265</v>
      </c>
      <c r="E49" s="384">
        <v>3699030</v>
      </c>
    </row>
    <row r="50" spans="1:5" x14ac:dyDescent="0.25">
      <c r="A50" s="389">
        <v>15</v>
      </c>
      <c r="B50" s="382" t="s">
        <v>257</v>
      </c>
      <c r="C50" s="383" t="s">
        <v>258</v>
      </c>
      <c r="D50" s="383" t="s">
        <v>259</v>
      </c>
      <c r="E50" s="384">
        <v>4670010</v>
      </c>
    </row>
    <row r="51" spans="1:5" x14ac:dyDescent="0.25">
      <c r="A51" s="389">
        <v>16</v>
      </c>
      <c r="B51" s="385" t="s">
        <v>257</v>
      </c>
      <c r="C51" s="386" t="s">
        <v>258</v>
      </c>
      <c r="D51" s="386" t="s">
        <v>260</v>
      </c>
      <c r="E51" s="387">
        <v>4669058</v>
      </c>
    </row>
    <row r="52" spans="1:5" x14ac:dyDescent="0.25">
      <c r="A52" s="389"/>
      <c r="B52" s="385"/>
      <c r="C52" s="386"/>
      <c r="D52" s="386"/>
      <c r="E52" s="387"/>
    </row>
    <row r="53" spans="1:5" x14ac:dyDescent="0.25">
      <c r="A53" s="389">
        <v>17</v>
      </c>
      <c r="B53" s="375" t="s">
        <v>266</v>
      </c>
      <c r="C53" s="378" t="s">
        <v>267</v>
      </c>
      <c r="D53" s="376">
        <v>3421</v>
      </c>
      <c r="E53" s="377">
        <v>90130606</v>
      </c>
    </row>
    <row r="54" spans="1:5" x14ac:dyDescent="0.25">
      <c r="A54" s="389">
        <v>18</v>
      </c>
      <c r="B54" s="375" t="s">
        <v>268</v>
      </c>
      <c r="C54" s="378" t="s">
        <v>269</v>
      </c>
      <c r="D54" s="376" t="s">
        <v>270</v>
      </c>
      <c r="E54" s="377">
        <v>13100251</v>
      </c>
    </row>
    <row r="55" spans="1:5" x14ac:dyDescent="0.25">
      <c r="A55" s="389">
        <v>19</v>
      </c>
      <c r="B55" s="375" t="s">
        <v>268</v>
      </c>
      <c r="C55" s="378" t="s">
        <v>271</v>
      </c>
      <c r="D55" s="378" t="s">
        <v>272</v>
      </c>
      <c r="E55" s="377">
        <v>110705877</v>
      </c>
    </row>
    <row r="56" spans="1:5" x14ac:dyDescent="0.25">
      <c r="A56" s="389">
        <v>20</v>
      </c>
      <c r="B56" s="375" t="s">
        <v>268</v>
      </c>
      <c r="C56" s="378" t="s">
        <v>271</v>
      </c>
      <c r="D56" s="378" t="s">
        <v>273</v>
      </c>
      <c r="E56" s="377">
        <v>110705875</v>
      </c>
    </row>
    <row r="57" spans="1:5" x14ac:dyDescent="0.25">
      <c r="A57" s="389">
        <v>21</v>
      </c>
      <c r="B57" s="375" t="s">
        <v>268</v>
      </c>
      <c r="C57" s="378" t="s">
        <v>271</v>
      </c>
      <c r="D57" s="378" t="s">
        <v>274</v>
      </c>
      <c r="E57" s="377">
        <v>110705875</v>
      </c>
    </row>
    <row r="58" spans="1:5" x14ac:dyDescent="0.25">
      <c r="A58" s="389">
        <v>22</v>
      </c>
      <c r="B58" s="375" t="s">
        <v>268</v>
      </c>
      <c r="C58" s="378" t="s">
        <v>271</v>
      </c>
      <c r="D58" s="378" t="s">
        <v>275</v>
      </c>
      <c r="E58" s="377">
        <v>190102372</v>
      </c>
    </row>
    <row r="59" spans="1:5" x14ac:dyDescent="0.25">
      <c r="A59" s="389">
        <v>23</v>
      </c>
      <c r="B59" s="375" t="s">
        <v>268</v>
      </c>
      <c r="C59" s="378" t="s">
        <v>271</v>
      </c>
      <c r="D59" s="378" t="s">
        <v>276</v>
      </c>
      <c r="E59" s="377">
        <v>190412114</v>
      </c>
    </row>
    <row r="60" spans="1:5" x14ac:dyDescent="0.25">
      <c r="A60" s="389">
        <v>24</v>
      </c>
      <c r="B60" s="379" t="s">
        <v>268</v>
      </c>
      <c r="C60" s="380" t="s">
        <v>271</v>
      </c>
      <c r="D60" s="380" t="s">
        <v>277</v>
      </c>
      <c r="E60" s="381">
        <v>190509514</v>
      </c>
    </row>
    <row r="61" spans="1:5" x14ac:dyDescent="0.25">
      <c r="A61" s="389">
        <v>25</v>
      </c>
      <c r="B61" s="375" t="s">
        <v>278</v>
      </c>
      <c r="C61" s="378" t="s">
        <v>258</v>
      </c>
      <c r="D61" s="378" t="s">
        <v>279</v>
      </c>
      <c r="E61" s="377">
        <v>1831021</v>
      </c>
    </row>
    <row r="62" spans="1:5" x14ac:dyDescent="0.25">
      <c r="A62" s="389">
        <v>26</v>
      </c>
      <c r="B62" s="375" t="s">
        <v>278</v>
      </c>
      <c r="C62" s="378" t="s">
        <v>258</v>
      </c>
      <c r="D62" s="378" t="s">
        <v>279</v>
      </c>
      <c r="E62" s="377">
        <v>1831023</v>
      </c>
    </row>
    <row r="63" spans="1:5" x14ac:dyDescent="0.25">
      <c r="A63" s="389">
        <v>27</v>
      </c>
      <c r="B63" s="375" t="s">
        <v>278</v>
      </c>
      <c r="C63" s="378" t="s">
        <v>258</v>
      </c>
      <c r="D63" s="378" t="s">
        <v>279</v>
      </c>
      <c r="E63" s="377">
        <v>4414016</v>
      </c>
    </row>
    <row r="64" spans="1:5" x14ac:dyDescent="0.25">
      <c r="A64" s="389">
        <v>28</v>
      </c>
      <c r="B64" s="375" t="s">
        <v>278</v>
      </c>
      <c r="C64" s="378" t="s">
        <v>258</v>
      </c>
      <c r="D64" s="378" t="s">
        <v>279</v>
      </c>
      <c r="E64" s="377">
        <v>4414018</v>
      </c>
    </row>
    <row r="65" spans="1:5" x14ac:dyDescent="0.25">
      <c r="A65" s="389">
        <v>29</v>
      </c>
      <c r="B65" s="375" t="s">
        <v>278</v>
      </c>
      <c r="C65" s="378" t="s">
        <v>258</v>
      </c>
      <c r="D65" s="378" t="s">
        <v>279</v>
      </c>
      <c r="E65" s="377">
        <v>4821027</v>
      </c>
    </row>
    <row r="66" spans="1:5" x14ac:dyDescent="0.25">
      <c r="A66" s="389">
        <v>30</v>
      </c>
      <c r="B66" s="375" t="s">
        <v>278</v>
      </c>
      <c r="C66" s="378" t="s">
        <v>258</v>
      </c>
      <c r="D66" s="378" t="s">
        <v>279</v>
      </c>
      <c r="E66" s="377">
        <v>4600002</v>
      </c>
    </row>
    <row r="67" spans="1:5" x14ac:dyDescent="0.25">
      <c r="A67" s="389">
        <v>31</v>
      </c>
      <c r="B67" s="375" t="s">
        <v>278</v>
      </c>
      <c r="C67" s="378" t="s">
        <v>258</v>
      </c>
      <c r="D67" s="378" t="s">
        <v>279</v>
      </c>
      <c r="E67" s="377">
        <v>484821028</v>
      </c>
    </row>
    <row r="68" spans="1:5" x14ac:dyDescent="0.25">
      <c r="A68" s="389">
        <v>32</v>
      </c>
      <c r="B68" s="375" t="s">
        <v>278</v>
      </c>
      <c r="C68" s="378" t="s">
        <v>258</v>
      </c>
      <c r="D68" s="378" t="s">
        <v>279</v>
      </c>
      <c r="E68" s="377">
        <v>4819018</v>
      </c>
    </row>
    <row r="69" spans="1:5" x14ac:dyDescent="0.25">
      <c r="A69" s="389">
        <v>33</v>
      </c>
      <c r="B69" s="375" t="s">
        <v>278</v>
      </c>
      <c r="C69" s="378" t="s">
        <v>258</v>
      </c>
      <c r="D69" s="378" t="s">
        <v>279</v>
      </c>
      <c r="E69" s="377">
        <v>4813009</v>
      </c>
    </row>
    <row r="70" spans="1:5" x14ac:dyDescent="0.25">
      <c r="A70" s="389">
        <v>34</v>
      </c>
      <c r="B70" s="375" t="s">
        <v>280</v>
      </c>
      <c r="C70" s="378" t="s">
        <v>281</v>
      </c>
      <c r="D70" s="378" t="s">
        <v>282</v>
      </c>
      <c r="E70" s="377">
        <v>126143</v>
      </c>
    </row>
    <row r="71" spans="1:5" x14ac:dyDescent="0.25">
      <c r="A71" s="389">
        <v>35</v>
      </c>
      <c r="B71" s="375" t="s">
        <v>278</v>
      </c>
      <c r="C71" s="378" t="s">
        <v>258</v>
      </c>
      <c r="D71" s="378" t="s">
        <v>283</v>
      </c>
      <c r="E71" s="377">
        <v>3191005</v>
      </c>
    </row>
    <row r="72" spans="1:5" x14ac:dyDescent="0.25">
      <c r="A72" s="389">
        <v>36</v>
      </c>
      <c r="B72" s="379" t="s">
        <v>278</v>
      </c>
      <c r="C72" s="380" t="s">
        <v>258</v>
      </c>
      <c r="D72" s="380" t="s">
        <v>283</v>
      </c>
      <c r="E72" s="381">
        <v>66111021</v>
      </c>
    </row>
    <row r="73" spans="1:5" x14ac:dyDescent="0.25">
      <c r="A73" s="389"/>
      <c r="B73" s="379"/>
      <c r="C73" s="380"/>
      <c r="D73" s="380"/>
      <c r="E73" s="381"/>
    </row>
    <row r="74" spans="1:5" x14ac:dyDescent="0.25">
      <c r="A74" s="389">
        <v>37</v>
      </c>
      <c r="B74" s="388" t="s">
        <v>284</v>
      </c>
      <c r="C74" s="383" t="s">
        <v>269</v>
      </c>
      <c r="D74" s="383" t="s">
        <v>285</v>
      </c>
      <c r="E74" s="384">
        <v>15062873</v>
      </c>
    </row>
    <row r="75" spans="1:5" x14ac:dyDescent="0.25">
      <c r="A75" s="389">
        <v>38</v>
      </c>
      <c r="B75" s="388" t="s">
        <v>284</v>
      </c>
      <c r="C75" s="383" t="s">
        <v>269</v>
      </c>
      <c r="D75" s="383" t="s">
        <v>285</v>
      </c>
      <c r="E75" s="384">
        <v>15062874</v>
      </c>
    </row>
    <row r="76" spans="1:5" x14ac:dyDescent="0.25">
      <c r="A76" s="389">
        <v>39</v>
      </c>
      <c r="B76" s="388" t="s">
        <v>284</v>
      </c>
      <c r="C76" s="383" t="s">
        <v>269</v>
      </c>
      <c r="D76" s="383" t="s">
        <v>285</v>
      </c>
      <c r="E76" s="384">
        <v>14082463</v>
      </c>
    </row>
    <row r="77" spans="1:5" x14ac:dyDescent="0.25">
      <c r="A77" s="389">
        <v>40</v>
      </c>
      <c r="B77" s="388" t="s">
        <v>284</v>
      </c>
      <c r="C77" s="383" t="s">
        <v>269</v>
      </c>
      <c r="D77" s="383" t="s">
        <v>285</v>
      </c>
      <c r="E77" s="384">
        <v>15062872</v>
      </c>
    </row>
    <row r="78" spans="1:5" x14ac:dyDescent="0.25">
      <c r="A78" s="389">
        <v>41</v>
      </c>
      <c r="B78" s="388" t="s">
        <v>284</v>
      </c>
      <c r="C78" s="383" t="s">
        <v>269</v>
      </c>
      <c r="D78" s="383" t="s">
        <v>285</v>
      </c>
      <c r="E78" s="384">
        <v>15062875</v>
      </c>
    </row>
    <row r="79" spans="1:5" x14ac:dyDescent="0.25">
      <c r="A79" s="389">
        <v>42</v>
      </c>
      <c r="B79" s="388" t="s">
        <v>284</v>
      </c>
      <c r="C79" s="383" t="s">
        <v>286</v>
      </c>
      <c r="D79" s="383" t="s">
        <v>287</v>
      </c>
      <c r="E79" s="384">
        <v>34903046</v>
      </c>
    </row>
    <row r="80" spans="1:5" x14ac:dyDescent="0.25">
      <c r="A80" s="389">
        <v>43</v>
      </c>
      <c r="B80" s="388" t="s">
        <v>284</v>
      </c>
      <c r="C80" s="383" t="s">
        <v>286</v>
      </c>
      <c r="D80" s="383" t="s">
        <v>288</v>
      </c>
      <c r="E80" s="384">
        <v>34903053</v>
      </c>
    </row>
    <row r="81" spans="1:5" x14ac:dyDescent="0.25">
      <c r="A81" s="389">
        <v>44</v>
      </c>
      <c r="B81" s="388" t="s">
        <v>284</v>
      </c>
      <c r="C81" s="383" t="s">
        <v>286</v>
      </c>
      <c r="D81" s="383" t="s">
        <v>289</v>
      </c>
      <c r="E81" s="384">
        <v>34903051</v>
      </c>
    </row>
    <row r="82" spans="1:5" x14ac:dyDescent="0.25">
      <c r="A82" s="389">
        <v>45</v>
      </c>
      <c r="B82" s="388" t="s">
        <v>284</v>
      </c>
      <c r="C82" s="383" t="s">
        <v>286</v>
      </c>
      <c r="D82" s="383" t="s">
        <v>290</v>
      </c>
      <c r="E82" s="384">
        <v>34904091</v>
      </c>
    </row>
    <row r="83" spans="1:5" x14ac:dyDescent="0.25">
      <c r="A83" s="389">
        <v>46</v>
      </c>
      <c r="B83" s="388" t="s">
        <v>284</v>
      </c>
      <c r="C83" s="383" t="s">
        <v>291</v>
      </c>
      <c r="D83" s="383" t="s">
        <v>292</v>
      </c>
      <c r="E83" s="384" t="s">
        <v>293</v>
      </c>
    </row>
    <row r="84" spans="1:5" x14ac:dyDescent="0.25">
      <c r="A84" s="389">
        <v>47</v>
      </c>
      <c r="B84" s="388" t="s">
        <v>284</v>
      </c>
      <c r="C84" s="383" t="s">
        <v>291</v>
      </c>
      <c r="D84" s="383" t="s">
        <v>292</v>
      </c>
      <c r="E84" s="384" t="s">
        <v>294</v>
      </c>
    </row>
    <row r="85" spans="1:5" x14ac:dyDescent="0.25">
      <c r="A85" s="389">
        <v>48</v>
      </c>
      <c r="B85" s="388" t="s">
        <v>284</v>
      </c>
      <c r="C85" s="383" t="s">
        <v>271</v>
      </c>
      <c r="D85" s="383" t="s">
        <v>295</v>
      </c>
      <c r="E85" s="384" t="s">
        <v>296</v>
      </c>
    </row>
    <row r="86" spans="1:5" x14ac:dyDescent="0.25">
      <c r="A86" s="389">
        <v>49</v>
      </c>
      <c r="B86" s="388" t="s">
        <v>284</v>
      </c>
      <c r="C86" s="383" t="s">
        <v>271</v>
      </c>
      <c r="D86" s="383" t="s">
        <v>297</v>
      </c>
      <c r="E86" s="384" t="s">
        <v>298</v>
      </c>
    </row>
    <row r="87" spans="1:5" x14ac:dyDescent="0.25">
      <c r="A87" s="389">
        <v>50</v>
      </c>
      <c r="B87" s="388" t="s">
        <v>284</v>
      </c>
      <c r="C87" s="383" t="s">
        <v>271</v>
      </c>
      <c r="D87" s="383" t="s">
        <v>299</v>
      </c>
      <c r="E87" s="384" t="s">
        <v>300</v>
      </c>
    </row>
    <row r="88" spans="1:5" x14ac:dyDescent="0.25">
      <c r="A88" s="389">
        <v>51</v>
      </c>
      <c r="B88" s="388" t="s">
        <v>284</v>
      </c>
      <c r="C88" s="383" t="s">
        <v>271</v>
      </c>
      <c r="D88" s="383" t="s">
        <v>301</v>
      </c>
      <c r="E88" s="384" t="s">
        <v>302</v>
      </c>
    </row>
    <row r="89" spans="1:5" x14ac:dyDescent="0.25">
      <c r="A89" s="389">
        <v>52</v>
      </c>
      <c r="B89" s="388" t="s">
        <v>284</v>
      </c>
      <c r="C89" s="383" t="s">
        <v>271</v>
      </c>
      <c r="D89" s="383" t="s">
        <v>303</v>
      </c>
      <c r="E89" s="384" t="s">
        <v>304</v>
      </c>
    </row>
    <row r="90" spans="1:5" x14ac:dyDescent="0.25">
      <c r="A90" s="389">
        <v>53</v>
      </c>
      <c r="B90" s="388" t="s">
        <v>284</v>
      </c>
      <c r="C90" s="383" t="s">
        <v>271</v>
      </c>
      <c r="D90" s="383" t="s">
        <v>305</v>
      </c>
      <c r="E90" s="384" t="s">
        <v>306</v>
      </c>
    </row>
    <row r="91" spans="1:5" x14ac:dyDescent="0.25">
      <c r="A91" s="389">
        <v>54</v>
      </c>
      <c r="B91" s="388" t="s">
        <v>284</v>
      </c>
      <c r="C91" s="383" t="s">
        <v>271</v>
      </c>
      <c r="D91" s="383" t="s">
        <v>307</v>
      </c>
      <c r="E91" s="384" t="s">
        <v>308</v>
      </c>
    </row>
  </sheetData>
  <phoneticPr fontId="57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E801-A9D8-47DA-B7DD-53ACB90AB7D7}">
  <dimension ref="A1:AJ233"/>
  <sheetViews>
    <sheetView topLeftCell="A187" zoomScale="82" zoomScaleNormal="82" workbookViewId="0">
      <selection activeCell="O194" sqref="O194"/>
    </sheetView>
  </sheetViews>
  <sheetFormatPr defaultColWidth="9.1796875" defaultRowHeight="12.5" x14ac:dyDescent="0.25"/>
  <cols>
    <col min="1" max="2" width="5.81640625" style="159" customWidth="1"/>
    <col min="3" max="3" width="17.453125" style="159" customWidth="1"/>
    <col min="4" max="5" width="10.7265625" style="159" customWidth="1"/>
    <col min="6" max="6" width="9.7265625" style="159" customWidth="1"/>
    <col min="7" max="7" width="10.36328125" style="159" bestFit="1" customWidth="1"/>
    <col min="8" max="9" width="9.1796875" style="159"/>
    <col min="10" max="10" width="6.26953125" style="159" customWidth="1"/>
    <col min="11" max="11" width="17.54296875" style="159" customWidth="1"/>
    <col min="12" max="13" width="10.54296875" style="159" customWidth="1"/>
    <col min="14" max="14" width="9.453125" style="159" customWidth="1"/>
    <col min="15" max="15" width="11.26953125" style="159" customWidth="1"/>
    <col min="16" max="17" width="10.26953125" style="159" customWidth="1"/>
    <col min="18" max="18" width="6.453125" style="159" customWidth="1"/>
    <col min="19" max="19" width="18.1796875" style="159" customWidth="1"/>
    <col min="20" max="21" width="9.1796875" style="159"/>
    <col min="22" max="22" width="10" style="159" customWidth="1"/>
    <col min="23" max="25" width="9.1796875" style="159"/>
    <col min="26" max="26" width="16.81640625" style="159" customWidth="1"/>
    <col min="27" max="16384" width="9.1796875" style="159"/>
  </cols>
  <sheetData>
    <row r="1" spans="2:25" ht="13" thickBot="1" x14ac:dyDescent="0.3"/>
    <row r="2" spans="2:25" ht="13" thickBot="1" x14ac:dyDescent="0.3">
      <c r="B2" s="1871">
        <v>1</v>
      </c>
      <c r="C2" s="1090" t="s">
        <v>519</v>
      </c>
      <c r="D2" s="1090"/>
      <c r="E2" s="1090"/>
      <c r="F2" s="1090"/>
      <c r="G2" s="1090"/>
      <c r="H2" s="1091"/>
      <c r="I2" s="1047"/>
      <c r="J2" s="1871">
        <v>2</v>
      </c>
      <c r="K2" s="1090" t="s">
        <v>520</v>
      </c>
      <c r="L2" s="1090"/>
      <c r="M2" s="1090"/>
      <c r="N2" s="1090"/>
      <c r="O2" s="1090"/>
      <c r="P2" s="1091"/>
      <c r="Q2" s="1047"/>
      <c r="R2" s="1871">
        <v>3</v>
      </c>
      <c r="S2" s="1087" t="s">
        <v>521</v>
      </c>
      <c r="T2" s="1087"/>
      <c r="U2" s="1087"/>
      <c r="V2" s="1087"/>
      <c r="W2" s="1087"/>
      <c r="X2" s="1088"/>
    </row>
    <row r="3" spans="2:25" ht="14" x14ac:dyDescent="0.3">
      <c r="B3" s="1872"/>
      <c r="C3" s="1866" t="s">
        <v>385</v>
      </c>
      <c r="D3" s="1867"/>
      <c r="E3" s="1867"/>
      <c r="F3" s="1867"/>
      <c r="G3" s="1868" t="s">
        <v>86</v>
      </c>
      <c r="H3" s="1863" t="s">
        <v>90</v>
      </c>
      <c r="I3" s="1048"/>
      <c r="J3" s="1872"/>
      <c r="K3" s="1866" t="s">
        <v>385</v>
      </c>
      <c r="L3" s="1867"/>
      <c r="M3" s="1867"/>
      <c r="N3" s="1867"/>
      <c r="O3" s="1886" t="s">
        <v>86</v>
      </c>
      <c r="P3" s="1888" t="s">
        <v>90</v>
      </c>
      <c r="Q3" s="1048"/>
      <c r="R3" s="1872"/>
      <c r="S3" s="1874" t="s">
        <v>385</v>
      </c>
      <c r="T3" s="1875"/>
      <c r="U3" s="1875"/>
      <c r="V3" s="1876"/>
      <c r="W3" s="1877" t="s">
        <v>86</v>
      </c>
      <c r="X3" s="1880" t="s">
        <v>90</v>
      </c>
    </row>
    <row r="4" spans="2:25" ht="13" x14ac:dyDescent="0.25">
      <c r="B4" s="1872"/>
      <c r="C4" s="1075" t="s">
        <v>386</v>
      </c>
      <c r="D4" s="1865" t="s">
        <v>88</v>
      </c>
      <c r="E4" s="1865"/>
      <c r="F4" s="1865"/>
      <c r="G4" s="1865"/>
      <c r="H4" s="1864"/>
      <c r="I4" s="1048"/>
      <c r="J4" s="1872"/>
      <c r="K4" s="1075" t="s">
        <v>386</v>
      </c>
      <c r="L4" s="1865" t="s">
        <v>88</v>
      </c>
      <c r="M4" s="1865"/>
      <c r="N4" s="1865"/>
      <c r="O4" s="1884"/>
      <c r="P4" s="1889"/>
      <c r="Q4" s="1048"/>
      <c r="R4" s="1872"/>
      <c r="S4" s="1075" t="s">
        <v>386</v>
      </c>
      <c r="T4" s="1883" t="s">
        <v>88</v>
      </c>
      <c r="U4" s="1884"/>
      <c r="V4" s="1885"/>
      <c r="W4" s="1878"/>
      <c r="X4" s="1881"/>
    </row>
    <row r="5" spans="2:25" ht="14" x14ac:dyDescent="0.25">
      <c r="B5" s="1872"/>
      <c r="C5" s="1076" t="s">
        <v>55</v>
      </c>
      <c r="D5" s="1077">
        <v>2016</v>
      </c>
      <c r="E5" s="1077">
        <v>2016</v>
      </c>
      <c r="F5" s="1077">
        <v>2018</v>
      </c>
      <c r="G5" s="1865"/>
      <c r="H5" s="1864"/>
      <c r="I5" s="1048"/>
      <c r="J5" s="1872"/>
      <c r="K5" s="1076" t="s">
        <v>55</v>
      </c>
      <c r="L5" s="1077">
        <v>2016</v>
      </c>
      <c r="M5" s="1077">
        <v>2016</v>
      </c>
      <c r="N5" s="1077">
        <v>2018</v>
      </c>
      <c r="O5" s="1887"/>
      <c r="P5" s="1890"/>
      <c r="Q5" s="1048"/>
      <c r="R5" s="1872"/>
      <c r="S5" s="1076" t="s">
        <v>55</v>
      </c>
      <c r="T5" s="1077">
        <v>2016</v>
      </c>
      <c r="U5" s="1077">
        <v>2016</v>
      </c>
      <c r="V5" s="1077">
        <v>2021</v>
      </c>
      <c r="W5" s="1879"/>
      <c r="X5" s="1882"/>
    </row>
    <row r="6" spans="2:25" x14ac:dyDescent="0.25">
      <c r="B6" s="1872"/>
      <c r="C6" s="1049">
        <v>0</v>
      </c>
      <c r="D6" s="1049">
        <v>0</v>
      </c>
      <c r="E6" s="1049"/>
      <c r="F6" s="1071">
        <v>1.0000000000000001E-5</v>
      </c>
      <c r="G6" s="1050">
        <f t="shared" ref="G6:G13" si="0">IF(0.5*(MAX(D6:F6)-MIN(D6:F6))=0,0.00001,0.5*(MAX(D6:F6)-MIN(D6:F6)))</f>
        <v>5.0000000000000004E-6</v>
      </c>
      <c r="H6" s="1081">
        <v>0.1</v>
      </c>
      <c r="I6" s="1051"/>
      <c r="J6" s="1872"/>
      <c r="K6" s="1049">
        <v>0</v>
      </c>
      <c r="L6" s="1049" t="s">
        <v>89</v>
      </c>
      <c r="M6" s="1049" t="s">
        <v>89</v>
      </c>
      <c r="N6" s="1071">
        <v>1.0000000000000001E-5</v>
      </c>
      <c r="O6" s="1050">
        <f t="shared" ref="O6:O13" si="1">IF(0.5*(MAX(L6:N6)-MIN(L6:N6))=0,0.00001,0.5*(MAX(L6:N6)-MIN(L6:N6)))</f>
        <v>1.0000000000000001E-5</v>
      </c>
      <c r="P6" s="1081">
        <v>0.1</v>
      </c>
      <c r="Q6" s="1051"/>
      <c r="R6" s="1872"/>
      <c r="S6" s="1049">
        <v>0</v>
      </c>
      <c r="T6" s="1049" t="s">
        <v>89</v>
      </c>
      <c r="U6" s="1049" t="s">
        <v>89</v>
      </c>
      <c r="V6" s="1071">
        <v>1.0000000000000001E-5</v>
      </c>
      <c r="W6" s="1050">
        <f>IF(0.5*(MAX(T6:V6)-MIN(T6:V6))=0,0.00001,0.5*(MAX(T6:V6)-MIN(T6:V6)))</f>
        <v>1.0000000000000001E-5</v>
      </c>
      <c r="X6" s="1081">
        <f>S6*$Y$6</f>
        <v>0</v>
      </c>
      <c r="Y6" s="159">
        <f>0.29/100</f>
        <v>2.8999999999999998E-3</v>
      </c>
    </row>
    <row r="7" spans="2:25" x14ac:dyDescent="0.25">
      <c r="B7" s="1872"/>
      <c r="C7" s="1049">
        <v>5</v>
      </c>
      <c r="D7" s="1049">
        <v>-0.2</v>
      </c>
      <c r="E7" s="1049"/>
      <c r="F7" s="1071">
        <v>1.0000000000000001E-5</v>
      </c>
      <c r="G7" s="1050">
        <f t="shared" si="0"/>
        <v>0.10000500000000001</v>
      </c>
      <c r="H7" s="1081">
        <v>0.1</v>
      </c>
      <c r="I7" s="1051"/>
      <c r="J7" s="1872"/>
      <c r="K7" s="1049">
        <v>5</v>
      </c>
      <c r="L7" s="1049" t="s">
        <v>89</v>
      </c>
      <c r="M7" s="1049" t="s">
        <v>89</v>
      </c>
      <c r="N7" s="1071">
        <v>1.0000000000000001E-5</v>
      </c>
      <c r="O7" s="1050">
        <f t="shared" si="1"/>
        <v>1.0000000000000001E-5</v>
      </c>
      <c r="P7" s="1081">
        <v>0.1</v>
      </c>
      <c r="Q7" s="1051"/>
      <c r="R7" s="1872"/>
      <c r="S7" s="1049">
        <v>1</v>
      </c>
      <c r="T7" s="1049" t="s">
        <v>89</v>
      </c>
      <c r="U7" s="1049" t="s">
        <v>89</v>
      </c>
      <c r="V7" s="1071">
        <v>1.0000000000000001E-5</v>
      </c>
      <c r="W7" s="1050">
        <f t="shared" ref="W7:W13" si="2">IF(0.5*(MAX(T7:V7)-MIN(T7:V7))=0,0.00001,0.5*(MAX(T7:V7)-MIN(T7:V7)))</f>
        <v>1.0000000000000001E-5</v>
      </c>
      <c r="X7" s="1081">
        <f t="shared" ref="X7:X13" si="3">S7*$Y$6</f>
        <v>2.8999999999999998E-3</v>
      </c>
    </row>
    <row r="8" spans="2:25" x14ac:dyDescent="0.25">
      <c r="B8" s="1872"/>
      <c r="C8" s="1049">
        <v>10</v>
      </c>
      <c r="D8" s="1049">
        <v>-0.2</v>
      </c>
      <c r="E8" s="1049"/>
      <c r="F8" s="1071">
        <v>1.0000000000000001E-5</v>
      </c>
      <c r="G8" s="1050">
        <f t="shared" si="0"/>
        <v>0.10000500000000001</v>
      </c>
      <c r="H8" s="1081">
        <v>0.2</v>
      </c>
      <c r="I8" s="1051"/>
      <c r="J8" s="1872"/>
      <c r="K8" s="1049">
        <v>10</v>
      </c>
      <c r="L8" s="1049" t="s">
        <v>89</v>
      </c>
      <c r="M8" s="1049" t="s">
        <v>89</v>
      </c>
      <c r="N8" s="1071">
        <v>1.0000000000000001E-5</v>
      </c>
      <c r="O8" s="1050">
        <f t="shared" si="1"/>
        <v>1.0000000000000001E-5</v>
      </c>
      <c r="P8" s="1081">
        <v>0.2</v>
      </c>
      <c r="Q8" s="1051"/>
      <c r="R8" s="1872"/>
      <c r="S8" s="1049">
        <v>10</v>
      </c>
      <c r="T8" s="1049" t="s">
        <v>89</v>
      </c>
      <c r="U8" s="1049" t="s">
        <v>89</v>
      </c>
      <c r="V8" s="1071">
        <v>1.0000000000000001E-5</v>
      </c>
      <c r="W8" s="1050">
        <f t="shared" si="2"/>
        <v>1.0000000000000001E-5</v>
      </c>
      <c r="X8" s="1081">
        <f t="shared" si="3"/>
        <v>2.8999999999999998E-2</v>
      </c>
    </row>
    <row r="9" spans="2:25" x14ac:dyDescent="0.25">
      <c r="B9" s="1872"/>
      <c r="C9" s="1049">
        <v>15</v>
      </c>
      <c r="D9" s="1049">
        <v>-0.2</v>
      </c>
      <c r="E9" s="1049"/>
      <c r="F9" s="1071">
        <v>1.0000000000000001E-5</v>
      </c>
      <c r="G9" s="1050">
        <f t="shared" si="0"/>
        <v>0.10000500000000001</v>
      </c>
      <c r="H9" s="1081">
        <v>0.2</v>
      </c>
      <c r="I9" s="1051"/>
      <c r="J9" s="1872"/>
      <c r="K9" s="1049">
        <v>15</v>
      </c>
      <c r="L9" s="1049" t="s">
        <v>89</v>
      </c>
      <c r="M9" s="1049" t="s">
        <v>89</v>
      </c>
      <c r="N9" s="1071">
        <v>1.0000000000000001E-5</v>
      </c>
      <c r="O9" s="1050">
        <f t="shared" si="1"/>
        <v>1.0000000000000001E-5</v>
      </c>
      <c r="P9" s="1081">
        <v>0.2</v>
      </c>
      <c r="Q9" s="1051"/>
      <c r="R9" s="1872"/>
      <c r="S9" s="1049">
        <v>15</v>
      </c>
      <c r="T9" s="1049" t="s">
        <v>89</v>
      </c>
      <c r="U9" s="1049" t="s">
        <v>89</v>
      </c>
      <c r="V9" s="1071">
        <v>1.0000000000000001E-5</v>
      </c>
      <c r="W9" s="1050">
        <f t="shared" si="2"/>
        <v>1.0000000000000001E-5</v>
      </c>
      <c r="X9" s="1081">
        <f t="shared" si="3"/>
        <v>4.3499999999999997E-2</v>
      </c>
    </row>
    <row r="10" spans="2:25" x14ac:dyDescent="0.25">
      <c r="B10" s="1872"/>
      <c r="C10" s="1049">
        <v>20</v>
      </c>
      <c r="D10" s="1049">
        <v>0</v>
      </c>
      <c r="E10" s="1049"/>
      <c r="F10" s="1071">
        <v>1.0000000000000001E-5</v>
      </c>
      <c r="G10" s="1050">
        <f t="shared" si="0"/>
        <v>5.0000000000000004E-6</v>
      </c>
      <c r="H10" s="1081">
        <v>0.3</v>
      </c>
      <c r="I10" s="1051"/>
      <c r="J10" s="1872"/>
      <c r="K10" s="1049">
        <v>20</v>
      </c>
      <c r="L10" s="1049" t="s">
        <v>89</v>
      </c>
      <c r="M10" s="1049" t="s">
        <v>89</v>
      </c>
      <c r="N10" s="1071">
        <v>1.0000000000000001E-5</v>
      </c>
      <c r="O10" s="1050">
        <f t="shared" si="1"/>
        <v>1.0000000000000001E-5</v>
      </c>
      <c r="P10" s="1081">
        <v>0.3</v>
      </c>
      <c r="Q10" s="1051"/>
      <c r="R10" s="1872"/>
      <c r="S10" s="1049">
        <v>20</v>
      </c>
      <c r="T10" s="1049" t="s">
        <v>89</v>
      </c>
      <c r="U10" s="1049" t="s">
        <v>89</v>
      </c>
      <c r="V10" s="1071">
        <v>1.0000000000000001E-5</v>
      </c>
      <c r="W10" s="1050">
        <f t="shared" si="2"/>
        <v>1.0000000000000001E-5</v>
      </c>
      <c r="X10" s="1081">
        <f t="shared" si="3"/>
        <v>5.7999999999999996E-2</v>
      </c>
    </row>
    <row r="11" spans="2:25" x14ac:dyDescent="0.25">
      <c r="B11" s="1872"/>
      <c r="C11" s="1049">
        <v>30</v>
      </c>
      <c r="D11" s="1049">
        <v>0</v>
      </c>
      <c r="E11" s="1049"/>
      <c r="F11" s="1071">
        <v>1.0000000000000001E-5</v>
      </c>
      <c r="G11" s="1050">
        <f t="shared" si="0"/>
        <v>5.0000000000000004E-6</v>
      </c>
      <c r="H11" s="1081">
        <v>0</v>
      </c>
      <c r="I11" s="1051"/>
      <c r="J11" s="1872"/>
      <c r="K11" s="1049">
        <v>30</v>
      </c>
      <c r="L11" s="1049" t="s">
        <v>89</v>
      </c>
      <c r="M11" s="1049" t="s">
        <v>89</v>
      </c>
      <c r="N11" s="1071">
        <v>1.0000000000000001E-5</v>
      </c>
      <c r="O11" s="1050">
        <f t="shared" si="1"/>
        <v>1.0000000000000001E-5</v>
      </c>
      <c r="P11" s="1081">
        <v>0</v>
      </c>
      <c r="Q11" s="1051"/>
      <c r="R11" s="1872"/>
      <c r="S11" s="1049">
        <v>30</v>
      </c>
      <c r="T11" s="1049" t="s">
        <v>89</v>
      </c>
      <c r="U11" s="1049" t="s">
        <v>89</v>
      </c>
      <c r="V11" s="1071">
        <v>1.0000000000000001E-5</v>
      </c>
      <c r="W11" s="1050">
        <f t="shared" si="2"/>
        <v>1.0000000000000001E-5</v>
      </c>
      <c r="X11" s="1081">
        <f t="shared" si="3"/>
        <v>8.6999999999999994E-2</v>
      </c>
    </row>
    <row r="12" spans="2:25" x14ac:dyDescent="0.25">
      <c r="B12" s="1872"/>
      <c r="C12" s="1049">
        <v>50</v>
      </c>
      <c r="D12" s="1049">
        <v>0</v>
      </c>
      <c r="E12" s="1049"/>
      <c r="F12" s="1071">
        <v>1.0000000000000001E-5</v>
      </c>
      <c r="G12" s="1050">
        <f t="shared" si="0"/>
        <v>5.0000000000000004E-6</v>
      </c>
      <c r="H12" s="1081">
        <v>1</v>
      </c>
      <c r="I12" s="1051"/>
      <c r="J12" s="1872"/>
      <c r="K12" s="1049">
        <v>50</v>
      </c>
      <c r="L12" s="1049" t="s">
        <v>89</v>
      </c>
      <c r="M12" s="1049" t="s">
        <v>89</v>
      </c>
      <c r="N12" s="1071">
        <v>1.0000000000000001E-5</v>
      </c>
      <c r="O12" s="1050">
        <f t="shared" si="1"/>
        <v>1.0000000000000001E-5</v>
      </c>
      <c r="P12" s="1081">
        <v>1</v>
      </c>
      <c r="Q12" s="1051"/>
      <c r="R12" s="1872"/>
      <c r="S12" s="1049">
        <v>50</v>
      </c>
      <c r="T12" s="1049" t="s">
        <v>89</v>
      </c>
      <c r="U12" s="1049" t="s">
        <v>89</v>
      </c>
      <c r="V12" s="1071">
        <v>1.0000000000000001E-5</v>
      </c>
      <c r="W12" s="1050">
        <f t="shared" si="2"/>
        <v>1.0000000000000001E-5</v>
      </c>
      <c r="X12" s="1081">
        <f t="shared" si="3"/>
        <v>0.14499999999999999</v>
      </c>
    </row>
    <row r="13" spans="2:25" ht="13" thickBot="1" x14ac:dyDescent="0.3">
      <c r="B13" s="1872"/>
      <c r="C13" s="1049">
        <v>100</v>
      </c>
      <c r="D13" s="1049">
        <v>0</v>
      </c>
      <c r="E13" s="1049"/>
      <c r="F13" s="1071">
        <v>1.0000000000000001E-5</v>
      </c>
      <c r="G13" s="1050">
        <f t="shared" si="0"/>
        <v>5.0000000000000004E-6</v>
      </c>
      <c r="H13" s="1081">
        <v>1</v>
      </c>
      <c r="I13" s="1051"/>
      <c r="J13" s="1872"/>
      <c r="K13" s="1049">
        <v>100</v>
      </c>
      <c r="L13" s="1049" t="s">
        <v>89</v>
      </c>
      <c r="M13" s="1049" t="s">
        <v>89</v>
      </c>
      <c r="N13" s="1071">
        <v>1.0000000000000001E-5</v>
      </c>
      <c r="O13" s="1050">
        <f t="shared" si="1"/>
        <v>1.0000000000000001E-5</v>
      </c>
      <c r="P13" s="1081">
        <v>1</v>
      </c>
      <c r="Q13" s="1051"/>
      <c r="R13" s="1872"/>
      <c r="S13" s="1049">
        <v>100</v>
      </c>
      <c r="T13" s="1049" t="s">
        <v>89</v>
      </c>
      <c r="U13" s="1049" t="s">
        <v>89</v>
      </c>
      <c r="V13" s="1071">
        <v>1.0000000000000001E-5</v>
      </c>
      <c r="W13" s="1050">
        <f t="shared" si="2"/>
        <v>1.0000000000000001E-5</v>
      </c>
      <c r="X13" s="1081">
        <f t="shared" si="3"/>
        <v>0.28999999999999998</v>
      </c>
    </row>
    <row r="14" spans="2:25" ht="14" x14ac:dyDescent="0.3">
      <c r="B14" s="1872"/>
      <c r="C14" s="1866" t="s">
        <v>387</v>
      </c>
      <c r="D14" s="1867"/>
      <c r="E14" s="1867"/>
      <c r="F14" s="1867"/>
      <c r="G14" s="1868" t="s">
        <v>86</v>
      </c>
      <c r="H14" s="1863" t="s">
        <v>90</v>
      </c>
      <c r="I14" s="1048"/>
      <c r="J14" s="1872"/>
      <c r="K14" s="1866" t="s">
        <v>387</v>
      </c>
      <c r="L14" s="1867"/>
      <c r="M14" s="1867"/>
      <c r="N14" s="1867"/>
      <c r="O14" s="1886" t="s">
        <v>86</v>
      </c>
      <c r="P14" s="1888" t="s">
        <v>90</v>
      </c>
      <c r="Q14" s="1048"/>
      <c r="R14" s="1872"/>
      <c r="S14" s="1866" t="s">
        <v>387</v>
      </c>
      <c r="T14" s="1867"/>
      <c r="U14" s="1867"/>
      <c r="V14" s="1867"/>
      <c r="W14" s="1868" t="s">
        <v>86</v>
      </c>
      <c r="X14" s="1863" t="s">
        <v>90</v>
      </c>
    </row>
    <row r="15" spans="2:25" ht="13" x14ac:dyDescent="0.25">
      <c r="B15" s="1872"/>
      <c r="C15" s="1075" t="s">
        <v>388</v>
      </c>
      <c r="D15" s="1865" t="s">
        <v>88</v>
      </c>
      <c r="E15" s="1865"/>
      <c r="F15" s="1865"/>
      <c r="G15" s="1865"/>
      <c r="H15" s="1864"/>
      <c r="I15" s="1048"/>
      <c r="J15" s="1872"/>
      <c r="K15" s="1075" t="s">
        <v>388</v>
      </c>
      <c r="L15" s="1865" t="s">
        <v>88</v>
      </c>
      <c r="M15" s="1865"/>
      <c r="N15" s="1865"/>
      <c r="O15" s="1884"/>
      <c r="P15" s="1889"/>
      <c r="Q15" s="1048"/>
      <c r="R15" s="1872"/>
      <c r="S15" s="1075" t="s">
        <v>388</v>
      </c>
      <c r="T15" s="1865" t="s">
        <v>88</v>
      </c>
      <c r="U15" s="1865"/>
      <c r="V15" s="1865"/>
      <c r="W15" s="1865"/>
      <c r="X15" s="1864"/>
    </row>
    <row r="16" spans="2:25" ht="14" x14ac:dyDescent="0.25">
      <c r="B16" s="1872"/>
      <c r="C16" s="1076" t="s">
        <v>389</v>
      </c>
      <c r="D16" s="1077">
        <f>D5</f>
        <v>2016</v>
      </c>
      <c r="E16" s="1077">
        <f t="shared" ref="E16:F16" si="4">E5</f>
        <v>2016</v>
      </c>
      <c r="F16" s="1077">
        <f t="shared" si="4"/>
        <v>2018</v>
      </c>
      <c r="G16" s="1865"/>
      <c r="H16" s="1864"/>
      <c r="I16" s="1048"/>
      <c r="J16" s="1872"/>
      <c r="K16" s="1076" t="s">
        <v>389</v>
      </c>
      <c r="L16" s="1077">
        <f>L5</f>
        <v>2016</v>
      </c>
      <c r="M16" s="1077">
        <f t="shared" ref="M16:N16" si="5">M5</f>
        <v>2016</v>
      </c>
      <c r="N16" s="1077">
        <f t="shared" si="5"/>
        <v>2018</v>
      </c>
      <c r="O16" s="1887"/>
      <c r="P16" s="1890"/>
      <c r="Q16" s="1048"/>
      <c r="R16" s="1872"/>
      <c r="S16" s="1076" t="s">
        <v>389</v>
      </c>
      <c r="T16" s="1077">
        <f>T5</f>
        <v>2016</v>
      </c>
      <c r="U16" s="1077">
        <f t="shared" ref="U16:V16" si="6">U5</f>
        <v>2016</v>
      </c>
      <c r="V16" s="1077">
        <f t="shared" si="6"/>
        <v>2021</v>
      </c>
      <c r="W16" s="1865"/>
      <c r="X16" s="1864"/>
    </row>
    <row r="17" spans="2:25" x14ac:dyDescent="0.25">
      <c r="B17" s="1872"/>
      <c r="C17" s="1049">
        <v>0</v>
      </c>
      <c r="D17" s="1049">
        <v>0</v>
      </c>
      <c r="E17" s="1049"/>
      <c r="F17" s="1050">
        <v>0</v>
      </c>
      <c r="G17" s="1050">
        <f t="shared" ref="G17:G23" si="7">IF(0.5*(MAX(D17:F17)-MIN(D17:F17))=0,0.00001,0.5*(MAX(D17:F17)-MIN(D17:F17)))</f>
        <v>1.0000000000000001E-5</v>
      </c>
      <c r="H17" s="1081">
        <v>0</v>
      </c>
      <c r="I17" s="1051"/>
      <c r="J17" s="1872"/>
      <c r="K17" s="1049">
        <v>0</v>
      </c>
      <c r="L17" s="1049" t="s">
        <v>89</v>
      </c>
      <c r="M17" s="1049" t="s">
        <v>89</v>
      </c>
      <c r="N17" s="1050">
        <v>0</v>
      </c>
      <c r="O17" s="1050">
        <f t="shared" ref="O17:O23" si="8">IF(0.5*(MAX(L17:N17)-MIN(L17:N17))=0,0.00001,0.5*(MAX(L17:N17)-MIN(L17:N17)))</f>
        <v>1.0000000000000001E-5</v>
      </c>
      <c r="P17" s="1081">
        <v>0</v>
      </c>
      <c r="Q17" s="1051"/>
      <c r="R17" s="1872"/>
      <c r="S17" s="1049">
        <v>0</v>
      </c>
      <c r="T17" s="1049" t="s">
        <v>89</v>
      </c>
      <c r="U17" s="1049" t="s">
        <v>89</v>
      </c>
      <c r="V17" s="1050">
        <v>0</v>
      </c>
      <c r="W17" s="1050">
        <f t="shared" ref="W17:W23" si="9">IF(0.5*(MAX(T17:V17)-MIN(T17:V17))=0,0.00001,0.5*(MAX(T17:V17)-MIN(T17:V17)))</f>
        <v>1.0000000000000001E-5</v>
      </c>
      <c r="X17" s="1081">
        <f>S17*$Y$17</f>
        <v>0</v>
      </c>
      <c r="Y17" s="159">
        <f>0.23/100</f>
        <v>2.3E-3</v>
      </c>
    </row>
    <row r="18" spans="2:25" x14ac:dyDescent="0.25">
      <c r="B18" s="1872"/>
      <c r="C18" s="1049">
        <v>50</v>
      </c>
      <c r="D18" s="1049">
        <v>0.1</v>
      </c>
      <c r="E18" s="1049"/>
      <c r="F18" s="1050">
        <v>0</v>
      </c>
      <c r="G18" s="1050">
        <f t="shared" si="7"/>
        <v>0.05</v>
      </c>
      <c r="H18" s="1081">
        <v>0.6</v>
      </c>
      <c r="I18" s="1051"/>
      <c r="J18" s="1872"/>
      <c r="K18" s="1049">
        <v>50</v>
      </c>
      <c r="L18" s="1049" t="s">
        <v>89</v>
      </c>
      <c r="M18" s="1049" t="s">
        <v>89</v>
      </c>
      <c r="N18" s="1050">
        <v>0</v>
      </c>
      <c r="O18" s="1050">
        <f t="shared" si="8"/>
        <v>1.0000000000000001E-5</v>
      </c>
      <c r="P18" s="1081">
        <v>0.6</v>
      </c>
      <c r="Q18" s="1051"/>
      <c r="R18" s="1872"/>
      <c r="S18" s="1049">
        <v>50</v>
      </c>
      <c r="T18" s="1049" t="s">
        <v>89</v>
      </c>
      <c r="U18" s="1049" t="s">
        <v>89</v>
      </c>
      <c r="V18" s="1050">
        <v>0</v>
      </c>
      <c r="W18" s="1050">
        <f t="shared" si="9"/>
        <v>1.0000000000000001E-5</v>
      </c>
      <c r="X18" s="1081">
        <f t="shared" ref="X18:X22" si="10">S18*$Y$17</f>
        <v>0.11499999999999999</v>
      </c>
    </row>
    <row r="19" spans="2:25" x14ac:dyDescent="0.25">
      <c r="B19" s="1872"/>
      <c r="C19" s="1049">
        <v>100</v>
      </c>
      <c r="D19" s="1049">
        <v>0.2</v>
      </c>
      <c r="E19" s="1049"/>
      <c r="F19" s="1050">
        <v>0.2</v>
      </c>
      <c r="G19" s="1050">
        <f t="shared" si="7"/>
        <v>1.0000000000000001E-5</v>
      </c>
      <c r="H19" s="1081">
        <v>1.2</v>
      </c>
      <c r="I19" s="1051"/>
      <c r="J19" s="1872"/>
      <c r="K19" s="1049">
        <v>100</v>
      </c>
      <c r="L19" s="1049" t="s">
        <v>89</v>
      </c>
      <c r="M19" s="1049" t="s">
        <v>89</v>
      </c>
      <c r="N19" s="1050">
        <v>0.2</v>
      </c>
      <c r="O19" s="1050">
        <f t="shared" si="8"/>
        <v>1.0000000000000001E-5</v>
      </c>
      <c r="P19" s="1081">
        <v>1.2</v>
      </c>
      <c r="Q19" s="1051"/>
      <c r="R19" s="1872"/>
      <c r="S19" s="1049">
        <v>100</v>
      </c>
      <c r="T19" s="1049" t="s">
        <v>89</v>
      </c>
      <c r="U19" s="1049" t="s">
        <v>89</v>
      </c>
      <c r="V19" s="1050">
        <v>0.4</v>
      </c>
      <c r="W19" s="1050">
        <f t="shared" si="9"/>
        <v>1.0000000000000001E-5</v>
      </c>
      <c r="X19" s="1081">
        <f t="shared" si="10"/>
        <v>0.22999999999999998</v>
      </c>
    </row>
    <row r="20" spans="2:25" x14ac:dyDescent="0.25">
      <c r="B20" s="1872"/>
      <c r="C20" s="1049">
        <v>200</v>
      </c>
      <c r="D20" s="1049">
        <v>0.3</v>
      </c>
      <c r="E20" s="1049"/>
      <c r="F20" s="1050">
        <v>-1.2</v>
      </c>
      <c r="G20" s="1050">
        <f t="shared" si="7"/>
        <v>0.75</v>
      </c>
      <c r="H20" s="1081">
        <v>2.4</v>
      </c>
      <c r="I20" s="1051"/>
      <c r="J20" s="1872"/>
      <c r="K20" s="1049">
        <v>200</v>
      </c>
      <c r="L20" s="1049" t="s">
        <v>89</v>
      </c>
      <c r="M20" s="1049" t="s">
        <v>89</v>
      </c>
      <c r="N20" s="1050">
        <v>-1.2</v>
      </c>
      <c r="O20" s="1050">
        <f t="shared" si="8"/>
        <v>1.0000000000000001E-5</v>
      </c>
      <c r="P20" s="1081">
        <v>2.4</v>
      </c>
      <c r="Q20" s="1051"/>
      <c r="R20" s="1872"/>
      <c r="S20" s="1049">
        <v>200</v>
      </c>
      <c r="T20" s="1049" t="s">
        <v>89</v>
      </c>
      <c r="U20" s="1049" t="s">
        <v>89</v>
      </c>
      <c r="V20" s="1050">
        <v>1.2</v>
      </c>
      <c r="W20" s="1050">
        <f t="shared" si="9"/>
        <v>1.0000000000000001E-5</v>
      </c>
      <c r="X20" s="1081">
        <f t="shared" si="10"/>
        <v>0.45999999999999996</v>
      </c>
    </row>
    <row r="21" spans="2:25" x14ac:dyDescent="0.25">
      <c r="B21" s="1872"/>
      <c r="C21" s="1049">
        <v>500</v>
      </c>
      <c r="D21" s="1049">
        <v>0</v>
      </c>
      <c r="E21" s="1049"/>
      <c r="F21" s="1050">
        <v>-1</v>
      </c>
      <c r="G21" s="1050">
        <f t="shared" si="7"/>
        <v>0.5</v>
      </c>
      <c r="H21" s="1081">
        <v>6</v>
      </c>
      <c r="I21" s="1051"/>
      <c r="J21" s="1872"/>
      <c r="K21" s="1049">
        <v>500</v>
      </c>
      <c r="L21" s="1049" t="s">
        <v>89</v>
      </c>
      <c r="M21" s="1049" t="s">
        <v>89</v>
      </c>
      <c r="N21" s="1050">
        <v>-1</v>
      </c>
      <c r="O21" s="1050">
        <f t="shared" si="8"/>
        <v>1.0000000000000001E-5</v>
      </c>
      <c r="P21" s="1081">
        <v>6</v>
      </c>
      <c r="Q21" s="1051"/>
      <c r="R21" s="1872"/>
      <c r="S21" s="1049">
        <v>500</v>
      </c>
      <c r="T21" s="1049" t="s">
        <v>89</v>
      </c>
      <c r="U21" s="1049" t="s">
        <v>89</v>
      </c>
      <c r="V21" s="1050">
        <v>4</v>
      </c>
      <c r="W21" s="1050">
        <f t="shared" si="9"/>
        <v>1.0000000000000001E-5</v>
      </c>
      <c r="X21" s="1081">
        <f t="shared" si="10"/>
        <v>1.1499999999999999</v>
      </c>
    </row>
    <row r="22" spans="2:25" x14ac:dyDescent="0.25">
      <c r="B22" s="1872"/>
      <c r="C22" s="1049">
        <v>1000</v>
      </c>
      <c r="D22" s="1049">
        <v>0</v>
      </c>
      <c r="E22" s="1049"/>
      <c r="F22" s="1050">
        <v>1</v>
      </c>
      <c r="G22" s="1050">
        <f t="shared" si="7"/>
        <v>0.5</v>
      </c>
      <c r="H22" s="1081">
        <v>12</v>
      </c>
      <c r="I22" s="1051"/>
      <c r="J22" s="1872"/>
      <c r="K22" s="1049">
        <v>1000</v>
      </c>
      <c r="L22" s="1049" t="s">
        <v>89</v>
      </c>
      <c r="M22" s="1049" t="s">
        <v>89</v>
      </c>
      <c r="N22" s="1050">
        <v>1</v>
      </c>
      <c r="O22" s="1050">
        <f t="shared" si="8"/>
        <v>1.0000000000000001E-5</v>
      </c>
      <c r="P22" s="1081">
        <v>12</v>
      </c>
      <c r="Q22" s="1051"/>
      <c r="R22" s="1872"/>
      <c r="S22" s="1049">
        <v>1000</v>
      </c>
      <c r="T22" s="1049" t="s">
        <v>89</v>
      </c>
      <c r="U22" s="1049" t="s">
        <v>89</v>
      </c>
      <c r="V22" s="1050">
        <v>10</v>
      </c>
      <c r="W22" s="1050">
        <f t="shared" si="9"/>
        <v>1.0000000000000001E-5</v>
      </c>
      <c r="X22" s="1081">
        <f t="shared" si="10"/>
        <v>2.2999999999999998</v>
      </c>
    </row>
    <row r="23" spans="2:25" ht="13" thickBot="1" x14ac:dyDescent="0.3">
      <c r="B23" s="1872"/>
      <c r="C23" s="1049">
        <v>1200</v>
      </c>
      <c r="D23" s="1049">
        <v>0</v>
      </c>
      <c r="E23" s="1049"/>
      <c r="F23" s="1050">
        <v>2</v>
      </c>
      <c r="G23" s="1050">
        <f t="shared" si="7"/>
        <v>1</v>
      </c>
      <c r="H23" s="1081">
        <v>14</v>
      </c>
      <c r="I23" s="1051"/>
      <c r="J23" s="1872"/>
      <c r="K23" s="1049">
        <v>1200</v>
      </c>
      <c r="L23" s="1049" t="s">
        <v>89</v>
      </c>
      <c r="M23" s="1049" t="s">
        <v>89</v>
      </c>
      <c r="N23" s="1050">
        <v>2</v>
      </c>
      <c r="O23" s="1050">
        <f t="shared" si="8"/>
        <v>1.0000000000000001E-5</v>
      </c>
      <c r="P23" s="1081">
        <v>14</v>
      </c>
      <c r="Q23" s="1051"/>
      <c r="R23" s="1872"/>
      <c r="S23" s="1049">
        <v>1200</v>
      </c>
      <c r="T23" s="1049" t="s">
        <v>89</v>
      </c>
      <c r="U23" s="1049" t="s">
        <v>89</v>
      </c>
      <c r="V23" s="1050">
        <v>10</v>
      </c>
      <c r="W23" s="1050">
        <f t="shared" si="9"/>
        <v>1.0000000000000001E-5</v>
      </c>
      <c r="X23" s="1081">
        <f>S23*$Y$17</f>
        <v>2.76</v>
      </c>
    </row>
    <row r="24" spans="2:25" ht="14" x14ac:dyDescent="0.3">
      <c r="B24" s="1872"/>
      <c r="C24" s="1866" t="s">
        <v>390</v>
      </c>
      <c r="D24" s="1867"/>
      <c r="E24" s="1867"/>
      <c r="F24" s="1867"/>
      <c r="G24" s="1868" t="s">
        <v>86</v>
      </c>
      <c r="H24" s="1863" t="s">
        <v>90</v>
      </c>
      <c r="I24" s="1048"/>
      <c r="J24" s="1872"/>
      <c r="K24" s="1866" t="s">
        <v>390</v>
      </c>
      <c r="L24" s="1867"/>
      <c r="M24" s="1867"/>
      <c r="N24" s="1867"/>
      <c r="O24" s="1886" t="s">
        <v>86</v>
      </c>
      <c r="P24" s="1888" t="s">
        <v>90</v>
      </c>
      <c r="Q24" s="1048"/>
      <c r="R24" s="1872"/>
      <c r="S24" s="1866" t="s">
        <v>390</v>
      </c>
      <c r="T24" s="1867"/>
      <c r="U24" s="1867"/>
      <c r="V24" s="1867"/>
      <c r="W24" s="1868" t="s">
        <v>86</v>
      </c>
      <c r="X24" s="1863" t="s">
        <v>90</v>
      </c>
    </row>
    <row r="25" spans="2:25" ht="13" x14ac:dyDescent="0.25">
      <c r="B25" s="1872"/>
      <c r="C25" s="1075" t="s">
        <v>391</v>
      </c>
      <c r="D25" s="1865" t="s">
        <v>88</v>
      </c>
      <c r="E25" s="1865"/>
      <c r="F25" s="1865"/>
      <c r="G25" s="1865"/>
      <c r="H25" s="1864"/>
      <c r="I25" s="1048"/>
      <c r="J25" s="1872"/>
      <c r="K25" s="1075" t="s">
        <v>391</v>
      </c>
      <c r="L25" s="1865" t="s">
        <v>88</v>
      </c>
      <c r="M25" s="1865"/>
      <c r="N25" s="1865"/>
      <c r="O25" s="1884"/>
      <c r="P25" s="1889"/>
      <c r="Q25" s="1048"/>
      <c r="R25" s="1872"/>
      <c r="S25" s="1075" t="s">
        <v>391</v>
      </c>
      <c r="T25" s="1865" t="s">
        <v>88</v>
      </c>
      <c r="U25" s="1865"/>
      <c r="V25" s="1865"/>
      <c r="W25" s="1865"/>
      <c r="X25" s="1864"/>
    </row>
    <row r="26" spans="2:25" ht="14" x14ac:dyDescent="0.25">
      <c r="B26" s="1872"/>
      <c r="C26" s="1076" t="s">
        <v>392</v>
      </c>
      <c r="D26" s="1077">
        <f>D16</f>
        <v>2016</v>
      </c>
      <c r="E26" s="1077">
        <f t="shared" ref="E26:F26" si="11">E16</f>
        <v>2016</v>
      </c>
      <c r="F26" s="1077">
        <f t="shared" si="11"/>
        <v>2018</v>
      </c>
      <c r="G26" s="1865"/>
      <c r="H26" s="1864"/>
      <c r="I26" s="1048"/>
      <c r="J26" s="1872"/>
      <c r="K26" s="1076" t="s">
        <v>392</v>
      </c>
      <c r="L26" s="1077">
        <f>L16</f>
        <v>2016</v>
      </c>
      <c r="M26" s="1077">
        <f t="shared" ref="M26:N26" si="12">M16</f>
        <v>2016</v>
      </c>
      <c r="N26" s="1077">
        <f t="shared" si="12"/>
        <v>2018</v>
      </c>
      <c r="O26" s="1887"/>
      <c r="P26" s="1890"/>
      <c r="Q26" s="1048"/>
      <c r="R26" s="1872"/>
      <c r="S26" s="1076" t="s">
        <v>392</v>
      </c>
      <c r="T26" s="1077">
        <f>T16</f>
        <v>2016</v>
      </c>
      <c r="U26" s="1077">
        <f t="shared" ref="U26:V26" si="13">U16</f>
        <v>2016</v>
      </c>
      <c r="V26" s="1077">
        <f t="shared" si="13"/>
        <v>2021</v>
      </c>
      <c r="W26" s="1865"/>
      <c r="X26" s="1864"/>
    </row>
    <row r="27" spans="2:25" x14ac:dyDescent="0.25">
      <c r="B27" s="1872"/>
      <c r="C27" s="1049">
        <v>0</v>
      </c>
      <c r="D27" s="1052">
        <v>0</v>
      </c>
      <c r="E27" s="1052"/>
      <c r="F27" s="1071">
        <v>1.0000000000000001E-5</v>
      </c>
      <c r="G27" s="1050">
        <f t="shared" ref="G27:G35" si="14">IF(0.5*(MAX(D27:F27)-MIN(D27:F27))=0,0.00001,0.5*(MAX(D27:F27)-MIN(D27:F27)))</f>
        <v>5.0000000000000004E-6</v>
      </c>
      <c r="H27" s="1082">
        <v>0</v>
      </c>
      <c r="I27" s="1053"/>
      <c r="J27" s="1872"/>
      <c r="K27" s="1049">
        <v>0</v>
      </c>
      <c r="L27" s="1052" t="s">
        <v>89</v>
      </c>
      <c r="M27" s="1052" t="s">
        <v>89</v>
      </c>
      <c r="N27" s="1071">
        <v>1.0000000000000001E-5</v>
      </c>
      <c r="O27" s="1050">
        <f t="shared" ref="O27:O35" si="15">IF(0.5*(MAX(L27:N27)-MIN(L27:N27))=0,0.00001,0.5*(MAX(L27:N27)-MIN(L27:N27)))</f>
        <v>1.0000000000000001E-5</v>
      </c>
      <c r="P27" s="1082">
        <v>0</v>
      </c>
      <c r="Q27" s="1053"/>
      <c r="R27" s="1872"/>
      <c r="S27" s="1049">
        <v>0</v>
      </c>
      <c r="T27" s="1052" t="s">
        <v>89</v>
      </c>
      <c r="U27" s="1052" t="s">
        <v>89</v>
      </c>
      <c r="V27" s="1071">
        <v>1.0000000000000001E-5</v>
      </c>
      <c r="W27" s="1050">
        <f t="shared" ref="W27:W35" si="16">IF(0.5*(MAX(T27:V27)-MIN(T27:V27))=0,0.00001,0.5*(MAX(T27:V27)-MIN(T27:V27)))</f>
        <v>1.0000000000000001E-5</v>
      </c>
      <c r="X27" s="1082">
        <f>S27*$Y$27</f>
        <v>0</v>
      </c>
      <c r="Y27" s="159">
        <f>0.29/100</f>
        <v>2.8999999999999998E-3</v>
      </c>
    </row>
    <row r="28" spans="2:25" x14ac:dyDescent="0.25">
      <c r="B28" s="1872"/>
      <c r="C28" s="1049">
        <v>5</v>
      </c>
      <c r="D28" s="1052">
        <v>0</v>
      </c>
      <c r="E28" s="1052"/>
      <c r="F28" s="1071">
        <v>1.0000000000000001E-5</v>
      </c>
      <c r="G28" s="1050">
        <f t="shared" si="14"/>
        <v>5.0000000000000004E-6</v>
      </c>
      <c r="H28" s="1082">
        <v>1.4999999999999999E-2</v>
      </c>
      <c r="I28" s="1053"/>
      <c r="J28" s="1872"/>
      <c r="K28" s="1049">
        <v>5</v>
      </c>
      <c r="L28" s="1052" t="s">
        <v>89</v>
      </c>
      <c r="M28" s="1052" t="s">
        <v>89</v>
      </c>
      <c r="N28" s="1071">
        <v>1.0000000000000001E-5</v>
      </c>
      <c r="O28" s="1050">
        <f t="shared" si="15"/>
        <v>1.0000000000000001E-5</v>
      </c>
      <c r="P28" s="1082">
        <v>1.4999999999999999E-2</v>
      </c>
      <c r="Q28" s="1053"/>
      <c r="R28" s="1872"/>
      <c r="S28" s="1049">
        <v>5</v>
      </c>
      <c r="T28" s="1052" t="s">
        <v>89</v>
      </c>
      <c r="U28" s="1052" t="s">
        <v>89</v>
      </c>
      <c r="V28" s="1071">
        <v>1.0000000000000001E-5</v>
      </c>
      <c r="W28" s="1050">
        <f t="shared" si="16"/>
        <v>1.0000000000000001E-5</v>
      </c>
      <c r="X28" s="1082">
        <f t="shared" ref="X28:X35" si="17">S28*$Y$27</f>
        <v>1.4499999999999999E-2</v>
      </c>
    </row>
    <row r="29" spans="2:25" x14ac:dyDescent="0.25">
      <c r="B29" s="1872"/>
      <c r="C29" s="1049">
        <v>10</v>
      </c>
      <c r="D29" s="1052">
        <v>0</v>
      </c>
      <c r="E29" s="1052"/>
      <c r="F29" s="1071">
        <v>1.0000000000000001E-5</v>
      </c>
      <c r="G29" s="1050">
        <f t="shared" si="14"/>
        <v>5.0000000000000004E-6</v>
      </c>
      <c r="H29" s="1082">
        <v>0.03</v>
      </c>
      <c r="I29" s="1053"/>
      <c r="J29" s="1872"/>
      <c r="K29" s="1049">
        <v>10</v>
      </c>
      <c r="L29" s="1052" t="s">
        <v>89</v>
      </c>
      <c r="M29" s="1052" t="s">
        <v>89</v>
      </c>
      <c r="N29" s="1071">
        <v>1.0000000000000001E-5</v>
      </c>
      <c r="O29" s="1050">
        <f t="shared" si="15"/>
        <v>1.0000000000000001E-5</v>
      </c>
      <c r="P29" s="1082">
        <v>0.03</v>
      </c>
      <c r="Q29" s="1053"/>
      <c r="R29" s="1872"/>
      <c r="S29" s="1049">
        <v>10</v>
      </c>
      <c r="T29" s="1052" t="s">
        <v>89</v>
      </c>
      <c r="U29" s="1052" t="s">
        <v>89</v>
      </c>
      <c r="V29" s="1071">
        <v>1.0000000000000001E-5</v>
      </c>
      <c r="W29" s="1050">
        <f t="shared" si="16"/>
        <v>1.0000000000000001E-5</v>
      </c>
      <c r="X29" s="1082">
        <f t="shared" si="17"/>
        <v>2.8999999999999998E-2</v>
      </c>
    </row>
    <row r="30" spans="2:25" x14ac:dyDescent="0.25">
      <c r="B30" s="1872"/>
      <c r="C30" s="1049">
        <v>25</v>
      </c>
      <c r="D30" s="1052">
        <v>0</v>
      </c>
      <c r="E30" s="1052"/>
      <c r="F30" s="1071">
        <v>1.0000000000000001E-5</v>
      </c>
      <c r="G30" s="1050">
        <f t="shared" si="14"/>
        <v>5.0000000000000004E-6</v>
      </c>
      <c r="H30" s="1082">
        <v>7.0000000000000007E-2</v>
      </c>
      <c r="I30" s="1053"/>
      <c r="J30" s="1872"/>
      <c r="K30" s="1049">
        <v>25</v>
      </c>
      <c r="L30" s="1052" t="s">
        <v>89</v>
      </c>
      <c r="M30" s="1052" t="s">
        <v>89</v>
      </c>
      <c r="N30" s="1071">
        <v>1.0000000000000001E-5</v>
      </c>
      <c r="O30" s="1050">
        <f t="shared" si="15"/>
        <v>1.0000000000000001E-5</v>
      </c>
      <c r="P30" s="1082">
        <v>7.0000000000000007E-2</v>
      </c>
      <c r="Q30" s="1053"/>
      <c r="R30" s="1872"/>
      <c r="S30" s="1049">
        <v>25</v>
      </c>
      <c r="T30" s="1052" t="s">
        <v>89</v>
      </c>
      <c r="U30" s="1052" t="s">
        <v>89</v>
      </c>
      <c r="V30" s="1071">
        <v>1.0000000000000001E-5</v>
      </c>
      <c r="W30" s="1050">
        <f t="shared" si="16"/>
        <v>1.0000000000000001E-5</v>
      </c>
      <c r="X30" s="1082">
        <f t="shared" si="17"/>
        <v>7.2499999999999995E-2</v>
      </c>
    </row>
    <row r="31" spans="2:25" x14ac:dyDescent="0.25">
      <c r="B31" s="1872"/>
      <c r="C31" s="1049">
        <v>50</v>
      </c>
      <c r="D31" s="1052">
        <v>0</v>
      </c>
      <c r="E31" s="1052"/>
      <c r="F31" s="1071">
        <v>1.0000000000000001E-5</v>
      </c>
      <c r="G31" s="1050">
        <f t="shared" si="14"/>
        <v>5.0000000000000004E-6</v>
      </c>
      <c r="H31" s="1082">
        <v>0.15</v>
      </c>
      <c r="I31" s="1053"/>
      <c r="J31" s="1872"/>
      <c r="K31" s="1049">
        <v>50</v>
      </c>
      <c r="L31" s="1052" t="s">
        <v>89</v>
      </c>
      <c r="M31" s="1052" t="s">
        <v>89</v>
      </c>
      <c r="N31" s="1071">
        <v>1.0000000000000001E-5</v>
      </c>
      <c r="O31" s="1050">
        <f t="shared" si="15"/>
        <v>1.0000000000000001E-5</v>
      </c>
      <c r="P31" s="1082">
        <v>0.15</v>
      </c>
      <c r="Q31" s="1053"/>
      <c r="R31" s="1872"/>
      <c r="S31" s="1049">
        <v>50</v>
      </c>
      <c r="T31" s="1052" t="s">
        <v>89</v>
      </c>
      <c r="U31" s="1052" t="s">
        <v>89</v>
      </c>
      <c r="V31" s="1071">
        <v>1.0000000000000001E-5</v>
      </c>
      <c r="W31" s="1050">
        <f t="shared" si="16"/>
        <v>1.0000000000000001E-5</v>
      </c>
      <c r="X31" s="1082">
        <f t="shared" si="17"/>
        <v>0.14499999999999999</v>
      </c>
    </row>
    <row r="32" spans="2:25" x14ac:dyDescent="0.25">
      <c r="B32" s="1872"/>
      <c r="C32" s="1049">
        <v>100</v>
      </c>
      <c r="D32" s="1052">
        <v>0</v>
      </c>
      <c r="E32" s="1052"/>
      <c r="F32" s="1071">
        <v>1.0000000000000001E-5</v>
      </c>
      <c r="G32" s="1050">
        <f t="shared" si="14"/>
        <v>5.0000000000000004E-6</v>
      </c>
      <c r="H32" s="1082">
        <v>0.3</v>
      </c>
      <c r="I32" s="1053"/>
      <c r="J32" s="1872"/>
      <c r="K32" s="1049">
        <v>100</v>
      </c>
      <c r="L32" s="1052" t="s">
        <v>89</v>
      </c>
      <c r="M32" s="1052" t="s">
        <v>89</v>
      </c>
      <c r="N32" s="1071">
        <v>1.0000000000000001E-5</v>
      </c>
      <c r="O32" s="1050">
        <f t="shared" si="15"/>
        <v>1.0000000000000001E-5</v>
      </c>
      <c r="P32" s="1082">
        <v>0.3</v>
      </c>
      <c r="Q32" s="1053"/>
      <c r="R32" s="1872"/>
      <c r="S32" s="1049">
        <v>100</v>
      </c>
      <c r="T32" s="1052" t="s">
        <v>89</v>
      </c>
      <c r="U32" s="1052" t="s">
        <v>89</v>
      </c>
      <c r="V32" s="1071">
        <v>1.0000000000000001E-5</v>
      </c>
      <c r="W32" s="1050">
        <f t="shared" si="16"/>
        <v>1.0000000000000001E-5</v>
      </c>
      <c r="X32" s="1082">
        <f t="shared" si="17"/>
        <v>0.28999999999999998</v>
      </c>
    </row>
    <row r="33" spans="2:30" x14ac:dyDescent="0.25">
      <c r="B33" s="1872"/>
      <c r="C33" s="1049">
        <v>250</v>
      </c>
      <c r="D33" s="1052">
        <v>0</v>
      </c>
      <c r="E33" s="1052"/>
      <c r="F33" s="1071">
        <v>1.0000000000000001E-5</v>
      </c>
      <c r="G33" s="1050">
        <f t="shared" si="14"/>
        <v>5.0000000000000004E-6</v>
      </c>
      <c r="H33" s="1082">
        <v>0.7</v>
      </c>
      <c r="I33" s="1053"/>
      <c r="J33" s="1872"/>
      <c r="K33" s="1049">
        <v>250</v>
      </c>
      <c r="L33" s="1052" t="s">
        <v>89</v>
      </c>
      <c r="M33" s="1052" t="s">
        <v>89</v>
      </c>
      <c r="N33" s="1071">
        <v>1.0000000000000001E-5</v>
      </c>
      <c r="O33" s="1050">
        <f t="shared" si="15"/>
        <v>1.0000000000000001E-5</v>
      </c>
      <c r="P33" s="1082">
        <v>0.7</v>
      </c>
      <c r="Q33" s="1053"/>
      <c r="R33" s="1872"/>
      <c r="S33" s="1049">
        <v>250</v>
      </c>
      <c r="T33" s="1052" t="s">
        <v>89</v>
      </c>
      <c r="U33" s="1052" t="s">
        <v>89</v>
      </c>
      <c r="V33" s="1071">
        <v>1.0000000000000001E-5</v>
      </c>
      <c r="W33" s="1050">
        <f t="shared" si="16"/>
        <v>1.0000000000000001E-5</v>
      </c>
      <c r="X33" s="1082">
        <f t="shared" si="17"/>
        <v>0.72499999999999998</v>
      </c>
    </row>
    <row r="34" spans="2:30" x14ac:dyDescent="0.25">
      <c r="B34" s="1872"/>
      <c r="C34" s="1049">
        <v>500</v>
      </c>
      <c r="D34" s="1052">
        <v>0</v>
      </c>
      <c r="E34" s="1052"/>
      <c r="F34" s="1071">
        <v>1.0000000000000001E-5</v>
      </c>
      <c r="G34" s="1050">
        <f t="shared" si="14"/>
        <v>5.0000000000000004E-6</v>
      </c>
      <c r="H34" s="1082">
        <v>1.5</v>
      </c>
      <c r="I34" s="1053"/>
      <c r="J34" s="1872"/>
      <c r="K34" s="1049">
        <v>500</v>
      </c>
      <c r="L34" s="1052" t="s">
        <v>89</v>
      </c>
      <c r="M34" s="1052" t="s">
        <v>89</v>
      </c>
      <c r="N34" s="1071">
        <v>1.0000000000000001E-5</v>
      </c>
      <c r="O34" s="1050">
        <f t="shared" si="15"/>
        <v>1.0000000000000001E-5</v>
      </c>
      <c r="P34" s="1082">
        <v>1.5</v>
      </c>
      <c r="Q34" s="1053"/>
      <c r="R34" s="1872"/>
      <c r="S34" s="1049">
        <v>500</v>
      </c>
      <c r="T34" s="1052" t="s">
        <v>89</v>
      </c>
      <c r="U34" s="1052" t="s">
        <v>89</v>
      </c>
      <c r="V34" s="1071">
        <v>1.0000000000000001E-5</v>
      </c>
      <c r="W34" s="1050">
        <f t="shared" si="16"/>
        <v>1.0000000000000001E-5</v>
      </c>
      <c r="X34" s="1082">
        <f t="shared" si="17"/>
        <v>1.45</v>
      </c>
    </row>
    <row r="35" spans="2:30" ht="13" thickBot="1" x14ac:dyDescent="0.3">
      <c r="B35" s="1873"/>
      <c r="C35" s="1089">
        <v>1000</v>
      </c>
      <c r="D35" s="1084">
        <v>0</v>
      </c>
      <c r="E35" s="1084"/>
      <c r="F35" s="1071">
        <v>1.0000000000000001E-5</v>
      </c>
      <c r="G35" s="1050">
        <f t="shared" si="14"/>
        <v>5.0000000000000004E-6</v>
      </c>
      <c r="H35" s="1086">
        <v>3</v>
      </c>
      <c r="I35" s="1053"/>
      <c r="J35" s="1873"/>
      <c r="K35" s="1089">
        <v>1000</v>
      </c>
      <c r="L35" s="1084" t="s">
        <v>89</v>
      </c>
      <c r="M35" s="1084" t="s">
        <v>89</v>
      </c>
      <c r="N35" s="1071">
        <v>1.0000000000000001E-5</v>
      </c>
      <c r="O35" s="1050">
        <f t="shared" si="15"/>
        <v>1.0000000000000001E-5</v>
      </c>
      <c r="P35" s="1086">
        <v>3</v>
      </c>
      <c r="Q35" s="1053"/>
      <c r="R35" s="1873"/>
      <c r="S35" s="1089">
        <v>1000</v>
      </c>
      <c r="T35" s="1084" t="s">
        <v>89</v>
      </c>
      <c r="U35" s="1084" t="s">
        <v>89</v>
      </c>
      <c r="V35" s="1071">
        <v>1.0000000000000001E-5</v>
      </c>
      <c r="W35" s="1050">
        <f t="shared" si="16"/>
        <v>1.0000000000000001E-5</v>
      </c>
      <c r="X35" s="1086">
        <f t="shared" si="17"/>
        <v>2.9</v>
      </c>
    </row>
    <row r="36" spans="2:30" x14ac:dyDescent="0.25">
      <c r="B36" s="1047"/>
      <c r="C36" s="1054"/>
      <c r="D36" s="1055"/>
      <c r="E36" s="1055"/>
      <c r="F36" s="1055"/>
      <c r="G36" s="1056"/>
      <c r="H36" s="1053"/>
      <c r="I36" s="1053"/>
      <c r="J36" s="1047"/>
      <c r="K36" s="1054"/>
      <c r="L36" s="1055"/>
      <c r="M36" s="1055"/>
      <c r="N36" s="1055"/>
      <c r="O36" s="1056"/>
      <c r="P36" s="1053"/>
      <c r="Q36" s="1053"/>
      <c r="R36" s="1047"/>
      <c r="S36" s="1054"/>
      <c r="T36" s="1055"/>
      <c r="U36" s="1055"/>
      <c r="V36" s="1055"/>
      <c r="W36" s="1056"/>
      <c r="X36" s="1053"/>
      <c r="Z36" s="164"/>
      <c r="AA36" s="1057"/>
      <c r="AB36" s="1057"/>
      <c r="AC36" s="1058"/>
      <c r="AD36" s="1059"/>
    </row>
    <row r="37" spans="2:30" ht="13" thickBot="1" x14ac:dyDescent="0.3">
      <c r="B37" s="1047"/>
      <c r="C37" s="1054"/>
      <c r="D37" s="1055"/>
      <c r="E37" s="1055"/>
      <c r="F37" s="1055"/>
      <c r="G37" s="1056"/>
      <c r="H37" s="1053"/>
      <c r="I37" s="1053"/>
      <c r="J37" s="1047"/>
      <c r="K37" s="1054"/>
      <c r="L37" s="1055"/>
      <c r="M37" s="1055"/>
      <c r="N37" s="1055"/>
      <c r="O37" s="1056"/>
      <c r="P37" s="1053"/>
      <c r="Q37" s="1053"/>
      <c r="R37" s="1047"/>
      <c r="S37" s="1054"/>
      <c r="T37" s="1055"/>
      <c r="U37" s="1055"/>
      <c r="V37" s="1055"/>
      <c r="W37" s="1056"/>
      <c r="X37" s="1053"/>
      <c r="Z37" s="164"/>
      <c r="AA37" s="1057"/>
      <c r="AB37" s="1057"/>
      <c r="AC37" s="1058"/>
      <c r="AD37" s="1059"/>
    </row>
    <row r="38" spans="2:30" x14ac:dyDescent="0.25">
      <c r="B38" s="1871">
        <v>4</v>
      </c>
      <c r="C38" s="1087" t="s">
        <v>522</v>
      </c>
      <c r="D38" s="1087"/>
      <c r="E38" s="1087"/>
      <c r="F38" s="1087"/>
      <c r="G38" s="1087"/>
      <c r="H38" s="1088"/>
      <c r="I38" s="1047"/>
      <c r="J38" s="1871">
        <v>5</v>
      </c>
      <c r="K38" s="1087" t="s">
        <v>523</v>
      </c>
      <c r="L38" s="1087"/>
      <c r="M38" s="1087"/>
      <c r="N38" s="1087"/>
      <c r="O38" s="1087"/>
      <c r="P38" s="1088"/>
      <c r="Q38" s="1047"/>
      <c r="R38" s="1871">
        <v>6</v>
      </c>
      <c r="S38" s="1087" t="s">
        <v>524</v>
      </c>
      <c r="T38" s="1087"/>
      <c r="U38" s="1087"/>
      <c r="V38" s="1087"/>
      <c r="W38" s="1087"/>
      <c r="X38" s="1088"/>
      <c r="Z38" s="164"/>
      <c r="AA38" s="1057"/>
      <c r="AB38" s="1057"/>
      <c r="AC38" s="1058"/>
      <c r="AD38" s="1059"/>
    </row>
    <row r="39" spans="2:30" ht="14" x14ac:dyDescent="0.3">
      <c r="B39" s="1872"/>
      <c r="C39" s="1874" t="s">
        <v>385</v>
      </c>
      <c r="D39" s="1875"/>
      <c r="E39" s="1875"/>
      <c r="F39" s="1876"/>
      <c r="G39" s="1877" t="s">
        <v>86</v>
      </c>
      <c r="H39" s="1880" t="s">
        <v>90</v>
      </c>
      <c r="I39" s="1048"/>
      <c r="J39" s="1872"/>
      <c r="K39" s="1874" t="s">
        <v>385</v>
      </c>
      <c r="L39" s="1875"/>
      <c r="M39" s="1875"/>
      <c r="N39" s="1876"/>
      <c r="O39" s="1877" t="s">
        <v>86</v>
      </c>
      <c r="P39" s="1880" t="s">
        <v>90</v>
      </c>
      <c r="Q39" s="1048"/>
      <c r="R39" s="1872"/>
      <c r="S39" s="1874" t="s">
        <v>385</v>
      </c>
      <c r="T39" s="1875"/>
      <c r="U39" s="1875"/>
      <c r="V39" s="1876"/>
      <c r="W39" s="1877" t="s">
        <v>86</v>
      </c>
      <c r="X39" s="1880" t="s">
        <v>90</v>
      </c>
      <c r="Z39" s="164"/>
      <c r="AA39" s="1057"/>
      <c r="AB39" s="1057"/>
      <c r="AC39" s="1058"/>
      <c r="AD39" s="1059"/>
    </row>
    <row r="40" spans="2:30" ht="13" x14ac:dyDescent="0.25">
      <c r="B40" s="1872"/>
      <c r="C40" s="1075" t="s">
        <v>386</v>
      </c>
      <c r="D40" s="1883" t="s">
        <v>88</v>
      </c>
      <c r="E40" s="1884"/>
      <c r="F40" s="1885"/>
      <c r="G40" s="1878"/>
      <c r="H40" s="1881"/>
      <c r="I40" s="1048"/>
      <c r="J40" s="1872"/>
      <c r="K40" s="1075" t="s">
        <v>386</v>
      </c>
      <c r="L40" s="1883" t="s">
        <v>88</v>
      </c>
      <c r="M40" s="1884"/>
      <c r="N40" s="1885"/>
      <c r="O40" s="1878"/>
      <c r="P40" s="1881"/>
      <c r="Q40" s="1048"/>
      <c r="R40" s="1872"/>
      <c r="S40" s="1075" t="s">
        <v>386</v>
      </c>
      <c r="T40" s="1883" t="s">
        <v>88</v>
      </c>
      <c r="U40" s="1884"/>
      <c r="V40" s="1885"/>
      <c r="W40" s="1878"/>
      <c r="X40" s="1881"/>
      <c r="Z40" s="164"/>
      <c r="AA40" s="1057"/>
      <c r="AB40" s="1057"/>
      <c r="AC40" s="1058"/>
      <c r="AD40" s="1059"/>
    </row>
    <row r="41" spans="2:30" ht="14" x14ac:dyDescent="0.25">
      <c r="B41" s="1872"/>
      <c r="C41" s="1076" t="s">
        <v>55</v>
      </c>
      <c r="D41" s="1077">
        <v>2016</v>
      </c>
      <c r="E41" s="1077">
        <v>2016</v>
      </c>
      <c r="F41" s="1077">
        <v>2021</v>
      </c>
      <c r="G41" s="1879"/>
      <c r="H41" s="1882"/>
      <c r="I41" s="1048"/>
      <c r="J41" s="1872"/>
      <c r="K41" s="1076" t="s">
        <v>55</v>
      </c>
      <c r="L41" s="1077">
        <v>2016</v>
      </c>
      <c r="M41" s="1077">
        <v>2016</v>
      </c>
      <c r="N41" s="1077">
        <v>2021</v>
      </c>
      <c r="O41" s="1879"/>
      <c r="P41" s="1882"/>
      <c r="Q41" s="1048"/>
      <c r="R41" s="1872"/>
      <c r="S41" s="1076" t="s">
        <v>55</v>
      </c>
      <c r="T41" s="1077">
        <v>2016</v>
      </c>
      <c r="U41" s="1077">
        <v>2016</v>
      </c>
      <c r="V41" s="1077">
        <v>2021</v>
      </c>
      <c r="W41" s="1879"/>
      <c r="X41" s="1882"/>
      <c r="Z41" s="164"/>
      <c r="AA41" s="1057"/>
      <c r="AB41" s="1057"/>
      <c r="AC41" s="1058"/>
      <c r="AD41" s="1059"/>
    </row>
    <row r="42" spans="2:30" x14ac:dyDescent="0.25">
      <c r="B42" s="1872"/>
      <c r="C42" s="1049">
        <v>0</v>
      </c>
      <c r="D42" s="1049" t="s">
        <v>89</v>
      </c>
      <c r="E42" s="1049" t="s">
        <v>89</v>
      </c>
      <c r="F42" s="1071">
        <v>1.0000000000000001E-5</v>
      </c>
      <c r="G42" s="1050">
        <f t="shared" ref="G42:G49" si="18">IF(0.5*(MAX(D42:F42)-MIN(D42:F42))=0,0.00001,0.5*(MAX(D42:F42)-MIN(D42:F42)))</f>
        <v>1.0000000000000001E-5</v>
      </c>
      <c r="H42" s="1081">
        <f>C42*$I$42</f>
        <v>0</v>
      </c>
      <c r="I42" s="1060">
        <f>Y6</f>
        <v>2.8999999999999998E-3</v>
      </c>
      <c r="J42" s="1872"/>
      <c r="K42" s="1049">
        <v>0</v>
      </c>
      <c r="L42" s="1049" t="s">
        <v>89</v>
      </c>
      <c r="M42" s="1049" t="s">
        <v>89</v>
      </c>
      <c r="N42" s="1071">
        <v>1.0000000000000001E-5</v>
      </c>
      <c r="O42" s="1050">
        <f t="shared" ref="O42:O49" si="19">IF(0.5*(MAX(L42:N42)-MIN(L42:N42))=0,0.00001,0.5*(MAX(L42:N42)-MIN(L42:N42)))</f>
        <v>1.0000000000000001E-5</v>
      </c>
      <c r="P42" s="1081">
        <f>K42*$Q$42</f>
        <v>0</v>
      </c>
      <c r="Q42" s="1060">
        <f>I42</f>
        <v>2.8999999999999998E-3</v>
      </c>
      <c r="R42" s="1872"/>
      <c r="S42" s="1049">
        <v>0</v>
      </c>
      <c r="T42" s="1049" t="s">
        <v>89</v>
      </c>
      <c r="U42" s="1049" t="s">
        <v>89</v>
      </c>
      <c r="V42" s="1071">
        <v>1.0000000000000001E-5</v>
      </c>
      <c r="W42" s="1050">
        <f t="shared" ref="W42:W49" si="20">IF(0.5*(MAX(T42:V42)-MIN(T42:V42))=0,0.00001,0.5*(MAX(T42:V42)-MIN(T42:V42)))</f>
        <v>1.0000000000000001E-5</v>
      </c>
      <c r="X42" s="1081">
        <f>S42*$Y$42</f>
        <v>0</v>
      </c>
      <c r="Y42" s="1061">
        <f>Q42</f>
        <v>2.8999999999999998E-3</v>
      </c>
      <c r="Z42" s="164"/>
      <c r="AA42" s="1057"/>
      <c r="AB42" s="1057"/>
      <c r="AC42" s="1058"/>
      <c r="AD42" s="1059"/>
    </row>
    <row r="43" spans="2:30" x14ac:dyDescent="0.25">
      <c r="B43" s="1872"/>
      <c r="C43" s="1049">
        <v>1</v>
      </c>
      <c r="D43" s="1049" t="s">
        <v>89</v>
      </c>
      <c r="E43" s="1049" t="s">
        <v>89</v>
      </c>
      <c r="F43" s="1071">
        <v>1.0000000000000001E-5</v>
      </c>
      <c r="G43" s="1050">
        <f t="shared" si="18"/>
        <v>1.0000000000000001E-5</v>
      </c>
      <c r="H43" s="1081">
        <f t="shared" ref="H43:H49" si="21">C43*$I$42</f>
        <v>2.8999999999999998E-3</v>
      </c>
      <c r="I43" s="1051"/>
      <c r="J43" s="1872"/>
      <c r="K43" s="1049">
        <v>1</v>
      </c>
      <c r="L43" s="1049" t="s">
        <v>89</v>
      </c>
      <c r="M43" s="1049" t="s">
        <v>89</v>
      </c>
      <c r="N43" s="1071">
        <v>1.0000000000000001E-5</v>
      </c>
      <c r="O43" s="1050">
        <f t="shared" si="19"/>
        <v>1.0000000000000001E-5</v>
      </c>
      <c r="P43" s="1081">
        <f t="shared" ref="P43:P49" si="22">K43*$Q$42</f>
        <v>2.8999999999999998E-3</v>
      </c>
      <c r="Q43" s="1051"/>
      <c r="R43" s="1872"/>
      <c r="S43" s="1049">
        <v>1</v>
      </c>
      <c r="T43" s="1049" t="s">
        <v>89</v>
      </c>
      <c r="U43" s="1049" t="s">
        <v>89</v>
      </c>
      <c r="V43" s="1071">
        <v>1.0000000000000001E-5</v>
      </c>
      <c r="W43" s="1050">
        <f t="shared" si="20"/>
        <v>1.0000000000000001E-5</v>
      </c>
      <c r="X43" s="1081">
        <f t="shared" ref="X43:X49" si="23">S43*$Y$42</f>
        <v>2.8999999999999998E-3</v>
      </c>
      <c r="Z43" s="164"/>
      <c r="AA43" s="1057"/>
      <c r="AB43" s="1057"/>
      <c r="AC43" s="1058"/>
      <c r="AD43" s="1059"/>
    </row>
    <row r="44" spans="2:30" x14ac:dyDescent="0.25">
      <c r="B44" s="1872"/>
      <c r="C44" s="1049">
        <v>10</v>
      </c>
      <c r="D44" s="1049" t="s">
        <v>89</v>
      </c>
      <c r="E44" s="1049" t="s">
        <v>89</v>
      </c>
      <c r="F44" s="1071">
        <v>1.0000000000000001E-5</v>
      </c>
      <c r="G44" s="1050">
        <f t="shared" si="18"/>
        <v>1.0000000000000001E-5</v>
      </c>
      <c r="H44" s="1081">
        <f t="shared" si="21"/>
        <v>2.8999999999999998E-2</v>
      </c>
      <c r="I44" s="1051"/>
      <c r="J44" s="1872"/>
      <c r="K44" s="1049">
        <v>10</v>
      </c>
      <c r="L44" s="1049" t="s">
        <v>89</v>
      </c>
      <c r="M44" s="1049" t="s">
        <v>89</v>
      </c>
      <c r="N44" s="1071">
        <v>1.0000000000000001E-5</v>
      </c>
      <c r="O44" s="1050">
        <f t="shared" si="19"/>
        <v>1.0000000000000001E-5</v>
      </c>
      <c r="P44" s="1081">
        <f t="shared" si="22"/>
        <v>2.8999999999999998E-2</v>
      </c>
      <c r="Q44" s="1051"/>
      <c r="R44" s="1872"/>
      <c r="S44" s="1049">
        <v>10</v>
      </c>
      <c r="T44" s="1049" t="s">
        <v>89</v>
      </c>
      <c r="U44" s="1049" t="s">
        <v>89</v>
      </c>
      <c r="V44" s="1071">
        <v>1.0000000000000001E-5</v>
      </c>
      <c r="W44" s="1050">
        <f t="shared" si="20"/>
        <v>1.0000000000000001E-5</v>
      </c>
      <c r="X44" s="1081">
        <f t="shared" si="23"/>
        <v>2.8999999999999998E-2</v>
      </c>
      <c r="Z44" s="164"/>
      <c r="AA44" s="1057"/>
      <c r="AB44" s="1057"/>
      <c r="AC44" s="1058"/>
      <c r="AD44" s="1059"/>
    </row>
    <row r="45" spans="2:30" x14ac:dyDescent="0.25">
      <c r="B45" s="1872"/>
      <c r="C45" s="1049">
        <v>15</v>
      </c>
      <c r="D45" s="1049" t="s">
        <v>89</v>
      </c>
      <c r="E45" s="1049" t="s">
        <v>89</v>
      </c>
      <c r="F45" s="1071">
        <v>1.0000000000000001E-5</v>
      </c>
      <c r="G45" s="1050">
        <f t="shared" si="18"/>
        <v>1.0000000000000001E-5</v>
      </c>
      <c r="H45" s="1081">
        <f t="shared" si="21"/>
        <v>4.3499999999999997E-2</v>
      </c>
      <c r="I45" s="1051"/>
      <c r="J45" s="1872"/>
      <c r="K45" s="1049">
        <v>15</v>
      </c>
      <c r="L45" s="1049" t="s">
        <v>89</v>
      </c>
      <c r="M45" s="1049" t="s">
        <v>89</v>
      </c>
      <c r="N45" s="1071">
        <v>1.0000000000000001E-5</v>
      </c>
      <c r="O45" s="1050">
        <f t="shared" si="19"/>
        <v>1.0000000000000001E-5</v>
      </c>
      <c r="P45" s="1081">
        <f t="shared" si="22"/>
        <v>4.3499999999999997E-2</v>
      </c>
      <c r="Q45" s="1051"/>
      <c r="R45" s="1872"/>
      <c r="S45" s="1049">
        <v>15</v>
      </c>
      <c r="T45" s="1049" t="s">
        <v>89</v>
      </c>
      <c r="U45" s="1049" t="s">
        <v>89</v>
      </c>
      <c r="V45" s="1071">
        <v>1.0000000000000001E-5</v>
      </c>
      <c r="W45" s="1050">
        <f t="shared" si="20"/>
        <v>1.0000000000000001E-5</v>
      </c>
      <c r="X45" s="1081">
        <f t="shared" si="23"/>
        <v>4.3499999999999997E-2</v>
      </c>
      <c r="Z45" s="164"/>
      <c r="AA45" s="1057"/>
      <c r="AB45" s="1057"/>
      <c r="AC45" s="1058"/>
      <c r="AD45" s="1059"/>
    </row>
    <row r="46" spans="2:30" x14ac:dyDescent="0.25">
      <c r="B46" s="1872"/>
      <c r="C46" s="1049">
        <v>20</v>
      </c>
      <c r="D46" s="1049" t="s">
        <v>89</v>
      </c>
      <c r="E46" s="1049" t="s">
        <v>89</v>
      </c>
      <c r="F46" s="1071">
        <v>1.0000000000000001E-5</v>
      </c>
      <c r="G46" s="1050">
        <f t="shared" si="18"/>
        <v>1.0000000000000001E-5</v>
      </c>
      <c r="H46" s="1081">
        <f t="shared" si="21"/>
        <v>5.7999999999999996E-2</v>
      </c>
      <c r="I46" s="1051"/>
      <c r="J46" s="1872"/>
      <c r="K46" s="1049">
        <v>20</v>
      </c>
      <c r="L46" s="1049" t="s">
        <v>89</v>
      </c>
      <c r="M46" s="1049" t="s">
        <v>89</v>
      </c>
      <c r="N46" s="1071">
        <v>1.0000000000000001E-5</v>
      </c>
      <c r="O46" s="1050">
        <f t="shared" si="19"/>
        <v>1.0000000000000001E-5</v>
      </c>
      <c r="P46" s="1081">
        <f t="shared" si="22"/>
        <v>5.7999999999999996E-2</v>
      </c>
      <c r="Q46" s="1051"/>
      <c r="R46" s="1872"/>
      <c r="S46" s="1049">
        <v>20</v>
      </c>
      <c r="T46" s="1049" t="s">
        <v>89</v>
      </c>
      <c r="U46" s="1049" t="s">
        <v>89</v>
      </c>
      <c r="V46" s="1071">
        <v>1.0000000000000001E-5</v>
      </c>
      <c r="W46" s="1050">
        <f t="shared" si="20"/>
        <v>1.0000000000000001E-5</v>
      </c>
      <c r="X46" s="1081">
        <f t="shared" si="23"/>
        <v>5.7999999999999996E-2</v>
      </c>
      <c r="Z46" s="164"/>
      <c r="AA46" s="1057"/>
      <c r="AB46" s="1057"/>
      <c r="AC46" s="1058"/>
      <c r="AD46" s="1059"/>
    </row>
    <row r="47" spans="2:30" x14ac:dyDescent="0.25">
      <c r="B47" s="1872"/>
      <c r="C47" s="1049">
        <v>30</v>
      </c>
      <c r="D47" s="1049" t="s">
        <v>89</v>
      </c>
      <c r="E47" s="1049" t="s">
        <v>89</v>
      </c>
      <c r="F47" s="1071">
        <v>1.0000000000000001E-5</v>
      </c>
      <c r="G47" s="1050">
        <f t="shared" si="18"/>
        <v>1.0000000000000001E-5</v>
      </c>
      <c r="H47" s="1081">
        <f t="shared" si="21"/>
        <v>8.6999999999999994E-2</v>
      </c>
      <c r="I47" s="1051"/>
      <c r="J47" s="1872"/>
      <c r="K47" s="1049">
        <v>30</v>
      </c>
      <c r="L47" s="1049" t="s">
        <v>89</v>
      </c>
      <c r="M47" s="1049" t="s">
        <v>89</v>
      </c>
      <c r="N47" s="1071">
        <v>1.0000000000000001E-5</v>
      </c>
      <c r="O47" s="1050">
        <f t="shared" si="19"/>
        <v>1.0000000000000001E-5</v>
      </c>
      <c r="P47" s="1081">
        <f t="shared" si="22"/>
        <v>8.6999999999999994E-2</v>
      </c>
      <c r="Q47" s="1051"/>
      <c r="R47" s="1872"/>
      <c r="S47" s="1049">
        <v>30</v>
      </c>
      <c r="T47" s="1049" t="s">
        <v>89</v>
      </c>
      <c r="U47" s="1049" t="s">
        <v>89</v>
      </c>
      <c r="V47" s="1071">
        <v>1.0000000000000001E-5</v>
      </c>
      <c r="W47" s="1050">
        <f t="shared" si="20"/>
        <v>1.0000000000000001E-5</v>
      </c>
      <c r="X47" s="1081">
        <f t="shared" si="23"/>
        <v>8.6999999999999994E-2</v>
      </c>
      <c r="Z47" s="164"/>
      <c r="AA47" s="1057"/>
      <c r="AB47" s="1057"/>
      <c r="AC47" s="1058"/>
      <c r="AD47" s="1059"/>
    </row>
    <row r="48" spans="2:30" x14ac:dyDescent="0.25">
      <c r="B48" s="1872"/>
      <c r="C48" s="1049">
        <v>50</v>
      </c>
      <c r="D48" s="1049" t="s">
        <v>89</v>
      </c>
      <c r="E48" s="1049" t="s">
        <v>89</v>
      </c>
      <c r="F48" s="1071">
        <v>1.0000000000000001E-5</v>
      </c>
      <c r="G48" s="1050">
        <f t="shared" si="18"/>
        <v>1.0000000000000001E-5</v>
      </c>
      <c r="H48" s="1081">
        <f t="shared" si="21"/>
        <v>0.14499999999999999</v>
      </c>
      <c r="I48" s="1051"/>
      <c r="J48" s="1872"/>
      <c r="K48" s="1049">
        <v>50</v>
      </c>
      <c r="L48" s="1049" t="s">
        <v>89</v>
      </c>
      <c r="M48" s="1049" t="s">
        <v>89</v>
      </c>
      <c r="N48" s="1071">
        <v>1.0000000000000001E-5</v>
      </c>
      <c r="O48" s="1050">
        <f t="shared" si="19"/>
        <v>1.0000000000000001E-5</v>
      </c>
      <c r="P48" s="1081">
        <f t="shared" si="22"/>
        <v>0.14499999999999999</v>
      </c>
      <c r="Q48" s="1051"/>
      <c r="R48" s="1872"/>
      <c r="S48" s="1049">
        <v>50</v>
      </c>
      <c r="T48" s="1049" t="s">
        <v>89</v>
      </c>
      <c r="U48" s="1049" t="s">
        <v>89</v>
      </c>
      <c r="V48" s="1071">
        <v>1.0000000000000001E-5</v>
      </c>
      <c r="W48" s="1050">
        <f t="shared" si="20"/>
        <v>1.0000000000000001E-5</v>
      </c>
      <c r="X48" s="1081">
        <f t="shared" si="23"/>
        <v>0.14499999999999999</v>
      </c>
      <c r="Z48" s="164"/>
      <c r="AA48" s="1057"/>
      <c r="AB48" s="1057"/>
      <c r="AC48" s="1058"/>
      <c r="AD48" s="1059"/>
    </row>
    <row r="49" spans="2:30" ht="13" thickBot="1" x14ac:dyDescent="0.3">
      <c r="B49" s="1872"/>
      <c r="C49" s="1049">
        <v>100</v>
      </c>
      <c r="D49" s="1049" t="s">
        <v>89</v>
      </c>
      <c r="E49" s="1049" t="s">
        <v>89</v>
      </c>
      <c r="F49" s="1071">
        <v>1.0000000000000001E-5</v>
      </c>
      <c r="G49" s="1050">
        <f t="shared" si="18"/>
        <v>1.0000000000000001E-5</v>
      </c>
      <c r="H49" s="1081">
        <f t="shared" si="21"/>
        <v>0.28999999999999998</v>
      </c>
      <c r="I49" s="1051"/>
      <c r="J49" s="1872"/>
      <c r="K49" s="1049">
        <v>100</v>
      </c>
      <c r="L49" s="1049" t="s">
        <v>89</v>
      </c>
      <c r="M49" s="1049" t="s">
        <v>89</v>
      </c>
      <c r="N49" s="1071">
        <v>1.0000000000000001E-5</v>
      </c>
      <c r="O49" s="1050">
        <f t="shared" si="19"/>
        <v>1.0000000000000001E-5</v>
      </c>
      <c r="P49" s="1081">
        <f t="shared" si="22"/>
        <v>0.28999999999999998</v>
      </c>
      <c r="Q49" s="1051"/>
      <c r="R49" s="1872"/>
      <c r="S49" s="1049">
        <v>100</v>
      </c>
      <c r="T49" s="1049" t="s">
        <v>89</v>
      </c>
      <c r="U49" s="1049" t="s">
        <v>89</v>
      </c>
      <c r="V49" s="1071">
        <v>1.0000000000000001E-5</v>
      </c>
      <c r="W49" s="1050">
        <f t="shared" si="20"/>
        <v>1.0000000000000001E-5</v>
      </c>
      <c r="X49" s="1081">
        <f t="shared" si="23"/>
        <v>0.28999999999999998</v>
      </c>
      <c r="Z49" s="164"/>
      <c r="AA49" s="1057"/>
      <c r="AB49" s="1057"/>
      <c r="AC49" s="1058"/>
      <c r="AD49" s="1059"/>
    </row>
    <row r="50" spans="2:30" ht="14" x14ac:dyDescent="0.3">
      <c r="B50" s="1872"/>
      <c r="C50" s="1866" t="s">
        <v>387</v>
      </c>
      <c r="D50" s="1867"/>
      <c r="E50" s="1867"/>
      <c r="F50" s="1867"/>
      <c r="G50" s="1868" t="s">
        <v>86</v>
      </c>
      <c r="H50" s="1863" t="s">
        <v>90</v>
      </c>
      <c r="I50" s="1048"/>
      <c r="J50" s="1872"/>
      <c r="K50" s="1866" t="s">
        <v>387</v>
      </c>
      <c r="L50" s="1867"/>
      <c r="M50" s="1867"/>
      <c r="N50" s="1867"/>
      <c r="O50" s="1868" t="s">
        <v>86</v>
      </c>
      <c r="P50" s="1863" t="s">
        <v>90</v>
      </c>
      <c r="Q50" s="1048"/>
      <c r="R50" s="1872"/>
      <c r="S50" s="1866" t="s">
        <v>387</v>
      </c>
      <c r="T50" s="1867"/>
      <c r="U50" s="1867"/>
      <c r="V50" s="1867"/>
      <c r="W50" s="1868" t="s">
        <v>86</v>
      </c>
      <c r="X50" s="1863" t="s">
        <v>90</v>
      </c>
      <c r="Z50" s="164"/>
      <c r="AA50" s="1057"/>
      <c r="AB50" s="1057"/>
      <c r="AC50" s="1058"/>
      <c r="AD50" s="1059"/>
    </row>
    <row r="51" spans="2:30" ht="13" x14ac:dyDescent="0.25">
      <c r="B51" s="1872"/>
      <c r="C51" s="1075" t="s">
        <v>388</v>
      </c>
      <c r="D51" s="1865" t="s">
        <v>88</v>
      </c>
      <c r="E51" s="1865"/>
      <c r="F51" s="1865"/>
      <c r="G51" s="1865"/>
      <c r="H51" s="1864"/>
      <c r="I51" s="1048"/>
      <c r="J51" s="1872"/>
      <c r="K51" s="1075" t="s">
        <v>388</v>
      </c>
      <c r="L51" s="1865" t="s">
        <v>88</v>
      </c>
      <c r="M51" s="1865"/>
      <c r="N51" s="1865"/>
      <c r="O51" s="1865"/>
      <c r="P51" s="1864"/>
      <c r="Q51" s="1048"/>
      <c r="R51" s="1872"/>
      <c r="S51" s="1075" t="s">
        <v>388</v>
      </c>
      <c r="T51" s="1865" t="s">
        <v>88</v>
      </c>
      <c r="U51" s="1865"/>
      <c r="V51" s="1865"/>
      <c r="W51" s="1865"/>
      <c r="X51" s="1864"/>
      <c r="Z51" s="164"/>
      <c r="AA51" s="1057"/>
      <c r="AB51" s="1057"/>
      <c r="AC51" s="1058"/>
      <c r="AD51" s="1059"/>
    </row>
    <row r="52" spans="2:30" ht="14" x14ac:dyDescent="0.25">
      <c r="B52" s="1872"/>
      <c r="C52" s="1076" t="s">
        <v>389</v>
      </c>
      <c r="D52" s="1077">
        <f>D41</f>
        <v>2016</v>
      </c>
      <c r="E52" s="1077">
        <f t="shared" ref="E52:F52" si="24">E41</f>
        <v>2016</v>
      </c>
      <c r="F52" s="1077">
        <f t="shared" si="24"/>
        <v>2021</v>
      </c>
      <c r="G52" s="1865"/>
      <c r="H52" s="1864"/>
      <c r="I52" s="1048"/>
      <c r="J52" s="1872"/>
      <c r="K52" s="1076" t="s">
        <v>389</v>
      </c>
      <c r="L52" s="1077">
        <f>L41</f>
        <v>2016</v>
      </c>
      <c r="M52" s="1077">
        <f t="shared" ref="M52:N52" si="25">M41</f>
        <v>2016</v>
      </c>
      <c r="N52" s="1077">
        <f t="shared" si="25"/>
        <v>2021</v>
      </c>
      <c r="O52" s="1865"/>
      <c r="P52" s="1864"/>
      <c r="Q52" s="1048"/>
      <c r="R52" s="1872"/>
      <c r="S52" s="1076" t="s">
        <v>389</v>
      </c>
      <c r="T52" s="1077">
        <f>T41</f>
        <v>2016</v>
      </c>
      <c r="U52" s="1077">
        <f t="shared" ref="U52:V52" si="26">U41</f>
        <v>2016</v>
      </c>
      <c r="V52" s="1077">
        <f t="shared" si="26"/>
        <v>2021</v>
      </c>
      <c r="W52" s="1865"/>
      <c r="X52" s="1864"/>
      <c r="Z52" s="164"/>
      <c r="AA52" s="1057"/>
      <c r="AB52" s="1057"/>
      <c r="AC52" s="1058"/>
      <c r="AD52" s="1059"/>
    </row>
    <row r="53" spans="2:30" x14ac:dyDescent="0.25">
      <c r="B53" s="1872"/>
      <c r="C53" s="1049">
        <v>0</v>
      </c>
      <c r="D53" s="1049" t="s">
        <v>89</v>
      </c>
      <c r="E53" s="1049" t="s">
        <v>89</v>
      </c>
      <c r="F53" s="1050">
        <v>0</v>
      </c>
      <c r="G53" s="1050">
        <f t="shared" ref="G53:G59" si="27">IF(0.5*(MAX(D53:F53)-MIN(D53:F53))=0,0.00001,0.5*(MAX(D53:F53)-MIN(D53:F53)))</f>
        <v>1.0000000000000001E-5</v>
      </c>
      <c r="H53" s="1081">
        <f>C53*$Y$17</f>
        <v>0</v>
      </c>
      <c r="I53" s="1047">
        <f>0.23/100</f>
        <v>2.3E-3</v>
      </c>
      <c r="J53" s="1872"/>
      <c r="K53" s="1049">
        <v>0</v>
      </c>
      <c r="L53" s="1049" t="s">
        <v>89</v>
      </c>
      <c r="M53" s="1049" t="s">
        <v>89</v>
      </c>
      <c r="N53" s="1050">
        <v>0</v>
      </c>
      <c r="O53" s="1050">
        <f t="shared" ref="O53:O59" si="28">IF(0.5*(MAX(L53:N53)-MIN(L53:N53))=0,0.00001,0.5*(MAX(L53:N53)-MIN(L53:N53)))</f>
        <v>1.0000000000000001E-5</v>
      </c>
      <c r="P53" s="1081">
        <f>K53*$Y$17</f>
        <v>0</v>
      </c>
      <c r="Q53" s="1047">
        <f>0.23/100</f>
        <v>2.3E-3</v>
      </c>
      <c r="R53" s="1872"/>
      <c r="S53" s="1049">
        <v>0</v>
      </c>
      <c r="T53" s="1049" t="s">
        <v>89</v>
      </c>
      <c r="U53" s="1049" t="s">
        <v>89</v>
      </c>
      <c r="V53" s="1050">
        <v>0</v>
      </c>
      <c r="W53" s="1050">
        <f t="shared" ref="W53:W59" si="29">IF(0.5*(MAX(T53:V53)-MIN(T53:V53))=0,0.00001,0.5*(MAX(T53:V53)-MIN(T53:V53)))</f>
        <v>1.0000000000000001E-5</v>
      </c>
      <c r="X53" s="1081">
        <f>S53*$Y$17</f>
        <v>0</v>
      </c>
      <c r="Y53" s="159">
        <f>0.23/100</f>
        <v>2.3E-3</v>
      </c>
      <c r="Z53" s="164"/>
      <c r="AA53" s="1057"/>
      <c r="AB53" s="1057"/>
      <c r="AC53" s="1058"/>
      <c r="AD53" s="1059"/>
    </row>
    <row r="54" spans="2:30" x14ac:dyDescent="0.25">
      <c r="B54" s="1872"/>
      <c r="C54" s="1049">
        <v>50</v>
      </c>
      <c r="D54" s="1049" t="s">
        <v>89</v>
      </c>
      <c r="E54" s="1049" t="s">
        <v>89</v>
      </c>
      <c r="F54" s="1050">
        <v>0.4</v>
      </c>
      <c r="G54" s="1050">
        <f t="shared" si="27"/>
        <v>1.0000000000000001E-5</v>
      </c>
      <c r="H54" s="1081">
        <f t="shared" ref="H54:H58" si="30">C54*$Y$17</f>
        <v>0.11499999999999999</v>
      </c>
      <c r="I54" s="1047"/>
      <c r="J54" s="1872"/>
      <c r="K54" s="1049">
        <v>50</v>
      </c>
      <c r="L54" s="1049" t="s">
        <v>89</v>
      </c>
      <c r="M54" s="1049" t="s">
        <v>89</v>
      </c>
      <c r="N54" s="1050">
        <v>0.4</v>
      </c>
      <c r="O54" s="1050">
        <f t="shared" si="28"/>
        <v>1.0000000000000001E-5</v>
      </c>
      <c r="P54" s="1081">
        <f t="shared" ref="P54:P58" si="31">K54*$Y$17</f>
        <v>0.11499999999999999</v>
      </c>
      <c r="Q54" s="1047"/>
      <c r="R54" s="1872"/>
      <c r="S54" s="1049">
        <v>50</v>
      </c>
      <c r="T54" s="1049" t="s">
        <v>89</v>
      </c>
      <c r="U54" s="1049" t="s">
        <v>89</v>
      </c>
      <c r="V54" s="1050">
        <v>0</v>
      </c>
      <c r="W54" s="1050">
        <f t="shared" si="29"/>
        <v>1.0000000000000001E-5</v>
      </c>
      <c r="X54" s="1081">
        <f t="shared" ref="X54:X58" si="32">S54*$Y$17</f>
        <v>0.11499999999999999</v>
      </c>
      <c r="Z54" s="164"/>
      <c r="AA54" s="1057"/>
      <c r="AB54" s="1057"/>
      <c r="AC54" s="1058"/>
      <c r="AD54" s="1059"/>
    </row>
    <row r="55" spans="2:30" x14ac:dyDescent="0.25">
      <c r="B55" s="1872"/>
      <c r="C55" s="1049">
        <v>100</v>
      </c>
      <c r="D55" s="1049" t="s">
        <v>89</v>
      </c>
      <c r="E55" s="1049" t="s">
        <v>89</v>
      </c>
      <c r="F55" s="1050">
        <v>1</v>
      </c>
      <c r="G55" s="1050">
        <f t="shared" si="27"/>
        <v>1.0000000000000001E-5</v>
      </c>
      <c r="H55" s="1081">
        <f t="shared" si="30"/>
        <v>0.22999999999999998</v>
      </c>
      <c r="I55" s="1047"/>
      <c r="J55" s="1872"/>
      <c r="K55" s="1049">
        <v>100</v>
      </c>
      <c r="L55" s="1049" t="s">
        <v>89</v>
      </c>
      <c r="M55" s="1049" t="s">
        <v>89</v>
      </c>
      <c r="N55" s="1050">
        <v>-0.2</v>
      </c>
      <c r="O55" s="1050">
        <f t="shared" si="28"/>
        <v>1.0000000000000001E-5</v>
      </c>
      <c r="P55" s="1081">
        <f t="shared" si="31"/>
        <v>0.22999999999999998</v>
      </c>
      <c r="Q55" s="1047"/>
      <c r="R55" s="1872"/>
      <c r="S55" s="1049">
        <v>100</v>
      </c>
      <c r="T55" s="1049" t="s">
        <v>89</v>
      </c>
      <c r="U55" s="1049" t="s">
        <v>89</v>
      </c>
      <c r="V55" s="1050">
        <v>-0.4</v>
      </c>
      <c r="W55" s="1050">
        <f t="shared" si="29"/>
        <v>1.0000000000000001E-5</v>
      </c>
      <c r="X55" s="1081">
        <f t="shared" si="32"/>
        <v>0.22999999999999998</v>
      </c>
      <c r="Z55" s="164"/>
      <c r="AA55" s="1057"/>
      <c r="AB55" s="1057"/>
      <c r="AC55" s="1058"/>
      <c r="AD55" s="1059"/>
    </row>
    <row r="56" spans="2:30" x14ac:dyDescent="0.25">
      <c r="B56" s="1872"/>
      <c r="C56" s="1049">
        <v>200</v>
      </c>
      <c r="D56" s="1049" t="s">
        <v>89</v>
      </c>
      <c r="E56" s="1049" t="s">
        <v>89</v>
      </c>
      <c r="F56" s="1050">
        <v>1.2</v>
      </c>
      <c r="G56" s="1050">
        <f t="shared" si="27"/>
        <v>1.0000000000000001E-5</v>
      </c>
      <c r="H56" s="1081">
        <f t="shared" si="30"/>
        <v>0.45999999999999996</v>
      </c>
      <c r="I56" s="1047"/>
      <c r="J56" s="1872"/>
      <c r="K56" s="1049">
        <v>200</v>
      </c>
      <c r="L56" s="1049" t="s">
        <v>89</v>
      </c>
      <c r="M56" s="1049" t="s">
        <v>89</v>
      </c>
      <c r="N56" s="1050">
        <v>2.8</v>
      </c>
      <c r="O56" s="1050">
        <f t="shared" si="28"/>
        <v>1.0000000000000001E-5</v>
      </c>
      <c r="P56" s="1081">
        <f t="shared" si="31"/>
        <v>0.45999999999999996</v>
      </c>
      <c r="Q56" s="1047"/>
      <c r="R56" s="1872"/>
      <c r="S56" s="1049">
        <v>200</v>
      </c>
      <c r="T56" s="1049" t="s">
        <v>89</v>
      </c>
      <c r="U56" s="1049" t="s">
        <v>89</v>
      </c>
      <c r="V56" s="1050">
        <v>1.8</v>
      </c>
      <c r="W56" s="1050">
        <f t="shared" si="29"/>
        <v>1.0000000000000001E-5</v>
      </c>
      <c r="X56" s="1081">
        <f t="shared" si="32"/>
        <v>0.45999999999999996</v>
      </c>
      <c r="Z56" s="164"/>
      <c r="AA56" s="1057"/>
      <c r="AB56" s="1057"/>
      <c r="AC56" s="1058"/>
      <c r="AD56" s="1059"/>
    </row>
    <row r="57" spans="2:30" x14ac:dyDescent="0.25">
      <c r="B57" s="1872"/>
      <c r="C57" s="1049">
        <v>500</v>
      </c>
      <c r="D57" s="1049" t="s">
        <v>89</v>
      </c>
      <c r="E57" s="1049" t="s">
        <v>89</v>
      </c>
      <c r="F57" s="1050">
        <v>6</v>
      </c>
      <c r="G57" s="1050">
        <f t="shared" si="27"/>
        <v>1.0000000000000001E-5</v>
      </c>
      <c r="H57" s="1081">
        <f t="shared" si="30"/>
        <v>1.1499999999999999</v>
      </c>
      <c r="I57" s="1047"/>
      <c r="J57" s="1872"/>
      <c r="K57" s="1049">
        <v>500</v>
      </c>
      <c r="L57" s="1049" t="s">
        <v>89</v>
      </c>
      <c r="M57" s="1049" t="s">
        <v>89</v>
      </c>
      <c r="N57" s="1050">
        <v>2</v>
      </c>
      <c r="O57" s="1050">
        <f t="shared" si="28"/>
        <v>1.0000000000000001E-5</v>
      </c>
      <c r="P57" s="1081">
        <f t="shared" si="31"/>
        <v>1.1499999999999999</v>
      </c>
      <c r="Q57" s="1047"/>
      <c r="R57" s="1872"/>
      <c r="S57" s="1049">
        <v>500</v>
      </c>
      <c r="T57" s="1049" t="s">
        <v>89</v>
      </c>
      <c r="U57" s="1049" t="s">
        <v>89</v>
      </c>
      <c r="V57" s="1050">
        <v>2</v>
      </c>
      <c r="W57" s="1050">
        <f t="shared" si="29"/>
        <v>1.0000000000000001E-5</v>
      </c>
      <c r="X57" s="1081">
        <f t="shared" si="32"/>
        <v>1.1499999999999999</v>
      </c>
      <c r="Z57" s="164"/>
      <c r="AA57" s="1057"/>
      <c r="AB57" s="1057"/>
      <c r="AC57" s="1058"/>
      <c r="AD57" s="1059"/>
    </row>
    <row r="58" spans="2:30" x14ac:dyDescent="0.25">
      <c r="B58" s="1872"/>
      <c r="C58" s="1049">
        <v>1000</v>
      </c>
      <c r="D58" s="1049" t="s">
        <v>89</v>
      </c>
      <c r="E58" s="1049" t="s">
        <v>89</v>
      </c>
      <c r="F58" s="1050">
        <v>6</v>
      </c>
      <c r="G58" s="1050">
        <f t="shared" si="27"/>
        <v>1.0000000000000001E-5</v>
      </c>
      <c r="H58" s="1081">
        <f t="shared" si="30"/>
        <v>2.2999999999999998</v>
      </c>
      <c r="I58" s="1047"/>
      <c r="J58" s="1872"/>
      <c r="K58" s="1049">
        <v>1000</v>
      </c>
      <c r="L58" s="1049" t="s">
        <v>89</v>
      </c>
      <c r="M58" s="1049" t="s">
        <v>89</v>
      </c>
      <c r="N58" s="1050">
        <v>8</v>
      </c>
      <c r="O58" s="1050">
        <f t="shared" si="28"/>
        <v>1.0000000000000001E-5</v>
      </c>
      <c r="P58" s="1081">
        <f t="shared" si="31"/>
        <v>2.2999999999999998</v>
      </c>
      <c r="Q58" s="1047"/>
      <c r="R58" s="1872"/>
      <c r="S58" s="1049">
        <v>1000</v>
      </c>
      <c r="T58" s="1049" t="s">
        <v>89</v>
      </c>
      <c r="U58" s="1049" t="s">
        <v>89</v>
      </c>
      <c r="V58" s="1050">
        <v>10</v>
      </c>
      <c r="W58" s="1050">
        <f t="shared" si="29"/>
        <v>1.0000000000000001E-5</v>
      </c>
      <c r="X58" s="1081">
        <f t="shared" si="32"/>
        <v>2.2999999999999998</v>
      </c>
      <c r="Z58" s="164"/>
      <c r="AA58" s="1057"/>
      <c r="AB58" s="1057"/>
      <c r="AC58" s="1058"/>
      <c r="AD58" s="1059"/>
    </row>
    <row r="59" spans="2:30" ht="13" thickBot="1" x14ac:dyDescent="0.3">
      <c r="B59" s="1872"/>
      <c r="C59" s="1049">
        <v>1200</v>
      </c>
      <c r="D59" s="1049" t="s">
        <v>89</v>
      </c>
      <c r="E59" s="1049" t="s">
        <v>89</v>
      </c>
      <c r="F59" s="1050">
        <v>0</v>
      </c>
      <c r="G59" s="1050">
        <f t="shared" si="27"/>
        <v>1.0000000000000001E-5</v>
      </c>
      <c r="H59" s="1081">
        <f>C59*$Y$17</f>
        <v>2.76</v>
      </c>
      <c r="I59" s="1047"/>
      <c r="J59" s="1872"/>
      <c r="K59" s="1049">
        <v>1200</v>
      </c>
      <c r="L59" s="1049" t="s">
        <v>89</v>
      </c>
      <c r="M59" s="1049" t="s">
        <v>89</v>
      </c>
      <c r="N59" s="1050">
        <v>14</v>
      </c>
      <c r="O59" s="1050">
        <f t="shared" si="28"/>
        <v>1.0000000000000001E-5</v>
      </c>
      <c r="P59" s="1081">
        <f>K59*$Y$17</f>
        <v>2.76</v>
      </c>
      <c r="Q59" s="1047"/>
      <c r="R59" s="1872"/>
      <c r="S59" s="1049">
        <v>1200</v>
      </c>
      <c r="T59" s="1049" t="s">
        <v>89</v>
      </c>
      <c r="U59" s="1049" t="s">
        <v>89</v>
      </c>
      <c r="V59" s="1050">
        <v>9</v>
      </c>
      <c r="W59" s="1050">
        <f t="shared" si="29"/>
        <v>1.0000000000000001E-5</v>
      </c>
      <c r="X59" s="1081">
        <f>S59*$Y$17</f>
        <v>2.76</v>
      </c>
      <c r="Z59" s="164"/>
      <c r="AA59" s="1057"/>
      <c r="AB59" s="1057"/>
      <c r="AC59" s="1058"/>
      <c r="AD59" s="1059"/>
    </row>
    <row r="60" spans="2:30" ht="14" x14ac:dyDescent="0.3">
      <c r="B60" s="1872"/>
      <c r="C60" s="1866" t="s">
        <v>390</v>
      </c>
      <c r="D60" s="1867"/>
      <c r="E60" s="1867"/>
      <c r="F60" s="1867"/>
      <c r="G60" s="1868" t="s">
        <v>86</v>
      </c>
      <c r="H60" s="1863" t="s">
        <v>90</v>
      </c>
      <c r="I60" s="1048"/>
      <c r="J60" s="1872"/>
      <c r="K60" s="1866" t="s">
        <v>390</v>
      </c>
      <c r="L60" s="1867"/>
      <c r="M60" s="1867"/>
      <c r="N60" s="1867"/>
      <c r="O60" s="1868" t="s">
        <v>86</v>
      </c>
      <c r="P60" s="1863" t="s">
        <v>90</v>
      </c>
      <c r="Q60" s="1048"/>
      <c r="R60" s="1872"/>
      <c r="S60" s="1866" t="s">
        <v>390</v>
      </c>
      <c r="T60" s="1867"/>
      <c r="U60" s="1867"/>
      <c r="V60" s="1867"/>
      <c r="W60" s="1868" t="s">
        <v>86</v>
      </c>
      <c r="X60" s="1863" t="s">
        <v>90</v>
      </c>
      <c r="Z60" s="164"/>
      <c r="AA60" s="1057"/>
      <c r="AB60" s="1057"/>
      <c r="AC60" s="1058"/>
      <c r="AD60" s="1059"/>
    </row>
    <row r="61" spans="2:30" ht="13" x14ac:dyDescent="0.25">
      <c r="B61" s="1872"/>
      <c r="C61" s="1075" t="s">
        <v>391</v>
      </c>
      <c r="D61" s="1865" t="s">
        <v>88</v>
      </c>
      <c r="E61" s="1865"/>
      <c r="F61" s="1865"/>
      <c r="G61" s="1865"/>
      <c r="H61" s="1864"/>
      <c r="I61" s="1048"/>
      <c r="J61" s="1872"/>
      <c r="K61" s="1075" t="s">
        <v>391</v>
      </c>
      <c r="L61" s="1865" t="s">
        <v>88</v>
      </c>
      <c r="M61" s="1865"/>
      <c r="N61" s="1865"/>
      <c r="O61" s="1865"/>
      <c r="P61" s="1864"/>
      <c r="Q61" s="1048"/>
      <c r="R61" s="1872"/>
      <c r="S61" s="1075" t="s">
        <v>391</v>
      </c>
      <c r="T61" s="1865" t="s">
        <v>88</v>
      </c>
      <c r="U61" s="1865"/>
      <c r="V61" s="1865"/>
      <c r="W61" s="1865"/>
      <c r="X61" s="1864"/>
      <c r="Z61" s="164"/>
      <c r="AA61" s="1057"/>
      <c r="AB61" s="1057"/>
      <c r="AC61" s="1058"/>
      <c r="AD61" s="1059"/>
    </row>
    <row r="62" spans="2:30" ht="14" x14ac:dyDescent="0.25">
      <c r="B62" s="1872"/>
      <c r="C62" s="1076" t="s">
        <v>392</v>
      </c>
      <c r="D62" s="1077">
        <f>D52</f>
        <v>2016</v>
      </c>
      <c r="E62" s="1077">
        <f t="shared" ref="E62:F62" si="33">E52</f>
        <v>2016</v>
      </c>
      <c r="F62" s="1077">
        <f t="shared" si="33"/>
        <v>2021</v>
      </c>
      <c r="G62" s="1865"/>
      <c r="H62" s="1864"/>
      <c r="I62" s="1048"/>
      <c r="J62" s="1872"/>
      <c r="K62" s="1076" t="s">
        <v>392</v>
      </c>
      <c r="L62" s="1077">
        <f>L52</f>
        <v>2016</v>
      </c>
      <c r="M62" s="1077">
        <f t="shared" ref="M62:N62" si="34">M52</f>
        <v>2016</v>
      </c>
      <c r="N62" s="1077">
        <f t="shared" si="34"/>
        <v>2021</v>
      </c>
      <c r="O62" s="1865"/>
      <c r="P62" s="1864"/>
      <c r="Q62" s="1048"/>
      <c r="R62" s="1872"/>
      <c r="S62" s="1076" t="s">
        <v>392</v>
      </c>
      <c r="T62" s="1077">
        <f>T52</f>
        <v>2016</v>
      </c>
      <c r="U62" s="1077">
        <f t="shared" ref="U62:V62" si="35">U52</f>
        <v>2016</v>
      </c>
      <c r="V62" s="1077">
        <f t="shared" si="35"/>
        <v>2021</v>
      </c>
      <c r="W62" s="1865"/>
      <c r="X62" s="1864"/>
      <c r="Z62" s="164"/>
      <c r="AA62" s="1057"/>
      <c r="AB62" s="1057"/>
      <c r="AC62" s="1058"/>
      <c r="AD62" s="1059"/>
    </row>
    <row r="63" spans="2:30" x14ac:dyDescent="0.25">
      <c r="B63" s="1872"/>
      <c r="C63" s="1049">
        <v>0</v>
      </c>
      <c r="D63" s="1052" t="s">
        <v>89</v>
      </c>
      <c r="E63" s="1052" t="s">
        <v>89</v>
      </c>
      <c r="F63" s="1071">
        <v>1.0000000000000001E-5</v>
      </c>
      <c r="G63" s="1050">
        <f t="shared" ref="G63:G71" si="36">IF(0.5*(MAX(D63:F63)-MIN(D63:F63))=0,0.00001,0.5*(MAX(D63:F63)-MIN(D63:F63)))</f>
        <v>1.0000000000000001E-5</v>
      </c>
      <c r="H63" s="1082">
        <f>C63*$Y$27</f>
        <v>0</v>
      </c>
      <c r="I63" s="1062">
        <f>0.29/100</f>
        <v>2.8999999999999998E-3</v>
      </c>
      <c r="J63" s="1872"/>
      <c r="K63" s="1049">
        <v>0</v>
      </c>
      <c r="L63" s="1052" t="s">
        <v>89</v>
      </c>
      <c r="M63" s="1052" t="s">
        <v>89</v>
      </c>
      <c r="N63" s="1071">
        <v>1.0000000000000001E-5</v>
      </c>
      <c r="O63" s="1050">
        <f t="shared" ref="O63:O71" si="37">IF(0.5*(MAX(L63:N63)-MIN(L63:N63))=0,0.00001,0.5*(MAX(L63:N63)-MIN(L63:N63)))</f>
        <v>1.0000000000000001E-5</v>
      </c>
      <c r="P63" s="1082">
        <f>K63*$Y$27</f>
        <v>0</v>
      </c>
      <c r="Q63" s="1062">
        <f>0.29/100</f>
        <v>2.8999999999999998E-3</v>
      </c>
      <c r="R63" s="1872"/>
      <c r="S63" s="1049">
        <v>0</v>
      </c>
      <c r="T63" s="1052" t="s">
        <v>89</v>
      </c>
      <c r="U63" s="1052" t="s">
        <v>89</v>
      </c>
      <c r="V63" s="1071">
        <v>1.0000000000000001E-5</v>
      </c>
      <c r="W63" s="1050">
        <f t="shared" ref="W63:W71" si="38">IF(0.5*(MAX(T63:V63)-MIN(T63:V63))=0,0.00001,0.5*(MAX(T63:V63)-MIN(T63:V63)))</f>
        <v>1.0000000000000001E-5</v>
      </c>
      <c r="X63" s="1082">
        <f>S63*$Y$27</f>
        <v>0</v>
      </c>
      <c r="Y63" s="159">
        <f>0.29/100</f>
        <v>2.8999999999999998E-3</v>
      </c>
      <c r="Z63" s="164"/>
      <c r="AA63" s="1057"/>
      <c r="AB63" s="1057"/>
      <c r="AC63" s="1058"/>
      <c r="AD63" s="1059"/>
    </row>
    <row r="64" spans="2:30" x14ac:dyDescent="0.25">
      <c r="B64" s="1872"/>
      <c r="C64" s="1049">
        <v>5</v>
      </c>
      <c r="D64" s="1052" t="s">
        <v>89</v>
      </c>
      <c r="E64" s="1052" t="s">
        <v>89</v>
      </c>
      <c r="F64" s="1071">
        <v>1.0000000000000001E-5</v>
      </c>
      <c r="G64" s="1050">
        <f t="shared" si="36"/>
        <v>1.0000000000000001E-5</v>
      </c>
      <c r="H64" s="1082">
        <f t="shared" ref="H64:H71" si="39">C64*$Y$27</f>
        <v>1.4499999999999999E-2</v>
      </c>
      <c r="I64" s="1047"/>
      <c r="J64" s="1872"/>
      <c r="K64" s="1049">
        <v>5</v>
      </c>
      <c r="L64" s="1052" t="s">
        <v>89</v>
      </c>
      <c r="M64" s="1052" t="s">
        <v>89</v>
      </c>
      <c r="N64" s="1071">
        <v>1.0000000000000001E-5</v>
      </c>
      <c r="O64" s="1050">
        <f t="shared" si="37"/>
        <v>1.0000000000000001E-5</v>
      </c>
      <c r="P64" s="1082">
        <f t="shared" ref="P64:P71" si="40">K64*$Y$27</f>
        <v>1.4499999999999999E-2</v>
      </c>
      <c r="Q64" s="1047"/>
      <c r="R64" s="1872"/>
      <c r="S64" s="1049">
        <v>5</v>
      </c>
      <c r="T64" s="1052" t="s">
        <v>89</v>
      </c>
      <c r="U64" s="1052" t="s">
        <v>89</v>
      </c>
      <c r="V64" s="1071">
        <v>1.0000000000000001E-5</v>
      </c>
      <c r="W64" s="1050">
        <f t="shared" si="38"/>
        <v>1.0000000000000001E-5</v>
      </c>
      <c r="X64" s="1082">
        <f t="shared" ref="X64:X71" si="41">S64*$Y$27</f>
        <v>1.4499999999999999E-2</v>
      </c>
      <c r="Z64" s="164"/>
      <c r="AA64" s="1057"/>
      <c r="AB64" s="1057"/>
      <c r="AC64" s="1058"/>
      <c r="AD64" s="1059"/>
    </row>
    <row r="65" spans="2:30" x14ac:dyDescent="0.25">
      <c r="B65" s="1872"/>
      <c r="C65" s="1049">
        <v>10</v>
      </c>
      <c r="D65" s="1052" t="s">
        <v>89</v>
      </c>
      <c r="E65" s="1052" t="s">
        <v>89</v>
      </c>
      <c r="F65" s="1071">
        <v>1.0000000000000001E-5</v>
      </c>
      <c r="G65" s="1050">
        <f t="shared" si="36"/>
        <v>1.0000000000000001E-5</v>
      </c>
      <c r="H65" s="1082">
        <f t="shared" si="39"/>
        <v>2.8999999999999998E-2</v>
      </c>
      <c r="I65" s="1047"/>
      <c r="J65" s="1872"/>
      <c r="K65" s="1049">
        <v>10</v>
      </c>
      <c r="L65" s="1052" t="s">
        <v>89</v>
      </c>
      <c r="M65" s="1052" t="s">
        <v>89</v>
      </c>
      <c r="N65" s="1071">
        <v>1.0000000000000001E-5</v>
      </c>
      <c r="O65" s="1050">
        <f t="shared" si="37"/>
        <v>1.0000000000000001E-5</v>
      </c>
      <c r="P65" s="1082">
        <f t="shared" si="40"/>
        <v>2.8999999999999998E-2</v>
      </c>
      <c r="Q65" s="1047"/>
      <c r="R65" s="1872"/>
      <c r="S65" s="1049">
        <v>10</v>
      </c>
      <c r="T65" s="1052" t="s">
        <v>89</v>
      </c>
      <c r="U65" s="1052" t="s">
        <v>89</v>
      </c>
      <c r="V65" s="1071">
        <v>1.0000000000000001E-5</v>
      </c>
      <c r="W65" s="1050">
        <f t="shared" si="38"/>
        <v>1.0000000000000001E-5</v>
      </c>
      <c r="X65" s="1082">
        <f t="shared" si="41"/>
        <v>2.8999999999999998E-2</v>
      </c>
      <c r="Z65" s="164"/>
      <c r="AA65" s="1057"/>
      <c r="AB65" s="1057"/>
      <c r="AC65" s="1058"/>
      <c r="AD65" s="1059"/>
    </row>
    <row r="66" spans="2:30" x14ac:dyDescent="0.25">
      <c r="B66" s="1872"/>
      <c r="C66" s="1049">
        <v>25</v>
      </c>
      <c r="D66" s="1052" t="s">
        <v>89</v>
      </c>
      <c r="E66" s="1052" t="s">
        <v>89</v>
      </c>
      <c r="F66" s="1071">
        <v>1.0000000000000001E-5</v>
      </c>
      <c r="G66" s="1050">
        <f t="shared" si="36"/>
        <v>1.0000000000000001E-5</v>
      </c>
      <c r="H66" s="1082">
        <f t="shared" si="39"/>
        <v>7.2499999999999995E-2</v>
      </c>
      <c r="I66" s="1047"/>
      <c r="J66" s="1872"/>
      <c r="K66" s="1049">
        <v>25</v>
      </c>
      <c r="L66" s="1052" t="s">
        <v>89</v>
      </c>
      <c r="M66" s="1052" t="s">
        <v>89</v>
      </c>
      <c r="N66" s="1071">
        <v>1.0000000000000001E-5</v>
      </c>
      <c r="O66" s="1050">
        <f t="shared" si="37"/>
        <v>1.0000000000000001E-5</v>
      </c>
      <c r="P66" s="1082">
        <f t="shared" si="40"/>
        <v>7.2499999999999995E-2</v>
      </c>
      <c r="Q66" s="1047"/>
      <c r="R66" s="1872"/>
      <c r="S66" s="1049">
        <v>25</v>
      </c>
      <c r="T66" s="1052" t="s">
        <v>89</v>
      </c>
      <c r="U66" s="1052" t="s">
        <v>89</v>
      </c>
      <c r="V66" s="1071">
        <v>1.0000000000000001E-5</v>
      </c>
      <c r="W66" s="1050">
        <f t="shared" si="38"/>
        <v>1.0000000000000001E-5</v>
      </c>
      <c r="X66" s="1082">
        <f t="shared" si="41"/>
        <v>7.2499999999999995E-2</v>
      </c>
      <c r="Z66" s="164"/>
      <c r="AA66" s="1057"/>
      <c r="AB66" s="1057"/>
      <c r="AC66" s="1058"/>
      <c r="AD66" s="1059"/>
    </row>
    <row r="67" spans="2:30" x14ac:dyDescent="0.25">
      <c r="B67" s="1872"/>
      <c r="C67" s="1049">
        <v>50</v>
      </c>
      <c r="D67" s="1052" t="s">
        <v>89</v>
      </c>
      <c r="E67" s="1052" t="s">
        <v>89</v>
      </c>
      <c r="F67" s="1071">
        <v>1.0000000000000001E-5</v>
      </c>
      <c r="G67" s="1050">
        <f t="shared" si="36"/>
        <v>1.0000000000000001E-5</v>
      </c>
      <c r="H67" s="1082">
        <f t="shared" si="39"/>
        <v>0.14499999999999999</v>
      </c>
      <c r="I67" s="1047"/>
      <c r="J67" s="1872"/>
      <c r="K67" s="1049">
        <v>50</v>
      </c>
      <c r="L67" s="1052" t="s">
        <v>89</v>
      </c>
      <c r="M67" s="1052" t="s">
        <v>89</v>
      </c>
      <c r="N67" s="1071">
        <v>1.0000000000000001E-5</v>
      </c>
      <c r="O67" s="1050">
        <f t="shared" si="37"/>
        <v>1.0000000000000001E-5</v>
      </c>
      <c r="P67" s="1082">
        <f t="shared" si="40"/>
        <v>0.14499999999999999</v>
      </c>
      <c r="Q67" s="1047"/>
      <c r="R67" s="1872"/>
      <c r="S67" s="1049">
        <v>50</v>
      </c>
      <c r="T67" s="1052" t="s">
        <v>89</v>
      </c>
      <c r="U67" s="1052" t="s">
        <v>89</v>
      </c>
      <c r="V67" s="1071">
        <v>1.0000000000000001E-5</v>
      </c>
      <c r="W67" s="1050">
        <f t="shared" si="38"/>
        <v>1.0000000000000001E-5</v>
      </c>
      <c r="X67" s="1082">
        <f t="shared" si="41"/>
        <v>0.14499999999999999</v>
      </c>
      <c r="Z67" s="164"/>
      <c r="AA67" s="1057"/>
      <c r="AB67" s="1057"/>
      <c r="AC67" s="1058"/>
      <c r="AD67" s="1059"/>
    </row>
    <row r="68" spans="2:30" x14ac:dyDescent="0.25">
      <c r="B68" s="1872"/>
      <c r="C68" s="1049">
        <v>100</v>
      </c>
      <c r="D68" s="1052" t="s">
        <v>89</v>
      </c>
      <c r="E68" s="1052" t="s">
        <v>89</v>
      </c>
      <c r="F68" s="1071">
        <v>1.0000000000000001E-5</v>
      </c>
      <c r="G68" s="1050">
        <f t="shared" si="36"/>
        <v>1.0000000000000001E-5</v>
      </c>
      <c r="H68" s="1082">
        <f t="shared" si="39"/>
        <v>0.28999999999999998</v>
      </c>
      <c r="I68" s="1047"/>
      <c r="J68" s="1872"/>
      <c r="K68" s="1049">
        <v>100</v>
      </c>
      <c r="L68" s="1052" t="s">
        <v>89</v>
      </c>
      <c r="M68" s="1052" t="s">
        <v>89</v>
      </c>
      <c r="N68" s="1071">
        <v>1.0000000000000001E-5</v>
      </c>
      <c r="O68" s="1050">
        <f t="shared" si="37"/>
        <v>1.0000000000000001E-5</v>
      </c>
      <c r="P68" s="1082">
        <f t="shared" si="40"/>
        <v>0.28999999999999998</v>
      </c>
      <c r="Q68" s="1047"/>
      <c r="R68" s="1872"/>
      <c r="S68" s="1049">
        <v>100</v>
      </c>
      <c r="T68" s="1052" t="s">
        <v>89</v>
      </c>
      <c r="U68" s="1052" t="s">
        <v>89</v>
      </c>
      <c r="V68" s="1071">
        <v>1.0000000000000001E-5</v>
      </c>
      <c r="W68" s="1050">
        <f t="shared" si="38"/>
        <v>1.0000000000000001E-5</v>
      </c>
      <c r="X68" s="1082">
        <f t="shared" si="41"/>
        <v>0.28999999999999998</v>
      </c>
      <c r="Z68" s="164"/>
      <c r="AA68" s="1057"/>
      <c r="AB68" s="1057"/>
      <c r="AC68" s="1058"/>
      <c r="AD68" s="1059"/>
    </row>
    <row r="69" spans="2:30" x14ac:dyDescent="0.25">
      <c r="B69" s="1872"/>
      <c r="C69" s="1049">
        <v>250</v>
      </c>
      <c r="D69" s="1052" t="s">
        <v>89</v>
      </c>
      <c r="E69" s="1052" t="s">
        <v>89</v>
      </c>
      <c r="F69" s="1071">
        <v>1.0000000000000001E-5</v>
      </c>
      <c r="G69" s="1050">
        <f t="shared" si="36"/>
        <v>1.0000000000000001E-5</v>
      </c>
      <c r="H69" s="1082">
        <f t="shared" si="39"/>
        <v>0.72499999999999998</v>
      </c>
      <c r="I69" s="1047"/>
      <c r="J69" s="1872"/>
      <c r="K69" s="1049">
        <v>250</v>
      </c>
      <c r="L69" s="1052" t="s">
        <v>89</v>
      </c>
      <c r="M69" s="1052" t="s">
        <v>89</v>
      </c>
      <c r="N69" s="1071">
        <v>1.0000000000000001E-5</v>
      </c>
      <c r="O69" s="1050">
        <f t="shared" si="37"/>
        <v>1.0000000000000001E-5</v>
      </c>
      <c r="P69" s="1082">
        <f t="shared" si="40"/>
        <v>0.72499999999999998</v>
      </c>
      <c r="Q69" s="1047"/>
      <c r="R69" s="1872"/>
      <c r="S69" s="1049">
        <v>250</v>
      </c>
      <c r="T69" s="1052" t="s">
        <v>89</v>
      </c>
      <c r="U69" s="1052" t="s">
        <v>89</v>
      </c>
      <c r="V69" s="1071">
        <v>1.0000000000000001E-5</v>
      </c>
      <c r="W69" s="1050">
        <f t="shared" si="38"/>
        <v>1.0000000000000001E-5</v>
      </c>
      <c r="X69" s="1082">
        <f t="shared" si="41"/>
        <v>0.72499999999999998</v>
      </c>
      <c r="Z69" s="164"/>
      <c r="AA69" s="1057"/>
      <c r="AB69" s="1057"/>
      <c r="AC69" s="1058"/>
      <c r="AD69" s="1059"/>
    </row>
    <row r="70" spans="2:30" x14ac:dyDescent="0.25">
      <c r="B70" s="1872"/>
      <c r="C70" s="1049">
        <v>500</v>
      </c>
      <c r="D70" s="1052" t="s">
        <v>89</v>
      </c>
      <c r="E70" s="1052" t="s">
        <v>89</v>
      </c>
      <c r="F70" s="1071">
        <v>1.0000000000000001E-5</v>
      </c>
      <c r="G70" s="1050">
        <f t="shared" si="36"/>
        <v>1.0000000000000001E-5</v>
      </c>
      <c r="H70" s="1082">
        <f t="shared" si="39"/>
        <v>1.45</v>
      </c>
      <c r="I70" s="1047"/>
      <c r="J70" s="1872"/>
      <c r="K70" s="1049">
        <v>500</v>
      </c>
      <c r="L70" s="1052" t="s">
        <v>89</v>
      </c>
      <c r="M70" s="1052" t="s">
        <v>89</v>
      </c>
      <c r="N70" s="1071">
        <v>1.0000000000000001E-5</v>
      </c>
      <c r="O70" s="1050">
        <f t="shared" si="37"/>
        <v>1.0000000000000001E-5</v>
      </c>
      <c r="P70" s="1082">
        <f t="shared" si="40"/>
        <v>1.45</v>
      </c>
      <c r="Q70" s="1047"/>
      <c r="R70" s="1872"/>
      <c r="S70" s="1049">
        <v>500</v>
      </c>
      <c r="T70" s="1052" t="s">
        <v>89</v>
      </c>
      <c r="U70" s="1052" t="s">
        <v>89</v>
      </c>
      <c r="V70" s="1071">
        <v>1.0000000000000001E-5</v>
      </c>
      <c r="W70" s="1050">
        <f t="shared" si="38"/>
        <v>1.0000000000000001E-5</v>
      </c>
      <c r="X70" s="1082">
        <f t="shared" si="41"/>
        <v>1.45</v>
      </c>
      <c r="Z70" s="164"/>
      <c r="AA70" s="1057"/>
      <c r="AB70" s="1057"/>
      <c r="AC70" s="1058"/>
      <c r="AD70" s="1059"/>
    </row>
    <row r="71" spans="2:30" ht="13" thickBot="1" x14ac:dyDescent="0.3">
      <c r="B71" s="1873"/>
      <c r="C71" s="1089">
        <v>1000</v>
      </c>
      <c r="D71" s="1084" t="s">
        <v>89</v>
      </c>
      <c r="E71" s="1084" t="s">
        <v>89</v>
      </c>
      <c r="F71" s="1071">
        <v>1.0000000000000001E-5</v>
      </c>
      <c r="G71" s="1050">
        <f t="shared" si="36"/>
        <v>1.0000000000000001E-5</v>
      </c>
      <c r="H71" s="1086">
        <f t="shared" si="39"/>
        <v>2.9</v>
      </c>
      <c r="I71" s="1047"/>
      <c r="J71" s="1873"/>
      <c r="K71" s="1089">
        <v>1000</v>
      </c>
      <c r="L71" s="1084" t="s">
        <v>89</v>
      </c>
      <c r="M71" s="1084" t="s">
        <v>89</v>
      </c>
      <c r="N71" s="1071">
        <v>1.0000000000000001E-5</v>
      </c>
      <c r="O71" s="1050">
        <f t="shared" si="37"/>
        <v>1.0000000000000001E-5</v>
      </c>
      <c r="P71" s="1086">
        <f t="shared" si="40"/>
        <v>2.9</v>
      </c>
      <c r="Q71" s="1047"/>
      <c r="R71" s="1873"/>
      <c r="S71" s="1089">
        <v>1000</v>
      </c>
      <c r="T71" s="1084" t="s">
        <v>89</v>
      </c>
      <c r="U71" s="1084" t="s">
        <v>89</v>
      </c>
      <c r="V71" s="1071">
        <v>1.0000000000000001E-5</v>
      </c>
      <c r="W71" s="1050">
        <f t="shared" si="38"/>
        <v>1.0000000000000001E-5</v>
      </c>
      <c r="X71" s="1086">
        <f t="shared" si="41"/>
        <v>2.9</v>
      </c>
      <c r="Z71" s="164"/>
      <c r="AA71" s="1057"/>
      <c r="AB71" s="1057"/>
      <c r="AC71" s="1058"/>
      <c r="AD71" s="1059"/>
    </row>
    <row r="72" spans="2:30" x14ac:dyDescent="0.25">
      <c r="B72" s="1047"/>
      <c r="C72" s="1054"/>
      <c r="D72" s="1055"/>
      <c r="E72" s="1055"/>
      <c r="F72" s="1055"/>
      <c r="G72" s="1056"/>
      <c r="H72" s="1053"/>
      <c r="I72" s="1053"/>
      <c r="J72" s="1047"/>
      <c r="K72" s="1054"/>
      <c r="L72" s="1055"/>
      <c r="M72" s="1055"/>
      <c r="N72" s="1055"/>
      <c r="O72" s="1056"/>
      <c r="P72" s="1053"/>
      <c r="Q72" s="1053"/>
      <c r="R72" s="1047"/>
      <c r="S72" s="1054"/>
      <c r="T72" s="1055"/>
      <c r="U72" s="1055"/>
      <c r="V72" s="1055"/>
      <c r="W72" s="1056"/>
      <c r="X72" s="1053"/>
      <c r="Z72" s="164"/>
      <c r="AA72" s="1057"/>
      <c r="AB72" s="1057"/>
      <c r="AC72" s="1058"/>
      <c r="AD72" s="1059"/>
    </row>
    <row r="73" spans="2:30" ht="13" thickBot="1" x14ac:dyDescent="0.3">
      <c r="B73" s="1047"/>
      <c r="C73" s="1054"/>
      <c r="D73" s="1055"/>
      <c r="E73" s="1055"/>
      <c r="F73" s="1055"/>
      <c r="G73" s="1056"/>
      <c r="H73" s="1053"/>
      <c r="I73" s="1053"/>
      <c r="J73" s="1047"/>
      <c r="K73" s="1054"/>
      <c r="L73" s="1055"/>
      <c r="M73" s="1055"/>
      <c r="N73" s="1055"/>
      <c r="O73" s="1056"/>
      <c r="P73" s="1053"/>
      <c r="Q73" s="1053"/>
      <c r="R73" s="1047"/>
      <c r="S73" s="1054"/>
      <c r="T73" s="1055"/>
      <c r="U73" s="1055"/>
      <c r="V73" s="1055"/>
      <c r="W73" s="1056"/>
      <c r="X73" s="1053"/>
      <c r="Z73" s="164"/>
      <c r="AA73" s="1057"/>
      <c r="AB73" s="1057"/>
      <c r="AC73" s="1058"/>
      <c r="AD73" s="1059"/>
    </row>
    <row r="74" spans="2:30" x14ac:dyDescent="0.25">
      <c r="B74" s="1871">
        <v>7</v>
      </c>
      <c r="C74" s="1087" t="s">
        <v>525</v>
      </c>
      <c r="D74" s="1087"/>
      <c r="E74" s="1087"/>
      <c r="F74" s="1087"/>
      <c r="G74" s="1087"/>
      <c r="H74" s="1088"/>
      <c r="I74" s="1047"/>
      <c r="J74" s="1871">
        <v>8</v>
      </c>
      <c r="K74" s="1087" t="s">
        <v>526</v>
      </c>
      <c r="L74" s="1087"/>
      <c r="M74" s="1087"/>
      <c r="N74" s="1087"/>
      <c r="O74" s="1087"/>
      <c r="P74" s="1088"/>
      <c r="Q74" s="1047"/>
      <c r="R74" s="1871">
        <v>9</v>
      </c>
      <c r="S74" s="1087" t="s">
        <v>527</v>
      </c>
      <c r="T74" s="1087"/>
      <c r="U74" s="1087"/>
      <c r="V74" s="1087"/>
      <c r="W74" s="1087"/>
      <c r="X74" s="1088"/>
      <c r="Z74" s="164"/>
      <c r="AA74" s="1057"/>
      <c r="AB74" s="1057"/>
      <c r="AC74" s="1058"/>
      <c r="AD74" s="1059"/>
    </row>
    <row r="75" spans="2:30" ht="14" x14ac:dyDescent="0.3">
      <c r="B75" s="1872"/>
      <c r="C75" s="1869" t="s">
        <v>385</v>
      </c>
      <c r="D75" s="1870"/>
      <c r="E75" s="1870"/>
      <c r="F75" s="1870"/>
      <c r="G75" s="1865" t="s">
        <v>86</v>
      </c>
      <c r="H75" s="1864" t="s">
        <v>90</v>
      </c>
      <c r="I75" s="1048"/>
      <c r="J75" s="1872"/>
      <c r="K75" s="1869" t="s">
        <v>385</v>
      </c>
      <c r="L75" s="1870"/>
      <c r="M75" s="1870"/>
      <c r="N75" s="1870"/>
      <c r="O75" s="1865" t="s">
        <v>86</v>
      </c>
      <c r="P75" s="1864" t="s">
        <v>90</v>
      </c>
      <c r="Q75" s="1048"/>
      <c r="R75" s="1872"/>
      <c r="S75" s="1869" t="s">
        <v>385</v>
      </c>
      <c r="T75" s="1870"/>
      <c r="U75" s="1870"/>
      <c r="V75" s="1870"/>
      <c r="W75" s="1865" t="s">
        <v>86</v>
      </c>
      <c r="X75" s="1864" t="s">
        <v>90</v>
      </c>
      <c r="Z75" s="164"/>
      <c r="AA75" s="1057"/>
      <c r="AB75" s="1057"/>
      <c r="AC75" s="1058"/>
      <c r="AD75" s="1059"/>
    </row>
    <row r="76" spans="2:30" ht="13" x14ac:dyDescent="0.25">
      <c r="B76" s="1872"/>
      <c r="C76" s="1075" t="s">
        <v>386</v>
      </c>
      <c r="D76" s="1865" t="s">
        <v>88</v>
      </c>
      <c r="E76" s="1865"/>
      <c r="F76" s="1865"/>
      <c r="G76" s="1865"/>
      <c r="H76" s="1864"/>
      <c r="I76" s="1048"/>
      <c r="J76" s="1872"/>
      <c r="K76" s="1075" t="s">
        <v>386</v>
      </c>
      <c r="L76" s="1865" t="s">
        <v>88</v>
      </c>
      <c r="M76" s="1865"/>
      <c r="N76" s="1865"/>
      <c r="O76" s="1865"/>
      <c r="P76" s="1864"/>
      <c r="Q76" s="1048"/>
      <c r="R76" s="1872"/>
      <c r="S76" s="1075" t="s">
        <v>386</v>
      </c>
      <c r="T76" s="1865" t="s">
        <v>88</v>
      </c>
      <c r="U76" s="1865"/>
      <c r="V76" s="1865"/>
      <c r="W76" s="1865"/>
      <c r="X76" s="1864"/>
      <c r="Z76" s="164"/>
      <c r="AA76" s="1057"/>
      <c r="AB76" s="1057"/>
      <c r="AC76" s="1058"/>
      <c r="AD76" s="1059"/>
    </row>
    <row r="77" spans="2:30" ht="14" x14ac:dyDescent="0.25">
      <c r="B77" s="1872"/>
      <c r="C77" s="1076" t="s">
        <v>55</v>
      </c>
      <c r="D77" s="1077">
        <v>2016</v>
      </c>
      <c r="E77" s="1077">
        <v>2016</v>
      </c>
      <c r="F77" s="1077">
        <v>2021</v>
      </c>
      <c r="G77" s="1865"/>
      <c r="H77" s="1864"/>
      <c r="I77" s="1048"/>
      <c r="J77" s="1872"/>
      <c r="K77" s="1076" t="s">
        <v>55</v>
      </c>
      <c r="L77" s="1077">
        <v>2016</v>
      </c>
      <c r="M77" s="1077">
        <v>2016</v>
      </c>
      <c r="N77" s="1077">
        <v>2021</v>
      </c>
      <c r="O77" s="1865"/>
      <c r="P77" s="1864"/>
      <c r="Q77" s="1048"/>
      <c r="R77" s="1872"/>
      <c r="S77" s="1076" t="s">
        <v>55</v>
      </c>
      <c r="T77" s="1077">
        <v>2016</v>
      </c>
      <c r="U77" s="1077">
        <v>2016</v>
      </c>
      <c r="V77" s="1077">
        <v>2021</v>
      </c>
      <c r="W77" s="1865"/>
      <c r="X77" s="1864"/>
      <c r="Z77" s="164"/>
      <c r="AA77" s="1057"/>
      <c r="AB77" s="1057"/>
      <c r="AC77" s="1058"/>
      <c r="AD77" s="1059"/>
    </row>
    <row r="78" spans="2:30" x14ac:dyDescent="0.25">
      <c r="B78" s="1872"/>
      <c r="C78" s="1049">
        <v>0</v>
      </c>
      <c r="D78" s="1049" t="s">
        <v>89</v>
      </c>
      <c r="E78" s="1049" t="s">
        <v>89</v>
      </c>
      <c r="F78" s="1071">
        <v>1.0000000000000001E-5</v>
      </c>
      <c r="G78" s="1050">
        <f t="shared" ref="G78:G85" si="42">IF(0.5*(MAX(D78:F78)-MIN(D78:F78))=0,0.00001,0.5*(MAX(D78:F78)-MIN(D78:F78)))</f>
        <v>1.0000000000000001E-5</v>
      </c>
      <c r="H78" s="1081">
        <f>C78*$I$42</f>
        <v>0</v>
      </c>
      <c r="I78" s="1060">
        <f>0.3/100</f>
        <v>3.0000000000000001E-3</v>
      </c>
      <c r="J78" s="1872"/>
      <c r="K78" s="1049">
        <v>0</v>
      </c>
      <c r="L78" s="1049" t="s">
        <v>89</v>
      </c>
      <c r="M78" s="1049" t="s">
        <v>89</v>
      </c>
      <c r="N78" s="1071">
        <v>1.0000000000000001E-5</v>
      </c>
      <c r="O78" s="1050">
        <f>0.5*(MAX(L78:N78)-MIN(L78:N78))</f>
        <v>0</v>
      </c>
      <c r="P78" s="1081">
        <f>K78*$Q$42</f>
        <v>0</v>
      </c>
      <c r="Q78" s="1060">
        <f>I78</f>
        <v>3.0000000000000001E-3</v>
      </c>
      <c r="R78" s="1872"/>
      <c r="S78" s="1049">
        <v>0</v>
      </c>
      <c r="T78" s="1049" t="s">
        <v>89</v>
      </c>
      <c r="U78" s="1049" t="s">
        <v>89</v>
      </c>
      <c r="V78" s="1071">
        <v>1.0000000000000001E-5</v>
      </c>
      <c r="W78" s="1050">
        <f t="shared" ref="W78:W85" si="43">IF(0.5*(MAX(T78:V78)-MIN(T78:V78))=0,0.00001,0.5*(MAX(T78:V78)-MIN(T78:V78)))</f>
        <v>1.0000000000000001E-5</v>
      </c>
      <c r="X78" s="1081">
        <f>S78*$Y$42</f>
        <v>0</v>
      </c>
      <c r="Y78" s="1061">
        <f>Q78</f>
        <v>3.0000000000000001E-3</v>
      </c>
      <c r="Z78" s="164"/>
      <c r="AA78" s="1057"/>
      <c r="AB78" s="1057"/>
      <c r="AC78" s="1058"/>
      <c r="AD78" s="1059"/>
    </row>
    <row r="79" spans="2:30" x14ac:dyDescent="0.25">
      <c r="B79" s="1872"/>
      <c r="C79" s="1049">
        <v>1</v>
      </c>
      <c r="D79" s="1049" t="s">
        <v>89</v>
      </c>
      <c r="E79" s="1049" t="s">
        <v>89</v>
      </c>
      <c r="F79" s="1071">
        <v>1.0000000000000001E-5</v>
      </c>
      <c r="G79" s="1050">
        <f t="shared" si="42"/>
        <v>1.0000000000000001E-5</v>
      </c>
      <c r="H79" s="1081">
        <f t="shared" ref="H79:H85" si="44">C79*$I$42</f>
        <v>2.8999999999999998E-3</v>
      </c>
      <c r="I79" s="1051"/>
      <c r="J79" s="1872"/>
      <c r="K79" s="1049">
        <v>1</v>
      </c>
      <c r="L79" s="1049" t="s">
        <v>89</v>
      </c>
      <c r="M79" s="1049" t="s">
        <v>89</v>
      </c>
      <c r="N79" s="1071">
        <v>1.0000000000000001E-5</v>
      </c>
      <c r="O79" s="1050">
        <f t="shared" ref="O79:O85" si="45">0.5*(MAX(L79:N79)-MIN(L79:N79))</f>
        <v>0</v>
      </c>
      <c r="P79" s="1081">
        <f t="shared" ref="P79:P85" si="46">K79*$Q$42</f>
        <v>2.8999999999999998E-3</v>
      </c>
      <c r="Q79" s="1051"/>
      <c r="R79" s="1872"/>
      <c r="S79" s="1049">
        <v>1</v>
      </c>
      <c r="T79" s="1049" t="s">
        <v>89</v>
      </c>
      <c r="U79" s="1049" t="s">
        <v>89</v>
      </c>
      <c r="V79" s="1071">
        <v>1.0000000000000001E-5</v>
      </c>
      <c r="W79" s="1050">
        <f t="shared" si="43"/>
        <v>1.0000000000000001E-5</v>
      </c>
      <c r="X79" s="1081">
        <f t="shared" ref="X79:X85" si="47">S79*$Y$42</f>
        <v>2.8999999999999998E-3</v>
      </c>
      <c r="Z79" s="164"/>
      <c r="AA79" s="1057"/>
      <c r="AB79" s="1057"/>
      <c r="AC79" s="1058"/>
      <c r="AD79" s="1059"/>
    </row>
    <row r="80" spans="2:30" x14ac:dyDescent="0.25">
      <c r="B80" s="1872"/>
      <c r="C80" s="1049">
        <v>10</v>
      </c>
      <c r="D80" s="1049" t="s">
        <v>89</v>
      </c>
      <c r="E80" s="1049" t="s">
        <v>89</v>
      </c>
      <c r="F80" s="1071">
        <v>1.0000000000000001E-5</v>
      </c>
      <c r="G80" s="1050">
        <f t="shared" si="42"/>
        <v>1.0000000000000001E-5</v>
      </c>
      <c r="H80" s="1081">
        <f t="shared" si="44"/>
        <v>2.8999999999999998E-2</v>
      </c>
      <c r="I80" s="1051"/>
      <c r="J80" s="1872"/>
      <c r="K80" s="1049">
        <v>10</v>
      </c>
      <c r="L80" s="1049" t="s">
        <v>89</v>
      </c>
      <c r="M80" s="1049" t="s">
        <v>89</v>
      </c>
      <c r="N80" s="1071">
        <v>1.0000000000000001E-5</v>
      </c>
      <c r="O80" s="1050">
        <f t="shared" si="45"/>
        <v>0</v>
      </c>
      <c r="P80" s="1081">
        <f t="shared" si="46"/>
        <v>2.8999999999999998E-2</v>
      </c>
      <c r="Q80" s="1051"/>
      <c r="R80" s="1872"/>
      <c r="S80" s="1049">
        <v>10</v>
      </c>
      <c r="T80" s="1049" t="s">
        <v>89</v>
      </c>
      <c r="U80" s="1049" t="s">
        <v>89</v>
      </c>
      <c r="V80" s="1071">
        <v>1.0000000000000001E-5</v>
      </c>
      <c r="W80" s="1050">
        <f t="shared" si="43"/>
        <v>1.0000000000000001E-5</v>
      </c>
      <c r="X80" s="1081">
        <f t="shared" si="47"/>
        <v>2.8999999999999998E-2</v>
      </c>
      <c r="Z80" s="164"/>
      <c r="AA80" s="1057"/>
      <c r="AB80" s="1057"/>
      <c r="AC80" s="1058"/>
      <c r="AD80" s="1059"/>
    </row>
    <row r="81" spans="2:30" x14ac:dyDescent="0.25">
      <c r="B81" s="1872"/>
      <c r="C81" s="1049">
        <v>15</v>
      </c>
      <c r="D81" s="1049" t="s">
        <v>89</v>
      </c>
      <c r="E81" s="1049" t="s">
        <v>89</v>
      </c>
      <c r="F81" s="1071">
        <v>1.0000000000000001E-5</v>
      </c>
      <c r="G81" s="1050">
        <f t="shared" si="42"/>
        <v>1.0000000000000001E-5</v>
      </c>
      <c r="H81" s="1081">
        <f t="shared" si="44"/>
        <v>4.3499999999999997E-2</v>
      </c>
      <c r="I81" s="1051"/>
      <c r="J81" s="1872"/>
      <c r="K81" s="1049">
        <v>15</v>
      </c>
      <c r="L81" s="1049" t="s">
        <v>89</v>
      </c>
      <c r="M81" s="1049" t="s">
        <v>89</v>
      </c>
      <c r="N81" s="1071">
        <v>1.0000000000000001E-5</v>
      </c>
      <c r="O81" s="1050">
        <f t="shared" si="45"/>
        <v>0</v>
      </c>
      <c r="P81" s="1081">
        <f t="shared" si="46"/>
        <v>4.3499999999999997E-2</v>
      </c>
      <c r="Q81" s="1051"/>
      <c r="R81" s="1872"/>
      <c r="S81" s="1049">
        <v>15</v>
      </c>
      <c r="T81" s="1049" t="s">
        <v>89</v>
      </c>
      <c r="U81" s="1049" t="s">
        <v>89</v>
      </c>
      <c r="V81" s="1071">
        <v>1.0000000000000001E-5</v>
      </c>
      <c r="W81" s="1050">
        <f t="shared" si="43"/>
        <v>1.0000000000000001E-5</v>
      </c>
      <c r="X81" s="1081">
        <f t="shared" si="47"/>
        <v>4.3499999999999997E-2</v>
      </c>
      <c r="Z81" s="164"/>
      <c r="AA81" s="1057"/>
      <c r="AB81" s="1057"/>
      <c r="AC81" s="1058"/>
      <c r="AD81" s="1059"/>
    </row>
    <row r="82" spans="2:30" x14ac:dyDescent="0.25">
      <c r="B82" s="1872"/>
      <c r="C82" s="1049">
        <v>20</v>
      </c>
      <c r="D82" s="1049" t="s">
        <v>89</v>
      </c>
      <c r="E82" s="1049" t="s">
        <v>89</v>
      </c>
      <c r="F82" s="1071">
        <v>1.0000000000000001E-5</v>
      </c>
      <c r="G82" s="1050">
        <f t="shared" si="42"/>
        <v>1.0000000000000001E-5</v>
      </c>
      <c r="H82" s="1081">
        <f t="shared" si="44"/>
        <v>5.7999999999999996E-2</v>
      </c>
      <c r="I82" s="1051"/>
      <c r="J82" s="1872"/>
      <c r="K82" s="1049">
        <v>20</v>
      </c>
      <c r="L82" s="1049" t="s">
        <v>89</v>
      </c>
      <c r="M82" s="1049" t="s">
        <v>89</v>
      </c>
      <c r="N82" s="1071">
        <v>1.0000000000000001E-5</v>
      </c>
      <c r="O82" s="1050">
        <f t="shared" si="45"/>
        <v>0</v>
      </c>
      <c r="P82" s="1081">
        <f t="shared" si="46"/>
        <v>5.7999999999999996E-2</v>
      </c>
      <c r="Q82" s="1051"/>
      <c r="R82" s="1872"/>
      <c r="S82" s="1049">
        <v>20</v>
      </c>
      <c r="T82" s="1049" t="s">
        <v>89</v>
      </c>
      <c r="U82" s="1049" t="s">
        <v>89</v>
      </c>
      <c r="V82" s="1071">
        <v>1.0000000000000001E-5</v>
      </c>
      <c r="W82" s="1050">
        <f t="shared" si="43"/>
        <v>1.0000000000000001E-5</v>
      </c>
      <c r="X82" s="1081">
        <f t="shared" si="47"/>
        <v>5.7999999999999996E-2</v>
      </c>
      <c r="Z82" s="164"/>
      <c r="AA82" s="1057"/>
      <c r="AB82" s="1057"/>
      <c r="AC82" s="1058"/>
      <c r="AD82" s="1059"/>
    </row>
    <row r="83" spans="2:30" x14ac:dyDescent="0.25">
      <c r="B83" s="1872"/>
      <c r="C83" s="1049">
        <v>30</v>
      </c>
      <c r="D83" s="1049" t="s">
        <v>89</v>
      </c>
      <c r="E83" s="1049" t="s">
        <v>89</v>
      </c>
      <c r="F83" s="1071">
        <v>1.0000000000000001E-5</v>
      </c>
      <c r="G83" s="1050">
        <f t="shared" si="42"/>
        <v>1.0000000000000001E-5</v>
      </c>
      <c r="H83" s="1081">
        <f t="shared" si="44"/>
        <v>8.6999999999999994E-2</v>
      </c>
      <c r="I83" s="1051"/>
      <c r="J83" s="1872"/>
      <c r="K83" s="1049">
        <v>30</v>
      </c>
      <c r="L83" s="1049" t="s">
        <v>89</v>
      </c>
      <c r="M83" s="1049" t="s">
        <v>89</v>
      </c>
      <c r="N83" s="1071">
        <v>1.0000000000000001E-5</v>
      </c>
      <c r="O83" s="1050">
        <f t="shared" si="45"/>
        <v>0</v>
      </c>
      <c r="P83" s="1081">
        <f t="shared" si="46"/>
        <v>8.6999999999999994E-2</v>
      </c>
      <c r="Q83" s="1051"/>
      <c r="R83" s="1872"/>
      <c r="S83" s="1049">
        <v>30</v>
      </c>
      <c r="T83" s="1049" t="s">
        <v>89</v>
      </c>
      <c r="U83" s="1049" t="s">
        <v>89</v>
      </c>
      <c r="V83" s="1071">
        <v>1.0000000000000001E-5</v>
      </c>
      <c r="W83" s="1050">
        <f t="shared" si="43"/>
        <v>1.0000000000000001E-5</v>
      </c>
      <c r="X83" s="1081">
        <f t="shared" si="47"/>
        <v>8.6999999999999994E-2</v>
      </c>
      <c r="Z83" s="164"/>
      <c r="AA83" s="1057"/>
      <c r="AB83" s="1057"/>
      <c r="AC83" s="1058"/>
      <c r="AD83" s="1059"/>
    </row>
    <row r="84" spans="2:30" x14ac:dyDescent="0.25">
      <c r="B84" s="1872"/>
      <c r="C84" s="1049">
        <v>50</v>
      </c>
      <c r="D84" s="1049" t="s">
        <v>89</v>
      </c>
      <c r="E84" s="1049" t="s">
        <v>89</v>
      </c>
      <c r="F84" s="1071">
        <v>1.0000000000000001E-5</v>
      </c>
      <c r="G84" s="1050">
        <f t="shared" si="42"/>
        <v>1.0000000000000001E-5</v>
      </c>
      <c r="H84" s="1081">
        <f t="shared" si="44"/>
        <v>0.14499999999999999</v>
      </c>
      <c r="I84" s="1051"/>
      <c r="J84" s="1872"/>
      <c r="K84" s="1049">
        <v>50</v>
      </c>
      <c r="L84" s="1049" t="s">
        <v>89</v>
      </c>
      <c r="M84" s="1049" t="s">
        <v>89</v>
      </c>
      <c r="N84" s="1071">
        <v>1.0000000000000001E-5</v>
      </c>
      <c r="O84" s="1050">
        <f t="shared" si="45"/>
        <v>0</v>
      </c>
      <c r="P84" s="1081">
        <f t="shared" si="46"/>
        <v>0.14499999999999999</v>
      </c>
      <c r="Q84" s="1051"/>
      <c r="R84" s="1872"/>
      <c r="S84" s="1049">
        <v>50</v>
      </c>
      <c r="T84" s="1049" t="s">
        <v>89</v>
      </c>
      <c r="U84" s="1049" t="s">
        <v>89</v>
      </c>
      <c r="V84" s="1071">
        <v>1.0000000000000001E-5</v>
      </c>
      <c r="W84" s="1050">
        <f t="shared" si="43"/>
        <v>1.0000000000000001E-5</v>
      </c>
      <c r="X84" s="1081">
        <f t="shared" si="47"/>
        <v>0.14499999999999999</v>
      </c>
      <c r="Z84" s="164"/>
      <c r="AA84" s="1057"/>
      <c r="AB84" s="1057"/>
      <c r="AC84" s="1058"/>
      <c r="AD84" s="1059"/>
    </row>
    <row r="85" spans="2:30" ht="13" thickBot="1" x14ac:dyDescent="0.3">
      <c r="B85" s="1872"/>
      <c r="C85" s="1049">
        <v>100</v>
      </c>
      <c r="D85" s="1049" t="s">
        <v>89</v>
      </c>
      <c r="E85" s="1049" t="s">
        <v>89</v>
      </c>
      <c r="F85" s="1071">
        <v>1.0000000000000001E-5</v>
      </c>
      <c r="G85" s="1050">
        <f t="shared" si="42"/>
        <v>1.0000000000000001E-5</v>
      </c>
      <c r="H85" s="1081">
        <f t="shared" si="44"/>
        <v>0.28999999999999998</v>
      </c>
      <c r="I85" s="1051"/>
      <c r="J85" s="1872"/>
      <c r="K85" s="1049">
        <v>100</v>
      </c>
      <c r="L85" s="1049" t="s">
        <v>89</v>
      </c>
      <c r="M85" s="1049" t="s">
        <v>89</v>
      </c>
      <c r="N85" s="1071">
        <v>1.0000000000000001E-5</v>
      </c>
      <c r="O85" s="1050">
        <f t="shared" si="45"/>
        <v>0</v>
      </c>
      <c r="P85" s="1081">
        <f t="shared" si="46"/>
        <v>0.28999999999999998</v>
      </c>
      <c r="Q85" s="1051"/>
      <c r="R85" s="1872"/>
      <c r="S85" s="1049">
        <v>100</v>
      </c>
      <c r="T85" s="1049" t="s">
        <v>89</v>
      </c>
      <c r="U85" s="1049" t="s">
        <v>89</v>
      </c>
      <c r="V85" s="1071">
        <v>1.0000000000000001E-5</v>
      </c>
      <c r="W85" s="1050">
        <f t="shared" si="43"/>
        <v>1.0000000000000001E-5</v>
      </c>
      <c r="X85" s="1081">
        <f t="shared" si="47"/>
        <v>0.28999999999999998</v>
      </c>
      <c r="Z85" s="164"/>
      <c r="AA85" s="1057"/>
      <c r="AB85" s="1057"/>
      <c r="AC85" s="1058"/>
      <c r="AD85" s="1059"/>
    </row>
    <row r="86" spans="2:30" ht="14" x14ac:dyDescent="0.3">
      <c r="B86" s="1872"/>
      <c r="C86" s="1866" t="s">
        <v>387</v>
      </c>
      <c r="D86" s="1867"/>
      <c r="E86" s="1867"/>
      <c r="F86" s="1867"/>
      <c r="G86" s="1868" t="s">
        <v>86</v>
      </c>
      <c r="H86" s="1863" t="s">
        <v>90</v>
      </c>
      <c r="I86" s="1048"/>
      <c r="J86" s="1872"/>
      <c r="K86" s="1866" t="s">
        <v>387</v>
      </c>
      <c r="L86" s="1867"/>
      <c r="M86" s="1867"/>
      <c r="N86" s="1867"/>
      <c r="O86" s="1868" t="s">
        <v>86</v>
      </c>
      <c r="P86" s="1863" t="s">
        <v>90</v>
      </c>
      <c r="Q86" s="1048"/>
      <c r="R86" s="1872"/>
      <c r="S86" s="1866" t="s">
        <v>387</v>
      </c>
      <c r="T86" s="1867"/>
      <c r="U86" s="1867"/>
      <c r="V86" s="1867"/>
      <c r="W86" s="1868" t="s">
        <v>86</v>
      </c>
      <c r="X86" s="1863" t="s">
        <v>90</v>
      </c>
      <c r="Z86" s="164"/>
      <c r="AA86" s="1057"/>
      <c r="AB86" s="1057"/>
      <c r="AC86" s="1058"/>
      <c r="AD86" s="1059"/>
    </row>
    <row r="87" spans="2:30" ht="13" x14ac:dyDescent="0.25">
      <c r="B87" s="1872"/>
      <c r="C87" s="1075" t="s">
        <v>388</v>
      </c>
      <c r="D87" s="1865" t="s">
        <v>88</v>
      </c>
      <c r="E87" s="1865"/>
      <c r="F87" s="1865"/>
      <c r="G87" s="1865"/>
      <c r="H87" s="1864"/>
      <c r="I87" s="1048"/>
      <c r="J87" s="1872"/>
      <c r="K87" s="1075" t="s">
        <v>388</v>
      </c>
      <c r="L87" s="1865" t="s">
        <v>88</v>
      </c>
      <c r="M87" s="1865"/>
      <c r="N87" s="1865"/>
      <c r="O87" s="1865"/>
      <c r="P87" s="1864"/>
      <c r="Q87" s="1048"/>
      <c r="R87" s="1872"/>
      <c r="S87" s="1075" t="s">
        <v>388</v>
      </c>
      <c r="T87" s="1865" t="s">
        <v>88</v>
      </c>
      <c r="U87" s="1865"/>
      <c r="V87" s="1865"/>
      <c r="W87" s="1865"/>
      <c r="X87" s="1864"/>
      <c r="Z87" s="164"/>
      <c r="AA87" s="1057"/>
      <c r="AB87" s="1057"/>
      <c r="AC87" s="1058"/>
      <c r="AD87" s="1059"/>
    </row>
    <row r="88" spans="2:30" ht="14" x14ac:dyDescent="0.25">
      <c r="B88" s="1872"/>
      <c r="C88" s="1076" t="s">
        <v>389</v>
      </c>
      <c r="D88" s="1077">
        <f>D77</f>
        <v>2016</v>
      </c>
      <c r="E88" s="1077">
        <f t="shared" ref="E88:F88" si="48">E77</f>
        <v>2016</v>
      </c>
      <c r="F88" s="1077">
        <f t="shared" si="48"/>
        <v>2021</v>
      </c>
      <c r="G88" s="1865"/>
      <c r="H88" s="1864"/>
      <c r="I88" s="1048"/>
      <c r="J88" s="1872"/>
      <c r="K88" s="1076" t="s">
        <v>389</v>
      </c>
      <c r="L88" s="1077">
        <f>L77</f>
        <v>2016</v>
      </c>
      <c r="M88" s="1077">
        <f t="shared" ref="M88:N88" si="49">M77</f>
        <v>2016</v>
      </c>
      <c r="N88" s="1077">
        <f t="shared" si="49"/>
        <v>2021</v>
      </c>
      <c r="O88" s="1865"/>
      <c r="P88" s="1864"/>
      <c r="Q88" s="1048"/>
      <c r="R88" s="1872"/>
      <c r="S88" s="1076" t="s">
        <v>389</v>
      </c>
      <c r="T88" s="1077">
        <f>T77</f>
        <v>2016</v>
      </c>
      <c r="U88" s="1077">
        <f t="shared" ref="U88:V88" si="50">U77</f>
        <v>2016</v>
      </c>
      <c r="V88" s="1077">
        <f t="shared" si="50"/>
        <v>2021</v>
      </c>
      <c r="W88" s="1865"/>
      <c r="X88" s="1864"/>
      <c r="Z88" s="164"/>
      <c r="AA88" s="1057"/>
      <c r="AB88" s="1057"/>
      <c r="AC88" s="1058"/>
      <c r="AD88" s="1059"/>
    </row>
    <row r="89" spans="2:30" x14ac:dyDescent="0.25">
      <c r="B89" s="1872"/>
      <c r="C89" s="1049">
        <v>0</v>
      </c>
      <c r="D89" s="1049" t="s">
        <v>89</v>
      </c>
      <c r="E89" s="1049" t="s">
        <v>89</v>
      </c>
      <c r="F89" s="1050">
        <v>0</v>
      </c>
      <c r="G89" s="1050">
        <f t="shared" ref="G89:G95" si="51">IF(0.5*(MAX(D89:F89)-MIN(D89:F89))=0,0.00001,0.5*(MAX(D89:F89)-MIN(D89:F89)))</f>
        <v>1.0000000000000001E-5</v>
      </c>
      <c r="H89" s="1081">
        <f>C89*$Y$17</f>
        <v>0</v>
      </c>
      <c r="I89" s="1047">
        <f>0.23/100</f>
        <v>2.3E-3</v>
      </c>
      <c r="J89" s="1872"/>
      <c r="K89" s="1049">
        <v>0</v>
      </c>
      <c r="L89" s="1049" t="s">
        <v>89</v>
      </c>
      <c r="M89" s="1049" t="s">
        <v>89</v>
      </c>
      <c r="N89" s="1050">
        <v>0</v>
      </c>
      <c r="O89" s="1050">
        <f t="shared" ref="O89:O95" si="52">IF(0.5*(MAX(L89:N89)-MIN(L89:N89))=0,0.00001,0.5*(MAX(L89:N89)-MIN(L89:N89)))</f>
        <v>1.0000000000000001E-5</v>
      </c>
      <c r="P89" s="1081">
        <f>K89*$Y$17</f>
        <v>0</v>
      </c>
      <c r="Q89" s="1047">
        <f>0.23/100</f>
        <v>2.3E-3</v>
      </c>
      <c r="R89" s="1872"/>
      <c r="S89" s="1049">
        <v>0</v>
      </c>
      <c r="T89" s="1049" t="s">
        <v>89</v>
      </c>
      <c r="U89" s="1049" t="s">
        <v>89</v>
      </c>
      <c r="V89" s="1050">
        <v>0</v>
      </c>
      <c r="W89" s="1050">
        <f t="shared" ref="W89:W95" si="53">IF(0.5*(MAX(T89:V89)-MIN(T89:V89))=0,0.00001,0.5*(MAX(T89:V89)-MIN(T89:V89)))</f>
        <v>1.0000000000000001E-5</v>
      </c>
      <c r="X89" s="1081">
        <f>S89*$Y$17</f>
        <v>0</v>
      </c>
      <c r="Y89" s="159">
        <f>0.23/100</f>
        <v>2.3E-3</v>
      </c>
      <c r="Z89" s="164"/>
      <c r="AA89" s="1057"/>
      <c r="AB89" s="1057"/>
      <c r="AC89" s="1058"/>
      <c r="AD89" s="1059"/>
    </row>
    <row r="90" spans="2:30" x14ac:dyDescent="0.25">
      <c r="B90" s="1872"/>
      <c r="C90" s="1049">
        <v>50</v>
      </c>
      <c r="D90" s="1049" t="s">
        <v>89</v>
      </c>
      <c r="E90" s="1049" t="s">
        <v>89</v>
      </c>
      <c r="F90" s="1050">
        <v>0</v>
      </c>
      <c r="G90" s="1050">
        <f t="shared" si="51"/>
        <v>1.0000000000000001E-5</v>
      </c>
      <c r="H90" s="1081">
        <f t="shared" ref="H90:H94" si="54">C90*$Y$17</f>
        <v>0.11499999999999999</v>
      </c>
      <c r="I90" s="1047"/>
      <c r="J90" s="1872"/>
      <c r="K90" s="1049">
        <v>50</v>
      </c>
      <c r="L90" s="1049" t="s">
        <v>89</v>
      </c>
      <c r="M90" s="1049" t="s">
        <v>89</v>
      </c>
      <c r="N90" s="1050">
        <v>0.3</v>
      </c>
      <c r="O90" s="1050">
        <f t="shared" si="52"/>
        <v>1.0000000000000001E-5</v>
      </c>
      <c r="P90" s="1081">
        <f t="shared" ref="P90:P94" si="55">K90*$Y$17</f>
        <v>0.11499999999999999</v>
      </c>
      <c r="Q90" s="1047"/>
      <c r="R90" s="1872"/>
      <c r="S90" s="1049">
        <v>50</v>
      </c>
      <c r="T90" s="1049" t="s">
        <v>89</v>
      </c>
      <c r="U90" s="1049" t="s">
        <v>89</v>
      </c>
      <c r="V90" s="1050">
        <v>0</v>
      </c>
      <c r="W90" s="1050">
        <f t="shared" si="53"/>
        <v>1.0000000000000001E-5</v>
      </c>
      <c r="X90" s="1081">
        <f t="shared" ref="X90:X94" si="56">S90*$Y$17</f>
        <v>0.11499999999999999</v>
      </c>
      <c r="Z90" s="164"/>
      <c r="AA90" s="1057"/>
      <c r="AB90" s="1057"/>
      <c r="AC90" s="1058"/>
      <c r="AD90" s="1059"/>
    </row>
    <row r="91" spans="2:30" x14ac:dyDescent="0.25">
      <c r="B91" s="1872"/>
      <c r="C91" s="1049">
        <v>100</v>
      </c>
      <c r="D91" s="1049" t="s">
        <v>89</v>
      </c>
      <c r="E91" s="1049" t="s">
        <v>89</v>
      </c>
      <c r="F91" s="1050">
        <v>1</v>
      </c>
      <c r="G91" s="1050">
        <f t="shared" si="51"/>
        <v>1.0000000000000001E-5</v>
      </c>
      <c r="H91" s="1081">
        <f t="shared" si="54"/>
        <v>0.22999999999999998</v>
      </c>
      <c r="I91" s="1047"/>
      <c r="J91" s="1872"/>
      <c r="K91" s="1049">
        <v>100</v>
      </c>
      <c r="L91" s="1049" t="s">
        <v>89</v>
      </c>
      <c r="M91" s="1049" t="s">
        <v>89</v>
      </c>
      <c r="N91" s="1050">
        <v>-1</v>
      </c>
      <c r="O91" s="1050">
        <f t="shared" si="52"/>
        <v>1.0000000000000001E-5</v>
      </c>
      <c r="P91" s="1081">
        <f t="shared" si="55"/>
        <v>0.22999999999999998</v>
      </c>
      <c r="Q91" s="1047"/>
      <c r="R91" s="1872"/>
      <c r="S91" s="1049">
        <v>100</v>
      </c>
      <c r="T91" s="1049" t="s">
        <v>89</v>
      </c>
      <c r="U91" s="1049" t="s">
        <v>89</v>
      </c>
      <c r="V91" s="1050">
        <v>1.6</v>
      </c>
      <c r="W91" s="1050">
        <f t="shared" si="53"/>
        <v>1.0000000000000001E-5</v>
      </c>
      <c r="X91" s="1081">
        <f t="shared" si="56"/>
        <v>0.22999999999999998</v>
      </c>
      <c r="Z91" s="164"/>
      <c r="AA91" s="1057"/>
      <c r="AB91" s="1057"/>
      <c r="AC91" s="1058"/>
      <c r="AD91" s="1059"/>
    </row>
    <row r="92" spans="2:30" x14ac:dyDescent="0.25">
      <c r="B92" s="1872"/>
      <c r="C92" s="1049">
        <v>200</v>
      </c>
      <c r="D92" s="1049" t="s">
        <v>89</v>
      </c>
      <c r="E92" s="1049" t="s">
        <v>89</v>
      </c>
      <c r="F92" s="1050">
        <v>2</v>
      </c>
      <c r="G92" s="1050">
        <f t="shared" si="51"/>
        <v>1.0000000000000001E-5</v>
      </c>
      <c r="H92" s="1081">
        <f t="shared" si="54"/>
        <v>0.45999999999999996</v>
      </c>
      <c r="I92" s="1047"/>
      <c r="J92" s="1872"/>
      <c r="K92" s="1049">
        <v>200</v>
      </c>
      <c r="L92" s="1049" t="s">
        <v>89</v>
      </c>
      <c r="M92" s="1049" t="s">
        <v>89</v>
      </c>
      <c r="N92" s="1050">
        <v>2</v>
      </c>
      <c r="O92" s="1050">
        <f t="shared" si="52"/>
        <v>1.0000000000000001E-5</v>
      </c>
      <c r="P92" s="1081">
        <f t="shared" si="55"/>
        <v>0.45999999999999996</v>
      </c>
      <c r="Q92" s="1047"/>
      <c r="R92" s="1872"/>
      <c r="S92" s="1049">
        <v>200</v>
      </c>
      <c r="T92" s="1049" t="s">
        <v>89</v>
      </c>
      <c r="U92" s="1049" t="s">
        <v>89</v>
      </c>
      <c r="V92" s="1050">
        <v>2</v>
      </c>
      <c r="W92" s="1050">
        <f t="shared" si="53"/>
        <v>1.0000000000000001E-5</v>
      </c>
      <c r="X92" s="1081">
        <f t="shared" si="56"/>
        <v>0.45999999999999996</v>
      </c>
      <c r="Z92" s="164"/>
      <c r="AA92" s="1057"/>
      <c r="AB92" s="1057"/>
      <c r="AC92" s="1058"/>
      <c r="AD92" s="1059"/>
    </row>
    <row r="93" spans="2:30" x14ac:dyDescent="0.25">
      <c r="B93" s="1872"/>
      <c r="C93" s="1049">
        <v>500</v>
      </c>
      <c r="D93" s="1049" t="s">
        <v>89</v>
      </c>
      <c r="E93" s="1049" t="s">
        <v>89</v>
      </c>
      <c r="F93" s="1050">
        <v>0</v>
      </c>
      <c r="G93" s="1050">
        <f t="shared" si="51"/>
        <v>1.0000000000000001E-5</v>
      </c>
      <c r="H93" s="1081">
        <f t="shared" si="54"/>
        <v>1.1499999999999999</v>
      </c>
      <c r="I93" s="1047"/>
      <c r="J93" s="1872"/>
      <c r="K93" s="1049">
        <v>500</v>
      </c>
      <c r="L93" s="1049" t="s">
        <v>89</v>
      </c>
      <c r="M93" s="1049" t="s">
        <v>89</v>
      </c>
      <c r="N93" s="1050">
        <v>2</v>
      </c>
      <c r="O93" s="1050">
        <f t="shared" si="52"/>
        <v>1.0000000000000001E-5</v>
      </c>
      <c r="P93" s="1081">
        <f t="shared" si="55"/>
        <v>1.1499999999999999</v>
      </c>
      <c r="Q93" s="1047"/>
      <c r="R93" s="1872"/>
      <c r="S93" s="1049">
        <v>500</v>
      </c>
      <c r="T93" s="1049" t="s">
        <v>89</v>
      </c>
      <c r="U93" s="1049" t="s">
        <v>89</v>
      </c>
      <c r="V93" s="1050">
        <v>4</v>
      </c>
      <c r="W93" s="1050">
        <f t="shared" si="53"/>
        <v>1.0000000000000001E-5</v>
      </c>
      <c r="X93" s="1081">
        <f t="shared" si="56"/>
        <v>1.1499999999999999</v>
      </c>
      <c r="Z93" s="164"/>
      <c r="AA93" s="1057"/>
      <c r="AB93" s="1057"/>
      <c r="AC93" s="1058"/>
      <c r="AD93" s="1059"/>
    </row>
    <row r="94" spans="2:30" x14ac:dyDescent="0.25">
      <c r="B94" s="1872"/>
      <c r="C94" s="1049">
        <v>1000</v>
      </c>
      <c r="D94" s="1049" t="s">
        <v>89</v>
      </c>
      <c r="E94" s="1049" t="s">
        <v>89</v>
      </c>
      <c r="F94" s="1050">
        <v>0</v>
      </c>
      <c r="G94" s="1050">
        <f t="shared" si="51"/>
        <v>1.0000000000000001E-5</v>
      </c>
      <c r="H94" s="1081">
        <f t="shared" si="54"/>
        <v>2.2999999999999998</v>
      </c>
      <c r="I94" s="1047"/>
      <c r="J94" s="1872"/>
      <c r="K94" s="1049">
        <v>1000</v>
      </c>
      <c r="L94" s="1049" t="s">
        <v>89</v>
      </c>
      <c r="M94" s="1049" t="s">
        <v>89</v>
      </c>
      <c r="N94" s="1050">
        <v>0</v>
      </c>
      <c r="O94" s="1050">
        <f t="shared" si="52"/>
        <v>1.0000000000000001E-5</v>
      </c>
      <c r="P94" s="1081">
        <f t="shared" si="55"/>
        <v>2.2999999999999998</v>
      </c>
      <c r="Q94" s="1047"/>
      <c r="R94" s="1872"/>
      <c r="S94" s="1049">
        <v>1000</v>
      </c>
      <c r="T94" s="1049" t="s">
        <v>89</v>
      </c>
      <c r="U94" s="1049" t="s">
        <v>89</v>
      </c>
      <c r="V94" s="1050">
        <f>0.01*1000</f>
        <v>10</v>
      </c>
      <c r="W94" s="1050">
        <f t="shared" si="53"/>
        <v>1.0000000000000001E-5</v>
      </c>
      <c r="X94" s="1081">
        <f t="shared" si="56"/>
        <v>2.2999999999999998</v>
      </c>
      <c r="Z94" s="164"/>
      <c r="AA94" s="1057"/>
      <c r="AB94" s="1057"/>
      <c r="AC94" s="1058"/>
      <c r="AD94" s="1059"/>
    </row>
    <row r="95" spans="2:30" ht="13" thickBot="1" x14ac:dyDescent="0.3">
      <c r="B95" s="1872"/>
      <c r="C95" s="1049">
        <v>2000</v>
      </c>
      <c r="D95" s="1049" t="s">
        <v>89</v>
      </c>
      <c r="E95" s="1049" t="s">
        <v>89</v>
      </c>
      <c r="F95" s="1050">
        <v>0</v>
      </c>
      <c r="G95" s="1050">
        <f t="shared" si="51"/>
        <v>1.0000000000000001E-5</v>
      </c>
      <c r="H95" s="1081">
        <f>C95*$Y$17</f>
        <v>4.5999999999999996</v>
      </c>
      <c r="I95" s="1047"/>
      <c r="J95" s="1872"/>
      <c r="K95" s="1049">
        <v>2000</v>
      </c>
      <c r="L95" s="1049" t="s">
        <v>89</v>
      </c>
      <c r="M95" s="1049" t="s">
        <v>89</v>
      </c>
      <c r="N95" s="1050">
        <f>-0.01*1000</f>
        <v>-10</v>
      </c>
      <c r="O95" s="1050">
        <f t="shared" si="52"/>
        <v>1.0000000000000001E-5</v>
      </c>
      <c r="P95" s="1081">
        <f>K95*$Y$17</f>
        <v>4.5999999999999996</v>
      </c>
      <c r="Q95" s="1047"/>
      <c r="R95" s="1872"/>
      <c r="S95" s="1049">
        <v>2000</v>
      </c>
      <c r="T95" s="1049" t="s">
        <v>89</v>
      </c>
      <c r="U95" s="1049" t="s">
        <v>89</v>
      </c>
      <c r="V95" s="1050">
        <f>0.01*1000</f>
        <v>10</v>
      </c>
      <c r="W95" s="1050">
        <f t="shared" si="53"/>
        <v>1.0000000000000001E-5</v>
      </c>
      <c r="X95" s="1081">
        <f>S95*$Y$17</f>
        <v>4.5999999999999996</v>
      </c>
      <c r="Z95" s="164"/>
      <c r="AA95" s="1057"/>
      <c r="AB95" s="1057"/>
      <c r="AC95" s="1058"/>
      <c r="AD95" s="1059"/>
    </row>
    <row r="96" spans="2:30" ht="14" x14ac:dyDescent="0.3">
      <c r="B96" s="1872"/>
      <c r="C96" s="1866" t="s">
        <v>390</v>
      </c>
      <c r="D96" s="1867"/>
      <c r="E96" s="1867"/>
      <c r="F96" s="1867"/>
      <c r="G96" s="1868" t="s">
        <v>86</v>
      </c>
      <c r="H96" s="1863" t="s">
        <v>90</v>
      </c>
      <c r="I96" s="1048"/>
      <c r="J96" s="1872"/>
      <c r="K96" s="1866" t="s">
        <v>390</v>
      </c>
      <c r="L96" s="1867"/>
      <c r="M96" s="1867"/>
      <c r="N96" s="1867"/>
      <c r="O96" s="1868" t="s">
        <v>86</v>
      </c>
      <c r="P96" s="1863" t="s">
        <v>90</v>
      </c>
      <c r="Q96" s="1048"/>
      <c r="R96" s="1872"/>
      <c r="S96" s="1866" t="s">
        <v>390</v>
      </c>
      <c r="T96" s="1867"/>
      <c r="U96" s="1867"/>
      <c r="V96" s="1867"/>
      <c r="W96" s="1868" t="s">
        <v>86</v>
      </c>
      <c r="X96" s="1863" t="s">
        <v>90</v>
      </c>
      <c r="Z96" s="164"/>
      <c r="AA96" s="1057"/>
      <c r="AB96" s="1057"/>
      <c r="AC96" s="1058"/>
      <c r="AD96" s="1059"/>
    </row>
    <row r="97" spans="2:30" ht="13" x14ac:dyDescent="0.25">
      <c r="B97" s="1872"/>
      <c r="C97" s="1075" t="s">
        <v>391</v>
      </c>
      <c r="D97" s="1865" t="s">
        <v>88</v>
      </c>
      <c r="E97" s="1865"/>
      <c r="F97" s="1865"/>
      <c r="G97" s="1865"/>
      <c r="H97" s="1864"/>
      <c r="I97" s="1048"/>
      <c r="J97" s="1872"/>
      <c r="K97" s="1075" t="s">
        <v>391</v>
      </c>
      <c r="L97" s="1865" t="s">
        <v>88</v>
      </c>
      <c r="M97" s="1865"/>
      <c r="N97" s="1865"/>
      <c r="O97" s="1865"/>
      <c r="P97" s="1864"/>
      <c r="Q97" s="1048"/>
      <c r="R97" s="1872"/>
      <c r="S97" s="1075" t="s">
        <v>391</v>
      </c>
      <c r="T97" s="1865" t="s">
        <v>88</v>
      </c>
      <c r="U97" s="1865"/>
      <c r="V97" s="1865"/>
      <c r="W97" s="1865"/>
      <c r="X97" s="1864"/>
      <c r="Z97" s="164"/>
      <c r="AA97" s="1057"/>
      <c r="AB97" s="1057"/>
      <c r="AC97" s="1058"/>
      <c r="AD97" s="1059"/>
    </row>
    <row r="98" spans="2:30" ht="14" x14ac:dyDescent="0.25">
      <c r="B98" s="1872"/>
      <c r="C98" s="1076" t="s">
        <v>392</v>
      </c>
      <c r="D98" s="1077">
        <f>D88</f>
        <v>2016</v>
      </c>
      <c r="E98" s="1077">
        <f t="shared" ref="E98:F98" si="57">E88</f>
        <v>2016</v>
      </c>
      <c r="F98" s="1077">
        <f t="shared" si="57"/>
        <v>2021</v>
      </c>
      <c r="G98" s="1865"/>
      <c r="H98" s="1864"/>
      <c r="I98" s="1048"/>
      <c r="J98" s="1872"/>
      <c r="K98" s="1076" t="s">
        <v>392</v>
      </c>
      <c r="L98" s="1077">
        <f>L88</f>
        <v>2016</v>
      </c>
      <c r="M98" s="1077">
        <f t="shared" ref="M98:N98" si="58">M88</f>
        <v>2016</v>
      </c>
      <c r="N98" s="1077">
        <f t="shared" si="58"/>
        <v>2021</v>
      </c>
      <c r="O98" s="1865"/>
      <c r="P98" s="1864"/>
      <c r="Q98" s="1048"/>
      <c r="R98" s="1872"/>
      <c r="S98" s="1076" t="s">
        <v>392</v>
      </c>
      <c r="T98" s="1077">
        <f>T88</f>
        <v>2016</v>
      </c>
      <c r="U98" s="1077">
        <f t="shared" ref="U98:V98" si="59">U88</f>
        <v>2016</v>
      </c>
      <c r="V98" s="1077">
        <f t="shared" si="59"/>
        <v>2021</v>
      </c>
      <c r="W98" s="1865"/>
      <c r="X98" s="1864"/>
      <c r="Z98" s="164"/>
      <c r="AA98" s="1057"/>
      <c r="AB98" s="1057"/>
      <c r="AC98" s="1058"/>
      <c r="AD98" s="1059"/>
    </row>
    <row r="99" spans="2:30" x14ac:dyDescent="0.25">
      <c r="B99" s="1872"/>
      <c r="C99" s="1049">
        <v>0</v>
      </c>
      <c r="D99" s="1052" t="s">
        <v>89</v>
      </c>
      <c r="E99" s="1052" t="s">
        <v>89</v>
      </c>
      <c r="F99" s="1071">
        <v>1.0000000000000001E-5</v>
      </c>
      <c r="G99" s="1050">
        <f t="shared" ref="G99:G107" si="60">IF(0.5*(MAX(D99:F99)-MIN(D99:F99))=0,0.00001,0.5*(MAX(D99:F99)-MIN(D99:F99)))</f>
        <v>1.0000000000000001E-5</v>
      </c>
      <c r="H99" s="1082">
        <f>C99*$Y$27</f>
        <v>0</v>
      </c>
      <c r="I99" s="1062">
        <f>0.29/100</f>
        <v>2.8999999999999998E-3</v>
      </c>
      <c r="J99" s="1872"/>
      <c r="K99" s="1049">
        <v>0</v>
      </c>
      <c r="L99" s="1052" t="s">
        <v>89</v>
      </c>
      <c r="M99" s="1052" t="s">
        <v>89</v>
      </c>
      <c r="N99" s="1071">
        <v>1.0000000000000001E-5</v>
      </c>
      <c r="O99" s="1050">
        <f t="shared" ref="O99:O107" si="61">IF(0.5*(MAX(L99:N99)-MIN(L99:N99))=0,0.00001,0.5*(MAX(L99:N99)-MIN(L99:N99)))</f>
        <v>1.0000000000000001E-5</v>
      </c>
      <c r="P99" s="1082">
        <f>K99*$Y$27</f>
        <v>0</v>
      </c>
      <c r="Q99" s="1062">
        <f>0.29/100</f>
        <v>2.8999999999999998E-3</v>
      </c>
      <c r="R99" s="1872"/>
      <c r="S99" s="1049">
        <v>0</v>
      </c>
      <c r="T99" s="1052" t="s">
        <v>89</v>
      </c>
      <c r="U99" s="1052" t="s">
        <v>89</v>
      </c>
      <c r="V99" s="1071">
        <v>1.0000000000000001E-5</v>
      </c>
      <c r="W99" s="1050">
        <f t="shared" ref="W99:W107" si="62">IF(0.5*(MAX(T99:V99)-MIN(T99:V99))=0,0.00001,0.5*(MAX(T99:V99)-MIN(T99:V99)))</f>
        <v>1.0000000000000001E-5</v>
      </c>
      <c r="X99" s="1082">
        <f>S99*$Y$27</f>
        <v>0</v>
      </c>
      <c r="Y99" s="159">
        <f>0.29/100</f>
        <v>2.8999999999999998E-3</v>
      </c>
      <c r="Z99" s="164"/>
      <c r="AA99" s="1057"/>
      <c r="AB99" s="1057"/>
      <c r="AC99" s="1058"/>
      <c r="AD99" s="1059"/>
    </row>
    <row r="100" spans="2:30" x14ac:dyDescent="0.25">
      <c r="B100" s="1872"/>
      <c r="C100" s="1049">
        <v>5</v>
      </c>
      <c r="D100" s="1052" t="s">
        <v>89</v>
      </c>
      <c r="E100" s="1052" t="s">
        <v>89</v>
      </c>
      <c r="F100" s="1071">
        <v>1.0000000000000001E-5</v>
      </c>
      <c r="G100" s="1050">
        <f t="shared" si="60"/>
        <v>1.0000000000000001E-5</v>
      </c>
      <c r="H100" s="1082">
        <f t="shared" ref="H100:H107" si="63">C100*$Y$27</f>
        <v>1.4499999999999999E-2</v>
      </c>
      <c r="I100" s="1047"/>
      <c r="J100" s="1872"/>
      <c r="K100" s="1049">
        <v>5</v>
      </c>
      <c r="L100" s="1052" t="s">
        <v>89</v>
      </c>
      <c r="M100" s="1052" t="s">
        <v>89</v>
      </c>
      <c r="N100" s="1071">
        <v>1.0000000000000001E-5</v>
      </c>
      <c r="O100" s="1050">
        <f t="shared" si="61"/>
        <v>1.0000000000000001E-5</v>
      </c>
      <c r="P100" s="1082">
        <f t="shared" ref="P100:P107" si="64">K100*$Y$27</f>
        <v>1.4499999999999999E-2</v>
      </c>
      <c r="Q100" s="1047"/>
      <c r="R100" s="1872"/>
      <c r="S100" s="1049">
        <v>5</v>
      </c>
      <c r="T100" s="1052" t="s">
        <v>89</v>
      </c>
      <c r="U100" s="1052" t="s">
        <v>89</v>
      </c>
      <c r="V100" s="1071">
        <v>1.0000000000000001E-5</v>
      </c>
      <c r="W100" s="1050">
        <f t="shared" si="62"/>
        <v>1.0000000000000001E-5</v>
      </c>
      <c r="X100" s="1082">
        <f t="shared" ref="X100:X107" si="65">S100*$Y$27</f>
        <v>1.4499999999999999E-2</v>
      </c>
      <c r="Z100" s="164"/>
      <c r="AA100" s="1057"/>
      <c r="AB100" s="1057"/>
      <c r="AC100" s="1058"/>
      <c r="AD100" s="1059"/>
    </row>
    <row r="101" spans="2:30" x14ac:dyDescent="0.25">
      <c r="B101" s="1872"/>
      <c r="C101" s="1049">
        <v>10</v>
      </c>
      <c r="D101" s="1052" t="s">
        <v>89</v>
      </c>
      <c r="E101" s="1052" t="s">
        <v>89</v>
      </c>
      <c r="F101" s="1071">
        <v>1.0000000000000001E-5</v>
      </c>
      <c r="G101" s="1050">
        <f t="shared" si="60"/>
        <v>1.0000000000000001E-5</v>
      </c>
      <c r="H101" s="1082">
        <f t="shared" si="63"/>
        <v>2.8999999999999998E-2</v>
      </c>
      <c r="I101" s="1047"/>
      <c r="J101" s="1872"/>
      <c r="K101" s="1049">
        <v>10</v>
      </c>
      <c r="L101" s="1052" t="s">
        <v>89</v>
      </c>
      <c r="M101" s="1052" t="s">
        <v>89</v>
      </c>
      <c r="N101" s="1071">
        <v>1.0000000000000001E-5</v>
      </c>
      <c r="O101" s="1050">
        <f t="shared" si="61"/>
        <v>1.0000000000000001E-5</v>
      </c>
      <c r="P101" s="1082">
        <f t="shared" si="64"/>
        <v>2.8999999999999998E-2</v>
      </c>
      <c r="Q101" s="1047"/>
      <c r="R101" s="1872"/>
      <c r="S101" s="1049">
        <v>10</v>
      </c>
      <c r="T101" s="1052" t="s">
        <v>89</v>
      </c>
      <c r="U101" s="1052" t="s">
        <v>89</v>
      </c>
      <c r="V101" s="1071">
        <v>1.0000000000000001E-5</v>
      </c>
      <c r="W101" s="1050">
        <f t="shared" si="62"/>
        <v>1.0000000000000001E-5</v>
      </c>
      <c r="X101" s="1082">
        <f t="shared" si="65"/>
        <v>2.8999999999999998E-2</v>
      </c>
      <c r="Z101" s="164"/>
      <c r="AA101" s="1057"/>
      <c r="AB101" s="1057"/>
      <c r="AC101" s="1058"/>
      <c r="AD101" s="1059"/>
    </row>
    <row r="102" spans="2:30" x14ac:dyDescent="0.25">
      <c r="B102" s="1872"/>
      <c r="C102" s="1049">
        <v>25</v>
      </c>
      <c r="D102" s="1052" t="s">
        <v>89</v>
      </c>
      <c r="E102" s="1052" t="s">
        <v>89</v>
      </c>
      <c r="F102" s="1071">
        <v>1.0000000000000001E-5</v>
      </c>
      <c r="G102" s="1050">
        <f t="shared" si="60"/>
        <v>1.0000000000000001E-5</v>
      </c>
      <c r="H102" s="1082">
        <f t="shared" si="63"/>
        <v>7.2499999999999995E-2</v>
      </c>
      <c r="I102" s="1047"/>
      <c r="J102" s="1872"/>
      <c r="K102" s="1049">
        <v>25</v>
      </c>
      <c r="L102" s="1052" t="s">
        <v>89</v>
      </c>
      <c r="M102" s="1052" t="s">
        <v>89</v>
      </c>
      <c r="N102" s="1071">
        <v>1.0000000000000001E-5</v>
      </c>
      <c r="O102" s="1050">
        <f t="shared" si="61"/>
        <v>1.0000000000000001E-5</v>
      </c>
      <c r="P102" s="1082">
        <f t="shared" si="64"/>
        <v>7.2499999999999995E-2</v>
      </c>
      <c r="Q102" s="1047"/>
      <c r="R102" s="1872"/>
      <c r="S102" s="1049">
        <v>25</v>
      </c>
      <c r="T102" s="1052" t="s">
        <v>89</v>
      </c>
      <c r="U102" s="1052" t="s">
        <v>89</v>
      </c>
      <c r="V102" s="1071">
        <v>1.0000000000000001E-5</v>
      </c>
      <c r="W102" s="1050">
        <f t="shared" si="62"/>
        <v>1.0000000000000001E-5</v>
      </c>
      <c r="X102" s="1082">
        <f t="shared" si="65"/>
        <v>7.2499999999999995E-2</v>
      </c>
      <c r="Z102" s="164"/>
      <c r="AA102" s="1057"/>
      <c r="AB102" s="1057"/>
      <c r="AC102" s="1058"/>
      <c r="AD102" s="1059"/>
    </row>
    <row r="103" spans="2:30" x14ac:dyDescent="0.25">
      <c r="B103" s="1872"/>
      <c r="C103" s="1049">
        <v>50</v>
      </c>
      <c r="D103" s="1052" t="s">
        <v>89</v>
      </c>
      <c r="E103" s="1052" t="s">
        <v>89</v>
      </c>
      <c r="F103" s="1071">
        <v>1.0000000000000001E-5</v>
      </c>
      <c r="G103" s="1050">
        <f t="shared" si="60"/>
        <v>1.0000000000000001E-5</v>
      </c>
      <c r="H103" s="1082">
        <f t="shared" si="63"/>
        <v>0.14499999999999999</v>
      </c>
      <c r="I103" s="1047"/>
      <c r="J103" s="1872"/>
      <c r="K103" s="1049">
        <v>50</v>
      </c>
      <c r="L103" s="1052" t="s">
        <v>89</v>
      </c>
      <c r="M103" s="1052" t="s">
        <v>89</v>
      </c>
      <c r="N103" s="1071">
        <v>1.0000000000000001E-5</v>
      </c>
      <c r="O103" s="1050">
        <f t="shared" si="61"/>
        <v>1.0000000000000001E-5</v>
      </c>
      <c r="P103" s="1082">
        <f t="shared" si="64"/>
        <v>0.14499999999999999</v>
      </c>
      <c r="Q103" s="1047"/>
      <c r="R103" s="1872"/>
      <c r="S103" s="1049">
        <v>50</v>
      </c>
      <c r="T103" s="1052" t="s">
        <v>89</v>
      </c>
      <c r="U103" s="1052" t="s">
        <v>89</v>
      </c>
      <c r="V103" s="1071">
        <v>1.0000000000000001E-5</v>
      </c>
      <c r="W103" s="1050">
        <f t="shared" si="62"/>
        <v>1.0000000000000001E-5</v>
      </c>
      <c r="X103" s="1082">
        <f t="shared" si="65"/>
        <v>0.14499999999999999</v>
      </c>
      <c r="Z103" s="164"/>
      <c r="AA103" s="1057"/>
      <c r="AB103" s="1057"/>
      <c r="AC103" s="1058"/>
      <c r="AD103" s="1059"/>
    </row>
    <row r="104" spans="2:30" x14ac:dyDescent="0.25">
      <c r="B104" s="1872"/>
      <c r="C104" s="1049">
        <v>100</v>
      </c>
      <c r="D104" s="1052" t="s">
        <v>89</v>
      </c>
      <c r="E104" s="1052" t="s">
        <v>89</v>
      </c>
      <c r="F104" s="1071">
        <v>1.0000000000000001E-5</v>
      </c>
      <c r="G104" s="1050">
        <f t="shared" si="60"/>
        <v>1.0000000000000001E-5</v>
      </c>
      <c r="H104" s="1082">
        <f t="shared" si="63"/>
        <v>0.28999999999999998</v>
      </c>
      <c r="I104" s="1047"/>
      <c r="J104" s="1872"/>
      <c r="K104" s="1049">
        <v>100</v>
      </c>
      <c r="L104" s="1052" t="s">
        <v>89</v>
      </c>
      <c r="M104" s="1052" t="s">
        <v>89</v>
      </c>
      <c r="N104" s="1071">
        <v>1.0000000000000001E-5</v>
      </c>
      <c r="O104" s="1050">
        <f t="shared" si="61"/>
        <v>1.0000000000000001E-5</v>
      </c>
      <c r="P104" s="1082">
        <f t="shared" si="64"/>
        <v>0.28999999999999998</v>
      </c>
      <c r="Q104" s="1047"/>
      <c r="R104" s="1872"/>
      <c r="S104" s="1049">
        <v>100</v>
      </c>
      <c r="T104" s="1052" t="s">
        <v>89</v>
      </c>
      <c r="U104" s="1052" t="s">
        <v>89</v>
      </c>
      <c r="V104" s="1071">
        <v>1.0000000000000001E-5</v>
      </c>
      <c r="W104" s="1050">
        <f t="shared" si="62"/>
        <v>1.0000000000000001E-5</v>
      </c>
      <c r="X104" s="1082">
        <f t="shared" si="65"/>
        <v>0.28999999999999998</v>
      </c>
      <c r="Z104" s="164"/>
      <c r="AA104" s="1057"/>
      <c r="AB104" s="1057"/>
      <c r="AC104" s="1058"/>
      <c r="AD104" s="1059"/>
    </row>
    <row r="105" spans="2:30" x14ac:dyDescent="0.25">
      <c r="B105" s="1872"/>
      <c r="C105" s="1049">
        <v>250</v>
      </c>
      <c r="D105" s="1052" t="s">
        <v>89</v>
      </c>
      <c r="E105" s="1052" t="s">
        <v>89</v>
      </c>
      <c r="F105" s="1071">
        <v>1.0000000000000001E-5</v>
      </c>
      <c r="G105" s="1050">
        <f t="shared" si="60"/>
        <v>1.0000000000000001E-5</v>
      </c>
      <c r="H105" s="1082">
        <f t="shared" si="63"/>
        <v>0.72499999999999998</v>
      </c>
      <c r="I105" s="1047"/>
      <c r="J105" s="1872"/>
      <c r="K105" s="1049">
        <v>250</v>
      </c>
      <c r="L105" s="1052" t="s">
        <v>89</v>
      </c>
      <c r="M105" s="1052" t="s">
        <v>89</v>
      </c>
      <c r="N105" s="1071">
        <v>1.0000000000000001E-5</v>
      </c>
      <c r="O105" s="1050">
        <f t="shared" si="61"/>
        <v>1.0000000000000001E-5</v>
      </c>
      <c r="P105" s="1082">
        <f t="shared" si="64"/>
        <v>0.72499999999999998</v>
      </c>
      <c r="Q105" s="1047"/>
      <c r="R105" s="1872"/>
      <c r="S105" s="1049">
        <v>250</v>
      </c>
      <c r="T105" s="1052" t="s">
        <v>89</v>
      </c>
      <c r="U105" s="1052" t="s">
        <v>89</v>
      </c>
      <c r="V105" s="1071">
        <v>1.0000000000000001E-5</v>
      </c>
      <c r="W105" s="1050">
        <f t="shared" si="62"/>
        <v>1.0000000000000001E-5</v>
      </c>
      <c r="X105" s="1082">
        <f t="shared" si="65"/>
        <v>0.72499999999999998</v>
      </c>
      <c r="Z105" s="164"/>
      <c r="AA105" s="1057"/>
      <c r="AB105" s="1057"/>
      <c r="AC105" s="1058"/>
      <c r="AD105" s="1059"/>
    </row>
    <row r="106" spans="2:30" x14ac:dyDescent="0.25">
      <c r="B106" s="1872"/>
      <c r="C106" s="1049">
        <v>500</v>
      </c>
      <c r="D106" s="1052" t="s">
        <v>89</v>
      </c>
      <c r="E106" s="1052" t="s">
        <v>89</v>
      </c>
      <c r="F106" s="1071">
        <v>1.0000000000000001E-5</v>
      </c>
      <c r="G106" s="1050">
        <f t="shared" si="60"/>
        <v>1.0000000000000001E-5</v>
      </c>
      <c r="H106" s="1082">
        <f t="shared" si="63"/>
        <v>1.45</v>
      </c>
      <c r="I106" s="1047"/>
      <c r="J106" s="1872"/>
      <c r="K106" s="1049">
        <v>500</v>
      </c>
      <c r="L106" s="1052" t="s">
        <v>89</v>
      </c>
      <c r="M106" s="1052" t="s">
        <v>89</v>
      </c>
      <c r="N106" s="1071">
        <v>1.0000000000000001E-5</v>
      </c>
      <c r="O106" s="1050">
        <f t="shared" si="61"/>
        <v>1.0000000000000001E-5</v>
      </c>
      <c r="P106" s="1082">
        <f t="shared" si="64"/>
        <v>1.45</v>
      </c>
      <c r="Q106" s="1047"/>
      <c r="R106" s="1872"/>
      <c r="S106" s="1049">
        <v>500</v>
      </c>
      <c r="T106" s="1052" t="s">
        <v>89</v>
      </c>
      <c r="U106" s="1052" t="s">
        <v>89</v>
      </c>
      <c r="V106" s="1071">
        <v>1.0000000000000001E-5</v>
      </c>
      <c r="W106" s="1050">
        <f t="shared" si="62"/>
        <v>1.0000000000000001E-5</v>
      </c>
      <c r="X106" s="1082">
        <f t="shared" si="65"/>
        <v>1.45</v>
      </c>
      <c r="Z106" s="164"/>
      <c r="AA106" s="1057"/>
      <c r="AB106" s="1057"/>
      <c r="AC106" s="1058"/>
      <c r="AD106" s="1059"/>
    </row>
    <row r="107" spans="2:30" ht="13" thickBot="1" x14ac:dyDescent="0.3">
      <c r="B107" s="1873"/>
      <c r="C107" s="1089">
        <v>1000</v>
      </c>
      <c r="D107" s="1084" t="s">
        <v>89</v>
      </c>
      <c r="E107" s="1084" t="s">
        <v>89</v>
      </c>
      <c r="F107" s="1071">
        <v>1.0000000000000001E-5</v>
      </c>
      <c r="G107" s="1050">
        <f t="shared" si="60"/>
        <v>1.0000000000000001E-5</v>
      </c>
      <c r="H107" s="1086">
        <f t="shared" si="63"/>
        <v>2.9</v>
      </c>
      <c r="I107" s="1047"/>
      <c r="J107" s="1873"/>
      <c r="K107" s="1089">
        <v>1000</v>
      </c>
      <c r="L107" s="1084" t="s">
        <v>89</v>
      </c>
      <c r="M107" s="1084" t="s">
        <v>89</v>
      </c>
      <c r="N107" s="1071">
        <v>1.0000000000000001E-5</v>
      </c>
      <c r="O107" s="1050">
        <f t="shared" si="61"/>
        <v>1.0000000000000001E-5</v>
      </c>
      <c r="P107" s="1086">
        <f t="shared" si="64"/>
        <v>2.9</v>
      </c>
      <c r="Q107" s="1047"/>
      <c r="R107" s="1873"/>
      <c r="S107" s="1089">
        <v>1000</v>
      </c>
      <c r="T107" s="1084" t="s">
        <v>89</v>
      </c>
      <c r="U107" s="1084" t="s">
        <v>89</v>
      </c>
      <c r="V107" s="1071">
        <v>1.0000000000000001E-5</v>
      </c>
      <c r="W107" s="1050">
        <f t="shared" si="62"/>
        <v>1.0000000000000001E-5</v>
      </c>
      <c r="X107" s="1086">
        <f t="shared" si="65"/>
        <v>2.9</v>
      </c>
      <c r="Z107" s="164"/>
      <c r="AA107" s="1057"/>
      <c r="AB107" s="1057"/>
      <c r="AC107" s="1058"/>
      <c r="AD107" s="1059"/>
    </row>
    <row r="108" spans="2:30" x14ac:dyDescent="0.25">
      <c r="B108" s="1047"/>
      <c r="C108" s="1054"/>
      <c r="D108" s="1055"/>
      <c r="E108" s="1055"/>
      <c r="F108" s="1055"/>
      <c r="G108" s="1056"/>
      <c r="H108" s="1053"/>
      <c r="I108" s="1053"/>
      <c r="J108" s="1047"/>
      <c r="K108" s="1054"/>
      <c r="L108" s="1055"/>
      <c r="M108" s="1055"/>
      <c r="N108" s="1055"/>
      <c r="O108" s="1056"/>
      <c r="P108" s="1053"/>
      <c r="Q108" s="1053"/>
      <c r="R108" s="1047"/>
      <c r="S108" s="1054"/>
      <c r="T108" s="1055"/>
      <c r="U108" s="1055"/>
      <c r="V108" s="1055"/>
      <c r="W108" s="1056"/>
      <c r="X108" s="1053"/>
      <c r="Z108" s="164"/>
      <c r="AA108" s="1057"/>
      <c r="AB108" s="1057"/>
      <c r="AC108" s="1058"/>
      <c r="AD108" s="1059"/>
    </row>
    <row r="109" spans="2:30" ht="13" thickBot="1" x14ac:dyDescent="0.3">
      <c r="B109" s="1047"/>
      <c r="C109" s="1054"/>
      <c r="D109" s="1055"/>
      <c r="E109" s="1055"/>
      <c r="F109" s="1055"/>
      <c r="G109" s="1056"/>
      <c r="H109" s="1053"/>
      <c r="I109" s="1053"/>
      <c r="J109" s="1047"/>
      <c r="K109" s="1054"/>
      <c r="L109" s="1055"/>
      <c r="M109" s="1055"/>
      <c r="N109" s="1055"/>
      <c r="O109" s="1056"/>
      <c r="P109" s="1053"/>
      <c r="Q109" s="1053"/>
      <c r="R109" s="1047"/>
      <c r="S109" s="1054"/>
      <c r="T109" s="1055"/>
      <c r="U109" s="1055"/>
      <c r="V109" s="1055"/>
      <c r="W109" s="1056"/>
      <c r="X109" s="1053"/>
      <c r="Z109" s="164"/>
      <c r="AA109" s="1057"/>
      <c r="AB109" s="1057"/>
      <c r="AC109" s="1058"/>
      <c r="AD109" s="1059"/>
    </row>
    <row r="110" spans="2:30" ht="13" x14ac:dyDescent="0.3">
      <c r="B110" s="1871">
        <v>10</v>
      </c>
      <c r="C110" s="1072" t="s">
        <v>528</v>
      </c>
      <c r="D110" s="1073"/>
      <c r="E110" s="1073"/>
      <c r="F110" s="1073"/>
      <c r="G110" s="1073"/>
      <c r="H110" s="1074"/>
      <c r="I110" s="1047"/>
      <c r="J110" s="1871">
        <v>11</v>
      </c>
      <c r="K110" s="1087" t="s">
        <v>529</v>
      </c>
      <c r="L110" s="1087"/>
      <c r="M110" s="1087"/>
      <c r="N110" s="1087"/>
      <c r="O110" s="1087"/>
      <c r="P110" s="1088"/>
      <c r="Q110" s="1047"/>
      <c r="R110" s="1871">
        <v>12</v>
      </c>
      <c r="S110" s="1087" t="s">
        <v>530</v>
      </c>
      <c r="T110" s="1087"/>
      <c r="U110" s="1087"/>
      <c r="V110" s="1087"/>
      <c r="W110" s="1087"/>
      <c r="X110" s="1088"/>
      <c r="Z110" s="164"/>
      <c r="AA110" s="1057"/>
      <c r="AB110" s="1057"/>
      <c r="AC110" s="1058"/>
      <c r="AD110" s="1059"/>
    </row>
    <row r="111" spans="2:30" ht="14" x14ac:dyDescent="0.3">
      <c r="B111" s="1872"/>
      <c r="C111" s="1869" t="s">
        <v>385</v>
      </c>
      <c r="D111" s="1870"/>
      <c r="E111" s="1870"/>
      <c r="F111" s="1870"/>
      <c r="G111" s="1865" t="s">
        <v>86</v>
      </c>
      <c r="H111" s="1864" t="s">
        <v>90</v>
      </c>
      <c r="I111" s="1048"/>
      <c r="J111" s="1872"/>
      <c r="K111" s="1869" t="s">
        <v>385</v>
      </c>
      <c r="L111" s="1870"/>
      <c r="M111" s="1870"/>
      <c r="N111" s="1870"/>
      <c r="O111" s="1865" t="s">
        <v>86</v>
      </c>
      <c r="P111" s="1864" t="s">
        <v>90</v>
      </c>
      <c r="Q111" s="1048"/>
      <c r="R111" s="1872"/>
      <c r="S111" s="1869" t="s">
        <v>385</v>
      </c>
      <c r="T111" s="1870"/>
      <c r="U111" s="1870"/>
      <c r="V111" s="1870"/>
      <c r="W111" s="1865" t="s">
        <v>86</v>
      </c>
      <c r="X111" s="1864" t="s">
        <v>90</v>
      </c>
      <c r="Z111" s="164"/>
      <c r="AA111" s="1057"/>
      <c r="AB111" s="1057"/>
      <c r="AC111" s="1058"/>
      <c r="AD111" s="1059"/>
    </row>
    <row r="112" spans="2:30" ht="13" x14ac:dyDescent="0.25">
      <c r="B112" s="1872"/>
      <c r="C112" s="1075" t="s">
        <v>386</v>
      </c>
      <c r="D112" s="1865" t="s">
        <v>88</v>
      </c>
      <c r="E112" s="1865"/>
      <c r="F112" s="1865"/>
      <c r="G112" s="1865"/>
      <c r="H112" s="1864"/>
      <c r="I112" s="1048"/>
      <c r="J112" s="1872"/>
      <c r="K112" s="1075" t="s">
        <v>386</v>
      </c>
      <c r="L112" s="1865" t="s">
        <v>88</v>
      </c>
      <c r="M112" s="1865"/>
      <c r="N112" s="1865"/>
      <c r="O112" s="1865"/>
      <c r="P112" s="1864"/>
      <c r="Q112" s="1048"/>
      <c r="R112" s="1872"/>
      <c r="S112" s="1075" t="s">
        <v>386</v>
      </c>
      <c r="T112" s="1865" t="s">
        <v>88</v>
      </c>
      <c r="U112" s="1865"/>
      <c r="V112" s="1865"/>
      <c r="W112" s="1865"/>
      <c r="X112" s="1864"/>
      <c r="Z112" s="164"/>
      <c r="AA112" s="1057"/>
      <c r="AB112" s="1057"/>
      <c r="AC112" s="1058"/>
      <c r="AD112" s="1059"/>
    </row>
    <row r="113" spans="2:30" ht="14" x14ac:dyDescent="0.25">
      <c r="B113" s="1872"/>
      <c r="C113" s="1076" t="s">
        <v>55</v>
      </c>
      <c r="D113" s="1077">
        <v>2016</v>
      </c>
      <c r="E113" s="1077">
        <v>2016</v>
      </c>
      <c r="F113" s="1077">
        <v>2021</v>
      </c>
      <c r="G113" s="1865"/>
      <c r="H113" s="1864"/>
      <c r="I113" s="1048"/>
      <c r="J113" s="1872"/>
      <c r="K113" s="1076" t="s">
        <v>55</v>
      </c>
      <c r="L113" s="1077">
        <v>2016</v>
      </c>
      <c r="M113" s="1077">
        <v>2016</v>
      </c>
      <c r="N113" s="1077">
        <v>2021</v>
      </c>
      <c r="O113" s="1865"/>
      <c r="P113" s="1864"/>
      <c r="Q113" s="1048"/>
      <c r="R113" s="1872"/>
      <c r="S113" s="1076" t="s">
        <v>55</v>
      </c>
      <c r="T113" s="1077">
        <v>2016</v>
      </c>
      <c r="U113" s="1077">
        <v>2016</v>
      </c>
      <c r="V113" s="1077">
        <v>2021</v>
      </c>
      <c r="W113" s="1865"/>
      <c r="X113" s="1864"/>
      <c r="Z113" s="164"/>
      <c r="AA113" s="1057"/>
      <c r="AB113" s="1057"/>
      <c r="AC113" s="1058"/>
      <c r="AD113" s="1059"/>
    </row>
    <row r="114" spans="2:30" x14ac:dyDescent="0.25">
      <c r="B114" s="1872"/>
      <c r="C114" s="1078">
        <v>0</v>
      </c>
      <c r="D114" s="1070" t="s">
        <v>89</v>
      </c>
      <c r="E114" s="1070" t="s">
        <v>89</v>
      </c>
      <c r="F114" s="1071">
        <v>1.0000000000000001E-5</v>
      </c>
      <c r="G114" s="1050">
        <f t="shared" ref="G114:G121" si="66">IF(0.5*(MAX(D114:F114)-MIN(D114:F114))=0,0.00001,0.5*(MAX(D114:F114)-MIN(D114:F114)))</f>
        <v>1.0000000000000001E-5</v>
      </c>
      <c r="H114" s="1079">
        <f>C114*$I$42</f>
        <v>0</v>
      </c>
      <c r="I114" s="1060">
        <f>0.3/100</f>
        <v>3.0000000000000001E-3</v>
      </c>
      <c r="J114" s="1872"/>
      <c r="K114" s="1049">
        <v>0</v>
      </c>
      <c r="L114" s="1049" t="s">
        <v>89</v>
      </c>
      <c r="M114" s="1049" t="s">
        <v>89</v>
      </c>
      <c r="N114" s="1071">
        <v>1.0000000000000001E-5</v>
      </c>
      <c r="O114" s="1050">
        <f t="shared" ref="O114:O121" si="67">IF(0.5*(MAX(L114:N114)-MIN(L114:N114))=0,0.00001,0.5*(MAX(L114:N114)-MIN(L114:N114)))</f>
        <v>1.0000000000000001E-5</v>
      </c>
      <c r="P114" s="1081">
        <f>K114*$Q$42</f>
        <v>0</v>
      </c>
      <c r="Q114" s="1060">
        <f>I114</f>
        <v>3.0000000000000001E-3</v>
      </c>
      <c r="R114" s="1872"/>
      <c r="S114" s="1049">
        <v>0</v>
      </c>
      <c r="T114" s="1049" t="s">
        <v>89</v>
      </c>
      <c r="U114" s="1049" t="s">
        <v>89</v>
      </c>
      <c r="V114" s="1071">
        <v>1.0000000000000001E-5</v>
      </c>
      <c r="W114" s="1050">
        <f t="shared" ref="W114:W121" si="68">IF(0.5*(MAX(T114:V114)-MIN(T114:V114))=0,0.00001,0.5*(MAX(T114:V114)-MIN(T114:V114)))</f>
        <v>1.0000000000000001E-5</v>
      </c>
      <c r="X114" s="1081">
        <f>S114*$Y$42</f>
        <v>0</v>
      </c>
      <c r="Y114" s="1061">
        <f>Q114</f>
        <v>3.0000000000000001E-3</v>
      </c>
      <c r="Z114" s="164"/>
      <c r="AA114" s="1057"/>
      <c r="AB114" s="1057"/>
      <c r="AC114" s="1058"/>
      <c r="AD114" s="1059"/>
    </row>
    <row r="115" spans="2:30" x14ac:dyDescent="0.25">
      <c r="B115" s="1872"/>
      <c r="C115" s="1080">
        <v>1</v>
      </c>
      <c r="D115" s="1049" t="s">
        <v>89</v>
      </c>
      <c r="E115" s="1049" t="s">
        <v>89</v>
      </c>
      <c r="F115" s="1071">
        <v>1.0000000000000001E-5</v>
      </c>
      <c r="G115" s="1050">
        <f t="shared" si="66"/>
        <v>1.0000000000000001E-5</v>
      </c>
      <c r="H115" s="1081">
        <f t="shared" ref="H115:H121" si="69">C115*$I$42</f>
        <v>2.8999999999999998E-3</v>
      </c>
      <c r="I115" s="1051"/>
      <c r="J115" s="1872"/>
      <c r="K115" s="1049">
        <v>1</v>
      </c>
      <c r="L115" s="1049" t="s">
        <v>89</v>
      </c>
      <c r="M115" s="1049" t="s">
        <v>89</v>
      </c>
      <c r="N115" s="1071">
        <v>1.0000000000000001E-5</v>
      </c>
      <c r="O115" s="1050">
        <f t="shared" si="67"/>
        <v>1.0000000000000001E-5</v>
      </c>
      <c r="P115" s="1081">
        <f t="shared" ref="P115:P121" si="70">K115*$Q$42</f>
        <v>2.8999999999999998E-3</v>
      </c>
      <c r="Q115" s="1051"/>
      <c r="R115" s="1872"/>
      <c r="S115" s="1049">
        <v>1</v>
      </c>
      <c r="T115" s="1049" t="s">
        <v>89</v>
      </c>
      <c r="U115" s="1049" t="s">
        <v>89</v>
      </c>
      <c r="V115" s="1071">
        <v>1.0000000000000001E-5</v>
      </c>
      <c r="W115" s="1050">
        <f t="shared" si="68"/>
        <v>1.0000000000000001E-5</v>
      </c>
      <c r="X115" s="1081">
        <f t="shared" ref="X115:X121" si="71">S115*$Y$42</f>
        <v>2.8999999999999998E-3</v>
      </c>
      <c r="Z115" s="164"/>
      <c r="AA115" s="1057"/>
      <c r="AB115" s="1057"/>
      <c r="AC115" s="1058"/>
      <c r="AD115" s="1059"/>
    </row>
    <row r="116" spans="2:30" x14ac:dyDescent="0.25">
      <c r="B116" s="1872"/>
      <c r="C116" s="1080">
        <v>10</v>
      </c>
      <c r="D116" s="1049" t="s">
        <v>89</v>
      </c>
      <c r="E116" s="1049" t="s">
        <v>89</v>
      </c>
      <c r="F116" s="1071">
        <v>1.0000000000000001E-5</v>
      </c>
      <c r="G116" s="1050">
        <f t="shared" si="66"/>
        <v>1.0000000000000001E-5</v>
      </c>
      <c r="H116" s="1081">
        <f t="shared" si="69"/>
        <v>2.8999999999999998E-2</v>
      </c>
      <c r="I116" s="1051"/>
      <c r="J116" s="1872"/>
      <c r="K116" s="1049">
        <v>10</v>
      </c>
      <c r="L116" s="1049" t="s">
        <v>89</v>
      </c>
      <c r="M116" s="1049" t="s">
        <v>89</v>
      </c>
      <c r="N116" s="1071">
        <v>1.0000000000000001E-5</v>
      </c>
      <c r="O116" s="1050">
        <f t="shared" si="67"/>
        <v>1.0000000000000001E-5</v>
      </c>
      <c r="P116" s="1081">
        <f t="shared" si="70"/>
        <v>2.8999999999999998E-2</v>
      </c>
      <c r="Q116" s="1051"/>
      <c r="R116" s="1872"/>
      <c r="S116" s="1049">
        <v>10</v>
      </c>
      <c r="T116" s="1049" t="s">
        <v>89</v>
      </c>
      <c r="U116" s="1049" t="s">
        <v>89</v>
      </c>
      <c r="V116" s="1071">
        <v>1.0000000000000001E-5</v>
      </c>
      <c r="W116" s="1050">
        <f t="shared" si="68"/>
        <v>1.0000000000000001E-5</v>
      </c>
      <c r="X116" s="1081">
        <f t="shared" si="71"/>
        <v>2.8999999999999998E-2</v>
      </c>
      <c r="Z116" s="164"/>
      <c r="AA116" s="1057"/>
      <c r="AB116" s="1057"/>
      <c r="AC116" s="1058"/>
      <c r="AD116" s="1059"/>
    </row>
    <row r="117" spans="2:30" x14ac:dyDescent="0.25">
      <c r="B117" s="1872"/>
      <c r="C117" s="1080">
        <v>15</v>
      </c>
      <c r="D117" s="1049" t="s">
        <v>89</v>
      </c>
      <c r="E117" s="1049" t="s">
        <v>89</v>
      </c>
      <c r="F117" s="1071">
        <v>1.0000000000000001E-5</v>
      </c>
      <c r="G117" s="1050">
        <f t="shared" si="66"/>
        <v>1.0000000000000001E-5</v>
      </c>
      <c r="H117" s="1081">
        <f t="shared" si="69"/>
        <v>4.3499999999999997E-2</v>
      </c>
      <c r="I117" s="1051"/>
      <c r="J117" s="1872"/>
      <c r="K117" s="1049">
        <v>15</v>
      </c>
      <c r="L117" s="1049" t="s">
        <v>89</v>
      </c>
      <c r="M117" s="1049" t="s">
        <v>89</v>
      </c>
      <c r="N117" s="1071">
        <v>1.0000000000000001E-5</v>
      </c>
      <c r="O117" s="1050">
        <f t="shared" si="67"/>
        <v>1.0000000000000001E-5</v>
      </c>
      <c r="P117" s="1081">
        <f t="shared" si="70"/>
        <v>4.3499999999999997E-2</v>
      </c>
      <c r="Q117" s="1051"/>
      <c r="R117" s="1872"/>
      <c r="S117" s="1049">
        <v>15</v>
      </c>
      <c r="T117" s="1049" t="s">
        <v>89</v>
      </c>
      <c r="U117" s="1049" t="s">
        <v>89</v>
      </c>
      <c r="V117" s="1071">
        <v>1.0000000000000001E-5</v>
      </c>
      <c r="W117" s="1050">
        <f t="shared" si="68"/>
        <v>1.0000000000000001E-5</v>
      </c>
      <c r="X117" s="1081">
        <f t="shared" si="71"/>
        <v>4.3499999999999997E-2</v>
      </c>
      <c r="Z117" s="164"/>
      <c r="AA117" s="1057"/>
      <c r="AB117" s="1057"/>
      <c r="AC117" s="1058"/>
      <c r="AD117" s="1059"/>
    </row>
    <row r="118" spans="2:30" x14ac:dyDescent="0.25">
      <c r="B118" s="1872"/>
      <c r="C118" s="1080">
        <v>20</v>
      </c>
      <c r="D118" s="1049" t="s">
        <v>89</v>
      </c>
      <c r="E118" s="1049" t="s">
        <v>89</v>
      </c>
      <c r="F118" s="1071">
        <v>1.0000000000000001E-5</v>
      </c>
      <c r="G118" s="1050">
        <f t="shared" si="66"/>
        <v>1.0000000000000001E-5</v>
      </c>
      <c r="H118" s="1081">
        <f t="shared" si="69"/>
        <v>5.7999999999999996E-2</v>
      </c>
      <c r="I118" s="1051"/>
      <c r="J118" s="1872"/>
      <c r="K118" s="1049">
        <v>20</v>
      </c>
      <c r="L118" s="1049" t="s">
        <v>89</v>
      </c>
      <c r="M118" s="1049" t="s">
        <v>89</v>
      </c>
      <c r="N118" s="1071">
        <v>1.0000000000000001E-5</v>
      </c>
      <c r="O118" s="1050">
        <f t="shared" si="67"/>
        <v>1.0000000000000001E-5</v>
      </c>
      <c r="P118" s="1081">
        <f t="shared" si="70"/>
        <v>5.7999999999999996E-2</v>
      </c>
      <c r="Q118" s="1051"/>
      <c r="R118" s="1872"/>
      <c r="S118" s="1049">
        <v>20</v>
      </c>
      <c r="T118" s="1049" t="s">
        <v>89</v>
      </c>
      <c r="U118" s="1049" t="s">
        <v>89</v>
      </c>
      <c r="V118" s="1071">
        <v>1.0000000000000001E-5</v>
      </c>
      <c r="W118" s="1050">
        <f t="shared" si="68"/>
        <v>1.0000000000000001E-5</v>
      </c>
      <c r="X118" s="1081">
        <f t="shared" si="71"/>
        <v>5.7999999999999996E-2</v>
      </c>
      <c r="Z118" s="164"/>
      <c r="AA118" s="1057"/>
      <c r="AB118" s="1057"/>
      <c r="AC118" s="1058"/>
      <c r="AD118" s="1059"/>
    </row>
    <row r="119" spans="2:30" x14ac:dyDescent="0.25">
      <c r="B119" s="1872"/>
      <c r="C119" s="1080">
        <v>30</v>
      </c>
      <c r="D119" s="1049" t="s">
        <v>89</v>
      </c>
      <c r="E119" s="1049" t="s">
        <v>89</v>
      </c>
      <c r="F119" s="1071">
        <v>1.0000000000000001E-5</v>
      </c>
      <c r="G119" s="1050">
        <f t="shared" si="66"/>
        <v>1.0000000000000001E-5</v>
      </c>
      <c r="H119" s="1081">
        <f t="shared" si="69"/>
        <v>8.6999999999999994E-2</v>
      </c>
      <c r="I119" s="1051"/>
      <c r="J119" s="1872"/>
      <c r="K119" s="1049">
        <v>30</v>
      </c>
      <c r="L119" s="1049" t="s">
        <v>89</v>
      </c>
      <c r="M119" s="1049" t="s">
        <v>89</v>
      </c>
      <c r="N119" s="1071">
        <v>1.0000000000000001E-5</v>
      </c>
      <c r="O119" s="1050">
        <f t="shared" si="67"/>
        <v>1.0000000000000001E-5</v>
      </c>
      <c r="P119" s="1081">
        <f t="shared" si="70"/>
        <v>8.6999999999999994E-2</v>
      </c>
      <c r="Q119" s="1051"/>
      <c r="R119" s="1872"/>
      <c r="S119" s="1049">
        <v>30</v>
      </c>
      <c r="T119" s="1049" t="s">
        <v>89</v>
      </c>
      <c r="U119" s="1049" t="s">
        <v>89</v>
      </c>
      <c r="V119" s="1071">
        <v>1.0000000000000001E-5</v>
      </c>
      <c r="W119" s="1050">
        <f t="shared" si="68"/>
        <v>1.0000000000000001E-5</v>
      </c>
      <c r="X119" s="1081">
        <f t="shared" si="71"/>
        <v>8.6999999999999994E-2</v>
      </c>
      <c r="Z119" s="164"/>
      <c r="AA119" s="1057"/>
      <c r="AB119" s="1057"/>
      <c r="AC119" s="1058"/>
      <c r="AD119" s="1059"/>
    </row>
    <row r="120" spans="2:30" x14ac:dyDescent="0.25">
      <c r="B120" s="1872"/>
      <c r="C120" s="1080">
        <v>50</v>
      </c>
      <c r="D120" s="1049" t="s">
        <v>89</v>
      </c>
      <c r="E120" s="1049" t="s">
        <v>89</v>
      </c>
      <c r="F120" s="1071">
        <v>1.0000000000000001E-5</v>
      </c>
      <c r="G120" s="1050">
        <f t="shared" si="66"/>
        <v>1.0000000000000001E-5</v>
      </c>
      <c r="H120" s="1081">
        <f t="shared" si="69"/>
        <v>0.14499999999999999</v>
      </c>
      <c r="I120" s="1051"/>
      <c r="J120" s="1872"/>
      <c r="K120" s="1049">
        <v>50</v>
      </c>
      <c r="L120" s="1049" t="s">
        <v>89</v>
      </c>
      <c r="M120" s="1049" t="s">
        <v>89</v>
      </c>
      <c r="N120" s="1071">
        <v>1.0000000000000001E-5</v>
      </c>
      <c r="O120" s="1050">
        <f t="shared" si="67"/>
        <v>1.0000000000000001E-5</v>
      </c>
      <c r="P120" s="1081">
        <f t="shared" si="70"/>
        <v>0.14499999999999999</v>
      </c>
      <c r="Q120" s="1051"/>
      <c r="R120" s="1872"/>
      <c r="S120" s="1049">
        <v>50</v>
      </c>
      <c r="T120" s="1049" t="s">
        <v>89</v>
      </c>
      <c r="U120" s="1049" t="s">
        <v>89</v>
      </c>
      <c r="V120" s="1071">
        <v>1.0000000000000001E-5</v>
      </c>
      <c r="W120" s="1050">
        <f t="shared" si="68"/>
        <v>1.0000000000000001E-5</v>
      </c>
      <c r="X120" s="1081">
        <f t="shared" si="71"/>
        <v>0.14499999999999999</v>
      </c>
      <c r="Z120" s="164"/>
      <c r="AA120" s="1057"/>
      <c r="AB120" s="1057"/>
      <c r="AC120" s="1058"/>
      <c r="AD120" s="1059"/>
    </row>
    <row r="121" spans="2:30" ht="13" thickBot="1" x14ac:dyDescent="0.3">
      <c r="B121" s="1872"/>
      <c r="C121" s="1080">
        <v>100</v>
      </c>
      <c r="D121" s="1049" t="s">
        <v>89</v>
      </c>
      <c r="E121" s="1049" t="s">
        <v>89</v>
      </c>
      <c r="F121" s="1071">
        <v>1.0000000000000001E-5</v>
      </c>
      <c r="G121" s="1050">
        <f t="shared" si="66"/>
        <v>1.0000000000000001E-5</v>
      </c>
      <c r="H121" s="1081">
        <f t="shared" si="69"/>
        <v>0.28999999999999998</v>
      </c>
      <c r="I121" s="1051"/>
      <c r="J121" s="1872"/>
      <c r="K121" s="1049">
        <v>100</v>
      </c>
      <c r="L121" s="1049" t="s">
        <v>89</v>
      </c>
      <c r="M121" s="1049" t="s">
        <v>89</v>
      </c>
      <c r="N121" s="1071">
        <v>1.0000000000000001E-5</v>
      </c>
      <c r="O121" s="1050">
        <f t="shared" si="67"/>
        <v>1.0000000000000001E-5</v>
      </c>
      <c r="P121" s="1081">
        <f t="shared" si="70"/>
        <v>0.28999999999999998</v>
      </c>
      <c r="Q121" s="1051"/>
      <c r="R121" s="1872"/>
      <c r="S121" s="1049">
        <v>100</v>
      </c>
      <c r="T121" s="1049" t="s">
        <v>89</v>
      </c>
      <c r="U121" s="1049" t="s">
        <v>89</v>
      </c>
      <c r="V121" s="1071">
        <v>1.0000000000000001E-5</v>
      </c>
      <c r="W121" s="1050">
        <f t="shared" si="68"/>
        <v>1.0000000000000001E-5</v>
      </c>
      <c r="X121" s="1081">
        <f t="shared" si="71"/>
        <v>0.28999999999999998</v>
      </c>
      <c r="Z121" s="164"/>
      <c r="AA121" s="1057"/>
      <c r="AB121" s="1057"/>
      <c r="AC121" s="1058"/>
      <c r="AD121" s="1059"/>
    </row>
    <row r="122" spans="2:30" ht="14" x14ac:dyDescent="0.3">
      <c r="B122" s="1872"/>
      <c r="C122" s="1866" t="s">
        <v>387</v>
      </c>
      <c r="D122" s="1867"/>
      <c r="E122" s="1867"/>
      <c r="F122" s="1867"/>
      <c r="G122" s="1868" t="s">
        <v>86</v>
      </c>
      <c r="H122" s="1863" t="s">
        <v>90</v>
      </c>
      <c r="I122" s="1048"/>
      <c r="J122" s="1872"/>
      <c r="K122" s="1866" t="s">
        <v>387</v>
      </c>
      <c r="L122" s="1867"/>
      <c r="M122" s="1867"/>
      <c r="N122" s="1867"/>
      <c r="O122" s="1868" t="s">
        <v>86</v>
      </c>
      <c r="P122" s="1863" t="s">
        <v>90</v>
      </c>
      <c r="Q122" s="1048"/>
      <c r="R122" s="1872"/>
      <c r="S122" s="1866" t="s">
        <v>387</v>
      </c>
      <c r="T122" s="1867"/>
      <c r="U122" s="1867"/>
      <c r="V122" s="1867"/>
      <c r="W122" s="1868" t="s">
        <v>86</v>
      </c>
      <c r="X122" s="1863" t="s">
        <v>90</v>
      </c>
      <c r="Z122" s="164"/>
      <c r="AA122" s="1057"/>
      <c r="AB122" s="1057"/>
      <c r="AC122" s="1058"/>
      <c r="AD122" s="1059"/>
    </row>
    <row r="123" spans="2:30" ht="13" x14ac:dyDescent="0.25">
      <c r="B123" s="1872"/>
      <c r="C123" s="1075" t="s">
        <v>388</v>
      </c>
      <c r="D123" s="1865" t="s">
        <v>88</v>
      </c>
      <c r="E123" s="1865"/>
      <c r="F123" s="1865"/>
      <c r="G123" s="1865"/>
      <c r="H123" s="1864"/>
      <c r="I123" s="1048"/>
      <c r="J123" s="1872"/>
      <c r="K123" s="1075" t="s">
        <v>388</v>
      </c>
      <c r="L123" s="1865" t="s">
        <v>88</v>
      </c>
      <c r="M123" s="1865"/>
      <c r="N123" s="1865"/>
      <c r="O123" s="1865"/>
      <c r="P123" s="1864"/>
      <c r="Q123" s="1048"/>
      <c r="R123" s="1872"/>
      <c r="S123" s="1075" t="s">
        <v>388</v>
      </c>
      <c r="T123" s="1865" t="s">
        <v>88</v>
      </c>
      <c r="U123" s="1865"/>
      <c r="V123" s="1865"/>
      <c r="W123" s="1865"/>
      <c r="X123" s="1864"/>
      <c r="Z123" s="164"/>
      <c r="AA123" s="1057"/>
      <c r="AB123" s="1057"/>
      <c r="AC123" s="1058"/>
      <c r="AD123" s="1059"/>
    </row>
    <row r="124" spans="2:30" ht="14" x14ac:dyDescent="0.25">
      <c r="B124" s="1872"/>
      <c r="C124" s="1076" t="s">
        <v>389</v>
      </c>
      <c r="D124" s="1077">
        <f>D113</f>
        <v>2016</v>
      </c>
      <c r="E124" s="1077">
        <f t="shared" ref="E124:F124" si="72">E113</f>
        <v>2016</v>
      </c>
      <c r="F124" s="1077">
        <f t="shared" si="72"/>
        <v>2021</v>
      </c>
      <c r="G124" s="1865"/>
      <c r="H124" s="1864"/>
      <c r="I124" s="1048"/>
      <c r="J124" s="1872"/>
      <c r="K124" s="1076" t="s">
        <v>389</v>
      </c>
      <c r="L124" s="1077">
        <f>L113</f>
        <v>2016</v>
      </c>
      <c r="M124" s="1077">
        <f t="shared" ref="M124:N124" si="73">M113</f>
        <v>2016</v>
      </c>
      <c r="N124" s="1077">
        <f t="shared" si="73"/>
        <v>2021</v>
      </c>
      <c r="O124" s="1865"/>
      <c r="P124" s="1864"/>
      <c r="Q124" s="1048"/>
      <c r="R124" s="1872"/>
      <c r="S124" s="1076" t="s">
        <v>389</v>
      </c>
      <c r="T124" s="1077">
        <f>T113</f>
        <v>2016</v>
      </c>
      <c r="U124" s="1077">
        <f t="shared" ref="U124:V124" si="74">U113</f>
        <v>2016</v>
      </c>
      <c r="V124" s="1077">
        <f t="shared" si="74"/>
        <v>2021</v>
      </c>
      <c r="W124" s="1865"/>
      <c r="X124" s="1864"/>
      <c r="Z124" s="164"/>
      <c r="AA124" s="1057"/>
      <c r="AB124" s="1057"/>
      <c r="AC124" s="1058"/>
      <c r="AD124" s="1059"/>
    </row>
    <row r="125" spans="2:30" x14ac:dyDescent="0.25">
      <c r="B125" s="1872"/>
      <c r="C125" s="1080">
        <v>0</v>
      </c>
      <c r="D125" s="1049" t="s">
        <v>89</v>
      </c>
      <c r="E125" s="1049" t="s">
        <v>89</v>
      </c>
      <c r="F125" s="1050">
        <v>0</v>
      </c>
      <c r="G125" s="1050">
        <f t="shared" ref="G125:G131" si="75">IF(0.5*(MAX(D125:F125)-MIN(D125:F125))=0,0.00001,0.5*(MAX(D125:F125)-MIN(D125:F125)))</f>
        <v>1.0000000000000001E-5</v>
      </c>
      <c r="H125" s="1081">
        <f>C125*$Y$17</f>
        <v>0</v>
      </c>
      <c r="I125" s="1047">
        <f>0.23/100</f>
        <v>2.3E-3</v>
      </c>
      <c r="J125" s="1872"/>
      <c r="K125" s="1049">
        <v>0</v>
      </c>
      <c r="L125" s="1049" t="s">
        <v>89</v>
      </c>
      <c r="M125" s="1049" t="s">
        <v>89</v>
      </c>
      <c r="N125" s="1050">
        <v>0</v>
      </c>
      <c r="O125" s="1050">
        <f t="shared" ref="O125:O131" si="76">IF(0.5*(MAX(L125:N125)-MIN(L125:N125))=0,0.00001,0.5*(MAX(L125:N125)-MIN(L125:N125)))</f>
        <v>1.0000000000000001E-5</v>
      </c>
      <c r="P125" s="1081">
        <f>K125*$Y$17</f>
        <v>0</v>
      </c>
      <c r="Q125" s="1047">
        <f>0.23/100</f>
        <v>2.3E-3</v>
      </c>
      <c r="R125" s="1872"/>
      <c r="S125" s="1049">
        <v>0</v>
      </c>
      <c r="T125" s="1049" t="s">
        <v>89</v>
      </c>
      <c r="U125" s="1049" t="s">
        <v>89</v>
      </c>
      <c r="V125" s="1050">
        <v>0</v>
      </c>
      <c r="W125" s="1050">
        <f t="shared" ref="W125:W131" si="77">IF(0.5*(MAX(T125:V125)-MIN(T125:V125))=0,0.00001,0.5*(MAX(T125:V125)-MIN(T125:V125)))</f>
        <v>1.0000000000000001E-5</v>
      </c>
      <c r="X125" s="1081">
        <f>S125*$Y$17</f>
        <v>0</v>
      </c>
      <c r="Y125" s="159">
        <f>0.23/100</f>
        <v>2.3E-3</v>
      </c>
      <c r="Z125" s="164"/>
      <c r="AA125" s="1057"/>
      <c r="AB125" s="1057"/>
      <c r="AC125" s="1058"/>
      <c r="AD125" s="1059"/>
    </row>
    <row r="126" spans="2:30" x14ac:dyDescent="0.25">
      <c r="B126" s="1872"/>
      <c r="C126" s="1080">
        <v>50</v>
      </c>
      <c r="D126" s="1049" t="s">
        <v>89</v>
      </c>
      <c r="E126" s="1049" t="s">
        <v>89</v>
      </c>
      <c r="F126" s="1050">
        <v>0</v>
      </c>
      <c r="G126" s="1050">
        <f t="shared" si="75"/>
        <v>1.0000000000000001E-5</v>
      </c>
      <c r="H126" s="1081">
        <f t="shared" ref="H126:H130" si="78">C126*$Y$17</f>
        <v>0.11499999999999999</v>
      </c>
      <c r="I126" s="1047"/>
      <c r="J126" s="1872"/>
      <c r="K126" s="1049">
        <v>50</v>
      </c>
      <c r="L126" s="1049" t="s">
        <v>89</v>
      </c>
      <c r="M126" s="1049" t="s">
        <v>89</v>
      </c>
      <c r="N126" s="1050">
        <v>0.4</v>
      </c>
      <c r="O126" s="1050">
        <f t="shared" si="76"/>
        <v>1.0000000000000001E-5</v>
      </c>
      <c r="P126" s="1081">
        <f t="shared" ref="P126:P130" si="79">K126*$Y$17</f>
        <v>0.11499999999999999</v>
      </c>
      <c r="Q126" s="1047"/>
      <c r="R126" s="1872"/>
      <c r="S126" s="1049">
        <v>50</v>
      </c>
      <c r="T126" s="1049" t="s">
        <v>89</v>
      </c>
      <c r="U126" s="1049" t="s">
        <v>89</v>
      </c>
      <c r="V126" s="1050">
        <v>0</v>
      </c>
      <c r="W126" s="1050">
        <f t="shared" si="77"/>
        <v>1.0000000000000001E-5</v>
      </c>
      <c r="X126" s="1081">
        <f t="shared" ref="X126:X130" si="80">S126*$Y$17</f>
        <v>0.11499999999999999</v>
      </c>
      <c r="Z126" s="164"/>
      <c r="AA126" s="1057"/>
      <c r="AB126" s="1057"/>
      <c r="AC126" s="1058"/>
      <c r="AD126" s="1059"/>
    </row>
    <row r="127" spans="2:30" x14ac:dyDescent="0.25">
      <c r="B127" s="1872"/>
      <c r="C127" s="1080">
        <v>100</v>
      </c>
      <c r="D127" s="1049" t="s">
        <v>89</v>
      </c>
      <c r="E127" s="1049" t="s">
        <v>89</v>
      </c>
      <c r="F127" s="1050">
        <v>1.6</v>
      </c>
      <c r="G127" s="1050">
        <f t="shared" si="75"/>
        <v>1.0000000000000001E-5</v>
      </c>
      <c r="H127" s="1081">
        <f t="shared" si="78"/>
        <v>0.22999999999999998</v>
      </c>
      <c r="I127" s="1047"/>
      <c r="J127" s="1872"/>
      <c r="K127" s="1049">
        <v>100</v>
      </c>
      <c r="L127" s="1049" t="s">
        <v>89</v>
      </c>
      <c r="M127" s="1049" t="s">
        <v>89</v>
      </c>
      <c r="N127" s="1050">
        <v>-0.2</v>
      </c>
      <c r="O127" s="1050">
        <f t="shared" si="76"/>
        <v>1.0000000000000001E-5</v>
      </c>
      <c r="P127" s="1081">
        <f t="shared" si="79"/>
        <v>0.22999999999999998</v>
      </c>
      <c r="Q127" s="1047"/>
      <c r="R127" s="1872"/>
      <c r="S127" s="1049">
        <v>100</v>
      </c>
      <c r="T127" s="1049" t="s">
        <v>89</v>
      </c>
      <c r="U127" s="1049" t="s">
        <v>89</v>
      </c>
      <c r="V127" s="1050">
        <v>-0.4</v>
      </c>
      <c r="W127" s="1050">
        <f t="shared" si="77"/>
        <v>1.0000000000000001E-5</v>
      </c>
      <c r="X127" s="1081">
        <f t="shared" si="80"/>
        <v>0.22999999999999998</v>
      </c>
      <c r="Z127" s="164"/>
      <c r="AA127" s="1057"/>
      <c r="AB127" s="1057"/>
      <c r="AC127" s="1058"/>
      <c r="AD127" s="1059"/>
    </row>
    <row r="128" spans="2:30" x14ac:dyDescent="0.25">
      <c r="B128" s="1872"/>
      <c r="C128" s="1080">
        <v>200</v>
      </c>
      <c r="D128" s="1049" t="s">
        <v>89</v>
      </c>
      <c r="E128" s="1049" t="s">
        <v>89</v>
      </c>
      <c r="F128" s="1050">
        <v>2</v>
      </c>
      <c r="G128" s="1050">
        <f t="shared" si="75"/>
        <v>1.0000000000000001E-5</v>
      </c>
      <c r="H128" s="1081">
        <f t="shared" si="78"/>
        <v>0.45999999999999996</v>
      </c>
      <c r="I128" s="1047"/>
      <c r="J128" s="1872"/>
      <c r="K128" s="1049">
        <v>200</v>
      </c>
      <c r="L128" s="1049" t="s">
        <v>89</v>
      </c>
      <c r="M128" s="1049" t="s">
        <v>89</v>
      </c>
      <c r="N128" s="1050">
        <v>2.8</v>
      </c>
      <c r="O128" s="1050">
        <f t="shared" si="76"/>
        <v>1.0000000000000001E-5</v>
      </c>
      <c r="P128" s="1081">
        <f t="shared" si="79"/>
        <v>0.45999999999999996</v>
      </c>
      <c r="Q128" s="1047"/>
      <c r="R128" s="1872"/>
      <c r="S128" s="1049">
        <v>200</v>
      </c>
      <c r="T128" s="1049" t="s">
        <v>89</v>
      </c>
      <c r="U128" s="1049" t="s">
        <v>89</v>
      </c>
      <c r="V128" s="1050">
        <v>1.8</v>
      </c>
      <c r="W128" s="1050">
        <f t="shared" si="77"/>
        <v>1.0000000000000001E-5</v>
      </c>
      <c r="X128" s="1081">
        <f t="shared" si="80"/>
        <v>0.45999999999999996</v>
      </c>
      <c r="Z128" s="164"/>
      <c r="AA128" s="1057"/>
      <c r="AB128" s="1057"/>
      <c r="AC128" s="1058"/>
      <c r="AD128" s="1059"/>
    </row>
    <row r="129" spans="2:30" x14ac:dyDescent="0.25">
      <c r="B129" s="1872"/>
      <c r="C129" s="1080">
        <v>500</v>
      </c>
      <c r="D129" s="1049" t="s">
        <v>89</v>
      </c>
      <c r="E129" s="1049" t="s">
        <v>89</v>
      </c>
      <c r="F129" s="1050">
        <v>4</v>
      </c>
      <c r="G129" s="1050">
        <f t="shared" si="75"/>
        <v>1.0000000000000001E-5</v>
      </c>
      <c r="H129" s="1081">
        <f t="shared" si="78"/>
        <v>1.1499999999999999</v>
      </c>
      <c r="I129" s="1047"/>
      <c r="J129" s="1872"/>
      <c r="K129" s="1049">
        <v>500</v>
      </c>
      <c r="L129" s="1049" t="s">
        <v>89</v>
      </c>
      <c r="M129" s="1049" t="s">
        <v>89</v>
      </c>
      <c r="N129" s="1050">
        <v>2</v>
      </c>
      <c r="O129" s="1050">
        <f t="shared" si="76"/>
        <v>1.0000000000000001E-5</v>
      </c>
      <c r="P129" s="1081">
        <f t="shared" si="79"/>
        <v>1.1499999999999999</v>
      </c>
      <c r="Q129" s="1047"/>
      <c r="R129" s="1872"/>
      <c r="S129" s="1049">
        <v>500</v>
      </c>
      <c r="T129" s="1049" t="s">
        <v>89</v>
      </c>
      <c r="U129" s="1049" t="s">
        <v>89</v>
      </c>
      <c r="V129" s="1050">
        <v>2</v>
      </c>
      <c r="W129" s="1050">
        <f t="shared" si="77"/>
        <v>1.0000000000000001E-5</v>
      </c>
      <c r="X129" s="1081">
        <f t="shared" si="80"/>
        <v>1.1499999999999999</v>
      </c>
      <c r="Z129" s="164"/>
      <c r="AA129" s="1057"/>
      <c r="AB129" s="1057"/>
      <c r="AC129" s="1058"/>
      <c r="AD129" s="1059"/>
    </row>
    <row r="130" spans="2:30" x14ac:dyDescent="0.25">
      <c r="B130" s="1872"/>
      <c r="C130" s="1080">
        <v>1000</v>
      </c>
      <c r="D130" s="1049" t="s">
        <v>89</v>
      </c>
      <c r="E130" s="1049" t="s">
        <v>89</v>
      </c>
      <c r="F130" s="1050">
        <v>10</v>
      </c>
      <c r="G130" s="1050">
        <f t="shared" si="75"/>
        <v>1.0000000000000001E-5</v>
      </c>
      <c r="H130" s="1081">
        <f t="shared" si="78"/>
        <v>2.2999999999999998</v>
      </c>
      <c r="I130" s="1047"/>
      <c r="J130" s="1872"/>
      <c r="K130" s="1049">
        <v>1000</v>
      </c>
      <c r="L130" s="1049" t="s">
        <v>89</v>
      </c>
      <c r="M130" s="1049" t="s">
        <v>89</v>
      </c>
      <c r="N130" s="1050">
        <v>8</v>
      </c>
      <c r="O130" s="1050">
        <f t="shared" si="76"/>
        <v>1.0000000000000001E-5</v>
      </c>
      <c r="P130" s="1081">
        <f t="shared" si="79"/>
        <v>2.2999999999999998</v>
      </c>
      <c r="Q130" s="1047"/>
      <c r="R130" s="1872"/>
      <c r="S130" s="1049">
        <v>1000</v>
      </c>
      <c r="T130" s="1049" t="s">
        <v>89</v>
      </c>
      <c r="U130" s="1049" t="s">
        <v>89</v>
      </c>
      <c r="V130" s="1050">
        <v>10</v>
      </c>
      <c r="W130" s="1050">
        <f t="shared" si="77"/>
        <v>1.0000000000000001E-5</v>
      </c>
      <c r="X130" s="1081">
        <f t="shared" si="80"/>
        <v>2.2999999999999998</v>
      </c>
      <c r="Z130" s="164"/>
      <c r="AA130" s="1057"/>
      <c r="AB130" s="1057"/>
      <c r="AC130" s="1058"/>
      <c r="AD130" s="1059"/>
    </row>
    <row r="131" spans="2:30" ht="13" thickBot="1" x14ac:dyDescent="0.3">
      <c r="B131" s="1872"/>
      <c r="C131" s="1080">
        <v>2000</v>
      </c>
      <c r="D131" s="1049" t="s">
        <v>89</v>
      </c>
      <c r="E131" s="1049" t="s">
        <v>89</v>
      </c>
      <c r="F131" s="1050">
        <v>10</v>
      </c>
      <c r="G131" s="1050">
        <f t="shared" si="75"/>
        <v>1.0000000000000001E-5</v>
      </c>
      <c r="H131" s="1081">
        <f>C131*$Y$17</f>
        <v>4.5999999999999996</v>
      </c>
      <c r="I131" s="1047"/>
      <c r="J131" s="1872"/>
      <c r="K131" s="1049">
        <v>1200</v>
      </c>
      <c r="L131" s="1049" t="s">
        <v>89</v>
      </c>
      <c r="M131" s="1049" t="s">
        <v>89</v>
      </c>
      <c r="N131" s="1050">
        <v>14</v>
      </c>
      <c r="O131" s="1050">
        <f t="shared" si="76"/>
        <v>1.0000000000000001E-5</v>
      </c>
      <c r="P131" s="1081">
        <f>K131*$Y$17</f>
        <v>2.76</v>
      </c>
      <c r="Q131" s="1047"/>
      <c r="R131" s="1872"/>
      <c r="S131" s="1049">
        <v>1200</v>
      </c>
      <c r="T131" s="1049" t="s">
        <v>89</v>
      </c>
      <c r="U131" s="1049" t="s">
        <v>89</v>
      </c>
      <c r="V131" s="1050">
        <v>9</v>
      </c>
      <c r="W131" s="1050">
        <f t="shared" si="77"/>
        <v>1.0000000000000001E-5</v>
      </c>
      <c r="X131" s="1081">
        <f>S131*$Y$17</f>
        <v>2.76</v>
      </c>
      <c r="Z131" s="164"/>
      <c r="AA131" s="1057"/>
      <c r="AB131" s="1057"/>
      <c r="AC131" s="1058"/>
      <c r="AD131" s="1059"/>
    </row>
    <row r="132" spans="2:30" ht="14" x14ac:dyDescent="0.3">
      <c r="B132" s="1872"/>
      <c r="C132" s="1866" t="s">
        <v>390</v>
      </c>
      <c r="D132" s="1867"/>
      <c r="E132" s="1867"/>
      <c r="F132" s="1867"/>
      <c r="G132" s="1868" t="s">
        <v>86</v>
      </c>
      <c r="H132" s="1863" t="s">
        <v>90</v>
      </c>
      <c r="I132" s="1048"/>
      <c r="J132" s="1872"/>
      <c r="K132" s="1866" t="s">
        <v>390</v>
      </c>
      <c r="L132" s="1867"/>
      <c r="M132" s="1867"/>
      <c r="N132" s="1867"/>
      <c r="O132" s="1868" t="s">
        <v>86</v>
      </c>
      <c r="P132" s="1863" t="s">
        <v>90</v>
      </c>
      <c r="Q132" s="1048"/>
      <c r="R132" s="1872"/>
      <c r="S132" s="1866" t="s">
        <v>390</v>
      </c>
      <c r="T132" s="1867"/>
      <c r="U132" s="1867"/>
      <c r="V132" s="1867"/>
      <c r="W132" s="1868" t="s">
        <v>86</v>
      </c>
      <c r="X132" s="1863" t="s">
        <v>90</v>
      </c>
      <c r="Z132" s="164"/>
      <c r="AA132" s="1057"/>
      <c r="AB132" s="1057"/>
      <c r="AC132" s="1058"/>
      <c r="AD132" s="1059"/>
    </row>
    <row r="133" spans="2:30" ht="13" x14ac:dyDescent="0.25">
      <c r="B133" s="1872"/>
      <c r="C133" s="1075" t="s">
        <v>391</v>
      </c>
      <c r="D133" s="1865" t="s">
        <v>88</v>
      </c>
      <c r="E133" s="1865"/>
      <c r="F133" s="1865"/>
      <c r="G133" s="1865"/>
      <c r="H133" s="1864"/>
      <c r="I133" s="1048"/>
      <c r="J133" s="1872"/>
      <c r="K133" s="1075" t="s">
        <v>391</v>
      </c>
      <c r="L133" s="1865" t="s">
        <v>88</v>
      </c>
      <c r="M133" s="1865"/>
      <c r="N133" s="1865"/>
      <c r="O133" s="1865"/>
      <c r="P133" s="1864"/>
      <c r="Q133" s="1048"/>
      <c r="R133" s="1872"/>
      <c r="S133" s="1075" t="s">
        <v>391</v>
      </c>
      <c r="T133" s="1865" t="s">
        <v>88</v>
      </c>
      <c r="U133" s="1865"/>
      <c r="V133" s="1865"/>
      <c r="W133" s="1865"/>
      <c r="X133" s="1864"/>
      <c r="Z133" s="164"/>
      <c r="AA133" s="1057"/>
      <c r="AB133" s="1057"/>
      <c r="AC133" s="1058"/>
      <c r="AD133" s="1059"/>
    </row>
    <row r="134" spans="2:30" ht="14" x14ac:dyDescent="0.25">
      <c r="B134" s="1872"/>
      <c r="C134" s="1076" t="s">
        <v>392</v>
      </c>
      <c r="D134" s="1077">
        <f>D124</f>
        <v>2016</v>
      </c>
      <c r="E134" s="1077">
        <f t="shared" ref="E134:F134" si="81">E124</f>
        <v>2016</v>
      </c>
      <c r="F134" s="1077">
        <f t="shared" si="81"/>
        <v>2021</v>
      </c>
      <c r="G134" s="1865"/>
      <c r="H134" s="1864"/>
      <c r="I134" s="1048"/>
      <c r="J134" s="1872"/>
      <c r="K134" s="1076" t="s">
        <v>392</v>
      </c>
      <c r="L134" s="1077">
        <f>L124</f>
        <v>2016</v>
      </c>
      <c r="M134" s="1077">
        <f t="shared" ref="M134:N134" si="82">M124</f>
        <v>2016</v>
      </c>
      <c r="N134" s="1077">
        <f t="shared" si="82"/>
        <v>2021</v>
      </c>
      <c r="O134" s="1865"/>
      <c r="P134" s="1864"/>
      <c r="Q134" s="1048"/>
      <c r="R134" s="1872"/>
      <c r="S134" s="1076" t="s">
        <v>392</v>
      </c>
      <c r="T134" s="1077">
        <f>T124</f>
        <v>2016</v>
      </c>
      <c r="U134" s="1077">
        <f t="shared" ref="U134:V134" si="83">U124</f>
        <v>2016</v>
      </c>
      <c r="V134" s="1077">
        <f t="shared" si="83"/>
        <v>2021</v>
      </c>
      <c r="W134" s="1865"/>
      <c r="X134" s="1864"/>
      <c r="Z134" s="164"/>
      <c r="AA134" s="1057"/>
      <c r="AB134" s="1057"/>
      <c r="AC134" s="1058"/>
      <c r="AD134" s="1059"/>
    </row>
    <row r="135" spans="2:30" x14ac:dyDescent="0.25">
      <c r="B135" s="1872"/>
      <c r="C135" s="1080">
        <v>0</v>
      </c>
      <c r="D135" s="1052" t="s">
        <v>89</v>
      </c>
      <c r="E135" s="1052" t="s">
        <v>89</v>
      </c>
      <c r="F135" s="1052">
        <v>1.0000000000000001E-5</v>
      </c>
      <c r="G135" s="1050">
        <f>IF(0.5*(MAX(D135:F135)-MIN(D135:F135))=0,0.00001,0.5*(MAX(D135:F135)-MIN(D135:F135)))</f>
        <v>1.0000000000000001E-5</v>
      </c>
      <c r="H135" s="1082">
        <f>C135*$Y$27</f>
        <v>0</v>
      </c>
      <c r="I135" s="1062">
        <f>0.29/100</f>
        <v>2.8999999999999998E-3</v>
      </c>
      <c r="J135" s="1872"/>
      <c r="K135" s="1049">
        <v>0</v>
      </c>
      <c r="L135" s="1052" t="s">
        <v>89</v>
      </c>
      <c r="M135" s="1052" t="s">
        <v>89</v>
      </c>
      <c r="N135" s="1052">
        <v>1.0000000000000001E-5</v>
      </c>
      <c r="O135" s="1050">
        <f>IF(0.5*(MAX(L135:N135)-MIN(L135:N135))=0,0.00001,0.5*(MAX(L135:N135)-MIN(L135:N135)))</f>
        <v>1.0000000000000001E-5</v>
      </c>
      <c r="P135" s="1082">
        <f>K135*$Y$27</f>
        <v>0</v>
      </c>
      <c r="Q135" s="1062">
        <f>0.29/100</f>
        <v>2.8999999999999998E-3</v>
      </c>
      <c r="R135" s="1872"/>
      <c r="S135" s="1049">
        <v>0</v>
      </c>
      <c r="T135" s="1052" t="s">
        <v>89</v>
      </c>
      <c r="U135" s="1052" t="s">
        <v>89</v>
      </c>
      <c r="V135" s="1052">
        <v>1.0000000000000001E-5</v>
      </c>
      <c r="W135" s="1050">
        <f>IF(0.5*(MAX(T135:V135)-MIN(T135:V135))=0,0.00001,0.5*(MAX(T135:V135)-MIN(T135:V135)))</f>
        <v>1.0000000000000001E-5</v>
      </c>
      <c r="X135" s="1082">
        <f>S135*$Y$27</f>
        <v>0</v>
      </c>
      <c r="Y135" s="159">
        <f>0.29/100</f>
        <v>2.8999999999999998E-3</v>
      </c>
      <c r="Z135" s="164"/>
      <c r="AA135" s="1057"/>
      <c r="AB135" s="1057"/>
      <c r="AC135" s="1058"/>
      <c r="AD135" s="1059"/>
    </row>
    <row r="136" spans="2:30" x14ac:dyDescent="0.25">
      <c r="B136" s="1872"/>
      <c r="C136" s="1080">
        <v>5</v>
      </c>
      <c r="D136" s="1052" t="s">
        <v>89</v>
      </c>
      <c r="E136" s="1052" t="s">
        <v>89</v>
      </c>
      <c r="F136" s="1052">
        <v>1.0000000000000001E-5</v>
      </c>
      <c r="G136" s="1050">
        <f t="shared" ref="G136:G143" si="84">IF(0.5*(MAX(D136:F136)-MIN(D136:F136))=0,0.00001,0.5*(MAX(D136:F136)-MIN(D136:F136)))</f>
        <v>1.0000000000000001E-5</v>
      </c>
      <c r="H136" s="1082">
        <f t="shared" ref="H136:H143" si="85">C136*$Y$27</f>
        <v>1.4499999999999999E-2</v>
      </c>
      <c r="I136" s="1047"/>
      <c r="J136" s="1872"/>
      <c r="K136" s="1049">
        <v>5</v>
      </c>
      <c r="L136" s="1052" t="s">
        <v>89</v>
      </c>
      <c r="M136" s="1052" t="s">
        <v>89</v>
      </c>
      <c r="N136" s="1052">
        <v>1.0000000000000001E-5</v>
      </c>
      <c r="O136" s="1050">
        <f t="shared" ref="O136:O143" si="86">IF(0.5*(MAX(L136:N136)-MIN(L136:N136))=0,0.00001,0.5*(MAX(L136:N136)-MIN(L136:N136)))</f>
        <v>1.0000000000000001E-5</v>
      </c>
      <c r="P136" s="1082">
        <f t="shared" ref="P136:P143" si="87">K136*$Y$27</f>
        <v>1.4499999999999999E-2</v>
      </c>
      <c r="Q136" s="1047"/>
      <c r="R136" s="1872"/>
      <c r="S136" s="1049">
        <v>5</v>
      </c>
      <c r="T136" s="1052" t="s">
        <v>89</v>
      </c>
      <c r="U136" s="1052" t="s">
        <v>89</v>
      </c>
      <c r="V136" s="1052">
        <v>1.0000000000000001E-5</v>
      </c>
      <c r="W136" s="1050">
        <f t="shared" ref="W136:W143" si="88">IF(0.5*(MAX(T136:V136)-MIN(T136:V136))=0,0.00001,0.5*(MAX(T136:V136)-MIN(T136:V136)))</f>
        <v>1.0000000000000001E-5</v>
      </c>
      <c r="X136" s="1082">
        <f t="shared" ref="X136:X143" si="89">S136*$Y$27</f>
        <v>1.4499999999999999E-2</v>
      </c>
      <c r="Z136" s="164"/>
      <c r="AA136" s="1057"/>
      <c r="AB136" s="1057"/>
      <c r="AC136" s="1058"/>
      <c r="AD136" s="1059"/>
    </row>
    <row r="137" spans="2:30" x14ac:dyDescent="0.25">
      <c r="B137" s="1872"/>
      <c r="C137" s="1080">
        <v>10</v>
      </c>
      <c r="D137" s="1052" t="s">
        <v>89</v>
      </c>
      <c r="E137" s="1052" t="s">
        <v>89</v>
      </c>
      <c r="F137" s="1052">
        <v>1.0000000000000001E-5</v>
      </c>
      <c r="G137" s="1050">
        <f t="shared" si="84"/>
        <v>1.0000000000000001E-5</v>
      </c>
      <c r="H137" s="1082">
        <f t="shared" si="85"/>
        <v>2.8999999999999998E-2</v>
      </c>
      <c r="I137" s="1047"/>
      <c r="J137" s="1872"/>
      <c r="K137" s="1049">
        <v>10</v>
      </c>
      <c r="L137" s="1052" t="s">
        <v>89</v>
      </c>
      <c r="M137" s="1052" t="s">
        <v>89</v>
      </c>
      <c r="N137" s="1052">
        <v>1.0000000000000001E-5</v>
      </c>
      <c r="O137" s="1050">
        <f t="shared" si="86"/>
        <v>1.0000000000000001E-5</v>
      </c>
      <c r="P137" s="1082">
        <f t="shared" si="87"/>
        <v>2.8999999999999998E-2</v>
      </c>
      <c r="Q137" s="1047"/>
      <c r="R137" s="1872"/>
      <c r="S137" s="1049">
        <v>10</v>
      </c>
      <c r="T137" s="1052" t="s">
        <v>89</v>
      </c>
      <c r="U137" s="1052" t="s">
        <v>89</v>
      </c>
      <c r="V137" s="1052">
        <v>1.0000000000000001E-5</v>
      </c>
      <c r="W137" s="1050">
        <f t="shared" si="88"/>
        <v>1.0000000000000001E-5</v>
      </c>
      <c r="X137" s="1082">
        <f t="shared" si="89"/>
        <v>2.8999999999999998E-2</v>
      </c>
      <c r="Z137" s="164"/>
      <c r="AA137" s="1057"/>
      <c r="AB137" s="1057"/>
      <c r="AC137" s="1058"/>
      <c r="AD137" s="1059"/>
    </row>
    <row r="138" spans="2:30" x14ac:dyDescent="0.25">
      <c r="B138" s="1872"/>
      <c r="C138" s="1080">
        <v>25</v>
      </c>
      <c r="D138" s="1052" t="s">
        <v>89</v>
      </c>
      <c r="E138" s="1052" t="s">
        <v>89</v>
      </c>
      <c r="F138" s="1052">
        <v>1.0000000000000001E-5</v>
      </c>
      <c r="G138" s="1050">
        <f t="shared" si="84"/>
        <v>1.0000000000000001E-5</v>
      </c>
      <c r="H138" s="1082">
        <f t="shared" si="85"/>
        <v>7.2499999999999995E-2</v>
      </c>
      <c r="I138" s="1047"/>
      <c r="J138" s="1872"/>
      <c r="K138" s="1049">
        <v>25</v>
      </c>
      <c r="L138" s="1052" t="s">
        <v>89</v>
      </c>
      <c r="M138" s="1052" t="s">
        <v>89</v>
      </c>
      <c r="N138" s="1052">
        <v>1.0000000000000001E-5</v>
      </c>
      <c r="O138" s="1050">
        <f t="shared" si="86"/>
        <v>1.0000000000000001E-5</v>
      </c>
      <c r="P138" s="1082">
        <f t="shared" si="87"/>
        <v>7.2499999999999995E-2</v>
      </c>
      <c r="Q138" s="1047"/>
      <c r="R138" s="1872"/>
      <c r="S138" s="1049">
        <v>25</v>
      </c>
      <c r="T138" s="1052" t="s">
        <v>89</v>
      </c>
      <c r="U138" s="1052" t="s">
        <v>89</v>
      </c>
      <c r="V138" s="1052">
        <v>1.0000000000000001E-5</v>
      </c>
      <c r="W138" s="1050">
        <f t="shared" si="88"/>
        <v>1.0000000000000001E-5</v>
      </c>
      <c r="X138" s="1082">
        <f t="shared" si="89"/>
        <v>7.2499999999999995E-2</v>
      </c>
      <c r="Z138" s="164"/>
      <c r="AA138" s="1057"/>
      <c r="AB138" s="1057"/>
      <c r="AC138" s="1058"/>
      <c r="AD138" s="1059"/>
    </row>
    <row r="139" spans="2:30" x14ac:dyDescent="0.25">
      <c r="B139" s="1872"/>
      <c r="C139" s="1080">
        <v>50</v>
      </c>
      <c r="D139" s="1052" t="s">
        <v>89</v>
      </c>
      <c r="E139" s="1052" t="s">
        <v>89</v>
      </c>
      <c r="F139" s="1052">
        <v>1.0000000000000001E-5</v>
      </c>
      <c r="G139" s="1050">
        <f t="shared" si="84"/>
        <v>1.0000000000000001E-5</v>
      </c>
      <c r="H139" s="1082">
        <f t="shared" si="85"/>
        <v>0.14499999999999999</v>
      </c>
      <c r="I139" s="1047"/>
      <c r="J139" s="1872"/>
      <c r="K139" s="1049">
        <v>50</v>
      </c>
      <c r="L139" s="1052" t="s">
        <v>89</v>
      </c>
      <c r="M139" s="1052" t="s">
        <v>89</v>
      </c>
      <c r="N139" s="1052">
        <v>1.0000000000000001E-5</v>
      </c>
      <c r="O139" s="1050">
        <f t="shared" si="86"/>
        <v>1.0000000000000001E-5</v>
      </c>
      <c r="P139" s="1082">
        <f t="shared" si="87"/>
        <v>0.14499999999999999</v>
      </c>
      <c r="Q139" s="1047"/>
      <c r="R139" s="1872"/>
      <c r="S139" s="1049">
        <v>50</v>
      </c>
      <c r="T139" s="1052" t="s">
        <v>89</v>
      </c>
      <c r="U139" s="1052" t="s">
        <v>89</v>
      </c>
      <c r="V139" s="1052">
        <v>1.0000000000000001E-5</v>
      </c>
      <c r="W139" s="1050">
        <f t="shared" si="88"/>
        <v>1.0000000000000001E-5</v>
      </c>
      <c r="X139" s="1082">
        <f t="shared" si="89"/>
        <v>0.14499999999999999</v>
      </c>
      <c r="Z139" s="164"/>
      <c r="AA139" s="1057"/>
      <c r="AB139" s="1057"/>
      <c r="AC139" s="1058"/>
      <c r="AD139" s="1059"/>
    </row>
    <row r="140" spans="2:30" x14ac:dyDescent="0.25">
      <c r="B140" s="1872"/>
      <c r="C140" s="1080">
        <v>100</v>
      </c>
      <c r="D140" s="1052" t="s">
        <v>89</v>
      </c>
      <c r="E140" s="1052" t="s">
        <v>89</v>
      </c>
      <c r="F140" s="1052">
        <v>1.0000000000000001E-5</v>
      </c>
      <c r="G140" s="1050">
        <f t="shared" si="84"/>
        <v>1.0000000000000001E-5</v>
      </c>
      <c r="H140" s="1082">
        <f t="shared" si="85"/>
        <v>0.28999999999999998</v>
      </c>
      <c r="I140" s="1047"/>
      <c r="J140" s="1872"/>
      <c r="K140" s="1049">
        <v>100</v>
      </c>
      <c r="L140" s="1052" t="s">
        <v>89</v>
      </c>
      <c r="M140" s="1052" t="s">
        <v>89</v>
      </c>
      <c r="N140" s="1052">
        <v>1.0000000000000001E-5</v>
      </c>
      <c r="O140" s="1050">
        <f t="shared" si="86"/>
        <v>1.0000000000000001E-5</v>
      </c>
      <c r="P140" s="1082">
        <f t="shared" si="87"/>
        <v>0.28999999999999998</v>
      </c>
      <c r="Q140" s="1047"/>
      <c r="R140" s="1872"/>
      <c r="S140" s="1049">
        <v>100</v>
      </c>
      <c r="T140" s="1052" t="s">
        <v>89</v>
      </c>
      <c r="U140" s="1052" t="s">
        <v>89</v>
      </c>
      <c r="V140" s="1052">
        <v>1.0000000000000001E-5</v>
      </c>
      <c r="W140" s="1050">
        <f t="shared" si="88"/>
        <v>1.0000000000000001E-5</v>
      </c>
      <c r="X140" s="1082">
        <f t="shared" si="89"/>
        <v>0.28999999999999998</v>
      </c>
      <c r="Z140" s="164"/>
      <c r="AA140" s="1057"/>
      <c r="AB140" s="1057"/>
      <c r="AC140" s="1058"/>
      <c r="AD140" s="1059"/>
    </row>
    <row r="141" spans="2:30" x14ac:dyDescent="0.25">
      <c r="B141" s="1872"/>
      <c r="C141" s="1080">
        <v>250</v>
      </c>
      <c r="D141" s="1052" t="s">
        <v>89</v>
      </c>
      <c r="E141" s="1052" t="s">
        <v>89</v>
      </c>
      <c r="F141" s="1052">
        <v>1.0000000000000001E-5</v>
      </c>
      <c r="G141" s="1050">
        <f t="shared" si="84"/>
        <v>1.0000000000000001E-5</v>
      </c>
      <c r="H141" s="1082">
        <f t="shared" si="85"/>
        <v>0.72499999999999998</v>
      </c>
      <c r="I141" s="1047"/>
      <c r="J141" s="1872"/>
      <c r="K141" s="1049">
        <v>250</v>
      </c>
      <c r="L141" s="1052" t="s">
        <v>89</v>
      </c>
      <c r="M141" s="1052" t="s">
        <v>89</v>
      </c>
      <c r="N141" s="1052">
        <v>1.0000000000000001E-5</v>
      </c>
      <c r="O141" s="1050">
        <f t="shared" si="86"/>
        <v>1.0000000000000001E-5</v>
      </c>
      <c r="P141" s="1082">
        <f t="shared" si="87"/>
        <v>0.72499999999999998</v>
      </c>
      <c r="Q141" s="1047"/>
      <c r="R141" s="1872"/>
      <c r="S141" s="1049">
        <v>250</v>
      </c>
      <c r="T141" s="1052" t="s">
        <v>89</v>
      </c>
      <c r="U141" s="1052" t="s">
        <v>89</v>
      </c>
      <c r="V141" s="1052">
        <v>1.0000000000000001E-5</v>
      </c>
      <c r="W141" s="1050">
        <f t="shared" si="88"/>
        <v>1.0000000000000001E-5</v>
      </c>
      <c r="X141" s="1082">
        <f t="shared" si="89"/>
        <v>0.72499999999999998</v>
      </c>
      <c r="Z141" s="164"/>
      <c r="AA141" s="1057"/>
      <c r="AB141" s="1057"/>
      <c r="AC141" s="1058"/>
      <c r="AD141" s="1059"/>
    </row>
    <row r="142" spans="2:30" x14ac:dyDescent="0.25">
      <c r="B142" s="1872"/>
      <c r="C142" s="1080">
        <v>500</v>
      </c>
      <c r="D142" s="1052" t="s">
        <v>89</v>
      </c>
      <c r="E142" s="1052" t="s">
        <v>89</v>
      </c>
      <c r="F142" s="1052">
        <v>1.0000000000000001E-5</v>
      </c>
      <c r="G142" s="1050">
        <f t="shared" si="84"/>
        <v>1.0000000000000001E-5</v>
      </c>
      <c r="H142" s="1082">
        <f t="shared" si="85"/>
        <v>1.45</v>
      </c>
      <c r="I142" s="1047"/>
      <c r="J142" s="1872"/>
      <c r="K142" s="1049">
        <v>500</v>
      </c>
      <c r="L142" s="1052" t="s">
        <v>89</v>
      </c>
      <c r="M142" s="1052" t="s">
        <v>89</v>
      </c>
      <c r="N142" s="1052">
        <v>1.0000000000000001E-5</v>
      </c>
      <c r="O142" s="1050">
        <f t="shared" si="86"/>
        <v>1.0000000000000001E-5</v>
      </c>
      <c r="P142" s="1082">
        <f t="shared" si="87"/>
        <v>1.45</v>
      </c>
      <c r="Q142" s="1047"/>
      <c r="R142" s="1872"/>
      <c r="S142" s="1049">
        <v>500</v>
      </c>
      <c r="T142" s="1052" t="s">
        <v>89</v>
      </c>
      <c r="U142" s="1052" t="s">
        <v>89</v>
      </c>
      <c r="V142" s="1052">
        <v>1.0000000000000001E-5</v>
      </c>
      <c r="W142" s="1050">
        <f t="shared" si="88"/>
        <v>1.0000000000000001E-5</v>
      </c>
      <c r="X142" s="1082">
        <f t="shared" si="89"/>
        <v>1.45</v>
      </c>
      <c r="Z142" s="164"/>
      <c r="AA142" s="1057"/>
      <c r="AB142" s="1057"/>
      <c r="AC142" s="1058"/>
      <c r="AD142" s="1059"/>
    </row>
    <row r="143" spans="2:30" ht="13" thickBot="1" x14ac:dyDescent="0.3">
      <c r="B143" s="1873"/>
      <c r="C143" s="1083">
        <v>1000</v>
      </c>
      <c r="D143" s="1084" t="s">
        <v>89</v>
      </c>
      <c r="E143" s="1084" t="s">
        <v>89</v>
      </c>
      <c r="F143" s="1084">
        <v>1.0000000000000001E-5</v>
      </c>
      <c r="G143" s="1085">
        <f t="shared" si="84"/>
        <v>1.0000000000000001E-5</v>
      </c>
      <c r="H143" s="1086">
        <f t="shared" si="85"/>
        <v>2.9</v>
      </c>
      <c r="I143" s="1047"/>
      <c r="J143" s="1873"/>
      <c r="K143" s="1089">
        <v>1000</v>
      </c>
      <c r="L143" s="1084" t="s">
        <v>89</v>
      </c>
      <c r="M143" s="1084" t="s">
        <v>89</v>
      </c>
      <c r="N143" s="1084">
        <v>1.0000000000000001E-5</v>
      </c>
      <c r="O143" s="1085">
        <f t="shared" si="86"/>
        <v>1.0000000000000001E-5</v>
      </c>
      <c r="P143" s="1086">
        <f t="shared" si="87"/>
        <v>2.9</v>
      </c>
      <c r="Q143" s="1047"/>
      <c r="R143" s="1873"/>
      <c r="S143" s="1089">
        <v>1000</v>
      </c>
      <c r="T143" s="1084" t="s">
        <v>89</v>
      </c>
      <c r="U143" s="1084" t="s">
        <v>89</v>
      </c>
      <c r="V143" s="1084">
        <v>1.0000000000000001E-5</v>
      </c>
      <c r="W143" s="1085">
        <f t="shared" si="88"/>
        <v>1.0000000000000001E-5</v>
      </c>
      <c r="X143" s="1086">
        <f t="shared" si="89"/>
        <v>2.9</v>
      </c>
      <c r="Z143" s="164"/>
      <c r="AA143" s="1057"/>
      <c r="AB143" s="1057"/>
      <c r="AC143" s="1058"/>
      <c r="AD143" s="1059"/>
    </row>
    <row r="144" spans="2:30" x14ac:dyDescent="0.25">
      <c r="C144" s="164"/>
      <c r="D144" s="1057"/>
      <c r="E144" s="1057"/>
      <c r="F144" s="1057"/>
      <c r="G144" s="1058"/>
      <c r="H144" s="1059"/>
      <c r="I144" s="1059"/>
      <c r="K144" s="164"/>
      <c r="L144" s="1057"/>
      <c r="M144" s="1057"/>
      <c r="N144" s="1057"/>
      <c r="O144" s="1058"/>
      <c r="P144" s="1059"/>
      <c r="Q144" s="1059"/>
      <c r="S144" s="164"/>
      <c r="T144" s="1057"/>
      <c r="U144" s="1057"/>
      <c r="V144" s="1057"/>
      <c r="W144" s="1058"/>
      <c r="X144" s="1059"/>
      <c r="Z144" s="164"/>
      <c r="AA144" s="1057"/>
      <c r="AB144" s="1057"/>
      <c r="AC144" s="1058"/>
      <c r="AD144" s="1059"/>
    </row>
    <row r="145" spans="2:32" x14ac:dyDescent="0.25">
      <c r="C145" s="164"/>
      <c r="D145" s="1057"/>
      <c r="E145" s="1057"/>
      <c r="F145" s="1057"/>
      <c r="G145" s="1058"/>
      <c r="H145" s="1059"/>
      <c r="I145" s="1059"/>
      <c r="K145" s="164"/>
      <c r="L145" s="1057"/>
      <c r="M145" s="1057"/>
      <c r="N145" s="1057"/>
      <c r="O145" s="1058"/>
      <c r="P145" s="1059"/>
      <c r="Q145" s="1059"/>
      <c r="S145" s="164"/>
      <c r="T145" s="1057"/>
      <c r="U145" s="1057"/>
      <c r="V145" s="1057"/>
      <c r="W145" s="1058"/>
      <c r="X145" s="1059"/>
      <c r="Z145" s="164"/>
      <c r="AA145" s="1057"/>
      <c r="AB145" s="1057"/>
      <c r="AC145" s="1058"/>
      <c r="AD145" s="1059"/>
    </row>
    <row r="146" spans="2:32" x14ac:dyDescent="0.25">
      <c r="C146" s="164"/>
      <c r="D146" s="1057"/>
      <c r="E146" s="1057"/>
      <c r="F146" s="1057"/>
      <c r="G146" s="1058"/>
      <c r="H146" s="1059"/>
      <c r="I146" s="1059"/>
      <c r="K146" s="164"/>
      <c r="L146" s="1057"/>
      <c r="M146" s="1057"/>
      <c r="N146" s="1057"/>
      <c r="O146" s="1058"/>
      <c r="P146" s="1059"/>
      <c r="Q146" s="1059"/>
      <c r="S146" s="164"/>
      <c r="T146" s="1057"/>
      <c r="U146" s="1057"/>
      <c r="V146" s="1057"/>
      <c r="W146" s="1058"/>
      <c r="X146" s="1059"/>
      <c r="Z146" s="164"/>
      <c r="AA146" s="1057"/>
      <c r="AB146" s="1057"/>
      <c r="AC146" s="1058"/>
      <c r="AD146" s="1059"/>
    </row>
    <row r="147" spans="2:32" x14ac:dyDescent="0.25">
      <c r="K147" s="164"/>
      <c r="L147" s="1057"/>
      <c r="M147" s="1057"/>
      <c r="N147" s="1057"/>
      <c r="O147" s="1058"/>
      <c r="P147" s="1059"/>
      <c r="Q147" s="1059"/>
      <c r="S147" s="164"/>
      <c r="T147" s="1057"/>
      <c r="U147" s="1057"/>
      <c r="V147" s="1057"/>
      <c r="W147" s="1058"/>
      <c r="X147" s="1059"/>
      <c r="Z147" s="164"/>
      <c r="AA147" s="1057"/>
      <c r="AB147" s="1057"/>
      <c r="AC147" s="1058"/>
      <c r="AD147" s="1059"/>
    </row>
    <row r="148" spans="2:32" x14ac:dyDescent="0.25">
      <c r="K148" s="164"/>
      <c r="L148" s="1057"/>
      <c r="M148" s="1057"/>
      <c r="N148" s="1057"/>
      <c r="O148" s="1058"/>
      <c r="P148" s="1059"/>
      <c r="Q148" s="1059"/>
      <c r="S148" s="164"/>
      <c r="T148" s="1057"/>
      <c r="U148" s="1057"/>
      <c r="V148" s="1057"/>
      <c r="W148" s="1058"/>
      <c r="X148" s="1059"/>
      <c r="Z148" s="164"/>
      <c r="AA148" s="1057"/>
      <c r="AB148" s="1057"/>
      <c r="AC148" s="1058"/>
      <c r="AD148" s="1059"/>
    </row>
    <row r="149" spans="2:32" x14ac:dyDescent="0.25">
      <c r="K149" s="164"/>
      <c r="L149" s="1057"/>
      <c r="M149" s="1057"/>
      <c r="N149" s="1057"/>
      <c r="O149" s="1058"/>
      <c r="P149" s="1059"/>
      <c r="Q149" s="1059"/>
      <c r="S149" s="164"/>
      <c r="T149" s="1057"/>
      <c r="U149" s="1057"/>
      <c r="V149" s="1057"/>
      <c r="W149" s="1058"/>
      <c r="X149" s="1059"/>
      <c r="Z149" s="164"/>
      <c r="AA149" s="1057"/>
      <c r="AB149" s="1057"/>
      <c r="AC149" s="1058"/>
      <c r="AD149" s="1059"/>
    </row>
    <row r="150" spans="2:32" ht="13" thickBot="1" x14ac:dyDescent="0.3">
      <c r="K150" s="164"/>
      <c r="L150" s="1057"/>
      <c r="M150" s="1057"/>
      <c r="N150" s="1057"/>
      <c r="O150" s="1058"/>
      <c r="P150" s="1059"/>
      <c r="Q150" s="1059"/>
      <c r="S150" s="164"/>
      <c r="T150" s="1057"/>
      <c r="U150" s="1057"/>
      <c r="V150" s="1057"/>
      <c r="W150" s="1058"/>
      <c r="X150" s="1059"/>
      <c r="Z150" s="164"/>
      <c r="AA150" s="1057"/>
      <c r="AB150" s="1057"/>
      <c r="AC150" s="1058"/>
      <c r="AD150" s="1059"/>
    </row>
    <row r="151" spans="2:32" ht="57" customHeight="1" x14ac:dyDescent="0.25">
      <c r="B151" s="1858">
        <f>IF($L$161=$L$162,B2,IF($L$161=$L$163,J2,IF($L$161=$L$164,R2,IF($L$161=$L$165,B38,IF($L$161=$L$166,J38,IF($L$161=$L$167,R38,IF($L$161=$L$168,B74,IF($L$161=$L$169,J74,IF($L$161=$L$170,R74,IF($L$161=$L$171,B110,IF($L$161=$L$172,J110,R110)))))))))))</f>
        <v>4</v>
      </c>
      <c r="C151" s="1861" t="str">
        <f>IF($L$161=$L$162,C2,IF($L$161=$L$163,K2,IF($L$161=$L$164,S2,IF($L$161=$L$165,C38,IF($L$161=$L$166,K38,IF($L$161=$L$167,S38,IF($L$161=$L$168,C74,IF($L$161=$L$169,K74,IF($L$161=$L$170,S74,IF($L$161=$L$171,C110,IF($L$161=$L$172,K110,S110)))))))))))</f>
        <v>Medical Scope Meter, Merk : Fluke, Model 190M-4, SN : 48832901 CH : B</v>
      </c>
      <c r="D151" s="1862"/>
      <c r="E151" s="1862"/>
      <c r="F151" s="1862"/>
      <c r="G151" s="1862"/>
      <c r="H151" s="1862"/>
      <c r="I151" s="1063"/>
      <c r="K151" s="1117"/>
      <c r="L151" s="1117"/>
      <c r="M151" s="1111"/>
      <c r="N151" s="1117"/>
      <c r="O151" s="1118"/>
      <c r="P151" s="1118"/>
      <c r="Q151" s="1112"/>
      <c r="R151" s="1130"/>
      <c r="S151" s="1111"/>
      <c r="T151" s="1111"/>
      <c r="U151" s="1111"/>
      <c r="V151" s="1112"/>
      <c r="W151" s="1111"/>
      <c r="X151" s="1111"/>
      <c r="Y151" s="1111"/>
      <c r="Z151" s="1111"/>
      <c r="AA151" s="1111"/>
      <c r="AB151" s="1122"/>
      <c r="AC151" s="1111"/>
      <c r="AD151" s="1122"/>
      <c r="AE151" s="1111"/>
      <c r="AF151" s="1111"/>
    </row>
    <row r="152" spans="2:32" ht="22.5" customHeight="1" x14ac:dyDescent="0.25">
      <c r="B152" s="1859"/>
      <c r="C152" s="1851" t="str">
        <f t="shared" ref="C152:C184" si="90">IF($L$161=$L$162,C3,IF($L$161=$L$163,K3,IF($L$161=$L$164,S3,IF($L$161=$L$165,C39,IF($L$161=$L$166,K39,IF($L$161=$L$167,S39,IF($L$161=$L$168,C75,IF($L$161=$L$169,K75,IF($L$161=$L$170,S75,IF($L$161=$L$171,C111,IF($L$161=$L$172,K111,S111)))))))))))</f>
        <v>KOREKSI VOLT/DIVISION</v>
      </c>
      <c r="D152" s="1852"/>
      <c r="E152" s="1852"/>
      <c r="F152" s="1853"/>
      <c r="G152" s="1064" t="str">
        <f>IF($L$161=$L$162,G3,IF($L$161=$L$163,O3,IF($L$161=$L$164,W3,IF($L$161=$L$165,G39,IF($L$161=$L$166,O39,IF($L$161=$L$167,W39,IF($L$161=$L$168,G75,IF($L$161=$L$169,O75,IF($L$161=$L$170,W75,IF($L$161=$L$171,G111,IF($L$161=$L$172,O111,W111)))))))))))</f>
        <v>DRIFT</v>
      </c>
      <c r="H152" s="1064" t="str">
        <f>IF($L$161=$L$162,H3,IF($L$161=$L$163,P3,IF($L$161=$L$164,X3,IF($L$161=$L$165,H39,IF($L$161=$L$166,P39,IF($L$161=$L$167,X39,IF($L$161=$L$168,H75,IF($L$161=$L$169,P75,IF($L$161=$L$170,X75,IF($L$161=$L$171,H111,IF($L$161=$L$172,P111,X111)))))))))))</f>
        <v>U95</v>
      </c>
      <c r="I152" s="1065"/>
      <c r="K152" s="1117"/>
      <c r="L152" s="1117"/>
      <c r="M152" s="1111"/>
      <c r="N152" s="1117"/>
      <c r="O152" s="1118"/>
      <c r="P152" s="1118"/>
      <c r="Q152" s="1112"/>
      <c r="R152" s="1130"/>
      <c r="S152" s="1124"/>
      <c r="T152" s="1124"/>
      <c r="U152" s="1124"/>
      <c r="V152" s="1123"/>
      <c r="W152" s="1124"/>
      <c r="X152" s="1124"/>
      <c r="Y152" s="1125"/>
      <c r="Z152" s="1126"/>
      <c r="AA152" s="1124"/>
      <c r="AB152" s="1127"/>
      <c r="AC152" s="1127"/>
      <c r="AD152" s="1131"/>
      <c r="AE152" s="1123"/>
      <c r="AF152" s="1128"/>
    </row>
    <row r="153" spans="2:32" ht="15.75" customHeight="1" x14ac:dyDescent="0.25">
      <c r="B153" s="1859"/>
      <c r="C153" s="1066" t="str">
        <f t="shared" si="90"/>
        <v>Setting Volt</v>
      </c>
      <c r="D153" s="1854" t="str">
        <f t="shared" ref="D153:D162" si="91">IF($L$161=$L$162,D4,IF($L$161=$L$163,L4,IF($L$161=$L$164,T4,IF($L$161=$L$165,D40,IF($L$161=$L$166,L40,IF($L$161=$L$167,T40,IF($L$161=$L$168,D76,IF($L$161=$L$169,L76,IF($L$161=$L$170,T76,IF($L$161=$L$171,D112,IF($L$161=$L$172,L112,T112)))))))))))</f>
        <v>Tahun</v>
      </c>
      <c r="E153" s="1855"/>
      <c r="F153" s="1856"/>
      <c r="G153" s="1064"/>
      <c r="H153" s="1064"/>
      <c r="I153" s="1065"/>
      <c r="K153" s="1117"/>
      <c r="L153" s="1117"/>
      <c r="M153" s="1111"/>
      <c r="N153" s="1117"/>
      <c r="O153" s="1118"/>
      <c r="P153" s="1118"/>
      <c r="Q153" s="1112"/>
      <c r="R153" s="1130"/>
      <c r="S153" s="1124"/>
      <c r="T153" s="1124"/>
      <c r="U153" s="1124"/>
      <c r="V153" s="1123"/>
      <c r="W153" s="1124"/>
      <c r="X153" s="1124"/>
      <c r="Y153" s="1125"/>
      <c r="Z153" s="1126"/>
      <c r="AA153" s="1124"/>
      <c r="AB153" s="1127"/>
      <c r="AC153" s="1127"/>
      <c r="AD153" s="1131"/>
      <c r="AE153" s="1123"/>
      <c r="AF153" s="1129"/>
    </row>
    <row r="154" spans="2:32" ht="15.75" customHeight="1" x14ac:dyDescent="0.25">
      <c r="B154" s="1859"/>
      <c r="C154" s="1066" t="str">
        <f t="shared" si="90"/>
        <v>V</v>
      </c>
      <c r="D154" s="1064">
        <f t="shared" si="91"/>
        <v>2016</v>
      </c>
      <c r="E154" s="1064">
        <f t="shared" ref="E154:E162" si="92">IF($L$161=$L$162,E5,IF($L$161=$L$163,M5,IF($L$161=$L$164,U5,IF($L$161=$L$165,E41,IF($L$161=$L$166,M41,IF($L$161=$L$167,U41,IF($L$161=$L$168,E77,IF($L$161=$L$169,M77,IF($L$161=$L$170,U77,IF($L$161=$L$171,E113,IF($L$161=$L$172,M113,U113)))))))))))</f>
        <v>2016</v>
      </c>
      <c r="F154" s="1064">
        <f t="shared" ref="F154:F162" si="93">IF($L$161=$L$162,F5,IF($L$161=$L$163,N5,IF($L$161=$L$164,V5,IF($L$161=$L$165,F41,IF($L$161=$L$166,N41,IF($L$161=$L$167,V41,IF($L$161=$L$168,F77,IF($L$161=$L$169,N77,IF($L$161=$L$170,V77,IF($L$161=$L$171,F113,IF($L$161=$L$172,N113,V113)))))))))))</f>
        <v>2021</v>
      </c>
      <c r="G154" s="1064"/>
      <c r="H154" s="1064"/>
      <c r="I154" s="1065"/>
      <c r="K154" s="1113"/>
      <c r="L154" s="1114"/>
      <c r="M154" s="1114"/>
      <c r="N154" s="1115"/>
      <c r="O154" s="1116"/>
      <c r="P154" s="1116"/>
      <c r="Q154" s="1116"/>
      <c r="R154" s="1130"/>
      <c r="S154" s="1124"/>
      <c r="T154" s="1124"/>
      <c r="U154" s="1124"/>
      <c r="V154" s="1123"/>
      <c r="W154" s="1124"/>
      <c r="X154" s="1124"/>
      <c r="Y154" s="1125"/>
      <c r="Z154" s="1126"/>
      <c r="AA154" s="1124"/>
      <c r="AB154" s="1127"/>
      <c r="AC154" s="1127"/>
      <c r="AD154" s="1131"/>
      <c r="AE154" s="1123"/>
      <c r="AF154" s="1128"/>
    </row>
    <row r="155" spans="2:32" ht="15.75" customHeight="1" x14ac:dyDescent="0.25">
      <c r="B155" s="1859"/>
      <c r="C155" s="1066">
        <f t="shared" si="90"/>
        <v>0</v>
      </c>
      <c r="D155" s="1067" t="str">
        <f t="shared" si="91"/>
        <v>-</v>
      </c>
      <c r="E155" s="1067" t="str">
        <f t="shared" si="92"/>
        <v>-</v>
      </c>
      <c r="F155" s="1067">
        <f t="shared" si="93"/>
        <v>1.0000000000000001E-5</v>
      </c>
      <c r="G155" s="1067">
        <f t="shared" ref="G155:G163" si="94">IF($L$161=$L$162,G6,IF($L$161=$L$163,O6,IF($L$161=$L$164,W6,IF($L$161=$L$165,G42,IF($L$161=$L$166,O42,IF($L$161=$L$167,W42,IF($L$161=$L$168,G78,IF($L$161=$L$169,O78,IF($L$161=$L$170,W78,IF($L$161=$L$171,G114,IF($L$161=$L$172,O114,W114)))))))))))</f>
        <v>1.0000000000000001E-5</v>
      </c>
      <c r="H155" s="1067">
        <f t="shared" ref="H155:H163" si="95">IF($L$161=$L$162,H6,IF($L$161=$L$163,P6,IF($L$161=$L$164,X6,IF($L$161=$L$165,H42,IF($L$161=$L$166,P42,IF($L$161=$L$167,X42,IF($L$161=$L$168,H78,IF($L$161=$L$169,P78,IF($L$161=$L$170,X78,IF($L$161=$L$171,H114,IF($L$161=$L$172,P114,X114)))))))))))</f>
        <v>0</v>
      </c>
      <c r="I155" s="1058"/>
      <c r="K155" s="1113"/>
      <c r="L155" s="1114"/>
      <c r="M155" s="1114"/>
      <c r="N155" s="1115"/>
      <c r="O155" s="1116"/>
      <c r="P155" s="1116"/>
      <c r="Q155" s="1116"/>
      <c r="R155" s="1130"/>
      <c r="S155" s="1124"/>
      <c r="T155" s="1124"/>
      <c r="U155" s="1124"/>
      <c r="V155" s="1123"/>
      <c r="W155" s="1124"/>
      <c r="X155" s="1124"/>
      <c r="Y155" s="1125"/>
      <c r="Z155" s="1126"/>
      <c r="AA155" s="1124"/>
      <c r="AB155" s="1127"/>
      <c r="AC155" s="1127"/>
      <c r="AD155" s="1131"/>
      <c r="AE155" s="1123"/>
      <c r="AF155" s="1129"/>
    </row>
    <row r="156" spans="2:32" ht="15.75" customHeight="1" x14ac:dyDescent="0.25">
      <c r="B156" s="1859"/>
      <c r="C156" s="1066">
        <f t="shared" si="90"/>
        <v>1</v>
      </c>
      <c r="D156" s="1067" t="str">
        <f t="shared" si="91"/>
        <v>-</v>
      </c>
      <c r="E156" s="1067" t="str">
        <f t="shared" si="92"/>
        <v>-</v>
      </c>
      <c r="F156" s="1067">
        <f t="shared" si="93"/>
        <v>1.0000000000000001E-5</v>
      </c>
      <c r="G156" s="1067">
        <f t="shared" si="94"/>
        <v>1.0000000000000001E-5</v>
      </c>
      <c r="H156" s="1067">
        <f t="shared" si="95"/>
        <v>2.8999999999999998E-3</v>
      </c>
      <c r="I156" s="1058"/>
      <c r="K156" s="1113"/>
      <c r="L156" s="1114"/>
      <c r="M156" s="1114"/>
      <c r="N156" s="1115"/>
      <c r="O156" s="1116"/>
      <c r="P156" s="1116"/>
      <c r="Q156" s="1116"/>
      <c r="R156" s="1130"/>
      <c r="S156" s="1124"/>
      <c r="T156" s="1124"/>
      <c r="U156" s="1124"/>
      <c r="V156" s="1123"/>
      <c r="W156" s="1124"/>
      <c r="X156" s="1124"/>
      <c r="Y156" s="1125"/>
      <c r="Z156" s="1126"/>
      <c r="AA156" s="1124"/>
      <c r="AB156" s="1127"/>
      <c r="AC156" s="1127"/>
      <c r="AD156" s="1131"/>
      <c r="AE156" s="1123"/>
      <c r="AF156" s="1129"/>
    </row>
    <row r="157" spans="2:32" ht="15.75" customHeight="1" x14ac:dyDescent="0.25">
      <c r="B157" s="1859"/>
      <c r="C157" s="1066">
        <f t="shared" si="90"/>
        <v>10</v>
      </c>
      <c r="D157" s="1067" t="str">
        <f t="shared" si="91"/>
        <v>-</v>
      </c>
      <c r="E157" s="1067" t="str">
        <f t="shared" si="92"/>
        <v>-</v>
      </c>
      <c r="F157" s="1067">
        <f t="shared" si="93"/>
        <v>1.0000000000000001E-5</v>
      </c>
      <c r="G157" s="1067">
        <f t="shared" si="94"/>
        <v>1.0000000000000001E-5</v>
      </c>
      <c r="H157" s="1067">
        <f t="shared" si="95"/>
        <v>2.8999999999999998E-2</v>
      </c>
      <c r="I157" s="1058"/>
      <c r="K157" s="1113"/>
      <c r="L157" s="1114"/>
      <c r="M157" s="1114"/>
      <c r="N157" s="1115"/>
      <c r="O157" s="1116"/>
      <c r="P157" s="1116"/>
      <c r="Q157" s="1116"/>
      <c r="R157" s="1130"/>
      <c r="S157" s="1130"/>
      <c r="T157" s="1130"/>
      <c r="U157" s="1130"/>
      <c r="V157" s="1130"/>
      <c r="W157" s="1130"/>
      <c r="X157" s="1130"/>
      <c r="Y157" s="1130"/>
      <c r="Z157" s="1132"/>
      <c r="AA157" s="1133"/>
      <c r="AB157" s="1133"/>
      <c r="AC157" s="1134"/>
      <c r="AD157" s="1135"/>
      <c r="AE157" s="1130"/>
      <c r="AF157" s="1130"/>
    </row>
    <row r="158" spans="2:32" ht="15.75" customHeight="1" x14ac:dyDescent="0.25">
      <c r="B158" s="1859"/>
      <c r="C158" s="1066">
        <f t="shared" si="90"/>
        <v>15</v>
      </c>
      <c r="D158" s="1067" t="str">
        <f t="shared" si="91"/>
        <v>-</v>
      </c>
      <c r="E158" s="1067" t="str">
        <f t="shared" si="92"/>
        <v>-</v>
      </c>
      <c r="F158" s="1067">
        <f t="shared" si="93"/>
        <v>1.0000000000000001E-5</v>
      </c>
      <c r="G158" s="1067">
        <f t="shared" si="94"/>
        <v>1.0000000000000001E-5</v>
      </c>
      <c r="H158" s="1067">
        <f t="shared" si="95"/>
        <v>4.3499999999999997E-2</v>
      </c>
      <c r="I158" s="1058"/>
      <c r="K158" s="1113"/>
      <c r="L158" s="1114"/>
      <c r="M158" s="1114"/>
      <c r="N158" s="1115"/>
      <c r="O158" s="1116"/>
      <c r="P158" s="1116"/>
      <c r="Q158" s="1116"/>
      <c r="R158" s="1130"/>
      <c r="S158" s="1130"/>
      <c r="T158" s="1130"/>
      <c r="U158" s="1130"/>
      <c r="V158" s="1130"/>
      <c r="W158" s="1130"/>
      <c r="X158" s="1130"/>
      <c r="Y158" s="1130"/>
      <c r="Z158" s="1132"/>
      <c r="AA158" s="1133"/>
      <c r="AB158" s="1133"/>
      <c r="AC158" s="1134"/>
      <c r="AD158" s="1130"/>
      <c r="AE158" s="1130"/>
      <c r="AF158" s="1130"/>
    </row>
    <row r="159" spans="2:32" ht="15.75" customHeight="1" x14ac:dyDescent="0.25">
      <c r="B159" s="1859"/>
      <c r="C159" s="1066">
        <f t="shared" si="90"/>
        <v>20</v>
      </c>
      <c r="D159" s="1067" t="str">
        <f t="shared" si="91"/>
        <v>-</v>
      </c>
      <c r="E159" s="1067" t="str">
        <f t="shared" si="92"/>
        <v>-</v>
      </c>
      <c r="F159" s="1067">
        <f t="shared" si="93"/>
        <v>1.0000000000000001E-5</v>
      </c>
      <c r="G159" s="1067">
        <f t="shared" si="94"/>
        <v>1.0000000000000001E-5</v>
      </c>
      <c r="H159" s="1067">
        <f t="shared" si="95"/>
        <v>5.7999999999999996E-2</v>
      </c>
      <c r="I159" s="1058"/>
      <c r="K159" s="1130"/>
      <c r="L159" s="1130"/>
      <c r="M159" s="1130"/>
      <c r="N159" s="1130"/>
      <c r="O159" s="1130"/>
      <c r="P159" s="1130"/>
      <c r="Q159" s="1130"/>
      <c r="R159" s="1130"/>
      <c r="S159" s="1130"/>
      <c r="T159" s="1130"/>
      <c r="U159" s="1130"/>
      <c r="V159" s="1130"/>
      <c r="W159" s="1130"/>
      <c r="X159" s="1130"/>
      <c r="Y159" s="1130"/>
      <c r="Z159" s="1132"/>
      <c r="AA159" s="1133"/>
      <c r="AB159" s="1133"/>
      <c r="AC159" s="1134"/>
      <c r="AD159" s="1130"/>
      <c r="AE159" s="1130"/>
      <c r="AF159" s="1130"/>
    </row>
    <row r="160" spans="2:32" ht="15.75" customHeight="1" x14ac:dyDescent="0.25">
      <c r="B160" s="1859"/>
      <c r="C160" s="1066">
        <f t="shared" si="90"/>
        <v>30</v>
      </c>
      <c r="D160" s="1067" t="str">
        <f t="shared" si="91"/>
        <v>-</v>
      </c>
      <c r="E160" s="1067" t="str">
        <f t="shared" si="92"/>
        <v>-</v>
      </c>
      <c r="F160" s="1067">
        <f t="shared" si="93"/>
        <v>1.0000000000000001E-5</v>
      </c>
      <c r="G160" s="1067">
        <f t="shared" si="94"/>
        <v>1.0000000000000001E-5</v>
      </c>
      <c r="H160" s="1067">
        <f t="shared" si="95"/>
        <v>8.6999999999999994E-2</v>
      </c>
      <c r="I160" s="1058"/>
      <c r="K160" s="164"/>
      <c r="L160" s="1057"/>
      <c r="M160" s="1057"/>
      <c r="N160" s="1057"/>
      <c r="O160" s="1058"/>
      <c r="P160" s="1059"/>
      <c r="Q160" s="1059"/>
      <c r="S160" s="164"/>
      <c r="T160" s="1057"/>
      <c r="U160" s="1057"/>
      <c r="V160" s="1057"/>
      <c r="W160" s="1058"/>
      <c r="X160" s="1059"/>
      <c r="Z160" s="164"/>
      <c r="AA160" s="1057"/>
      <c r="AB160" s="1057"/>
      <c r="AC160" s="1058"/>
    </row>
    <row r="161" spans="2:36" ht="15.75" customHeight="1" x14ac:dyDescent="0.3">
      <c r="B161" s="1859"/>
      <c r="C161" s="1066">
        <f t="shared" si="90"/>
        <v>50</v>
      </c>
      <c r="D161" s="1067" t="str">
        <f t="shared" si="91"/>
        <v>-</v>
      </c>
      <c r="E161" s="1067" t="str">
        <f t="shared" si="92"/>
        <v>-</v>
      </c>
      <c r="F161" s="1067">
        <f t="shared" si="93"/>
        <v>1.0000000000000001E-5</v>
      </c>
      <c r="G161" s="1067">
        <f t="shared" si="94"/>
        <v>1.0000000000000001E-5</v>
      </c>
      <c r="H161" s="1067">
        <f t="shared" si="95"/>
        <v>0.14499999999999999</v>
      </c>
      <c r="I161" s="1058"/>
      <c r="K161" s="164"/>
      <c r="L161" s="1094" t="str">
        <f>ID!B83</f>
        <v>Medical Scope Meter, Merk : Fluke, Model 190M-4, SN : 48832901 CH : B</v>
      </c>
      <c r="M161" s="1093"/>
      <c r="N161" s="1093"/>
      <c r="O161" s="1093"/>
      <c r="P161" s="1093"/>
      <c r="Q161" s="1093"/>
      <c r="R161" s="1093"/>
      <c r="S161" s="1093"/>
      <c r="T161" s="1093"/>
      <c r="U161" s="1857" t="s">
        <v>399</v>
      </c>
      <c r="V161" s="1857"/>
      <c r="W161" s="1857"/>
      <c r="X161" s="1098"/>
      <c r="Y161" s="1844">
        <f>L174</f>
        <v>4</v>
      </c>
      <c r="Z161" s="1845"/>
      <c r="AA161" s="1845"/>
      <c r="AB161" s="1845"/>
      <c r="AC161" s="1845"/>
      <c r="AD161" s="1845"/>
      <c r="AE161" s="1845"/>
      <c r="AF161" s="1845"/>
      <c r="AG161" s="1845"/>
      <c r="AH161" s="1845"/>
      <c r="AI161" s="1845"/>
      <c r="AJ161" s="1846"/>
    </row>
    <row r="162" spans="2:36" ht="15.75" customHeight="1" x14ac:dyDescent="0.25">
      <c r="B162" s="1859"/>
      <c r="C162" s="1066">
        <f t="shared" si="90"/>
        <v>100</v>
      </c>
      <c r="D162" s="1067" t="str">
        <f t="shared" si="91"/>
        <v>-</v>
      </c>
      <c r="E162" s="1067" t="str">
        <f t="shared" si="92"/>
        <v>-</v>
      </c>
      <c r="F162" s="1067">
        <f t="shared" si="93"/>
        <v>1.0000000000000001E-5</v>
      </c>
      <c r="G162" s="1067">
        <f t="shared" si="94"/>
        <v>1.0000000000000001E-5</v>
      </c>
      <c r="H162" s="1067">
        <f t="shared" si="95"/>
        <v>0.28999999999999998</v>
      </c>
      <c r="I162" s="1058"/>
      <c r="K162" s="164"/>
      <c r="L162" s="1094" t="str">
        <f>C2</f>
        <v>Medical Scope Meter, Merk : Fluke, Model 190M-2, SN :  27782606 CH : A</v>
      </c>
      <c r="M162" s="1095"/>
      <c r="N162" s="721"/>
      <c r="O162" s="721"/>
      <c r="P162" s="721"/>
      <c r="Q162" s="721"/>
      <c r="R162" s="721"/>
      <c r="S162" s="721"/>
      <c r="T162" s="721"/>
      <c r="U162" s="1043">
        <f>D5</f>
        <v>2016</v>
      </c>
      <c r="V162" s="1043">
        <f t="shared" ref="V162:W162" si="96">E5</f>
        <v>2016</v>
      </c>
      <c r="W162" s="1043">
        <f t="shared" si="96"/>
        <v>2018</v>
      </c>
      <c r="X162" s="1099">
        <v>1</v>
      </c>
      <c r="Y162" s="1106">
        <v>1</v>
      </c>
      <c r="Z162" s="1107" t="s">
        <v>531</v>
      </c>
      <c r="AA162" s="1108"/>
      <c r="AB162" s="1108"/>
      <c r="AC162" s="1108"/>
      <c r="AD162" s="1100"/>
      <c r="AE162" s="1100"/>
      <c r="AF162" s="1100"/>
      <c r="AG162" s="1100"/>
      <c r="AH162" s="1100"/>
      <c r="AI162" s="1101"/>
      <c r="AJ162" s="1102"/>
    </row>
    <row r="163" spans="2:36" ht="15.75" customHeight="1" x14ac:dyDescent="0.25">
      <c r="B163" s="1859"/>
      <c r="C163" s="1851" t="str">
        <f t="shared" si="90"/>
        <v>KOREKSI TIME/DIVISION</v>
      </c>
      <c r="D163" s="1852"/>
      <c r="E163" s="1852"/>
      <c r="F163" s="1853"/>
      <c r="G163" s="1064" t="str">
        <f t="shared" si="94"/>
        <v>DRIFT</v>
      </c>
      <c r="H163" s="1064" t="str">
        <f t="shared" si="95"/>
        <v>U95</v>
      </c>
      <c r="I163" s="1065"/>
      <c r="K163" s="164"/>
      <c r="L163" s="1094" t="str">
        <f>K2</f>
        <v>Medical Scope Meter, Merk : Fluke, Model 190M-2, SN :  27782606 CH : B</v>
      </c>
      <c r="M163" s="1095"/>
      <c r="N163" s="721"/>
      <c r="O163" s="721"/>
      <c r="P163" s="721"/>
      <c r="Q163" s="721"/>
      <c r="R163" s="721"/>
      <c r="S163" s="721"/>
      <c r="T163" s="721"/>
      <c r="U163" s="1043">
        <f>L5</f>
        <v>2016</v>
      </c>
      <c r="V163" s="1043">
        <f t="shared" ref="V163:W163" si="97">M5</f>
        <v>2016</v>
      </c>
      <c r="W163" s="1043">
        <f t="shared" si="97"/>
        <v>2018</v>
      </c>
      <c r="X163" s="1099">
        <v>2</v>
      </c>
      <c r="Y163" s="1106">
        <v>2</v>
      </c>
      <c r="Z163" s="1107" t="s">
        <v>531</v>
      </c>
      <c r="AA163" s="1108"/>
      <c r="AB163" s="1108"/>
      <c r="AC163" s="1108"/>
      <c r="AD163" s="1100"/>
      <c r="AE163" s="1100"/>
      <c r="AF163" s="1100"/>
      <c r="AG163" s="1100"/>
      <c r="AH163" s="1100"/>
      <c r="AI163" s="1101"/>
      <c r="AJ163" s="1102"/>
    </row>
    <row r="164" spans="2:36" ht="15.75" customHeight="1" x14ac:dyDescent="0.25">
      <c r="B164" s="1859"/>
      <c r="C164" s="1066" t="str">
        <f t="shared" si="90"/>
        <v>Setting Time</v>
      </c>
      <c r="D164" s="1854" t="str">
        <f t="shared" ref="D164:D172" si="98">IF($L$161=$L$162,D15,IF($L$161=$L$163,L15,IF($L$161=$L$164,T15,IF($L$161=$L$165,D51,IF($L$161=$L$166,L51,IF($L$161=$L$167,T51,IF($L$161=$L$168,D87,IF($L$161=$L$169,L87,IF($L$161=$L$170,T87,IF($L$161=$L$171,D123,IF($L$161=$L$172,L123,T123)))))))))))</f>
        <v>Tahun</v>
      </c>
      <c r="E164" s="1855"/>
      <c r="F164" s="1856"/>
      <c r="G164" s="1064"/>
      <c r="H164" s="1064"/>
      <c r="I164" s="1065"/>
      <c r="K164" s="164"/>
      <c r="L164" s="1094" t="str">
        <f>S2</f>
        <v>Medical Scope Meter, Merk : Fluke, Model 190M-4, SN : 48832901 CH : A</v>
      </c>
      <c r="M164" s="1095"/>
      <c r="N164" s="721"/>
      <c r="O164" s="721"/>
      <c r="P164" s="721"/>
      <c r="Q164" s="721"/>
      <c r="R164" s="721"/>
      <c r="S164" s="721"/>
      <c r="T164" s="721"/>
      <c r="U164" s="1043">
        <f>T5</f>
        <v>2016</v>
      </c>
      <c r="V164" s="1043">
        <f t="shared" ref="V164:W164" si="99">U5</f>
        <v>2016</v>
      </c>
      <c r="W164" s="1043">
        <f t="shared" si="99"/>
        <v>2021</v>
      </c>
      <c r="X164" s="1099">
        <v>3</v>
      </c>
      <c r="Y164" s="1106">
        <v>3</v>
      </c>
      <c r="Z164" s="1107" t="s">
        <v>531</v>
      </c>
      <c r="AA164" s="1108"/>
      <c r="AB164" s="1108"/>
      <c r="AC164" s="1108"/>
      <c r="AD164" s="1100"/>
      <c r="AE164" s="1100"/>
      <c r="AF164" s="1100"/>
      <c r="AG164" s="1100"/>
      <c r="AH164" s="1100"/>
      <c r="AI164" s="1101"/>
      <c r="AJ164" s="1102"/>
    </row>
    <row r="165" spans="2:36" ht="15.75" customHeight="1" x14ac:dyDescent="0.25">
      <c r="B165" s="1859"/>
      <c r="C165" s="1066" t="str">
        <f t="shared" si="90"/>
        <v>us</v>
      </c>
      <c r="D165" s="1064">
        <f t="shared" si="98"/>
        <v>2016</v>
      </c>
      <c r="E165" s="1064">
        <f t="shared" ref="E165:F172" si="100">IF($L$161=$L$162,E16,IF($L$161=$L$163,M16,IF($L$161=$L$164,U16,IF($L$161=$L$165,E52,IF($L$161=$L$166,M52,IF($L$161=$L$167,U52,IF($L$161=$L$168,E88,IF($L$161=$L$169,M88,IF($L$161=$L$170,U88,IF($L$161=$L$171,E124,IF($L$161=$L$172,M124,U124)))))))))))</f>
        <v>2016</v>
      </c>
      <c r="F165" s="1064">
        <f t="shared" si="100"/>
        <v>2021</v>
      </c>
      <c r="G165" s="1064"/>
      <c r="H165" s="1064"/>
      <c r="I165" s="1065"/>
      <c r="K165" s="164"/>
      <c r="L165" s="1094" t="str">
        <f>C38</f>
        <v>Medical Scope Meter, Merk : Fluke, Model 190M-4, SN : 48832901 CH : B</v>
      </c>
      <c r="M165" s="1095"/>
      <c r="N165" s="721"/>
      <c r="O165" s="721"/>
      <c r="P165" s="721"/>
      <c r="Q165" s="721"/>
      <c r="R165" s="721"/>
      <c r="S165" s="721"/>
      <c r="T165" s="721"/>
      <c r="U165" s="1043">
        <f>D41</f>
        <v>2016</v>
      </c>
      <c r="V165" s="1043">
        <f t="shared" ref="V165:W165" si="101">E41</f>
        <v>2016</v>
      </c>
      <c r="W165" s="1043">
        <f t="shared" si="101"/>
        <v>2021</v>
      </c>
      <c r="X165" s="1099">
        <v>4</v>
      </c>
      <c r="Y165" s="1106">
        <v>4</v>
      </c>
      <c r="Z165" s="1107" t="s">
        <v>531</v>
      </c>
      <c r="AA165" s="1109"/>
      <c r="AB165" s="1109"/>
      <c r="AC165" s="1109"/>
      <c r="AD165" s="1103"/>
      <c r="AE165" s="1103"/>
      <c r="AF165" s="1103"/>
      <c r="AG165" s="1103"/>
      <c r="AH165" s="1103"/>
      <c r="AI165" s="1101"/>
      <c r="AJ165" s="1102"/>
    </row>
    <row r="166" spans="2:36" ht="15.75" customHeight="1" x14ac:dyDescent="0.25">
      <c r="B166" s="1859"/>
      <c r="C166" s="1066">
        <f t="shared" si="90"/>
        <v>0</v>
      </c>
      <c r="D166" s="1067" t="str">
        <f t="shared" si="98"/>
        <v>-</v>
      </c>
      <c r="E166" s="1067" t="str">
        <f t="shared" si="100"/>
        <v>-</v>
      </c>
      <c r="F166" s="1067">
        <f t="shared" si="100"/>
        <v>0</v>
      </c>
      <c r="G166" s="1067">
        <f t="shared" ref="G166:H173" si="102">IF($L$161=$L$162,G17,IF($L$161=$L$163,O17,IF($L$161=$L$164,W17,IF($L$161=$L$165,G53,IF($L$161=$L$166,O53,IF($L$161=$L$167,W53,IF($L$161=$L$168,G89,IF($L$161=$L$169,O89,IF($L$161=$L$170,W89,IF($L$161=$L$171,G125,IF($L$161=$L$172,O125,W125)))))))))))</f>
        <v>1.0000000000000001E-5</v>
      </c>
      <c r="H166" s="1067">
        <f t="shared" si="102"/>
        <v>0</v>
      </c>
      <c r="I166" s="1058"/>
      <c r="K166" s="164"/>
      <c r="L166" s="1094" t="str">
        <f>K38</f>
        <v>Medical Scope Meter, Merk : Fluke, Model 190M-4, SN : 48832901 CH : C</v>
      </c>
      <c r="M166" s="1095"/>
      <c r="N166" s="721"/>
      <c r="O166" s="721"/>
      <c r="P166" s="721"/>
      <c r="Q166" s="721"/>
      <c r="R166" s="721"/>
      <c r="S166" s="721"/>
      <c r="T166" s="721"/>
      <c r="U166" s="1043">
        <f>L41</f>
        <v>2016</v>
      </c>
      <c r="V166" s="1043">
        <f t="shared" ref="V166:W166" si="103">M41</f>
        <v>2016</v>
      </c>
      <c r="W166" s="1043">
        <f t="shared" si="103"/>
        <v>2021</v>
      </c>
      <c r="X166" s="1099">
        <v>5</v>
      </c>
      <c r="Y166" s="1106">
        <v>5</v>
      </c>
      <c r="Z166" s="1107" t="s">
        <v>531</v>
      </c>
      <c r="AA166" s="1109"/>
      <c r="AB166" s="1109"/>
      <c r="AC166" s="1109"/>
      <c r="AD166" s="1103"/>
      <c r="AE166" s="1103"/>
      <c r="AF166" s="1103"/>
      <c r="AG166" s="1103"/>
      <c r="AH166" s="1103"/>
      <c r="AI166" s="1101"/>
      <c r="AJ166" s="1102"/>
    </row>
    <row r="167" spans="2:36" ht="15.75" customHeight="1" x14ac:dyDescent="0.25">
      <c r="B167" s="1859"/>
      <c r="C167" s="1066">
        <f t="shared" si="90"/>
        <v>50</v>
      </c>
      <c r="D167" s="1067" t="str">
        <f t="shared" si="98"/>
        <v>-</v>
      </c>
      <c r="E167" s="1067" t="str">
        <f t="shared" si="100"/>
        <v>-</v>
      </c>
      <c r="F167" s="1067">
        <f t="shared" si="100"/>
        <v>0.4</v>
      </c>
      <c r="G167" s="1067">
        <f t="shared" si="102"/>
        <v>1.0000000000000001E-5</v>
      </c>
      <c r="H167" s="1067">
        <f t="shared" si="102"/>
        <v>0.11499999999999999</v>
      </c>
      <c r="I167" s="1058"/>
      <c r="L167" s="1094" t="str">
        <f>S38</f>
        <v>Medical Scope Meter, Merk : Fluke, Model 190M-4, SN : 48832901 CH : D</v>
      </c>
      <c r="M167" s="1095"/>
      <c r="N167" s="721"/>
      <c r="O167" s="721"/>
      <c r="P167" s="721"/>
      <c r="Q167" s="721"/>
      <c r="R167" s="721"/>
      <c r="S167" s="721"/>
      <c r="T167" s="721"/>
      <c r="U167" s="1043">
        <f>T41</f>
        <v>2016</v>
      </c>
      <c r="V167" s="1043">
        <f t="shared" ref="V167:W167" si="104">U41</f>
        <v>2016</v>
      </c>
      <c r="W167" s="1043">
        <f t="shared" si="104"/>
        <v>2021</v>
      </c>
      <c r="X167" s="1099">
        <v>6</v>
      </c>
      <c r="Y167" s="1106">
        <v>6</v>
      </c>
      <c r="Z167" s="1107" t="s">
        <v>531</v>
      </c>
      <c r="AA167" s="1108"/>
      <c r="AB167" s="1108"/>
      <c r="AC167" s="1108"/>
      <c r="AD167" s="1100"/>
      <c r="AE167" s="1100"/>
      <c r="AF167" s="1100"/>
      <c r="AG167" s="1100"/>
      <c r="AH167" s="1100"/>
      <c r="AI167" s="1101"/>
      <c r="AJ167" s="1102"/>
    </row>
    <row r="168" spans="2:36" ht="15.75" customHeight="1" x14ac:dyDescent="0.25">
      <c r="B168" s="1859"/>
      <c r="C168" s="1066">
        <f t="shared" si="90"/>
        <v>100</v>
      </c>
      <c r="D168" s="1067" t="str">
        <f t="shared" si="98"/>
        <v>-</v>
      </c>
      <c r="E168" s="1067" t="str">
        <f t="shared" si="100"/>
        <v>-</v>
      </c>
      <c r="F168" s="1067">
        <f t="shared" si="100"/>
        <v>1</v>
      </c>
      <c r="G168" s="1067">
        <f t="shared" si="102"/>
        <v>1.0000000000000001E-5</v>
      </c>
      <c r="H168" s="1067">
        <f t="shared" si="102"/>
        <v>0.22999999999999998</v>
      </c>
      <c r="I168" s="1058"/>
      <c r="L168" s="1094" t="str">
        <f>C74</f>
        <v>Medical Scope Meter, Merk : Fluke, Model 190M-4, SN : 48762901 CH : A</v>
      </c>
      <c r="M168" s="1096"/>
      <c r="N168" s="1096"/>
      <c r="O168" s="1096"/>
      <c r="P168" s="1096"/>
      <c r="Q168" s="1096"/>
      <c r="R168" s="1096"/>
      <c r="S168" s="1096"/>
      <c r="T168" s="1096"/>
      <c r="U168" s="1043">
        <f>D77</f>
        <v>2016</v>
      </c>
      <c r="V168" s="1043">
        <f t="shared" ref="V168:W168" si="105">E77</f>
        <v>2016</v>
      </c>
      <c r="W168" s="1043">
        <f t="shared" si="105"/>
        <v>2021</v>
      </c>
      <c r="X168" s="1099">
        <v>7</v>
      </c>
      <c r="Y168" s="1106">
        <v>7</v>
      </c>
      <c r="Z168" s="1107" t="s">
        <v>531</v>
      </c>
      <c r="AA168" s="1109"/>
      <c r="AB168" s="1109"/>
      <c r="AC168" s="1109"/>
      <c r="AD168" s="1103"/>
      <c r="AE168" s="1103"/>
      <c r="AF168" s="1103"/>
      <c r="AG168" s="1103"/>
      <c r="AH168" s="1103"/>
      <c r="AI168" s="1104"/>
      <c r="AJ168" s="1105"/>
    </row>
    <row r="169" spans="2:36" ht="15.75" customHeight="1" x14ac:dyDescent="0.25">
      <c r="B169" s="1859"/>
      <c r="C169" s="1066">
        <f t="shared" si="90"/>
        <v>200</v>
      </c>
      <c r="D169" s="1067" t="str">
        <f t="shared" si="98"/>
        <v>-</v>
      </c>
      <c r="E169" s="1067" t="str">
        <f t="shared" si="100"/>
        <v>-</v>
      </c>
      <c r="F169" s="1067">
        <f t="shared" si="100"/>
        <v>1.2</v>
      </c>
      <c r="G169" s="1067">
        <f t="shared" si="102"/>
        <v>1.0000000000000001E-5</v>
      </c>
      <c r="H169" s="1067">
        <f t="shared" si="102"/>
        <v>0.45999999999999996</v>
      </c>
      <c r="I169" s="1058"/>
      <c r="L169" s="1094" t="str">
        <f>K74</f>
        <v>Medical Scope Meter, Merk : Fluke, Model 190M-4, SN : 48762901 CH : B</v>
      </c>
      <c r="M169" s="1096"/>
      <c r="N169" s="1096"/>
      <c r="O169" s="1096"/>
      <c r="P169" s="1096"/>
      <c r="Q169" s="1096"/>
      <c r="R169" s="1096"/>
      <c r="S169" s="1096"/>
      <c r="T169" s="1096"/>
      <c r="U169" s="1043">
        <f>L77</f>
        <v>2016</v>
      </c>
      <c r="V169" s="1043">
        <f t="shared" ref="V169:W169" si="106">M77</f>
        <v>2016</v>
      </c>
      <c r="W169" s="1043">
        <f t="shared" si="106"/>
        <v>2021</v>
      </c>
      <c r="X169" s="1099">
        <v>8</v>
      </c>
      <c r="Y169" s="1106">
        <v>8</v>
      </c>
      <c r="Z169" s="1107" t="s">
        <v>531</v>
      </c>
      <c r="AA169" s="1109"/>
      <c r="AB169" s="1109"/>
      <c r="AC169" s="1109"/>
      <c r="AD169" s="1103"/>
      <c r="AE169" s="1103"/>
      <c r="AF169" s="1103"/>
      <c r="AG169" s="1103"/>
      <c r="AH169" s="1103"/>
      <c r="AI169" s="1104"/>
      <c r="AJ169" s="1105"/>
    </row>
    <row r="170" spans="2:36" ht="15.75" customHeight="1" x14ac:dyDescent="0.25">
      <c r="B170" s="1859"/>
      <c r="C170" s="1066">
        <f t="shared" si="90"/>
        <v>500</v>
      </c>
      <c r="D170" s="1067" t="str">
        <f t="shared" si="98"/>
        <v>-</v>
      </c>
      <c r="E170" s="1067" t="str">
        <f t="shared" si="100"/>
        <v>-</v>
      </c>
      <c r="F170" s="1067">
        <f t="shared" si="100"/>
        <v>6</v>
      </c>
      <c r="G170" s="1067">
        <f t="shared" si="102"/>
        <v>1.0000000000000001E-5</v>
      </c>
      <c r="H170" s="1067">
        <f t="shared" si="102"/>
        <v>1.1499999999999999</v>
      </c>
      <c r="I170" s="1058"/>
      <c r="L170" s="1094" t="str">
        <f>S74</f>
        <v>Medical Scope Meter, Merk : Fluke, Model 190M-4, SN : 48762901 CH : C</v>
      </c>
      <c r="M170" s="1096"/>
      <c r="N170" s="1096"/>
      <c r="O170" s="1096"/>
      <c r="P170" s="1096"/>
      <c r="Q170" s="1096"/>
      <c r="R170" s="1096"/>
      <c r="S170" s="1096"/>
      <c r="T170" s="1096"/>
      <c r="U170" s="1043">
        <f>T77</f>
        <v>2016</v>
      </c>
      <c r="V170" s="1043">
        <f t="shared" ref="V170:W170" si="107">U77</f>
        <v>2016</v>
      </c>
      <c r="W170" s="1043">
        <f t="shared" si="107"/>
        <v>2021</v>
      </c>
      <c r="X170" s="1099">
        <v>9</v>
      </c>
      <c r="Y170" s="1106">
        <v>9</v>
      </c>
      <c r="Z170" s="1107" t="s">
        <v>531</v>
      </c>
      <c r="AA170" s="1109"/>
      <c r="AB170" s="1109"/>
      <c r="AC170" s="1109"/>
      <c r="AD170" s="1103"/>
      <c r="AE170" s="1103"/>
      <c r="AF170" s="1103"/>
      <c r="AG170" s="1103"/>
      <c r="AH170" s="1103"/>
      <c r="AI170" s="1104"/>
      <c r="AJ170" s="1105"/>
    </row>
    <row r="171" spans="2:36" ht="15.75" customHeight="1" x14ac:dyDescent="0.25">
      <c r="B171" s="1859"/>
      <c r="C171" s="1066">
        <f t="shared" si="90"/>
        <v>1000</v>
      </c>
      <c r="D171" s="1067" t="str">
        <f t="shared" si="98"/>
        <v>-</v>
      </c>
      <c r="E171" s="1067" t="str">
        <f t="shared" si="100"/>
        <v>-</v>
      </c>
      <c r="F171" s="1067">
        <f t="shared" si="100"/>
        <v>6</v>
      </c>
      <c r="G171" s="1067">
        <f t="shared" si="102"/>
        <v>1.0000000000000001E-5</v>
      </c>
      <c r="H171" s="1067">
        <f t="shared" si="102"/>
        <v>2.2999999999999998</v>
      </c>
      <c r="I171" s="1058"/>
      <c r="L171" s="1094" t="str">
        <f>C110</f>
        <v>Medical Scope Meter, Merk : Fluke, Model 190M-4, SN : 48762901 CH : D</v>
      </c>
      <c r="M171" s="1096"/>
      <c r="N171" s="1096"/>
      <c r="O171" s="1096"/>
      <c r="P171" s="1096"/>
      <c r="Q171" s="1096"/>
      <c r="R171" s="1096"/>
      <c r="S171" s="1096"/>
      <c r="T171" s="1096"/>
      <c r="U171" s="1043">
        <f>D124</f>
        <v>2016</v>
      </c>
      <c r="V171" s="1043">
        <f t="shared" ref="V171:W171" si="108">E124</f>
        <v>2016</v>
      </c>
      <c r="W171" s="1043">
        <f t="shared" si="108"/>
        <v>2021</v>
      </c>
      <c r="X171" s="1099">
        <v>10</v>
      </c>
      <c r="Y171" s="1106">
        <v>10</v>
      </c>
      <c r="Z171" s="1107" t="s">
        <v>531</v>
      </c>
      <c r="AA171" s="1109"/>
      <c r="AB171" s="1109"/>
      <c r="AC171" s="1109"/>
      <c r="AD171" s="1103"/>
      <c r="AE171" s="1103"/>
      <c r="AF171" s="1103"/>
      <c r="AG171" s="1103"/>
      <c r="AH171" s="1103"/>
      <c r="AI171" s="1104"/>
      <c r="AJ171" s="1105"/>
    </row>
    <row r="172" spans="2:36" ht="15.75" customHeight="1" x14ac:dyDescent="0.25">
      <c r="B172" s="1859"/>
      <c r="C172" s="1066">
        <f t="shared" si="90"/>
        <v>1200</v>
      </c>
      <c r="D172" s="1067" t="str">
        <f t="shared" si="98"/>
        <v>-</v>
      </c>
      <c r="E172" s="1067" t="str">
        <f t="shared" si="100"/>
        <v>-</v>
      </c>
      <c r="F172" s="1067">
        <f t="shared" si="100"/>
        <v>0</v>
      </c>
      <c r="G172" s="1067">
        <f t="shared" si="102"/>
        <v>1.0000000000000001E-5</v>
      </c>
      <c r="H172" s="1067">
        <f t="shared" si="102"/>
        <v>2.76</v>
      </c>
      <c r="I172" s="1058"/>
      <c r="L172" s="1097" t="str">
        <f>K110</f>
        <v>X</v>
      </c>
      <c r="M172" s="1096"/>
      <c r="N172" s="1096"/>
      <c r="O172" s="1096"/>
      <c r="P172" s="1096"/>
      <c r="Q172" s="1096"/>
      <c r="R172" s="1096"/>
      <c r="S172" s="1096"/>
      <c r="T172" s="1096"/>
      <c r="U172" s="1043">
        <f>L113</f>
        <v>2016</v>
      </c>
      <c r="V172" s="1043">
        <f t="shared" ref="V172:W172" si="109">M113</f>
        <v>2016</v>
      </c>
      <c r="W172" s="1043">
        <f t="shared" si="109"/>
        <v>2021</v>
      </c>
      <c r="X172" s="1099">
        <v>11</v>
      </c>
      <c r="Y172" s="1110">
        <v>11</v>
      </c>
      <c r="Z172" s="1107" t="s">
        <v>531</v>
      </c>
      <c r="AA172" s="1109"/>
      <c r="AB172" s="1109"/>
      <c r="AC172" s="1109"/>
      <c r="AD172" s="1103"/>
      <c r="AE172" s="1103"/>
      <c r="AF172" s="1103"/>
      <c r="AG172" s="1103"/>
      <c r="AH172" s="1103"/>
      <c r="AI172" s="1104"/>
      <c r="AJ172" s="1105"/>
    </row>
    <row r="173" spans="2:36" ht="15" customHeight="1" x14ac:dyDescent="0.25">
      <c r="B173" s="1859"/>
      <c r="C173" s="1851" t="str">
        <f t="shared" si="90"/>
        <v>KOREKSI FREQUENCY</v>
      </c>
      <c r="D173" s="1852"/>
      <c r="E173" s="1852"/>
      <c r="F173" s="1853"/>
      <c r="G173" s="1064" t="str">
        <f t="shared" si="102"/>
        <v>DRIFT</v>
      </c>
      <c r="H173" s="1064" t="str">
        <f t="shared" si="102"/>
        <v>U95</v>
      </c>
      <c r="I173" s="1065"/>
      <c r="J173" s="1068"/>
      <c r="K173" s="1068"/>
      <c r="L173" s="1097" t="str">
        <f>S110</f>
        <v>Y</v>
      </c>
      <c r="M173" s="1096"/>
      <c r="N173" s="1096"/>
      <c r="O173" s="1096"/>
      <c r="P173" s="1096"/>
      <c r="Q173" s="1096"/>
      <c r="R173" s="1096"/>
      <c r="S173" s="1096"/>
      <c r="T173" s="1096"/>
      <c r="U173" s="1092">
        <f>T113</f>
        <v>2016</v>
      </c>
      <c r="V173" s="1092">
        <f t="shared" ref="V173:W173" si="110">U113</f>
        <v>2016</v>
      </c>
      <c r="W173" s="1092">
        <f t="shared" si="110"/>
        <v>2021</v>
      </c>
      <c r="X173" s="1099">
        <v>12</v>
      </c>
      <c r="Y173" s="1110">
        <v>12</v>
      </c>
      <c r="Z173" s="1107" t="s">
        <v>531</v>
      </c>
      <c r="AA173" s="1109"/>
      <c r="AB173" s="1109"/>
      <c r="AC173" s="1109"/>
      <c r="AD173" s="1103"/>
      <c r="AE173" s="1103"/>
      <c r="AF173" s="1103"/>
      <c r="AG173" s="1103"/>
      <c r="AH173" s="1103"/>
      <c r="AI173" s="1104"/>
      <c r="AJ173" s="1105"/>
    </row>
    <row r="174" spans="2:36" ht="15.75" customHeight="1" x14ac:dyDescent="0.25">
      <c r="B174" s="1859"/>
      <c r="C174" s="1066" t="str">
        <f t="shared" si="90"/>
        <v>Setting Frequency</v>
      </c>
      <c r="D174" s="1854" t="str">
        <f t="shared" ref="D174:D184" si="111">IF($L$161=$L$162,D25,IF($L$161=$L$163,L25,IF($L$161=$L$164,T25,IF($L$161=$L$165,D61,IF($L$161=$L$166,L61,IF($L$161=$L$167,T61,IF($L$161=$L$168,D97,IF($L$161=$L$169,L97,IF($L$161=$L$170,T97,IF($L$161=$L$171,D133,IF($L$161=$L$172,L133,T133)))))))))))</f>
        <v>Tahun</v>
      </c>
      <c r="E174" s="1855"/>
      <c r="F174" s="1856"/>
      <c r="G174" s="1064"/>
      <c r="H174" s="1064"/>
      <c r="I174" s="1065"/>
      <c r="J174" s="1068"/>
      <c r="K174" s="1068"/>
      <c r="L174" s="1094">
        <f>VLOOKUP(L161,L162:X173,13,(FALSE))</f>
        <v>4</v>
      </c>
      <c r="M174" s="1094"/>
      <c r="N174" s="1094"/>
      <c r="O174" s="1094"/>
      <c r="P174" s="1094"/>
      <c r="Q174" s="1094"/>
      <c r="R174" s="1094"/>
      <c r="S174" s="1094"/>
      <c r="T174" s="1094"/>
      <c r="U174" s="1094"/>
      <c r="V174" s="1094"/>
      <c r="W174" s="1094"/>
      <c r="X174" s="1094"/>
      <c r="Y174" s="1848" t="str">
        <f>VLOOKUP(Y161,Y162:AJ173,2,(FALSE))</f>
        <v>Hasil kalibrasi Pulse Frekuensi dan Pulse Width tertelusur ke Satuan Internasional melalui PT. KALIMAN (LK-032-IDN)</v>
      </c>
      <c r="Z174" s="1849"/>
      <c r="AA174" s="1849"/>
      <c r="AB174" s="1849"/>
      <c r="AC174" s="1849"/>
      <c r="AD174" s="1849"/>
      <c r="AE174" s="1849"/>
      <c r="AF174" s="1849"/>
      <c r="AG174" s="1849"/>
      <c r="AH174" s="1849"/>
      <c r="AI174" s="1849"/>
      <c r="AJ174" s="1850"/>
    </row>
    <row r="175" spans="2:36" ht="15.75" customHeight="1" x14ac:dyDescent="0.25">
      <c r="B175" s="1859"/>
      <c r="C175" s="1066" t="str">
        <f t="shared" si="90"/>
        <v>Hz</v>
      </c>
      <c r="D175" s="1064">
        <f t="shared" si="111"/>
        <v>2016</v>
      </c>
      <c r="E175" s="1064">
        <f t="shared" ref="E175:E184" si="112">IF($L$161=$L$162,E26,IF($L$161=$L$163,M26,IF($L$161=$L$164,U26,IF($L$161=$L$165,E62,IF($L$161=$L$166,M62,IF($L$161=$L$167,U62,IF($L$161=$L$168,E98,IF($L$161=$L$169,M98,IF($L$161=$L$170,U98,IF($L$161=$L$171,E134,IF($L$161=$L$172,M134,U134)))))))))))</f>
        <v>2016</v>
      </c>
      <c r="F175" s="1064">
        <f t="shared" ref="F175:F184" si="113">IF($L$161=$L$162,F26,IF($L$161=$L$163,N26,IF($L$161=$L$164,V26,IF($L$161=$L$165,F62,IF($L$161=$L$166,N62,IF($L$161=$L$167,V62,IF($L$161=$L$168,F98,IF($L$161=$L$169,N98,IF($L$161=$L$170,V98,IF($L$161=$L$171,F134,IF($L$161=$L$172,N134,V134)))))))))))</f>
        <v>2021</v>
      </c>
      <c r="G175" s="1064"/>
      <c r="H175" s="1064"/>
      <c r="I175" s="1065"/>
      <c r="J175" s="1068"/>
      <c r="K175" s="1068"/>
    </row>
    <row r="176" spans="2:36" ht="15.75" customHeight="1" x14ac:dyDescent="0.25">
      <c r="B176" s="1859"/>
      <c r="C176" s="1066">
        <f t="shared" si="90"/>
        <v>0</v>
      </c>
      <c r="D176" s="1141" t="str">
        <f t="shared" si="111"/>
        <v>-</v>
      </c>
      <c r="E176" s="1141" t="str">
        <f t="shared" si="112"/>
        <v>-</v>
      </c>
      <c r="F176" s="1141">
        <f t="shared" si="113"/>
        <v>1.0000000000000001E-5</v>
      </c>
      <c r="G176" s="1141">
        <f t="shared" ref="G176:G184" si="114">IF($L$161=$L$162,G27,IF($L$161=$L$163,O27,IF($L$161=$L$164,W27,IF($L$161=$L$165,G63,IF($L$161=$L$166,O63,IF($L$161=$L$167,W63,IF($L$161=$L$168,G99,IF($L$161=$L$169,O99,IF($L$161=$L$170,W99,IF($L$161=$L$171,G135,IF($L$161=$L$172,O135,W135)))))))))))</f>
        <v>1.0000000000000001E-5</v>
      </c>
      <c r="H176" s="1141">
        <f t="shared" ref="H176:H184" si="115">IF($L$161=$L$162,H27,IF($L$161=$L$163,P27,IF($L$161=$L$164,X27,IF($L$161=$L$165,H63,IF($L$161=$L$166,P63,IF($L$161=$L$167,X63,IF($L$161=$L$168,H99,IF($L$161=$L$169,P99,IF($L$161=$L$170,X99,IF($L$161=$L$171,H135,IF($L$161=$L$172,P135,X135)))))))))))</f>
        <v>0</v>
      </c>
      <c r="I176" s="1069"/>
      <c r="J176" s="1068"/>
      <c r="K176" s="1068"/>
    </row>
    <row r="177" spans="2:18" ht="15.75" customHeight="1" x14ac:dyDescent="0.25">
      <c r="B177" s="1859"/>
      <c r="C177" s="1066">
        <f t="shared" si="90"/>
        <v>5</v>
      </c>
      <c r="D177" s="1141" t="str">
        <f t="shared" si="111"/>
        <v>-</v>
      </c>
      <c r="E177" s="1141" t="str">
        <f t="shared" si="112"/>
        <v>-</v>
      </c>
      <c r="F177" s="1141">
        <f t="shared" si="113"/>
        <v>1.0000000000000001E-5</v>
      </c>
      <c r="G177" s="1141">
        <f t="shared" si="114"/>
        <v>1.0000000000000001E-5</v>
      </c>
      <c r="H177" s="1141">
        <f t="shared" si="115"/>
        <v>1.4499999999999999E-2</v>
      </c>
      <c r="I177" s="1069"/>
      <c r="J177" s="1068"/>
      <c r="K177" s="1068"/>
    </row>
    <row r="178" spans="2:18" ht="15.75" customHeight="1" x14ac:dyDescent="0.25">
      <c r="B178" s="1859"/>
      <c r="C178" s="1066">
        <f t="shared" si="90"/>
        <v>10</v>
      </c>
      <c r="D178" s="1141" t="str">
        <f t="shared" si="111"/>
        <v>-</v>
      </c>
      <c r="E178" s="1141" t="str">
        <f t="shared" si="112"/>
        <v>-</v>
      </c>
      <c r="F178" s="1141">
        <f t="shared" si="113"/>
        <v>1.0000000000000001E-5</v>
      </c>
      <c r="G178" s="1141">
        <f t="shared" si="114"/>
        <v>1.0000000000000001E-5</v>
      </c>
      <c r="H178" s="1141">
        <f t="shared" si="115"/>
        <v>2.8999999999999998E-2</v>
      </c>
      <c r="I178" s="1069"/>
      <c r="J178" s="1068"/>
      <c r="K178" s="1068"/>
      <c r="L178" s="1841" t="s">
        <v>49</v>
      </c>
      <c r="M178" s="1841" t="s">
        <v>393</v>
      </c>
      <c r="N178" s="1841" t="s">
        <v>118</v>
      </c>
      <c r="O178" s="1838" t="s">
        <v>394</v>
      </c>
      <c r="P178" s="1838" t="s">
        <v>395</v>
      </c>
    </row>
    <row r="179" spans="2:18" ht="15.75" customHeight="1" x14ac:dyDescent="0.25">
      <c r="B179" s="1859"/>
      <c r="C179" s="1066">
        <f t="shared" si="90"/>
        <v>25</v>
      </c>
      <c r="D179" s="1141" t="str">
        <f t="shared" si="111"/>
        <v>-</v>
      </c>
      <c r="E179" s="1141" t="str">
        <f t="shared" si="112"/>
        <v>-</v>
      </c>
      <c r="F179" s="1141">
        <f t="shared" si="113"/>
        <v>1.0000000000000001E-5</v>
      </c>
      <c r="G179" s="1141">
        <f t="shared" si="114"/>
        <v>1.0000000000000001E-5</v>
      </c>
      <c r="H179" s="1141">
        <f t="shared" si="115"/>
        <v>7.2499999999999995E-2</v>
      </c>
      <c r="I179" s="1069"/>
      <c r="J179" s="1068"/>
      <c r="K179" s="1068"/>
      <c r="L179" s="1842"/>
      <c r="M179" s="1842"/>
      <c r="N179" s="1842"/>
      <c r="O179" s="1839"/>
      <c r="P179" s="1839"/>
      <c r="Q179" s="1112"/>
      <c r="R179" s="1847"/>
    </row>
    <row r="180" spans="2:18" ht="15.75" customHeight="1" x14ac:dyDescent="0.25">
      <c r="B180" s="1859"/>
      <c r="C180" s="1066">
        <f t="shared" si="90"/>
        <v>50</v>
      </c>
      <c r="D180" s="1141" t="str">
        <f t="shared" si="111"/>
        <v>-</v>
      </c>
      <c r="E180" s="1141" t="str">
        <f t="shared" si="112"/>
        <v>-</v>
      </c>
      <c r="F180" s="1141">
        <f t="shared" si="113"/>
        <v>1.0000000000000001E-5</v>
      </c>
      <c r="G180" s="1141">
        <f t="shared" si="114"/>
        <v>1.0000000000000001E-5</v>
      </c>
      <c r="H180" s="1141">
        <f t="shared" si="115"/>
        <v>0.14499999999999999</v>
      </c>
      <c r="I180" s="1069"/>
      <c r="J180" s="1068"/>
      <c r="K180" s="1068"/>
      <c r="L180" s="1843"/>
      <c r="M180" s="1843"/>
      <c r="N180" s="1843"/>
      <c r="O180" s="1840"/>
      <c r="P180" s="1840"/>
      <c r="Q180" s="1112"/>
      <c r="R180" s="1847"/>
    </row>
    <row r="181" spans="2:18" ht="15.75" customHeight="1" x14ac:dyDescent="0.25">
      <c r="B181" s="1859"/>
      <c r="C181" s="1066">
        <f t="shared" si="90"/>
        <v>100</v>
      </c>
      <c r="D181" s="1141" t="str">
        <f t="shared" si="111"/>
        <v>-</v>
      </c>
      <c r="E181" s="1141" t="str">
        <f t="shared" si="112"/>
        <v>-</v>
      </c>
      <c r="F181" s="1141">
        <f t="shared" si="113"/>
        <v>1.0000000000000001E-5</v>
      </c>
      <c r="G181" s="1141">
        <f t="shared" si="114"/>
        <v>1.0000000000000001E-5</v>
      </c>
      <c r="H181" s="1141">
        <f t="shared" si="115"/>
        <v>0.28999999999999998</v>
      </c>
      <c r="I181" s="1069"/>
      <c r="J181" s="1068"/>
      <c r="K181" s="1068"/>
      <c r="L181" s="711">
        <f>SCOPE!C190</f>
        <v>1</v>
      </c>
      <c r="M181" s="1414">
        <f>(FORECAST(L181,$F$176:$F$184,$C$176:$C$184))</f>
        <v>1.0000000000000001E-5</v>
      </c>
      <c r="N181" s="713">
        <f>SCOPE!F190</f>
        <v>1.0013433333333335</v>
      </c>
      <c r="O181" s="714">
        <f>(FORECAST(N181,$G$176:$G$184,$C$176:$C$184))</f>
        <v>1.0000000000000001E-5</v>
      </c>
      <c r="P181" s="714">
        <f>(FORECAST(N181,$H$176:$H$184,$C$176:$C$184))</f>
        <v>2.9038956666667774E-3</v>
      </c>
      <c r="Q181" s="1112"/>
      <c r="R181" s="1847"/>
    </row>
    <row r="182" spans="2:18" ht="15.75" customHeight="1" x14ac:dyDescent="0.25">
      <c r="B182" s="1859"/>
      <c r="C182" s="1066">
        <f t="shared" si="90"/>
        <v>250</v>
      </c>
      <c r="D182" s="1141" t="str">
        <f t="shared" si="111"/>
        <v>-</v>
      </c>
      <c r="E182" s="1141" t="str">
        <f t="shared" si="112"/>
        <v>-</v>
      </c>
      <c r="F182" s="1141">
        <f t="shared" si="113"/>
        <v>1.0000000000000001E-5</v>
      </c>
      <c r="G182" s="1141">
        <f t="shared" si="114"/>
        <v>1.0000000000000001E-5</v>
      </c>
      <c r="H182" s="1141">
        <f t="shared" si="115"/>
        <v>0.72499999999999998</v>
      </c>
      <c r="I182" s="1069"/>
      <c r="J182" s="1068"/>
      <c r="K182" s="1068"/>
      <c r="L182" s="711">
        <f>SCOPE!C191</f>
        <v>2</v>
      </c>
      <c r="M182" s="712">
        <f t="shared" ref="M182:M186" si="116">(FORECAST(L182,$F$176:$F$184,$C$176:$C$184))</f>
        <v>1.0000000000000001E-5</v>
      </c>
      <c r="N182" s="713">
        <f>SCOPE!F191</f>
        <v>2.0000100000000001</v>
      </c>
      <c r="O182" s="714">
        <f t="shared" ref="O182:O186" si="117">(FORECAST(N182,$G$176:$G$184,$C$176:$C$184))</f>
        <v>1.0000000000000001E-5</v>
      </c>
      <c r="P182" s="714">
        <f t="shared" ref="P182:P186" si="118">(FORECAST(N182,$H$176:$H$184,$C$176:$C$184))</f>
        <v>5.8000290000001101E-3</v>
      </c>
      <c r="Q182" s="1116"/>
      <c r="R182" s="1116"/>
    </row>
    <row r="183" spans="2:18" ht="15.75" customHeight="1" x14ac:dyDescent="0.25">
      <c r="B183" s="1859"/>
      <c r="C183" s="1066">
        <f t="shared" si="90"/>
        <v>500</v>
      </c>
      <c r="D183" s="1141" t="str">
        <f t="shared" si="111"/>
        <v>-</v>
      </c>
      <c r="E183" s="1141" t="str">
        <f t="shared" si="112"/>
        <v>-</v>
      </c>
      <c r="F183" s="1141">
        <f t="shared" si="113"/>
        <v>1.0000000000000001E-5</v>
      </c>
      <c r="G183" s="1141">
        <f t="shared" si="114"/>
        <v>1.0000000000000001E-5</v>
      </c>
      <c r="H183" s="1141">
        <f t="shared" si="115"/>
        <v>1.45</v>
      </c>
      <c r="I183" s="1069"/>
      <c r="J183" s="1068"/>
      <c r="K183" s="1068"/>
      <c r="L183" s="711">
        <f>SCOPE!C192</f>
        <v>3</v>
      </c>
      <c r="M183" s="712">
        <f t="shared" si="116"/>
        <v>1.0000000000000001E-5</v>
      </c>
      <c r="N183" s="713">
        <f>SCOPE!F192</f>
        <v>3.0000100000000001</v>
      </c>
      <c r="O183" s="714">
        <f t="shared" si="117"/>
        <v>1.0000000000000001E-5</v>
      </c>
      <c r="P183" s="714">
        <f t="shared" si="118"/>
        <v>8.700029000000109E-3</v>
      </c>
      <c r="Q183" s="1116"/>
      <c r="R183" s="1116"/>
    </row>
    <row r="184" spans="2:18" ht="15.75" customHeight="1" thickBot="1" x14ac:dyDescent="0.3">
      <c r="B184" s="1860"/>
      <c r="C184" s="1066">
        <f t="shared" si="90"/>
        <v>1000</v>
      </c>
      <c r="D184" s="1141" t="str">
        <f t="shared" si="111"/>
        <v>-</v>
      </c>
      <c r="E184" s="1141" t="str">
        <f t="shared" si="112"/>
        <v>-</v>
      </c>
      <c r="F184" s="1141">
        <f t="shared" si="113"/>
        <v>1.0000000000000001E-5</v>
      </c>
      <c r="G184" s="1141">
        <f t="shared" si="114"/>
        <v>1.0000000000000001E-5</v>
      </c>
      <c r="H184" s="1141">
        <f t="shared" si="115"/>
        <v>2.9</v>
      </c>
      <c r="I184" s="1069"/>
      <c r="J184" s="1068"/>
      <c r="K184" s="1068"/>
      <c r="L184" s="711">
        <f>SCOPE!C193</f>
        <v>4</v>
      </c>
      <c r="M184" s="712">
        <f t="shared" si="116"/>
        <v>1.0000000000000001E-5</v>
      </c>
      <c r="N184" s="713">
        <f>SCOPE!F193</f>
        <v>4.0000099999999996</v>
      </c>
      <c r="O184" s="714">
        <f t="shared" si="117"/>
        <v>1.0000000000000001E-5</v>
      </c>
      <c r="P184" s="714">
        <f t="shared" si="118"/>
        <v>1.1600029000000107E-2</v>
      </c>
      <c r="Q184" s="1116"/>
      <c r="R184" s="1116"/>
    </row>
    <row r="185" spans="2:18" x14ac:dyDescent="0.25">
      <c r="L185" s="711">
        <f>SCOPE!C194</f>
        <v>5</v>
      </c>
      <c r="M185" s="712">
        <f t="shared" si="116"/>
        <v>1.0000000000000001E-5</v>
      </c>
      <c r="N185" s="713">
        <f>SCOPE!F194</f>
        <v>5.0000099999999996</v>
      </c>
      <c r="O185" s="714">
        <f>(FORECAST(N185,$G$176:$G$184,$C$176:$C$184))</f>
        <v>1.0000000000000001E-5</v>
      </c>
      <c r="P185" s="714">
        <f t="shared" si="118"/>
        <v>1.4500029000000107E-2</v>
      </c>
      <c r="Q185" s="1116"/>
      <c r="R185" s="1116"/>
    </row>
    <row r="186" spans="2:18" x14ac:dyDescent="0.25">
      <c r="L186" s="711">
        <f>ID!B46</f>
        <v>27.12</v>
      </c>
      <c r="M186" s="712">
        <f t="shared" si="116"/>
        <v>1.0000000000000001E-5</v>
      </c>
      <c r="N186" s="713">
        <f>L186+M186</f>
        <v>27.120010000000001</v>
      </c>
      <c r="O186" s="714">
        <f t="shared" si="117"/>
        <v>1.0000000000000001E-5</v>
      </c>
      <c r="P186" s="714">
        <f t="shared" si="118"/>
        <v>7.8648029000000091E-2</v>
      </c>
      <c r="Q186" s="1116"/>
      <c r="R186" s="1116"/>
    </row>
    <row r="188" spans="2:18" ht="13" x14ac:dyDescent="0.3">
      <c r="C188" s="729" t="str">
        <f>ID!C48</f>
        <v>- Pulse Frekuensi (Hz)</v>
      </c>
      <c r="D188" s="698"/>
      <c r="E188" s="698"/>
      <c r="F188" s="698"/>
      <c r="G188" s="326"/>
      <c r="H188" s="326"/>
      <c r="I188" s="326"/>
      <c r="J188" s="326"/>
      <c r="K188" s="326"/>
      <c r="L188" s="326"/>
      <c r="M188" s="326"/>
      <c r="N188" s="326"/>
    </row>
    <row r="189" spans="2:18" ht="42" x14ac:dyDescent="0.25">
      <c r="C189" s="1041" t="s">
        <v>149</v>
      </c>
      <c r="D189" s="1041" t="s">
        <v>396</v>
      </c>
      <c r="E189" s="699" t="s">
        <v>397</v>
      </c>
      <c r="F189" s="1041" t="s">
        <v>400</v>
      </c>
      <c r="G189" s="1041" t="s">
        <v>94</v>
      </c>
      <c r="H189" s="700" t="s">
        <v>98</v>
      </c>
      <c r="I189" s="1042" t="s">
        <v>401</v>
      </c>
      <c r="J189" s="1042" t="s">
        <v>402</v>
      </c>
      <c r="K189" s="1042" t="s">
        <v>95</v>
      </c>
      <c r="L189" s="701" t="s">
        <v>398</v>
      </c>
      <c r="M189" s="1042" t="s">
        <v>91</v>
      </c>
      <c r="N189" s="1042" t="s">
        <v>490</v>
      </c>
      <c r="O189" s="730"/>
    </row>
    <row r="190" spans="2:18" x14ac:dyDescent="0.25">
      <c r="C190" s="731">
        <f>ID!C52</f>
        <v>1</v>
      </c>
      <c r="D190" s="1120">
        <f>ID!K52</f>
        <v>1.0013333333333334</v>
      </c>
      <c r="E190" s="1119">
        <f>SCOPE!M181</f>
        <v>1.0000000000000001E-5</v>
      </c>
      <c r="F190" s="1120">
        <f t="shared" ref="F190:F194" si="119">D190+E190</f>
        <v>1.0013433333333335</v>
      </c>
      <c r="G190" s="704">
        <f>ID!L52</f>
        <v>3.2659863237109073E-3</v>
      </c>
      <c r="H190" s="1120">
        <f>0.5*ID!$L$48</f>
        <v>5.0000000000000001E-4</v>
      </c>
      <c r="I190" s="731">
        <f t="shared" ref="I190:I195" si="120">C190-F190</f>
        <v>-1.343333333333474E-3</v>
      </c>
      <c r="J190" s="703">
        <f t="shared" ref="J190:J195" si="121">(I190/C190)*100</f>
        <v>-0.1343333333333474</v>
      </c>
      <c r="K190" s="1121">
        <f t="shared" ref="K190:K194" si="122">F190-C190</f>
        <v>1.343333333333474E-3</v>
      </c>
      <c r="L190" s="707">
        <f t="shared" ref="L190:L195" si="123">(F190-C190)/C190*100</f>
        <v>0.1343333333333474</v>
      </c>
      <c r="M190" s="708">
        <f>SCOPE!O181</f>
        <v>1.0000000000000001E-5</v>
      </c>
      <c r="N190" s="709">
        <f>Ktps!K14</f>
        <v>0.41335545284188852</v>
      </c>
      <c r="O190" s="732"/>
    </row>
    <row r="191" spans="2:18" x14ac:dyDescent="0.25">
      <c r="C191" s="731">
        <f>ID!C53</f>
        <v>2</v>
      </c>
      <c r="D191" s="1120">
        <f>ID!K53</f>
        <v>2</v>
      </c>
      <c r="E191" s="1119">
        <f>SCOPE!M182</f>
        <v>1.0000000000000001E-5</v>
      </c>
      <c r="F191" s="1120">
        <f t="shared" si="119"/>
        <v>2.0000100000000001</v>
      </c>
      <c r="G191" s="704">
        <f>ID!L53</f>
        <v>0</v>
      </c>
      <c r="H191" s="1120">
        <f>0.5*ID!$L$48</f>
        <v>5.0000000000000001E-4</v>
      </c>
      <c r="I191" s="731">
        <f t="shared" si="120"/>
        <v>-1.0000000000065512E-5</v>
      </c>
      <c r="J191" s="703">
        <f t="shared" si="121"/>
        <v>-5.000000000032756E-4</v>
      </c>
      <c r="K191" s="1121">
        <f t="shared" si="122"/>
        <v>1.0000000000065512E-5</v>
      </c>
      <c r="L191" s="707">
        <f t="shared" si="123"/>
        <v>5.000000000032756E-4</v>
      </c>
      <c r="M191" s="708">
        <f>SCOPE!O182</f>
        <v>1.0000000000000001E-5</v>
      </c>
      <c r="N191" s="710">
        <f>Ktps!K26</f>
        <v>0.29254445807396956</v>
      </c>
      <c r="O191" s="736"/>
    </row>
    <row r="192" spans="2:18" x14ac:dyDescent="0.25">
      <c r="C192" s="731">
        <f>ID!C54</f>
        <v>3</v>
      </c>
      <c r="D192" s="1120">
        <f>ID!K54</f>
        <v>3</v>
      </c>
      <c r="E192" s="1119">
        <f>SCOPE!M183</f>
        <v>1.0000000000000001E-5</v>
      </c>
      <c r="F192" s="1120">
        <f t="shared" si="119"/>
        <v>3.0000100000000001</v>
      </c>
      <c r="G192" s="704">
        <f>ID!L54</f>
        <v>0</v>
      </c>
      <c r="H192" s="1120">
        <f>0.5*ID!$L$48</f>
        <v>5.0000000000000001E-4</v>
      </c>
      <c r="I192" s="731">
        <f t="shared" si="120"/>
        <v>-1.0000000000065512E-5</v>
      </c>
      <c r="J192" s="703">
        <f t="shared" si="121"/>
        <v>-3.3333333333551707E-4</v>
      </c>
      <c r="K192" s="1121">
        <f t="shared" si="122"/>
        <v>1.0000000000065512E-5</v>
      </c>
      <c r="L192" s="707">
        <f t="shared" si="123"/>
        <v>3.3333333333551707E-4</v>
      </c>
      <c r="M192" s="708">
        <f>SCOPE!O183</f>
        <v>1.0000000000000001E-5</v>
      </c>
      <c r="N192" s="709">
        <f>Ktps!K38</f>
        <v>0.29182265447723754</v>
      </c>
      <c r="O192" s="732"/>
    </row>
    <row r="193" spans="1:16" x14ac:dyDescent="0.25">
      <c r="C193" s="731">
        <f>ID!C55</f>
        <v>4</v>
      </c>
      <c r="D193" s="1120">
        <f>ID!K55</f>
        <v>4</v>
      </c>
      <c r="E193" s="1119">
        <f>SCOPE!M184</f>
        <v>1.0000000000000001E-5</v>
      </c>
      <c r="F193" s="1120">
        <f t="shared" si="119"/>
        <v>4.0000099999999996</v>
      </c>
      <c r="G193" s="704">
        <f>ID!L55</f>
        <v>0</v>
      </c>
      <c r="H193" s="1120">
        <f>0.5*ID!$L$48</f>
        <v>5.0000000000000001E-4</v>
      </c>
      <c r="I193" s="731">
        <f t="shared" si="120"/>
        <v>-9.9999999996214228E-6</v>
      </c>
      <c r="J193" s="703">
        <f t="shared" si="121"/>
        <v>-2.4999999999053557E-4</v>
      </c>
      <c r="K193" s="1121">
        <f t="shared" si="122"/>
        <v>9.9999999996214228E-6</v>
      </c>
      <c r="L193" s="707">
        <f t="shared" si="123"/>
        <v>2.4999999999053557E-4</v>
      </c>
      <c r="M193" s="708">
        <f>SCOPE!O184</f>
        <v>1.0000000000000001E-5</v>
      </c>
      <c r="N193" s="710">
        <f>Ktps!K50</f>
        <v>0.2915697457543231</v>
      </c>
      <c r="O193" s="736"/>
    </row>
    <row r="194" spans="1:16" x14ac:dyDescent="0.25">
      <c r="C194" s="731">
        <f>ID!C56</f>
        <v>5</v>
      </c>
      <c r="D194" s="1120">
        <f>ID!K56</f>
        <v>5</v>
      </c>
      <c r="E194" s="1119">
        <f>SCOPE!M185</f>
        <v>1.0000000000000001E-5</v>
      </c>
      <c r="F194" s="1120">
        <f t="shared" si="119"/>
        <v>5.0000099999999996</v>
      </c>
      <c r="G194" s="704">
        <f>ID!L56</f>
        <v>0</v>
      </c>
      <c r="H194" s="1120">
        <f>0.5*ID!$L$48</f>
        <v>5.0000000000000001E-4</v>
      </c>
      <c r="I194" s="731">
        <f t="shared" si="120"/>
        <v>-9.9999999996214228E-6</v>
      </c>
      <c r="J194" s="703">
        <f t="shared" si="121"/>
        <v>-1.9999999999242846E-4</v>
      </c>
      <c r="K194" s="1121">
        <f t="shared" si="122"/>
        <v>9.9999999996214228E-6</v>
      </c>
      <c r="L194" s="707">
        <f t="shared" si="123"/>
        <v>1.9999999999242846E-4</v>
      </c>
      <c r="M194" s="708">
        <f>SCOPE!O185</f>
        <v>1.0000000000000001E-5</v>
      </c>
      <c r="N194" s="710">
        <f>Ktps!K62</f>
        <v>0.29145261612850004</v>
      </c>
      <c r="O194" s="736"/>
    </row>
    <row r="195" spans="1:16" x14ac:dyDescent="0.25">
      <c r="A195" s="1837" t="s">
        <v>560</v>
      </c>
      <c r="B195" s="1837"/>
      <c r="C195" s="703">
        <f>ID!B46</f>
        <v>27.12</v>
      </c>
      <c r="D195" s="1120">
        <f>ID!K46</f>
        <v>27.12</v>
      </c>
      <c r="E195" s="1413">
        <f>SCOPE!M186</f>
        <v>1.0000000000000001E-5</v>
      </c>
      <c r="F195" s="1120">
        <f>D195+E195</f>
        <v>27.120010000000001</v>
      </c>
      <c r="G195" s="704">
        <f>ID!L46</f>
        <v>0</v>
      </c>
      <c r="H195" s="1120">
        <f>0.5*ID!L42</f>
        <v>5.0000000000000001E-4</v>
      </c>
      <c r="I195" s="731">
        <f t="shared" si="120"/>
        <v>-9.9999999996214228E-6</v>
      </c>
      <c r="J195" s="703">
        <f t="shared" si="121"/>
        <v>-3.6873156340786953E-5</v>
      </c>
      <c r="K195" s="1121">
        <f>F195-C195</f>
        <v>9.9999999996214228E-6</v>
      </c>
      <c r="L195" s="707">
        <f t="shared" si="123"/>
        <v>3.6873156340786953E-5</v>
      </c>
      <c r="M195" s="708">
        <f>SCOPE!O186</f>
        <v>1.0000000000000001E-5</v>
      </c>
      <c r="N195" s="710">
        <f>Ktps!K87</f>
        <v>7.8987321616993497E-2</v>
      </c>
      <c r="O195" s="159" t="s">
        <v>559</v>
      </c>
    </row>
    <row r="196" spans="1:16" x14ac:dyDescent="0.25">
      <c r="A196" s="1837"/>
      <c r="B196" s="1837"/>
    </row>
    <row r="199" spans="1:16" x14ac:dyDescent="0.25">
      <c r="L199" s="1841" t="s">
        <v>49</v>
      </c>
      <c r="M199" s="1841" t="s">
        <v>393</v>
      </c>
      <c r="N199" s="1841" t="s">
        <v>118</v>
      </c>
      <c r="O199" s="1838" t="s">
        <v>394</v>
      </c>
      <c r="P199" s="1838" t="s">
        <v>395</v>
      </c>
    </row>
    <row r="200" spans="1:16" x14ac:dyDescent="0.25">
      <c r="L200" s="1842"/>
      <c r="M200" s="1842"/>
      <c r="N200" s="1842"/>
      <c r="O200" s="1839"/>
      <c r="P200" s="1839"/>
    </row>
    <row r="201" spans="1:16" x14ac:dyDescent="0.25">
      <c r="L201" s="1843"/>
      <c r="M201" s="1843"/>
      <c r="N201" s="1843"/>
      <c r="O201" s="1840"/>
      <c r="P201" s="1840"/>
    </row>
    <row r="202" spans="1:16" x14ac:dyDescent="0.25">
      <c r="L202" s="927">
        <f>SCOPE!D210</f>
        <v>10</v>
      </c>
      <c r="M202" s="928">
        <f>(FORECAST(L202,$F$166:$F$172,$C$166:$C$172))</f>
        <v>1.1826579080343609</v>
      </c>
      <c r="N202" s="1014">
        <f>SCOPE!F210</f>
        <v>11.182657908034361</v>
      </c>
      <c r="O202" s="714">
        <f>(FORECAST(N202,$G$166:$G$172,$C$166:$C$172))</f>
        <v>1.0000000000000001E-5</v>
      </c>
      <c r="P202" s="714">
        <f>(FORECAST(N202,$H$166:$H$172,$C$166:$C$172))</f>
        <v>2.5720113188478808E-2</v>
      </c>
    </row>
    <row r="203" spans="1:16" x14ac:dyDescent="0.25">
      <c r="L203" s="927">
        <f>SCOPE!D211</f>
        <v>50</v>
      </c>
      <c r="M203" s="928">
        <f t="shared" ref="M203:M205" si="124">(FORECAST(L203,$F$166:$F$172,$C$166:$C$172))</f>
        <v>1.2675088428499244</v>
      </c>
      <c r="N203" s="1014">
        <f>SCOPE!F211</f>
        <v>51.267508842849921</v>
      </c>
      <c r="O203" s="714">
        <f t="shared" ref="O203:O206" si="125">(FORECAST(N203,$G$166:$G$172,$C$166:$C$172))</f>
        <v>1.0000000000000001E-5</v>
      </c>
      <c r="P203" s="714">
        <f t="shared" ref="P203:P206" si="126">(FORECAST(N203,$H$166:$H$172,$C$166:$C$172))</f>
        <v>0.11791527033855459</v>
      </c>
    </row>
    <row r="204" spans="1:16" x14ac:dyDescent="0.25">
      <c r="L204" s="927">
        <f>SCOPE!D212</f>
        <v>100</v>
      </c>
      <c r="M204" s="928">
        <f t="shared" si="124"/>
        <v>1.3735725113693786</v>
      </c>
      <c r="N204" s="1014">
        <f>SCOPE!F212</f>
        <v>101.37357251136937</v>
      </c>
      <c r="O204" s="714">
        <f t="shared" si="125"/>
        <v>1.0000000000000001E-5</v>
      </c>
      <c r="P204" s="714">
        <f t="shared" si="126"/>
        <v>0.23315921677614934</v>
      </c>
    </row>
    <row r="205" spans="1:16" x14ac:dyDescent="0.25">
      <c r="L205" s="927">
        <f>SCOPE!D213</f>
        <v>300</v>
      </c>
      <c r="M205" s="928">
        <f t="shared" si="124"/>
        <v>1.7978271854471957</v>
      </c>
      <c r="N205" s="1014">
        <f>SCOPE!F213</f>
        <v>301.7978271854472</v>
      </c>
      <c r="O205" s="714">
        <f>(FORECAST(N205,$G$166:$G$172,$C$166:$C$172))</f>
        <v>1.0000000000000001E-5</v>
      </c>
      <c r="P205" s="714">
        <f t="shared" si="126"/>
        <v>0.69413500252652838</v>
      </c>
    </row>
    <row r="206" spans="1:16" x14ac:dyDescent="0.25">
      <c r="L206" s="927">
        <f>SCOPE!D214</f>
        <v>500</v>
      </c>
      <c r="M206" s="928">
        <f>(FORECAST(L206,$F$166:$F$172,$C$166:$C$172))</f>
        <v>2.2220818595250131</v>
      </c>
      <c r="N206" s="1014">
        <f>SCOPE!F214</f>
        <v>502.22208185952502</v>
      </c>
      <c r="O206" s="714">
        <f t="shared" si="125"/>
        <v>1.0000000000000001E-5</v>
      </c>
      <c r="P206" s="714">
        <f t="shared" si="126"/>
        <v>1.1551107882769074</v>
      </c>
    </row>
    <row r="208" spans="1:16" ht="13" x14ac:dyDescent="0.3">
      <c r="C208" s="729" t="str">
        <f>ID!C58</f>
        <v xml:space="preserve">- Pulse Width (µs) </v>
      </c>
      <c r="D208" s="698"/>
      <c r="E208" s="698"/>
      <c r="F208" s="698"/>
      <c r="G208" s="326"/>
      <c r="H208" s="326"/>
      <c r="I208" s="326"/>
      <c r="J208" s="326"/>
      <c r="K208" s="326"/>
      <c r="L208" s="326"/>
      <c r="M208" s="326"/>
      <c r="N208" s="326"/>
    </row>
    <row r="209" spans="3:18" ht="42" x14ac:dyDescent="0.25">
      <c r="C209" s="1041" t="s">
        <v>149</v>
      </c>
      <c r="D209" s="1041" t="s">
        <v>396</v>
      </c>
      <c r="E209" s="699" t="s">
        <v>397</v>
      </c>
      <c r="F209" s="1041" t="s">
        <v>400</v>
      </c>
      <c r="G209" s="1041" t="s">
        <v>94</v>
      </c>
      <c r="H209" s="700" t="s">
        <v>98</v>
      </c>
      <c r="I209" s="1042" t="s">
        <v>401</v>
      </c>
      <c r="J209" s="1042" t="s">
        <v>402</v>
      </c>
      <c r="K209" s="1042" t="s">
        <v>95</v>
      </c>
      <c r="L209" s="701" t="s">
        <v>398</v>
      </c>
      <c r="M209" s="1042" t="s">
        <v>91</v>
      </c>
      <c r="N209" s="1042" t="s">
        <v>90</v>
      </c>
    </row>
    <row r="210" spans="3:18" x14ac:dyDescent="0.25">
      <c r="C210" s="731">
        <f>ID!C62</f>
        <v>10</v>
      </c>
      <c r="D210" s="731">
        <f>ID!K62</f>
        <v>10</v>
      </c>
      <c r="E210" s="702">
        <f>SCOPE!M202</f>
        <v>1.1826579080343609</v>
      </c>
      <c r="F210" s="703">
        <f>D210+E210</f>
        <v>11.182657908034361</v>
      </c>
      <c r="G210" s="704">
        <f>ID!L62</f>
        <v>0</v>
      </c>
      <c r="H210" s="705">
        <f>0.5*ID!$L$58</f>
        <v>0.05</v>
      </c>
      <c r="I210" s="731">
        <f>C210-F210</f>
        <v>-1.1826579080343613</v>
      </c>
      <c r="J210" s="703">
        <f>(I210/C210)*100</f>
        <v>-11.826579080343613</v>
      </c>
      <c r="K210" s="706">
        <f>F210-C210</f>
        <v>1.1826579080343613</v>
      </c>
      <c r="L210" s="707">
        <f>(F210-C210)/C210*100</f>
        <v>11.826579080343613</v>
      </c>
      <c r="M210" s="708">
        <f>SCOPE!O202</f>
        <v>1.0000000000000001E-5</v>
      </c>
      <c r="N210" s="1012">
        <f>Ktps!W14</f>
        <v>0.63044061834166676</v>
      </c>
    </row>
    <row r="211" spans="3:18" x14ac:dyDescent="0.25">
      <c r="C211" s="731">
        <f>ID!C63</f>
        <v>50</v>
      </c>
      <c r="D211" s="731">
        <f>ID!K63</f>
        <v>50</v>
      </c>
      <c r="E211" s="702">
        <f>SCOPE!M203</f>
        <v>1.2675088428499244</v>
      </c>
      <c r="F211" s="703">
        <f>D211+E211</f>
        <v>51.267508842849921</v>
      </c>
      <c r="G211" s="704">
        <f>ID!L63</f>
        <v>0</v>
      </c>
      <c r="H211" s="705">
        <f>0.5*ID!$L$58</f>
        <v>0.05</v>
      </c>
      <c r="I211" s="731">
        <f>C211-F211</f>
        <v>-1.2675088428499208</v>
      </c>
      <c r="J211" s="703">
        <f>(I211/C211)*100</f>
        <v>-2.5350176856998416</v>
      </c>
      <c r="K211" s="706">
        <f>F211-C211</f>
        <v>1.2675088428499208</v>
      </c>
      <c r="L211" s="707">
        <f>(F211-C211)/C211*100</f>
        <v>2.5350176856998416</v>
      </c>
      <c r="M211" s="708">
        <f>SCOPE!O203</f>
        <v>1.0000000000000001E-5</v>
      </c>
      <c r="N211" s="1013">
        <f>Ktps!W26</f>
        <v>0.26168439519377695</v>
      </c>
    </row>
    <row r="212" spans="3:18" x14ac:dyDescent="0.25">
      <c r="C212" s="731">
        <f>ID!C64</f>
        <v>100</v>
      </c>
      <c r="D212" s="731">
        <f>ID!K64</f>
        <v>100</v>
      </c>
      <c r="E212" s="702">
        <f>SCOPE!M204</f>
        <v>1.3735725113693786</v>
      </c>
      <c r="F212" s="703">
        <f>D212+E212</f>
        <v>101.37357251136937</v>
      </c>
      <c r="G212" s="704">
        <f>ID!L64</f>
        <v>0</v>
      </c>
      <c r="H212" s="705">
        <f>0.5*ID!$L$58</f>
        <v>0.05</v>
      </c>
      <c r="I212" s="731">
        <f>C212-F212</f>
        <v>-1.3735725113693746</v>
      </c>
      <c r="J212" s="703">
        <f>(I212/C212)*100</f>
        <v>-1.3735725113693746</v>
      </c>
      <c r="K212" s="706">
        <f>F212-C212</f>
        <v>1.3735725113693746</v>
      </c>
      <c r="L212" s="707">
        <f>(F212-C212)/C212*100</f>
        <v>1.3735725113693746</v>
      </c>
      <c r="M212" s="708">
        <f>SCOPE!O204</f>
        <v>1.0000000000000001E-5</v>
      </c>
      <c r="N212" s="1012">
        <f>Ktps!W38</f>
        <v>0.24058213567029954</v>
      </c>
    </row>
    <row r="213" spans="3:18" x14ac:dyDescent="0.25">
      <c r="C213" s="731">
        <f>ID!C65</f>
        <v>300</v>
      </c>
      <c r="D213" s="731">
        <f>ID!K65</f>
        <v>300</v>
      </c>
      <c r="E213" s="702">
        <f>SCOPE!M205</f>
        <v>1.7978271854471957</v>
      </c>
      <c r="F213" s="703">
        <f>D213+E213</f>
        <v>301.7978271854472</v>
      </c>
      <c r="G213" s="704">
        <f>ID!L65</f>
        <v>0</v>
      </c>
      <c r="H213" s="705">
        <f>0.5*ID!$L$58</f>
        <v>0.05</v>
      </c>
      <c r="I213" s="731">
        <f>C213-F213</f>
        <v>-1.7978271854472041</v>
      </c>
      <c r="J213" s="703">
        <f>(I213/C213)*100</f>
        <v>-0.5992757284824014</v>
      </c>
      <c r="K213" s="706">
        <f>F213-C213</f>
        <v>1.7978271854472041</v>
      </c>
      <c r="L213" s="707">
        <f>(F213-C213)/C213*100</f>
        <v>0.5992757284824014</v>
      </c>
      <c r="M213" s="708">
        <f>SCOPE!O205</f>
        <v>1.0000000000000001E-5</v>
      </c>
      <c r="N213" s="1012">
        <f>Ktps!W62</f>
        <v>0.2330944256753178</v>
      </c>
    </row>
    <row r="214" spans="3:18" x14ac:dyDescent="0.25">
      <c r="C214" s="731">
        <f>ID!C66</f>
        <v>500</v>
      </c>
      <c r="D214" s="731">
        <f>ID!K66</f>
        <v>500</v>
      </c>
      <c r="E214" s="702">
        <f>SCOPE!M206</f>
        <v>2.2220818595250131</v>
      </c>
      <c r="F214" s="703">
        <f>D214+E214</f>
        <v>502.22208185952502</v>
      </c>
      <c r="G214" s="704">
        <f>ID!L66</f>
        <v>0</v>
      </c>
      <c r="H214" s="705">
        <f>0.5*ID!$L$58</f>
        <v>0.05</v>
      </c>
      <c r="I214" s="731">
        <f>C214-F214</f>
        <v>-2.2220818595250194</v>
      </c>
      <c r="J214" s="703">
        <f>(I214/C214)*100</f>
        <v>-0.44441637190500383</v>
      </c>
      <c r="K214" s="706">
        <f>F214-C214</f>
        <v>2.2220818595250194</v>
      </c>
      <c r="L214" s="707">
        <f>(F214-C214)/C214*100</f>
        <v>0.44441637190500383</v>
      </c>
      <c r="M214" s="708">
        <f>SCOPE!O206</f>
        <v>1.0000000000000001E-5</v>
      </c>
      <c r="N214" s="1013">
        <f>Ktps!W50</f>
        <v>0.23227417340396206</v>
      </c>
    </row>
    <row r="218" spans="3:18" x14ac:dyDescent="0.25">
      <c r="C218" s="1136"/>
      <c r="D218" s="1136"/>
      <c r="E218" s="1136"/>
      <c r="F218" s="1136"/>
      <c r="G218" s="1136"/>
      <c r="H218" s="1136"/>
      <c r="I218" s="1136"/>
      <c r="J218" s="1136"/>
      <c r="K218" s="1136"/>
      <c r="L218" s="1136"/>
      <c r="M218" s="1136"/>
      <c r="N218" s="1136"/>
      <c r="O218" s="1136"/>
      <c r="P218" s="1136"/>
      <c r="Q218" s="1136"/>
      <c r="R218" s="1136"/>
    </row>
    <row r="219" spans="3:18" x14ac:dyDescent="0.25">
      <c r="C219" s="1136"/>
      <c r="D219" s="1136"/>
      <c r="E219" s="1136"/>
      <c r="F219" s="1136"/>
      <c r="G219" s="1136"/>
      <c r="H219" s="1136"/>
      <c r="I219" s="1136"/>
      <c r="J219" s="1136"/>
      <c r="K219" s="1136"/>
      <c r="L219" s="1136"/>
      <c r="M219" s="1136"/>
      <c r="N219" s="1136"/>
      <c r="O219" s="1136"/>
      <c r="P219" s="1136"/>
      <c r="Q219" s="1136"/>
      <c r="R219" s="1136"/>
    </row>
    <row r="220" spans="3:18" x14ac:dyDescent="0.25">
      <c r="C220" s="1136"/>
      <c r="D220" s="1136"/>
      <c r="E220" s="1136"/>
      <c r="F220" s="1136"/>
      <c r="G220" s="1136"/>
      <c r="H220" s="1136"/>
      <c r="I220" s="1136"/>
      <c r="J220" s="1136"/>
      <c r="K220" s="1136"/>
      <c r="L220" s="1136"/>
      <c r="M220" s="1136"/>
      <c r="N220" s="1136"/>
      <c r="O220" s="1136"/>
      <c r="P220" s="1136"/>
      <c r="Q220" s="1136"/>
      <c r="R220" s="1136"/>
    </row>
    <row r="221" spans="3:18" x14ac:dyDescent="0.25">
      <c r="C221" s="1136"/>
      <c r="D221" s="1136"/>
      <c r="E221" s="1136"/>
      <c r="F221" s="1136"/>
      <c r="G221" s="1136"/>
      <c r="H221" s="1136"/>
      <c r="I221" s="1136"/>
      <c r="J221" s="1136"/>
      <c r="K221" s="1136"/>
      <c r="L221" s="1136"/>
      <c r="M221" s="1136"/>
      <c r="N221" s="1136"/>
      <c r="O221" s="1136"/>
      <c r="P221" s="1136"/>
      <c r="Q221" s="1136"/>
      <c r="R221" s="1136"/>
    </row>
    <row r="222" spans="3:18" x14ac:dyDescent="0.25">
      <c r="C222" s="1136"/>
      <c r="D222" s="1136"/>
      <c r="E222" s="1136"/>
      <c r="F222" s="1136"/>
      <c r="G222" s="1136"/>
      <c r="H222" s="1136"/>
      <c r="I222" s="1136"/>
      <c r="J222" s="1136"/>
      <c r="K222" s="1136"/>
      <c r="L222" s="1136"/>
      <c r="M222" s="1136"/>
      <c r="N222" s="1136"/>
      <c r="O222" s="1136"/>
      <c r="P222" s="1136"/>
      <c r="Q222" s="1136"/>
      <c r="R222" s="1136"/>
    </row>
    <row r="223" spans="3:18" x14ac:dyDescent="0.25">
      <c r="C223" s="1136"/>
      <c r="D223" s="1136"/>
      <c r="E223" s="1136"/>
      <c r="F223" s="1136"/>
      <c r="G223" s="1136"/>
      <c r="H223" s="1136"/>
      <c r="I223" s="1136"/>
      <c r="J223" s="1136"/>
      <c r="K223" s="1136"/>
      <c r="L223" s="1136"/>
      <c r="M223" s="1136"/>
      <c r="N223" s="1136"/>
      <c r="O223" s="1136"/>
      <c r="P223" s="1136"/>
      <c r="Q223" s="1136"/>
      <c r="R223" s="1136"/>
    </row>
    <row r="224" spans="3:18" x14ac:dyDescent="0.25">
      <c r="C224" s="1136"/>
      <c r="D224" s="1136"/>
      <c r="E224" s="1136"/>
      <c r="F224" s="1136"/>
      <c r="G224" s="1136"/>
      <c r="H224" s="1136"/>
      <c r="I224" s="1136"/>
      <c r="J224" s="1136"/>
      <c r="K224" s="1136"/>
      <c r="L224" s="1136"/>
      <c r="M224" s="1136"/>
      <c r="N224" s="1136"/>
      <c r="O224" s="1136"/>
      <c r="P224" s="1136"/>
      <c r="Q224" s="1136"/>
      <c r="R224" s="1136"/>
    </row>
    <row r="225" spans="3:18" x14ac:dyDescent="0.25">
      <c r="C225" s="1136"/>
      <c r="D225" s="1136"/>
      <c r="E225" s="1136"/>
      <c r="F225" s="1136"/>
      <c r="G225" s="1136"/>
      <c r="H225" s="1136"/>
      <c r="I225" s="1136"/>
      <c r="J225" s="1136"/>
      <c r="K225" s="1136"/>
      <c r="L225" s="1136"/>
      <c r="M225" s="1136"/>
      <c r="N225" s="1136"/>
      <c r="O225" s="1136"/>
      <c r="P225" s="1136"/>
      <c r="Q225" s="1136"/>
      <c r="R225" s="1136"/>
    </row>
    <row r="226" spans="3:18" x14ac:dyDescent="0.25">
      <c r="C226" s="1136"/>
      <c r="D226" s="1136"/>
      <c r="E226" s="1136"/>
      <c r="F226" s="1136"/>
      <c r="G226" s="1136"/>
      <c r="H226" s="1136"/>
      <c r="I226" s="1136"/>
      <c r="J226" s="1136"/>
      <c r="K226" s="1136"/>
      <c r="L226" s="1136"/>
      <c r="M226" s="1136"/>
      <c r="N226" s="1136"/>
      <c r="O226" s="1136"/>
      <c r="P226" s="1136"/>
      <c r="Q226" s="1136"/>
      <c r="R226" s="1136"/>
    </row>
    <row r="227" spans="3:18" x14ac:dyDescent="0.25">
      <c r="C227" s="1136"/>
      <c r="D227" s="1136"/>
      <c r="E227" s="1136"/>
      <c r="F227" s="1136"/>
      <c r="G227" s="1136"/>
      <c r="H227" s="1136"/>
      <c r="I227" s="1136"/>
      <c r="J227" s="1136"/>
      <c r="K227" s="1136"/>
      <c r="L227" s="1136"/>
      <c r="M227" s="1136"/>
      <c r="N227" s="1136"/>
      <c r="O227" s="1136"/>
      <c r="P227" s="1136"/>
      <c r="Q227" s="1136"/>
      <c r="R227" s="1136"/>
    </row>
    <row r="228" spans="3:18" x14ac:dyDescent="0.25">
      <c r="C228" s="1136"/>
      <c r="D228" s="1136"/>
      <c r="E228" s="1136"/>
      <c r="F228" s="1136"/>
      <c r="G228" s="1136"/>
      <c r="H228" s="1136"/>
      <c r="I228" s="1136"/>
      <c r="J228" s="1136"/>
      <c r="K228" s="1136"/>
      <c r="L228" s="1136"/>
      <c r="M228" s="1136"/>
      <c r="N228" s="1136"/>
      <c r="O228" s="1136"/>
      <c r="P228" s="1136"/>
      <c r="Q228" s="1136"/>
      <c r="R228" s="1136"/>
    </row>
    <row r="229" spans="3:18" x14ac:dyDescent="0.25">
      <c r="C229" s="1136"/>
      <c r="D229" s="1136"/>
      <c r="E229" s="1136"/>
      <c r="F229" s="1136"/>
      <c r="G229" s="1136"/>
      <c r="H229" s="1136"/>
      <c r="I229" s="1136"/>
      <c r="J229" s="1136"/>
      <c r="K229" s="1136"/>
      <c r="L229" s="1136"/>
      <c r="M229" s="1136"/>
      <c r="N229" s="1136"/>
      <c r="O229" s="1136"/>
      <c r="P229" s="1136"/>
      <c r="Q229" s="1136"/>
      <c r="R229" s="1136"/>
    </row>
    <row r="230" spans="3:18" x14ac:dyDescent="0.25">
      <c r="C230" s="1136"/>
      <c r="D230" s="1136"/>
      <c r="E230" s="1136"/>
      <c r="F230" s="1136"/>
      <c r="G230" s="1136"/>
      <c r="H230" s="1136"/>
      <c r="I230" s="1136"/>
      <c r="J230" s="1136"/>
      <c r="K230" s="1136"/>
      <c r="L230" s="1136"/>
      <c r="M230" s="1136"/>
      <c r="N230" s="1136"/>
      <c r="O230" s="1136"/>
      <c r="P230" s="1136"/>
      <c r="Q230" s="1136"/>
      <c r="R230" s="1136"/>
    </row>
    <row r="231" spans="3:18" x14ac:dyDescent="0.25">
      <c r="C231" s="1136"/>
      <c r="D231" s="1136"/>
      <c r="E231" s="1136"/>
      <c r="F231" s="1136"/>
      <c r="G231" s="1136"/>
      <c r="H231" s="1136"/>
      <c r="I231" s="1136"/>
      <c r="J231" s="1136"/>
      <c r="K231" s="1136"/>
      <c r="L231" s="1136"/>
      <c r="M231" s="1136"/>
      <c r="N231" s="1136"/>
      <c r="O231" s="1136"/>
      <c r="P231" s="1136"/>
      <c r="Q231" s="1136"/>
      <c r="R231" s="1136"/>
    </row>
    <row r="232" spans="3:18" x14ac:dyDescent="0.25">
      <c r="C232" s="1136"/>
      <c r="D232" s="1136"/>
      <c r="E232" s="1136"/>
      <c r="F232" s="1136"/>
      <c r="G232" s="1136"/>
      <c r="H232" s="1136"/>
      <c r="I232" s="1136"/>
      <c r="J232" s="1136"/>
      <c r="K232" s="1136"/>
      <c r="L232" s="1136"/>
      <c r="M232" s="1136"/>
      <c r="N232" s="1136"/>
      <c r="O232" s="1136"/>
      <c r="P232" s="1136"/>
      <c r="Q232" s="1136"/>
      <c r="R232" s="1136"/>
    </row>
    <row r="233" spans="3:18" x14ac:dyDescent="0.25">
      <c r="C233" s="1136"/>
      <c r="D233" s="1136"/>
      <c r="E233" s="1136"/>
      <c r="F233" s="1136"/>
      <c r="G233" s="1136"/>
      <c r="H233" s="1136"/>
      <c r="I233" s="1136"/>
      <c r="J233" s="1136"/>
      <c r="K233" s="1136"/>
      <c r="L233" s="1136"/>
      <c r="M233" s="1136"/>
      <c r="N233" s="1136"/>
      <c r="O233" s="1136"/>
      <c r="P233" s="1136"/>
      <c r="Q233" s="1136"/>
      <c r="R233" s="1136"/>
    </row>
  </sheetData>
  <mergeCells count="179">
    <mergeCell ref="S3:V3"/>
    <mergeCell ref="W3:W5"/>
    <mergeCell ref="X3:X5"/>
    <mergeCell ref="D4:F4"/>
    <mergeCell ref="L4:N4"/>
    <mergeCell ref="T4:V4"/>
    <mergeCell ref="B2:B35"/>
    <mergeCell ref="J2:J35"/>
    <mergeCell ref="R2:R35"/>
    <mergeCell ref="C3:F3"/>
    <mergeCell ref="G3:G5"/>
    <mergeCell ref="H3:H5"/>
    <mergeCell ref="K3:N3"/>
    <mergeCell ref="O3:O5"/>
    <mergeCell ref="P3:P5"/>
    <mergeCell ref="C14:F14"/>
    <mergeCell ref="P24:P26"/>
    <mergeCell ref="S24:V24"/>
    <mergeCell ref="W24:W26"/>
    <mergeCell ref="X24:X26"/>
    <mergeCell ref="D25:F25"/>
    <mergeCell ref="L25:N25"/>
    <mergeCell ref="T25:V25"/>
    <mergeCell ref="W14:W16"/>
    <mergeCell ref="X14:X16"/>
    <mergeCell ref="D15:F15"/>
    <mergeCell ref="L15:N15"/>
    <mergeCell ref="T15:V15"/>
    <mergeCell ref="C24:F24"/>
    <mergeCell ref="G24:G26"/>
    <mergeCell ref="H24:H26"/>
    <mergeCell ref="K24:N24"/>
    <mergeCell ref="O24:O26"/>
    <mergeCell ref="G14:G16"/>
    <mergeCell ref="H14:H16"/>
    <mergeCell ref="K14:N14"/>
    <mergeCell ref="O14:O16"/>
    <mergeCell ref="P14:P16"/>
    <mergeCell ref="S14:V14"/>
    <mergeCell ref="S39:V39"/>
    <mergeCell ref="W39:W41"/>
    <mergeCell ref="X39:X41"/>
    <mergeCell ref="D40:F40"/>
    <mergeCell ref="L40:N40"/>
    <mergeCell ref="T40:V40"/>
    <mergeCell ref="B38:B71"/>
    <mergeCell ref="J38:J71"/>
    <mergeCell ref="R38:R71"/>
    <mergeCell ref="C39:F39"/>
    <mergeCell ref="G39:G41"/>
    <mergeCell ref="H39:H41"/>
    <mergeCell ref="K39:N39"/>
    <mergeCell ref="O39:O41"/>
    <mergeCell ref="P39:P41"/>
    <mergeCell ref="C50:F50"/>
    <mergeCell ref="P60:P62"/>
    <mergeCell ref="S60:V60"/>
    <mergeCell ref="W60:W62"/>
    <mergeCell ref="X60:X62"/>
    <mergeCell ref="D61:F61"/>
    <mergeCell ref="L61:N61"/>
    <mergeCell ref="T61:V61"/>
    <mergeCell ref="W50:W52"/>
    <mergeCell ref="X50:X52"/>
    <mergeCell ref="D51:F51"/>
    <mergeCell ref="L51:N51"/>
    <mergeCell ref="T51:V51"/>
    <mergeCell ref="C60:F60"/>
    <mergeCell ref="G60:G62"/>
    <mergeCell ref="H60:H62"/>
    <mergeCell ref="K60:N60"/>
    <mergeCell ref="O60:O62"/>
    <mergeCell ref="G50:G52"/>
    <mergeCell ref="H50:H52"/>
    <mergeCell ref="K50:N50"/>
    <mergeCell ref="O50:O52"/>
    <mergeCell ref="P50:P52"/>
    <mergeCell ref="S50:V50"/>
    <mergeCell ref="S75:V75"/>
    <mergeCell ref="W75:W77"/>
    <mergeCell ref="X75:X77"/>
    <mergeCell ref="D76:F76"/>
    <mergeCell ref="L76:N76"/>
    <mergeCell ref="T76:V76"/>
    <mergeCell ref="B74:B107"/>
    <mergeCell ref="J74:J107"/>
    <mergeCell ref="R74:R107"/>
    <mergeCell ref="C75:F75"/>
    <mergeCell ref="G75:G77"/>
    <mergeCell ref="H75:H77"/>
    <mergeCell ref="K75:N75"/>
    <mergeCell ref="O75:O77"/>
    <mergeCell ref="P75:P77"/>
    <mergeCell ref="C86:F86"/>
    <mergeCell ref="P96:P98"/>
    <mergeCell ref="S96:V96"/>
    <mergeCell ref="W96:W98"/>
    <mergeCell ref="X96:X98"/>
    <mergeCell ref="D97:F97"/>
    <mergeCell ref="L97:N97"/>
    <mergeCell ref="T97:V97"/>
    <mergeCell ref="W86:W88"/>
    <mergeCell ref="X86:X88"/>
    <mergeCell ref="D87:F87"/>
    <mergeCell ref="L87:N87"/>
    <mergeCell ref="T87:V87"/>
    <mergeCell ref="C96:F96"/>
    <mergeCell ref="G96:G98"/>
    <mergeCell ref="H96:H98"/>
    <mergeCell ref="K96:N96"/>
    <mergeCell ref="O96:O98"/>
    <mergeCell ref="G86:G88"/>
    <mergeCell ref="H86:H88"/>
    <mergeCell ref="K86:N86"/>
    <mergeCell ref="O86:O88"/>
    <mergeCell ref="P86:P88"/>
    <mergeCell ref="S86:V86"/>
    <mergeCell ref="S111:V111"/>
    <mergeCell ref="W111:W113"/>
    <mergeCell ref="X111:X113"/>
    <mergeCell ref="D112:F112"/>
    <mergeCell ref="L112:N112"/>
    <mergeCell ref="T112:V112"/>
    <mergeCell ref="B110:B143"/>
    <mergeCell ref="J110:J143"/>
    <mergeCell ref="R110:R143"/>
    <mergeCell ref="C111:F111"/>
    <mergeCell ref="G111:G113"/>
    <mergeCell ref="H111:H113"/>
    <mergeCell ref="K111:N111"/>
    <mergeCell ref="O111:O113"/>
    <mergeCell ref="P111:P113"/>
    <mergeCell ref="C122:F122"/>
    <mergeCell ref="P132:P134"/>
    <mergeCell ref="S132:V132"/>
    <mergeCell ref="W132:W134"/>
    <mergeCell ref="X132:X134"/>
    <mergeCell ref="D133:F133"/>
    <mergeCell ref="L133:N133"/>
    <mergeCell ref="T133:V133"/>
    <mergeCell ref="W122:W124"/>
    <mergeCell ref="X122:X124"/>
    <mergeCell ref="D123:F123"/>
    <mergeCell ref="L123:N123"/>
    <mergeCell ref="T123:V123"/>
    <mergeCell ref="C132:F132"/>
    <mergeCell ref="G132:G134"/>
    <mergeCell ref="H132:H134"/>
    <mergeCell ref="K132:N132"/>
    <mergeCell ref="O132:O134"/>
    <mergeCell ref="G122:G124"/>
    <mergeCell ref="H122:H124"/>
    <mergeCell ref="K122:N122"/>
    <mergeCell ref="O122:O124"/>
    <mergeCell ref="P122:P124"/>
    <mergeCell ref="S122:V122"/>
    <mergeCell ref="C152:F152"/>
    <mergeCell ref="D153:F153"/>
    <mergeCell ref="U161:W161"/>
    <mergeCell ref="C163:F163"/>
    <mergeCell ref="B151:B184"/>
    <mergeCell ref="C151:H151"/>
    <mergeCell ref="D164:F164"/>
    <mergeCell ref="C173:F173"/>
    <mergeCell ref="D174:F174"/>
    <mergeCell ref="A195:B196"/>
    <mergeCell ref="P199:P201"/>
    <mergeCell ref="L199:L201"/>
    <mergeCell ref="N199:N201"/>
    <mergeCell ref="M199:M201"/>
    <mergeCell ref="O199:O201"/>
    <mergeCell ref="Y161:AJ161"/>
    <mergeCell ref="P178:P180"/>
    <mergeCell ref="N178:N180"/>
    <mergeCell ref="L178:L180"/>
    <mergeCell ref="O178:O180"/>
    <mergeCell ref="M178:M180"/>
    <mergeCell ref="R179:R181"/>
    <mergeCell ref="Y174:AJ174"/>
  </mergeCells>
  <dataValidations count="1">
    <dataValidation type="list" allowBlank="1" showInputMessage="1" showErrorMessage="1" sqref="M161" xr:uid="{AD2B1E49-21DD-4371-8974-31844A268093}">
      <formula1>$L$162:$L$167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213F-4246-4AFB-A5E3-7929D5006E02}">
  <dimension ref="A2:O67"/>
  <sheetViews>
    <sheetView topLeftCell="A58" workbookViewId="0">
      <selection activeCell="M84" sqref="M84"/>
    </sheetView>
  </sheetViews>
  <sheetFormatPr defaultRowHeight="12.5" x14ac:dyDescent="0.25"/>
  <sheetData>
    <row r="2" spans="1:15" x14ac:dyDescent="0.25">
      <c r="A2" s="978" t="s">
        <v>502</v>
      </c>
      <c r="O2" s="978" t="s">
        <v>503</v>
      </c>
    </row>
    <row r="57" spans="12:12" x14ac:dyDescent="0.25">
      <c r="L57" s="978" t="s">
        <v>514</v>
      </c>
    </row>
    <row r="67" spans="10:10" x14ac:dyDescent="0.25">
      <c r="J67" s="101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AAE-4A98-4B15-BF19-785FED53769F}">
  <sheetPr>
    <tabColor rgb="FF00B050"/>
  </sheetPr>
  <dimension ref="A1:O61"/>
  <sheetViews>
    <sheetView topLeftCell="A10" zoomScale="88" zoomScaleNormal="88" zoomScaleSheetLayoutView="90" workbookViewId="0">
      <selection activeCell="K20" sqref="K20"/>
    </sheetView>
  </sheetViews>
  <sheetFormatPr defaultColWidth="9.26953125" defaultRowHeight="12.5" x14ac:dyDescent="0.25"/>
  <cols>
    <col min="1" max="1" width="18.26953125" style="451" customWidth="1"/>
    <col min="2" max="2" width="26.26953125" style="451" customWidth="1"/>
    <col min="3" max="3" width="3.26953125" style="451" customWidth="1"/>
    <col min="4" max="4" width="11.54296875" style="451" customWidth="1"/>
    <col min="5" max="5" width="9.453125" style="451" customWidth="1"/>
    <col min="6" max="6" width="22.54296875" style="451" customWidth="1"/>
    <col min="7" max="7" width="9.26953125" style="451"/>
    <col min="8" max="8" width="18.7265625" style="451" customWidth="1"/>
    <col min="9" max="9" width="12.26953125" style="451" customWidth="1"/>
    <col min="10" max="16384" width="9.26953125" style="451"/>
  </cols>
  <sheetData>
    <row r="1" spans="1:15" ht="18.5" x14ac:dyDescent="0.45">
      <c r="H1" s="656" t="str">
        <f>IF(PENYELIA!J91&lt;70,"TIDAK LAIK","LAIK")</f>
        <v>LAIK</v>
      </c>
      <c r="I1" s="452"/>
      <c r="J1" s="452"/>
    </row>
    <row r="2" spans="1:15" ht="30" x14ac:dyDescent="0.25">
      <c r="A2" s="1912" t="s">
        <v>152</v>
      </c>
      <c r="B2" s="1912"/>
      <c r="C2" s="1912"/>
      <c r="D2" s="1912"/>
      <c r="E2" s="1912"/>
      <c r="F2" s="1912"/>
      <c r="H2" s="453"/>
      <c r="I2" s="1913"/>
      <c r="J2" s="1914"/>
    </row>
    <row r="3" spans="1:15" ht="14" x14ac:dyDescent="0.3">
      <c r="A3" s="1915" t="str">
        <f>"Nomor : 18 /"&amp;" "&amp;ID!I2</f>
        <v>Nomor : 18 / 19 / III - 25 / E - 009.678 DL</v>
      </c>
      <c r="B3" s="1915"/>
      <c r="C3" s="1915"/>
      <c r="D3" s="1915"/>
      <c r="E3" s="1915"/>
      <c r="F3" s="1915"/>
    </row>
    <row r="4" spans="1:15" ht="13" x14ac:dyDescent="0.3">
      <c r="C4" s="451" t="s">
        <v>153</v>
      </c>
      <c r="D4" s="1916" t="str">
        <f>ID!E11</f>
        <v>KL.MK 13</v>
      </c>
      <c r="E4" s="1916"/>
      <c r="F4" s="1916"/>
      <c r="H4" s="454"/>
      <c r="I4" s="454"/>
      <c r="J4" s="454"/>
    </row>
    <row r="5" spans="1:15" ht="14.5" x14ac:dyDescent="0.35">
      <c r="H5" s="1917"/>
      <c r="I5" s="1917"/>
      <c r="J5" s="1917"/>
    </row>
    <row r="6" spans="1:15" ht="14" x14ac:dyDescent="0.25">
      <c r="A6" s="455" t="s">
        <v>154</v>
      </c>
      <c r="B6" s="456" t="s">
        <v>155</v>
      </c>
      <c r="C6" s="457"/>
      <c r="D6" s="1898" t="s">
        <v>156</v>
      </c>
      <c r="E6" s="1899"/>
      <c r="F6" s="458" t="str">
        <f>MID(A3,SEARCH("E - ",A3),LEN(A3))</f>
        <v>E - 009.678 DL</v>
      </c>
    </row>
    <row r="7" spans="1:15" ht="14" x14ac:dyDescent="0.25">
      <c r="A7" s="459"/>
      <c r="B7" s="459"/>
      <c r="C7" s="459"/>
    </row>
    <row r="8" spans="1:15" ht="14" x14ac:dyDescent="0.25">
      <c r="A8" s="1892" t="s">
        <v>0</v>
      </c>
      <c r="B8" s="1892"/>
      <c r="C8" s="460" t="s">
        <v>1</v>
      </c>
      <c r="D8" s="1908" t="str">
        <f>LH!E5</f>
        <v>x</v>
      </c>
      <c r="E8" s="1892"/>
      <c r="F8" s="1892"/>
      <c r="I8" s="1909"/>
      <c r="J8" s="1909"/>
    </row>
    <row r="9" spans="1:15" ht="14.25" customHeight="1" x14ac:dyDescent="0.25">
      <c r="A9" s="1892" t="s">
        <v>157</v>
      </c>
      <c r="B9" s="1892"/>
      <c r="C9" s="460" t="s">
        <v>1</v>
      </c>
      <c r="D9" s="1908" t="str">
        <f>LH!E6</f>
        <v>s</v>
      </c>
      <c r="E9" s="1892"/>
      <c r="F9" s="1892"/>
      <c r="I9" s="1909"/>
      <c r="J9" s="1909"/>
    </row>
    <row r="10" spans="1:15" ht="15" customHeight="1" x14ac:dyDescent="0.35">
      <c r="A10" s="1892" t="s">
        <v>158</v>
      </c>
      <c r="B10" s="1892"/>
      <c r="C10" s="460" t="s">
        <v>1</v>
      </c>
      <c r="D10" s="1908" t="str">
        <f>LH!E7</f>
        <v>d</v>
      </c>
      <c r="E10" s="1892"/>
      <c r="F10" s="1892"/>
      <c r="I10" s="1910"/>
      <c r="J10" s="1900"/>
      <c r="O10" s="461"/>
    </row>
    <row r="11" spans="1:15" s="452" customFormat="1" ht="14.5" hidden="1" x14ac:dyDescent="0.35">
      <c r="A11" s="1911" t="s">
        <v>159</v>
      </c>
      <c r="B11" s="1911"/>
      <c r="C11" s="462" t="s">
        <v>1</v>
      </c>
      <c r="D11" s="463" t="str">
        <f>I11&amp;"    "&amp;J11&amp;""</f>
        <v xml:space="preserve">    </v>
      </c>
      <c r="E11" s="463"/>
      <c r="F11" s="464">
        <f>J11</f>
        <v>0</v>
      </c>
      <c r="I11" s="465"/>
      <c r="J11" s="466"/>
      <c r="O11" s="466"/>
    </row>
    <row r="12" spans="1:15" s="452" customFormat="1" ht="14.5" hidden="1" x14ac:dyDescent="0.35">
      <c r="A12" s="1911" t="s">
        <v>98</v>
      </c>
      <c r="B12" s="1911"/>
      <c r="C12" s="462" t="s">
        <v>1</v>
      </c>
      <c r="D12" s="467"/>
      <c r="E12" s="467"/>
      <c r="F12" s="464"/>
      <c r="I12" s="468"/>
      <c r="J12" s="466"/>
      <c r="O12" s="466"/>
    </row>
    <row r="13" spans="1:15" ht="14.5" x14ac:dyDescent="0.35">
      <c r="A13" s="469"/>
      <c r="B13" s="469"/>
      <c r="C13" s="459"/>
      <c r="I13" s="1907"/>
      <c r="J13" s="1907"/>
      <c r="O13" s="461"/>
    </row>
    <row r="14" spans="1:15" ht="28.5" customHeight="1" x14ac:dyDescent="0.35">
      <c r="A14" s="470" t="s">
        <v>160</v>
      </c>
      <c r="B14" s="471"/>
      <c r="C14" s="459"/>
      <c r="D14" s="1898" t="s">
        <v>161</v>
      </c>
      <c r="E14" s="1899"/>
      <c r="F14" s="472"/>
      <c r="I14" s="1900"/>
      <c r="J14" s="1900"/>
      <c r="O14" s="461"/>
    </row>
    <row r="15" spans="1:15" ht="14.5" x14ac:dyDescent="0.25">
      <c r="A15" s="473"/>
      <c r="B15" s="459"/>
      <c r="C15" s="459"/>
      <c r="D15" s="459"/>
      <c r="E15" s="459"/>
      <c r="I15" s="1901"/>
      <c r="J15" s="1901"/>
    </row>
    <row r="16" spans="1:15" s="452" customFormat="1" ht="42.75" customHeight="1" x14ac:dyDescent="0.3">
      <c r="A16" s="1902" t="s">
        <v>162</v>
      </c>
      <c r="B16" s="1902"/>
      <c r="C16" s="474" t="s">
        <v>1</v>
      </c>
      <c r="D16" s="1903" t="s">
        <v>163</v>
      </c>
      <c r="E16" s="1903"/>
      <c r="F16" s="1903"/>
      <c r="H16" s="475"/>
      <c r="I16" s="1904"/>
      <c r="J16" s="1905"/>
    </row>
    <row r="17" spans="1:10" ht="14.5" x14ac:dyDescent="0.35">
      <c r="A17" s="1892" t="str">
        <f>"Nama Ruang "</f>
        <v xml:space="preserve">Nama Ruang </v>
      </c>
      <c r="B17" s="1892"/>
      <c r="C17" s="460" t="s">
        <v>1</v>
      </c>
      <c r="D17" s="1894" t="str">
        <f>LH!E11</f>
        <v>g</v>
      </c>
      <c r="E17" s="1895"/>
      <c r="F17" s="1895"/>
      <c r="H17" s="1906"/>
      <c r="I17" s="1906"/>
      <c r="J17" s="1906"/>
    </row>
    <row r="18" spans="1:10" ht="14.5" x14ac:dyDescent="0.35">
      <c r="A18" s="1892" t="s">
        <v>4</v>
      </c>
      <c r="B18" s="1892"/>
      <c r="C18" s="460" t="s">
        <v>1</v>
      </c>
      <c r="D18" s="1897" t="str">
        <f>LH!E8</f>
        <v>s</v>
      </c>
      <c r="E18" s="1897"/>
      <c r="F18" s="1897"/>
      <c r="H18" s="476"/>
      <c r="I18" s="476"/>
      <c r="J18" s="476"/>
    </row>
    <row r="19" spans="1:10" ht="14.25" customHeight="1" x14ac:dyDescent="0.25">
      <c r="A19" s="1892" t="str">
        <f>"Tanggal "&amp;B50</f>
        <v>Tanggal Pengujian</v>
      </c>
      <c r="B19" s="1892"/>
      <c r="C19" s="460" t="s">
        <v>1</v>
      </c>
      <c r="D19" s="1897" t="str">
        <f>LH!E9</f>
        <v>d</v>
      </c>
      <c r="E19" s="1897"/>
      <c r="F19" s="1897"/>
    </row>
    <row r="20" spans="1:10" ht="14" x14ac:dyDescent="0.25">
      <c r="A20" s="1892" t="str">
        <f>"Penanggungjawab "&amp;B50</f>
        <v>Penanggungjawab Pengujian</v>
      </c>
      <c r="B20" s="1892"/>
      <c r="C20" s="460" t="s">
        <v>1</v>
      </c>
      <c r="D20" s="1892" t="e">
        <f>LH!#REF!</f>
        <v>#REF!</v>
      </c>
      <c r="E20" s="1892"/>
      <c r="F20" s="1892"/>
    </row>
    <row r="21" spans="1:10" ht="14.5" x14ac:dyDescent="0.35">
      <c r="A21" s="1892" t="str">
        <f>"Lokasi "&amp;B50</f>
        <v>Lokasi Pengujian</v>
      </c>
      <c r="B21" s="1892"/>
      <c r="C21" s="460" t="s">
        <v>1</v>
      </c>
      <c r="D21" s="1894" t="str">
        <f>LH!E10</f>
        <v>f</v>
      </c>
      <c r="E21" s="1895"/>
      <c r="F21" s="1895"/>
      <c r="H21" s="477"/>
    </row>
    <row r="22" spans="1:10" ht="31.5" customHeight="1" x14ac:dyDescent="0.25">
      <c r="A22" s="1895" t="str">
        <f>"Hasil "&amp;B50</f>
        <v>Hasil Pengujian</v>
      </c>
      <c r="B22" s="1895"/>
      <c r="C22" s="478" t="s">
        <v>1</v>
      </c>
      <c r="D22" s="1896" t="s">
        <v>164</v>
      </c>
      <c r="E22" s="1896"/>
      <c r="F22" s="1896"/>
    </row>
    <row r="23" spans="1:10" ht="14" x14ac:dyDescent="0.25">
      <c r="A23" s="1892" t="s">
        <v>8</v>
      </c>
      <c r="B23" s="1892"/>
      <c r="C23" s="460" t="s">
        <v>1</v>
      </c>
      <c r="D23" s="1892" t="str">
        <f>D4</f>
        <v>KL.MK 13</v>
      </c>
      <c r="E23" s="1892"/>
      <c r="F23" s="1892"/>
    </row>
    <row r="26" spans="1:10" ht="26.25" customHeight="1" x14ac:dyDescent="0.25">
      <c r="D26" s="479" t="s">
        <v>165</v>
      </c>
      <c r="E26" s="1893">
        <f ca="1">TODAY()</f>
        <v>45188</v>
      </c>
      <c r="F26" s="1893"/>
    </row>
    <row r="27" spans="1:10" ht="14" x14ac:dyDescent="0.25">
      <c r="D27" s="1892" t="s">
        <v>166</v>
      </c>
      <c r="E27" s="1892"/>
      <c r="F27" s="1892"/>
    </row>
    <row r="28" spans="1:10" ht="14" x14ac:dyDescent="0.25">
      <c r="D28" s="1892" t="s">
        <v>167</v>
      </c>
      <c r="E28" s="1892"/>
      <c r="F28" s="1892"/>
    </row>
    <row r="29" spans="1:10" ht="14" x14ac:dyDescent="0.25">
      <c r="D29" s="480"/>
      <c r="E29" s="480"/>
    </row>
    <row r="30" spans="1:10" ht="14" x14ac:dyDescent="0.25">
      <c r="D30" s="480"/>
      <c r="E30" s="480"/>
    </row>
    <row r="31" spans="1:10" ht="14" x14ac:dyDescent="0.25">
      <c r="D31" s="480"/>
      <c r="E31" s="480"/>
    </row>
    <row r="32" spans="1:10" ht="14" x14ac:dyDescent="0.25">
      <c r="D32" s="1892" t="s">
        <v>168</v>
      </c>
      <c r="E32" s="1892"/>
      <c r="F32" s="1892"/>
    </row>
    <row r="33" spans="1:6" ht="14" x14ac:dyDescent="0.25">
      <c r="D33" s="1891" t="s">
        <v>169</v>
      </c>
      <c r="E33" s="1891"/>
      <c r="F33" s="1891"/>
    </row>
    <row r="36" spans="1:6" ht="13" x14ac:dyDescent="0.25">
      <c r="A36" s="481"/>
      <c r="B36" s="481"/>
      <c r="C36" s="481"/>
      <c r="D36" s="481"/>
      <c r="E36" s="481"/>
      <c r="F36" s="481"/>
    </row>
    <row r="42" spans="1:6" ht="13" thickBot="1" x14ac:dyDescent="0.3"/>
    <row r="43" spans="1:6" ht="31.5" customHeight="1" x14ac:dyDescent="0.25">
      <c r="A43" s="482" t="s">
        <v>170</v>
      </c>
      <c r="B43" s="483" t="str">
        <f>MID(ID!I2,SEARCH("E - ",ID!I2),LEN(ID!I2))</f>
        <v>E - 009.678 DL</v>
      </c>
    </row>
    <row r="44" spans="1:6" x14ac:dyDescent="0.25">
      <c r="A44" s="484"/>
      <c r="B44" s="485"/>
    </row>
    <row r="45" spans="1:6" ht="24" customHeight="1" x14ac:dyDescent="0.25">
      <c r="A45" s="486" t="s">
        <v>171</v>
      </c>
      <c r="B45" s="487" t="str">
        <f>ID!A1</f>
        <v>INPUT DATA KALIBRASI KALIBRASI SHORT WAVE DIATHERMY</v>
      </c>
    </row>
    <row r="46" spans="1:6" ht="39" customHeight="1" x14ac:dyDescent="0.25">
      <c r="A46" s="486" t="s">
        <v>172</v>
      </c>
      <c r="B46" s="488" t="str">
        <f>IF(B45="INPUT DATA PENGUJIAN DENTAL UNIT",B47,B48)</f>
        <v>SERTIFIKAT PENGUJIAN</v>
      </c>
    </row>
    <row r="47" spans="1:6" ht="22.5" customHeight="1" x14ac:dyDescent="0.25">
      <c r="A47" s="486" t="s">
        <v>173</v>
      </c>
      <c r="B47" s="485" t="s">
        <v>174</v>
      </c>
    </row>
    <row r="48" spans="1:6" x14ac:dyDescent="0.25">
      <c r="A48" s="484"/>
      <c r="B48" s="485" t="s">
        <v>152</v>
      </c>
    </row>
    <row r="49" spans="1:2" x14ac:dyDescent="0.25">
      <c r="A49" s="484"/>
      <c r="B49" s="485"/>
    </row>
    <row r="50" spans="1:2" ht="48" customHeight="1" x14ac:dyDescent="0.25">
      <c r="A50" s="486" t="s">
        <v>175</v>
      </c>
      <c r="B50" s="485" t="str">
        <f>IF(RIGHT(A2,10)=" KALIBRASI","Kalibrasi","Pengujian")</f>
        <v>Pengujian</v>
      </c>
    </row>
    <row r="51" spans="1:2" x14ac:dyDescent="0.25">
      <c r="A51" s="484"/>
      <c r="B51" s="485"/>
    </row>
    <row r="52" spans="1:2" s="490" customFormat="1" ht="34.5" customHeight="1" x14ac:dyDescent="0.3">
      <c r="A52" s="486" t="s">
        <v>176</v>
      </c>
      <c r="B52" s="489" t="s">
        <v>177</v>
      </c>
    </row>
    <row r="53" spans="1:2" x14ac:dyDescent="0.25">
      <c r="A53" s="484"/>
      <c r="B53" s="485"/>
    </row>
    <row r="54" spans="1:2" ht="50.25" customHeight="1" x14ac:dyDescent="0.3">
      <c r="A54" s="491" t="s">
        <v>178</v>
      </c>
      <c r="B54" s="492" t="e">
        <f>DATE(YEAR(D19)+1,MONTH(D19),DAY(D19))</f>
        <v>#VALUE!</v>
      </c>
    </row>
    <row r="55" spans="1:2" ht="27" customHeight="1" x14ac:dyDescent="0.25">
      <c r="A55" s="486" t="s">
        <v>179</v>
      </c>
      <c r="B55" s="493" t="e">
        <f>TEXT(B54,"d mmmm yyyy")</f>
        <v>#VALUE!</v>
      </c>
    </row>
    <row r="56" spans="1:2" x14ac:dyDescent="0.25">
      <c r="A56" s="484"/>
      <c r="B56" s="485"/>
    </row>
    <row r="57" spans="1:2" ht="30" customHeight="1" x14ac:dyDescent="0.3">
      <c r="A57" s="491" t="s">
        <v>180</v>
      </c>
      <c r="B57" s="494" t="e">
        <f>IF(B46=B47,B58,B59)</f>
        <v>#VALUE!</v>
      </c>
    </row>
    <row r="58" spans="1:2" ht="14" x14ac:dyDescent="0.3">
      <c r="A58" s="484" t="s">
        <v>181</v>
      </c>
      <c r="B58" s="495" t="e">
        <f>CONCATENATE(B60,B55)</f>
        <v>#VALUE!</v>
      </c>
    </row>
    <row r="59" spans="1:2" ht="14" x14ac:dyDescent="0.3">
      <c r="A59" s="484"/>
      <c r="B59" s="495" t="e">
        <f>CONCATENATE(B61,B55)</f>
        <v>#VALUE!</v>
      </c>
    </row>
    <row r="60" spans="1:2" ht="42" customHeight="1" x14ac:dyDescent="0.3">
      <c r="A60" s="496" t="s">
        <v>173</v>
      </c>
      <c r="B60" s="495" t="s">
        <v>182</v>
      </c>
    </row>
    <row r="61" spans="1:2" ht="39.75" customHeight="1" thickBot="1" x14ac:dyDescent="0.35">
      <c r="A61" s="497"/>
      <c r="B61" s="498" t="s">
        <v>183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746D631F-ECCA-4D60-BEBA-6807456F725C}">
      <formula1>"SERTIFIKAT KALIBRASI,SERTIFIKAT PENGUJIAN"</formula1>
    </dataValidation>
    <dataValidation type="list" allowBlank="1" showInputMessage="1" showErrorMessage="1" sqref="J11" xr:uid="{BA34F54D-74FA-4867-92D4-68CC352062AC}">
      <formula1>$M$2:$M$22</formula1>
    </dataValidation>
    <dataValidation type="list" allowBlank="1" showInputMessage="1" showErrorMessage="1" sqref="J12" xr:uid="{C63E98C9-4AC0-44CD-82C8-39EC107185D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992D-1255-4850-BD67-006451C57BD0}">
  <sheetPr>
    <tabColor rgb="FFFF0000"/>
  </sheetPr>
  <dimension ref="A2:K33"/>
  <sheetViews>
    <sheetView workbookViewId="0">
      <selection activeCell="I16" sqref="I16"/>
    </sheetView>
  </sheetViews>
  <sheetFormatPr defaultColWidth="8.81640625" defaultRowHeight="12.5" x14ac:dyDescent="0.25"/>
  <cols>
    <col min="1" max="1" width="4.81640625" style="326" customWidth="1"/>
    <col min="2" max="2" width="19.453125" style="326" customWidth="1"/>
    <col min="3" max="3" width="1.453125" style="326" customWidth="1"/>
    <col min="4" max="4" width="12" style="326" customWidth="1"/>
    <col min="5" max="5" width="18.54296875" style="326" customWidth="1"/>
    <col min="6" max="6" width="16.7265625" style="326" customWidth="1"/>
    <col min="7" max="7" width="18.7265625" style="326" customWidth="1"/>
    <col min="8" max="8" width="8.81640625" style="326"/>
    <col min="9" max="9" width="41" style="326" bestFit="1" customWidth="1"/>
    <col min="10" max="10" width="52.1796875" style="326" bestFit="1" customWidth="1"/>
    <col min="11" max="11" width="8.81640625" style="326" customWidth="1"/>
    <col min="12" max="16384" width="8.81640625" style="326"/>
  </cols>
  <sheetData>
    <row r="2" spans="1:11" ht="13" thickBot="1" x14ac:dyDescent="0.3">
      <c r="G2" s="623" t="str">
        <f>SERTIFIKAT!D4</f>
        <v>KL.MK 13</v>
      </c>
    </row>
    <row r="3" spans="1:11" ht="22.5" x14ac:dyDescent="0.25">
      <c r="A3" s="1924" t="s">
        <v>359</v>
      </c>
      <c r="B3" s="1924"/>
      <c r="C3" s="1924"/>
      <c r="D3" s="1924"/>
      <c r="E3" s="1924"/>
      <c r="F3" s="1924"/>
      <c r="G3" s="1924"/>
      <c r="I3" s="624" t="s">
        <v>170</v>
      </c>
      <c r="J3" s="625" t="str">
        <f>MID(A4,SEARCH("E - ",A4),LEN(A4))</f>
        <v>E - 009.678 DL</v>
      </c>
      <c r="K3" s="626"/>
    </row>
    <row r="4" spans="1:11" ht="15" x14ac:dyDescent="0.25">
      <c r="A4" s="1925" t="str">
        <f>SERTIFIKAT!A3</f>
        <v>Nomor : 18 / 19 / III - 25 / E - 009.678 DL</v>
      </c>
      <c r="B4" s="1925"/>
      <c r="C4" s="1925"/>
      <c r="D4" s="1925"/>
      <c r="E4" s="1925"/>
      <c r="F4" s="1925"/>
      <c r="G4" s="1925"/>
      <c r="I4" s="627"/>
      <c r="J4" s="628"/>
      <c r="K4" s="629"/>
    </row>
    <row r="5" spans="1:11" x14ac:dyDescent="0.25">
      <c r="I5" s="627"/>
      <c r="J5" s="628"/>
      <c r="K5" s="629"/>
    </row>
    <row r="6" spans="1:11" x14ac:dyDescent="0.25">
      <c r="I6" s="627"/>
      <c r="J6" s="630"/>
      <c r="K6" s="629"/>
    </row>
    <row r="7" spans="1:11" ht="15.5" x14ac:dyDescent="0.25">
      <c r="A7" s="1918" t="s">
        <v>360</v>
      </c>
      <c r="B7" s="1918"/>
      <c r="C7" s="1918"/>
      <c r="D7" s="1918"/>
      <c r="E7" s="1918"/>
      <c r="F7" s="1918"/>
      <c r="G7" s="1918"/>
      <c r="I7" s="627"/>
      <c r="J7" s="628"/>
      <c r="K7" s="629"/>
    </row>
    <row r="8" spans="1:11" ht="15.5" x14ac:dyDescent="0.25">
      <c r="A8" s="631"/>
      <c r="B8" s="631"/>
      <c r="C8" s="631"/>
      <c r="D8" s="631"/>
      <c r="E8" s="631"/>
      <c r="F8" s="631"/>
      <c r="G8" s="631"/>
      <c r="I8" s="627"/>
      <c r="J8" s="628"/>
      <c r="K8" s="629"/>
    </row>
    <row r="9" spans="1:11" x14ac:dyDescent="0.25">
      <c r="I9" s="627"/>
      <c r="J9" s="628"/>
      <c r="K9" s="629"/>
    </row>
    <row r="10" spans="1:11" ht="15.5" x14ac:dyDescent="0.35">
      <c r="A10" s="632" t="s">
        <v>361</v>
      </c>
      <c r="C10" s="632" t="s">
        <v>1</v>
      </c>
      <c r="D10" s="633">
        <f>SERTIFIKAT!B14</f>
        <v>0</v>
      </c>
      <c r="I10" s="627"/>
      <c r="J10" s="628"/>
      <c r="K10" s="634"/>
    </row>
    <row r="11" spans="1:11" ht="15.5" x14ac:dyDescent="0.25">
      <c r="A11" s="635" t="s">
        <v>362</v>
      </c>
      <c r="C11" s="635" t="s">
        <v>1</v>
      </c>
      <c r="D11" s="1926" t="str">
        <f>SERTIFIKAT!D16</f>
        <v>Jalan ABC</v>
      </c>
      <c r="E11" s="1926"/>
      <c r="F11" s="1926"/>
      <c r="G11" s="1926"/>
      <c r="I11" s="627"/>
      <c r="J11" s="628"/>
      <c r="K11" s="634"/>
    </row>
    <row r="12" spans="1:11" ht="15.5" x14ac:dyDescent="0.35">
      <c r="A12" s="632" t="s">
        <v>363</v>
      </c>
      <c r="C12" s="632" t="s">
        <v>1</v>
      </c>
      <c r="D12" s="632" t="str">
        <f>SERTIFIKAT!F6</f>
        <v>E - 009.678 DL</v>
      </c>
      <c r="I12" s="627"/>
      <c r="J12" s="636"/>
      <c r="K12" s="637"/>
    </row>
    <row r="13" spans="1:11" ht="14.5" x14ac:dyDescent="0.25">
      <c r="I13" s="627"/>
      <c r="J13" s="628"/>
      <c r="K13" s="638"/>
    </row>
    <row r="14" spans="1:11" ht="14" x14ac:dyDescent="0.3">
      <c r="I14" s="639"/>
      <c r="J14" s="640"/>
    </row>
    <row r="15" spans="1:11" ht="15.5" x14ac:dyDescent="0.25">
      <c r="A15" s="641" t="s">
        <v>364</v>
      </c>
      <c r="I15" s="627"/>
      <c r="J15" s="642"/>
    </row>
    <row r="16" spans="1:11" x14ac:dyDescent="0.25">
      <c r="I16" s="627"/>
      <c r="J16" s="628"/>
    </row>
    <row r="17" spans="1:10" ht="15.5" x14ac:dyDescent="0.3">
      <c r="A17" s="643" t="s">
        <v>48</v>
      </c>
      <c r="B17" s="643" t="s">
        <v>365</v>
      </c>
      <c r="C17" s="1927" t="s">
        <v>366</v>
      </c>
      <c r="D17" s="1928"/>
      <c r="E17" s="643" t="s">
        <v>248</v>
      </c>
      <c r="F17" s="643" t="s">
        <v>367</v>
      </c>
      <c r="G17" s="643" t="s">
        <v>5</v>
      </c>
      <c r="I17" s="639"/>
      <c r="J17" s="644"/>
    </row>
    <row r="18" spans="1:10" ht="15.5" x14ac:dyDescent="0.3">
      <c r="A18" s="645" t="s">
        <v>368</v>
      </c>
      <c r="B18" s="646" t="str">
        <f>SERTIFIKAT!B6</f>
        <v>Dental Unit</v>
      </c>
      <c r="C18" s="1922" t="str">
        <f>SERTIFIKAT!D8</f>
        <v>x</v>
      </c>
      <c r="D18" s="1923"/>
      <c r="E18" s="655" t="str">
        <f>SERTIFIKAT!D9</f>
        <v>s</v>
      </c>
      <c r="F18" s="647" t="str">
        <f>SERTIFIKAT!D10</f>
        <v>d</v>
      </c>
      <c r="G18" s="643" t="str">
        <f>SERTIFIKAT!D19</f>
        <v>d</v>
      </c>
      <c r="I18" s="627"/>
      <c r="J18" s="648"/>
    </row>
    <row r="19" spans="1:10" ht="15.5" x14ac:dyDescent="0.3">
      <c r="A19" s="649"/>
      <c r="C19" s="650"/>
      <c r="D19" s="650"/>
      <c r="I19" s="627"/>
      <c r="J19" s="648"/>
    </row>
    <row r="20" spans="1:10" ht="14" x14ac:dyDescent="0.3">
      <c r="I20" s="639"/>
      <c r="J20" s="648"/>
    </row>
    <row r="21" spans="1:10" ht="16" thickBot="1" x14ac:dyDescent="0.35">
      <c r="A21" s="1918" t="s">
        <v>369</v>
      </c>
      <c r="B21" s="1918"/>
      <c r="C21" s="1918"/>
      <c r="D21" s="1918"/>
      <c r="E21" s="1918"/>
      <c r="F21" s="1918"/>
      <c r="G21" s="1918"/>
      <c r="I21" s="651"/>
      <c r="J21" s="652"/>
    </row>
    <row r="23" spans="1:10" ht="15.5" x14ac:dyDescent="0.25">
      <c r="A23" s="1919" t="s">
        <v>370</v>
      </c>
      <c r="B23" s="1919"/>
      <c r="C23" s="1919"/>
      <c r="D23" s="1919"/>
      <c r="E23" s="1919"/>
      <c r="F23" s="1919"/>
      <c r="G23" s="1919"/>
    </row>
    <row r="24" spans="1:10" ht="15.5" x14ac:dyDescent="0.25">
      <c r="A24" s="653"/>
      <c r="B24" s="653"/>
      <c r="C24" s="653"/>
      <c r="D24" s="653"/>
      <c r="E24" s="653"/>
      <c r="F24" s="653"/>
      <c r="G24" s="653"/>
    </row>
    <row r="26" spans="1:10" ht="15.5" x14ac:dyDescent="0.25">
      <c r="F26" s="633" t="s">
        <v>165</v>
      </c>
      <c r="G26" s="654">
        <f ca="1">TODAY()</f>
        <v>45188</v>
      </c>
    </row>
    <row r="27" spans="1:10" ht="15.5" x14ac:dyDescent="0.35">
      <c r="F27" s="1920" t="s">
        <v>371</v>
      </c>
      <c r="G27" s="1920"/>
    </row>
    <row r="32" spans="1:10" ht="15" x14ac:dyDescent="0.3">
      <c r="F32" s="1921" t="s">
        <v>168</v>
      </c>
      <c r="G32" s="1921"/>
    </row>
    <row r="33" spans="6:7" ht="15.5" x14ac:dyDescent="0.35">
      <c r="F33" s="1920" t="s">
        <v>169</v>
      </c>
      <c r="G33" s="1920"/>
    </row>
  </sheetData>
  <mergeCells count="11">
    <mergeCell ref="C18:D18"/>
    <mergeCell ref="A3:G3"/>
    <mergeCell ref="A4:G4"/>
    <mergeCell ref="A7:G7"/>
    <mergeCell ref="D11:G11"/>
    <mergeCell ref="C17:D17"/>
    <mergeCell ref="A21:G21"/>
    <mergeCell ref="A23:G23"/>
    <mergeCell ref="F27:G27"/>
    <mergeCell ref="F32:G32"/>
    <mergeCell ref="F33:G33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85C28C-66B3-4B05-8388-BFD5B31930D6}">
          <x14:formula1>
            <xm:f>'D:\WORK\YANTEK\[software DL gelar baru 2022.xlsx]Alat'!#REF!</xm:f>
          </x14:formula1>
          <xm:sqref>K5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Q375"/>
  <sheetViews>
    <sheetView view="pageBreakPreview" topLeftCell="A337" zoomScaleNormal="100" zoomScaleSheetLayoutView="100" workbookViewId="0">
      <selection activeCell="O347" sqref="O347"/>
    </sheetView>
  </sheetViews>
  <sheetFormatPr defaultColWidth="8.7265625" defaultRowHeight="12.5" x14ac:dyDescent="0.25"/>
  <cols>
    <col min="1" max="5" width="8.7265625" style="178"/>
    <col min="6" max="6" width="11.54296875" style="178" customWidth="1"/>
    <col min="7" max="16384" width="8.7265625" style="178"/>
  </cols>
  <sheetData>
    <row r="1" spans="1:16" ht="18" thickBot="1" x14ac:dyDescent="0.35">
      <c r="A1" s="1936" t="s">
        <v>309</v>
      </c>
      <c r="B1" s="1937"/>
      <c r="C1" s="1937"/>
      <c r="D1" s="1937"/>
      <c r="E1" s="1937"/>
      <c r="F1" s="1937"/>
      <c r="G1" s="1938"/>
      <c r="H1" s="1937"/>
      <c r="I1" s="1937"/>
      <c r="J1" s="1937"/>
      <c r="K1" s="1937"/>
      <c r="L1" s="1937"/>
      <c r="M1" s="1938"/>
      <c r="N1" s="1937"/>
      <c r="O1" s="1939"/>
      <c r="P1" s="177"/>
    </row>
    <row r="2" spans="1:16" ht="13" x14ac:dyDescent="0.3">
      <c r="A2" s="1932">
        <v>1</v>
      </c>
      <c r="B2" s="1935" t="s">
        <v>310</v>
      </c>
      <c r="C2" s="1935"/>
      <c r="D2" s="1935"/>
      <c r="E2" s="1935"/>
      <c r="F2" s="1935"/>
      <c r="G2" s="179"/>
      <c r="H2" s="1935" t="str">
        <f>B2</f>
        <v>KOREKSI KIMO THERMOHYGROMETER 15062873</v>
      </c>
      <c r="I2" s="1935"/>
      <c r="J2" s="1935"/>
      <c r="K2" s="1935"/>
      <c r="L2" s="1935"/>
      <c r="M2" s="179"/>
      <c r="N2" s="1940" t="s">
        <v>90</v>
      </c>
      <c r="O2" s="1940"/>
      <c r="P2" s="177"/>
    </row>
    <row r="3" spans="1:16" ht="13" x14ac:dyDescent="0.3">
      <c r="A3" s="1933"/>
      <c r="B3" s="1929" t="s">
        <v>311</v>
      </c>
      <c r="C3" s="1929"/>
      <c r="D3" s="1929" t="s">
        <v>88</v>
      </c>
      <c r="E3" s="1929"/>
      <c r="F3" s="1929" t="s">
        <v>86</v>
      </c>
      <c r="H3" s="1929" t="s">
        <v>312</v>
      </c>
      <c r="I3" s="1929"/>
      <c r="J3" s="1929" t="s">
        <v>88</v>
      </c>
      <c r="K3" s="1929"/>
      <c r="L3" s="1929" t="s">
        <v>86</v>
      </c>
      <c r="N3" s="180" t="s">
        <v>311</v>
      </c>
      <c r="O3" s="181">
        <v>0.6</v>
      </c>
      <c r="P3" s="177"/>
    </row>
    <row r="4" spans="1:16" ht="14.5" x14ac:dyDescent="0.3">
      <c r="A4" s="1933"/>
      <c r="B4" s="1930" t="s">
        <v>313</v>
      </c>
      <c r="C4" s="1930"/>
      <c r="D4" s="182">
        <v>2020</v>
      </c>
      <c r="E4" s="182">
        <v>2017</v>
      </c>
      <c r="F4" s="1929"/>
      <c r="H4" s="1931" t="s">
        <v>16</v>
      </c>
      <c r="I4" s="1930"/>
      <c r="J4" s="183">
        <f>D4</f>
        <v>2020</v>
      </c>
      <c r="K4" s="183">
        <f>E4</f>
        <v>2017</v>
      </c>
      <c r="L4" s="1929"/>
      <c r="N4" s="180" t="s">
        <v>16</v>
      </c>
      <c r="O4" s="181">
        <v>3.1</v>
      </c>
      <c r="P4" s="177"/>
    </row>
    <row r="5" spans="1:16" ht="13" x14ac:dyDescent="0.3">
      <c r="A5" s="1933"/>
      <c r="B5" s="184"/>
      <c r="C5" s="185">
        <v>15</v>
      </c>
      <c r="D5" s="185">
        <v>-0.5</v>
      </c>
      <c r="E5" s="185">
        <v>0.3</v>
      </c>
      <c r="F5" s="186">
        <f t="shared" ref="F5:F11" si="0">0.5*(MAX(D5:E5)-MIN(D5:E5))</f>
        <v>0.4</v>
      </c>
      <c r="H5" s="184"/>
      <c r="I5" s="185">
        <v>35</v>
      </c>
      <c r="J5" s="185">
        <v>-6</v>
      </c>
      <c r="K5" s="185">
        <v>-9.4</v>
      </c>
      <c r="L5" s="186">
        <f t="shared" ref="L5:L11" si="1">0.5*(MAX(J5:K5)-MIN(J5:K5))</f>
        <v>1.7000000000000002</v>
      </c>
      <c r="O5" s="187"/>
      <c r="P5" s="177"/>
    </row>
    <row r="6" spans="1:16" ht="13" x14ac:dyDescent="0.3">
      <c r="A6" s="1933"/>
      <c r="B6" s="184"/>
      <c r="C6" s="185">
        <v>20</v>
      </c>
      <c r="D6" s="185">
        <v>-0.2</v>
      </c>
      <c r="E6" s="185">
        <v>0.2</v>
      </c>
      <c r="F6" s="186">
        <f>0.5*(MAX(D6:E6)-MIN(D6:E6))</f>
        <v>0.2</v>
      </c>
      <c r="H6" s="184"/>
      <c r="I6" s="185">
        <v>40</v>
      </c>
      <c r="J6" s="185">
        <v>-5.8</v>
      </c>
      <c r="K6" s="185">
        <v>-8.6</v>
      </c>
      <c r="L6" s="186">
        <f t="shared" si="1"/>
        <v>1.4</v>
      </c>
      <c r="O6" s="187"/>
      <c r="P6" s="177"/>
    </row>
    <row r="7" spans="1:16" ht="13" x14ac:dyDescent="0.3">
      <c r="A7" s="1933"/>
      <c r="B7" s="184"/>
      <c r="C7" s="185">
        <v>25</v>
      </c>
      <c r="D7" s="185">
        <v>0</v>
      </c>
      <c r="E7" s="185">
        <v>0.1</v>
      </c>
      <c r="F7" s="186">
        <f t="shared" si="0"/>
        <v>0.05</v>
      </c>
      <c r="H7" s="184"/>
      <c r="I7" s="185">
        <v>50</v>
      </c>
      <c r="J7" s="185">
        <v>-5.3</v>
      </c>
      <c r="K7" s="185">
        <v>-7.2</v>
      </c>
      <c r="L7" s="186">
        <f t="shared" si="1"/>
        <v>0.95000000000000018</v>
      </c>
      <c r="O7" s="187"/>
      <c r="P7" s="177"/>
    </row>
    <row r="8" spans="1:16" ht="13" x14ac:dyDescent="0.3">
      <c r="A8" s="1933"/>
      <c r="B8" s="184"/>
      <c r="C8" s="188">
        <v>30</v>
      </c>
      <c r="D8" s="189">
        <v>0</v>
      </c>
      <c r="E8" s="189">
        <v>-0.2</v>
      </c>
      <c r="F8" s="186">
        <f t="shared" si="0"/>
        <v>0.1</v>
      </c>
      <c r="H8" s="184"/>
      <c r="I8" s="188">
        <v>60</v>
      </c>
      <c r="J8" s="189">
        <v>-4.4000000000000004</v>
      </c>
      <c r="K8" s="189">
        <v>-5.2</v>
      </c>
      <c r="L8" s="186">
        <f t="shared" si="1"/>
        <v>0.39999999999999991</v>
      </c>
      <c r="O8" s="187"/>
      <c r="P8" s="177"/>
    </row>
    <row r="9" spans="1:16" ht="13" x14ac:dyDescent="0.3">
      <c r="A9" s="1933"/>
      <c r="B9" s="184"/>
      <c r="C9" s="188">
        <v>35</v>
      </c>
      <c r="D9" s="189">
        <v>-0.1</v>
      </c>
      <c r="E9" s="189">
        <v>-0.5</v>
      </c>
      <c r="F9" s="186">
        <f t="shared" si="0"/>
        <v>0.2</v>
      </c>
      <c r="H9" s="184"/>
      <c r="I9" s="188">
        <v>70</v>
      </c>
      <c r="J9" s="189">
        <v>-3.2</v>
      </c>
      <c r="K9" s="189">
        <v>-2.6</v>
      </c>
      <c r="L9" s="186">
        <f t="shared" si="1"/>
        <v>0.30000000000000004</v>
      </c>
      <c r="O9" s="187"/>
      <c r="P9" s="177"/>
    </row>
    <row r="10" spans="1:16" ht="13" x14ac:dyDescent="0.3">
      <c r="A10" s="1933"/>
      <c r="B10" s="184"/>
      <c r="C10" s="188">
        <v>37</v>
      </c>
      <c r="D10" s="189">
        <v>-0.2</v>
      </c>
      <c r="E10" s="189">
        <v>-0.6</v>
      </c>
      <c r="F10" s="186">
        <f t="shared" si="0"/>
        <v>0.19999999999999998</v>
      </c>
      <c r="H10" s="184"/>
      <c r="I10" s="188">
        <v>80</v>
      </c>
      <c r="J10" s="189">
        <v>-1.6</v>
      </c>
      <c r="K10" s="189">
        <v>0.7</v>
      </c>
      <c r="L10" s="186">
        <f t="shared" si="1"/>
        <v>1.1499999999999999</v>
      </c>
      <c r="O10" s="187"/>
      <c r="P10" s="177"/>
    </row>
    <row r="11" spans="1:16" ht="13.5" thickBot="1" x14ac:dyDescent="0.35">
      <c r="A11" s="1934"/>
      <c r="B11" s="184"/>
      <c r="C11" s="188">
        <v>40</v>
      </c>
      <c r="D11" s="189">
        <v>-0.3</v>
      </c>
      <c r="E11" s="189">
        <v>-0.8</v>
      </c>
      <c r="F11" s="186">
        <f t="shared" si="0"/>
        <v>0.25</v>
      </c>
      <c r="G11" s="190"/>
      <c r="H11" s="184"/>
      <c r="I11" s="188">
        <v>90</v>
      </c>
      <c r="J11" s="189">
        <v>0.3</v>
      </c>
      <c r="K11" s="189">
        <v>4.5</v>
      </c>
      <c r="L11" s="186">
        <f t="shared" si="1"/>
        <v>2.1</v>
      </c>
      <c r="M11" s="190"/>
      <c r="N11" s="190"/>
      <c r="O11" s="191"/>
      <c r="P11" s="177"/>
    </row>
    <row r="12" spans="1:16" ht="13.5" thickBot="1" x14ac:dyDescent="0.35">
      <c r="A12" s="192"/>
      <c r="B12" s="192"/>
      <c r="O12" s="187"/>
      <c r="P12" s="177"/>
    </row>
    <row r="13" spans="1:16" ht="13" x14ac:dyDescent="0.3">
      <c r="A13" s="1932">
        <v>2</v>
      </c>
      <c r="B13" s="1935" t="s">
        <v>314</v>
      </c>
      <c r="C13" s="1935"/>
      <c r="D13" s="1935"/>
      <c r="E13" s="1935"/>
      <c r="F13" s="1935"/>
      <c r="G13" s="179"/>
      <c r="H13" s="1935" t="str">
        <f>B13</f>
        <v>KOREKSI KIMO THERMOHYGROMETER 15062874</v>
      </c>
      <c r="I13" s="1935"/>
      <c r="J13" s="1935"/>
      <c r="K13" s="1935"/>
      <c r="L13" s="1935"/>
      <c r="M13" s="179"/>
      <c r="N13" s="1940" t="s">
        <v>90</v>
      </c>
      <c r="O13" s="1940"/>
      <c r="P13" s="177"/>
    </row>
    <row r="14" spans="1:16" ht="13" x14ac:dyDescent="0.3">
      <c r="A14" s="1933"/>
      <c r="B14" s="1929" t="s">
        <v>311</v>
      </c>
      <c r="C14" s="1929"/>
      <c r="D14" s="1929" t="s">
        <v>88</v>
      </c>
      <c r="E14" s="1929"/>
      <c r="F14" s="1929" t="s">
        <v>86</v>
      </c>
      <c r="H14" s="1929" t="s">
        <v>312</v>
      </c>
      <c r="I14" s="1929"/>
      <c r="J14" s="1929" t="s">
        <v>88</v>
      </c>
      <c r="K14" s="1929"/>
      <c r="L14" s="1929" t="s">
        <v>86</v>
      </c>
      <c r="N14" s="180" t="s">
        <v>311</v>
      </c>
      <c r="O14" s="193">
        <v>0.3</v>
      </c>
      <c r="P14" s="177"/>
    </row>
    <row r="15" spans="1:16" ht="14.5" x14ac:dyDescent="0.3">
      <c r="A15" s="1933"/>
      <c r="B15" s="1930" t="s">
        <v>313</v>
      </c>
      <c r="C15" s="1930"/>
      <c r="D15" s="182">
        <v>2018</v>
      </c>
      <c r="E15" s="182">
        <v>2017</v>
      </c>
      <c r="F15" s="1929"/>
      <c r="H15" s="1931" t="s">
        <v>16</v>
      </c>
      <c r="I15" s="1930"/>
      <c r="J15" s="183">
        <f>D15</f>
        <v>2018</v>
      </c>
      <c r="K15" s="183">
        <f>E15</f>
        <v>2017</v>
      </c>
      <c r="L15" s="1929"/>
      <c r="N15" s="180" t="s">
        <v>16</v>
      </c>
      <c r="O15" s="193">
        <v>3.3</v>
      </c>
      <c r="P15" s="177"/>
    </row>
    <row r="16" spans="1:16" ht="13" x14ac:dyDescent="0.3">
      <c r="A16" s="1933"/>
      <c r="B16" s="184"/>
      <c r="C16" s="185">
        <v>15</v>
      </c>
      <c r="D16" s="185">
        <v>0</v>
      </c>
      <c r="E16" s="185">
        <v>0.5</v>
      </c>
      <c r="F16" s="186">
        <f t="shared" ref="F16:F22" si="2">0.5*(MAX(D16:E16)-MIN(D16:E16))</f>
        <v>0.25</v>
      </c>
      <c r="H16" s="184"/>
      <c r="I16" s="185">
        <v>35</v>
      </c>
      <c r="J16" s="185">
        <v>-1.6</v>
      </c>
      <c r="K16" s="185">
        <v>-0.9</v>
      </c>
      <c r="L16" s="186">
        <f t="shared" ref="L16:L22" si="3">0.5*(MAX(J16:K16)-MIN(J16:K16))</f>
        <v>0.35000000000000003</v>
      </c>
      <c r="O16" s="187"/>
      <c r="P16" s="177"/>
    </row>
    <row r="17" spans="1:16" ht="13" x14ac:dyDescent="0.3">
      <c r="A17" s="1933"/>
      <c r="B17" s="184"/>
      <c r="C17" s="185">
        <v>20</v>
      </c>
      <c r="D17" s="185">
        <v>-0.1</v>
      </c>
      <c r="E17" s="185">
        <v>0</v>
      </c>
      <c r="F17" s="186">
        <f t="shared" si="2"/>
        <v>0.05</v>
      </c>
      <c r="H17" s="184"/>
      <c r="I17" s="185">
        <v>40</v>
      </c>
      <c r="J17" s="185">
        <v>-1.6</v>
      </c>
      <c r="K17" s="185">
        <v>-1.1000000000000001</v>
      </c>
      <c r="L17" s="186">
        <f t="shared" si="3"/>
        <v>0.25</v>
      </c>
      <c r="O17" s="187"/>
      <c r="P17" s="177"/>
    </row>
    <row r="18" spans="1:16" ht="13" x14ac:dyDescent="0.3">
      <c r="A18" s="1933"/>
      <c r="B18" s="184"/>
      <c r="C18" s="185">
        <v>25</v>
      </c>
      <c r="D18" s="185">
        <v>-0.2</v>
      </c>
      <c r="E18" s="185">
        <v>-0.5</v>
      </c>
      <c r="F18" s="186">
        <f t="shared" si="2"/>
        <v>0.15</v>
      </c>
      <c r="H18" s="184"/>
      <c r="I18" s="185">
        <v>50</v>
      </c>
      <c r="J18" s="185">
        <v>-1.5</v>
      </c>
      <c r="K18" s="185">
        <v>-1.4</v>
      </c>
      <c r="L18" s="186">
        <f t="shared" si="3"/>
        <v>5.0000000000000044E-2</v>
      </c>
      <c r="O18" s="187"/>
      <c r="P18" s="177"/>
    </row>
    <row r="19" spans="1:16" ht="13" x14ac:dyDescent="0.3">
      <c r="A19" s="1933"/>
      <c r="B19" s="184"/>
      <c r="C19" s="188">
        <v>30</v>
      </c>
      <c r="D19" s="194">
        <v>-0.3</v>
      </c>
      <c r="E19" s="188">
        <v>-1</v>
      </c>
      <c r="F19" s="186">
        <f t="shared" si="2"/>
        <v>0.35</v>
      </c>
      <c r="H19" s="184"/>
      <c r="I19" s="188">
        <v>60</v>
      </c>
      <c r="J19" s="194">
        <v>-1.3</v>
      </c>
      <c r="K19" s="188">
        <v>-1.3</v>
      </c>
      <c r="L19" s="186">
        <f t="shared" si="3"/>
        <v>0</v>
      </c>
      <c r="O19" s="187"/>
      <c r="P19" s="177"/>
    </row>
    <row r="20" spans="1:16" ht="13" x14ac:dyDescent="0.3">
      <c r="A20" s="1933"/>
      <c r="B20" s="184"/>
      <c r="C20" s="188">
        <v>35</v>
      </c>
      <c r="D20" s="194">
        <v>-0.3</v>
      </c>
      <c r="E20" s="188">
        <v>-1.6</v>
      </c>
      <c r="F20" s="186">
        <f t="shared" si="2"/>
        <v>0.65</v>
      </c>
      <c r="H20" s="184"/>
      <c r="I20" s="188">
        <v>70</v>
      </c>
      <c r="J20" s="194">
        <v>-1.1000000000000001</v>
      </c>
      <c r="K20" s="188">
        <v>-1</v>
      </c>
      <c r="L20" s="186">
        <f t="shared" si="3"/>
        <v>5.0000000000000044E-2</v>
      </c>
      <c r="O20" s="187"/>
      <c r="P20" s="177"/>
    </row>
    <row r="21" spans="1:16" ht="13" x14ac:dyDescent="0.3">
      <c r="A21" s="1933"/>
      <c r="B21" s="184"/>
      <c r="C21" s="188">
        <v>37</v>
      </c>
      <c r="D21" s="194">
        <v>-0.3</v>
      </c>
      <c r="E21" s="188">
        <v>-1.8</v>
      </c>
      <c r="F21" s="186">
        <f t="shared" si="2"/>
        <v>0.75</v>
      </c>
      <c r="H21" s="184"/>
      <c r="I21" s="188">
        <v>80</v>
      </c>
      <c r="J21" s="194">
        <v>-0.7</v>
      </c>
      <c r="K21" s="188">
        <v>-0.4</v>
      </c>
      <c r="L21" s="186">
        <f t="shared" si="3"/>
        <v>0.14999999999999997</v>
      </c>
      <c r="O21" s="187"/>
      <c r="P21" s="177"/>
    </row>
    <row r="22" spans="1:16" ht="13.5" thickBot="1" x14ac:dyDescent="0.35">
      <c r="A22" s="1934"/>
      <c r="B22" s="184"/>
      <c r="C22" s="188">
        <v>40</v>
      </c>
      <c r="D22" s="194">
        <v>-0.3</v>
      </c>
      <c r="E22" s="188">
        <v>-2.1</v>
      </c>
      <c r="F22" s="186">
        <f t="shared" si="2"/>
        <v>0.9</v>
      </c>
      <c r="G22" s="190"/>
      <c r="H22" s="184"/>
      <c r="I22" s="188">
        <v>90</v>
      </c>
      <c r="J22" s="194">
        <v>-0.3</v>
      </c>
      <c r="K22" s="188">
        <v>0.6</v>
      </c>
      <c r="L22" s="186">
        <f t="shared" si="3"/>
        <v>0.44999999999999996</v>
      </c>
      <c r="M22" s="190"/>
      <c r="N22" s="190"/>
      <c r="O22" s="191"/>
      <c r="P22" s="177"/>
    </row>
    <row r="23" spans="1:16" ht="13.5" thickBot="1" x14ac:dyDescent="0.35">
      <c r="A23" s="192"/>
      <c r="B23" s="192"/>
      <c r="O23" s="187"/>
      <c r="P23" s="177"/>
    </row>
    <row r="24" spans="1:16" ht="13" x14ac:dyDescent="0.3">
      <c r="A24" s="1932">
        <v>3</v>
      </c>
      <c r="B24" s="1935" t="s">
        <v>315</v>
      </c>
      <c r="C24" s="1935"/>
      <c r="D24" s="1935"/>
      <c r="E24" s="1935"/>
      <c r="F24" s="1935"/>
      <c r="G24" s="179"/>
      <c r="H24" s="1935" t="str">
        <f>B24</f>
        <v>KOREKSI KIMO THERMOHYGROMETER 14082463</v>
      </c>
      <c r="I24" s="1935"/>
      <c r="J24" s="1935"/>
      <c r="K24" s="1935"/>
      <c r="L24" s="1935"/>
      <c r="M24" s="179"/>
      <c r="N24" s="1940" t="s">
        <v>90</v>
      </c>
      <c r="O24" s="1940"/>
      <c r="P24" s="177"/>
    </row>
    <row r="25" spans="1:16" ht="13" x14ac:dyDescent="0.3">
      <c r="A25" s="1933"/>
      <c r="B25" s="1929" t="s">
        <v>311</v>
      </c>
      <c r="C25" s="1929"/>
      <c r="D25" s="1929" t="s">
        <v>88</v>
      </c>
      <c r="E25" s="1929"/>
      <c r="F25" s="1929" t="s">
        <v>86</v>
      </c>
      <c r="H25" s="1929" t="s">
        <v>312</v>
      </c>
      <c r="I25" s="1929"/>
      <c r="J25" s="1929" t="s">
        <v>88</v>
      </c>
      <c r="K25" s="1929"/>
      <c r="L25" s="1929" t="s">
        <v>86</v>
      </c>
      <c r="N25" s="180" t="s">
        <v>311</v>
      </c>
      <c r="O25" s="193">
        <v>0.3</v>
      </c>
      <c r="P25" s="177"/>
    </row>
    <row r="26" spans="1:16" ht="14.5" x14ac:dyDescent="0.3">
      <c r="A26" s="1933"/>
      <c r="B26" s="1930" t="s">
        <v>313</v>
      </c>
      <c r="C26" s="1930"/>
      <c r="D26" s="182">
        <v>2018</v>
      </c>
      <c r="E26" s="182">
        <v>2017</v>
      </c>
      <c r="F26" s="1929"/>
      <c r="H26" s="1931" t="s">
        <v>16</v>
      </c>
      <c r="I26" s="1930"/>
      <c r="J26" s="183">
        <f>D26</f>
        <v>2018</v>
      </c>
      <c r="K26" s="183">
        <f>E26</f>
        <v>2017</v>
      </c>
      <c r="L26" s="1929"/>
      <c r="N26" s="180" t="s">
        <v>16</v>
      </c>
      <c r="O26" s="193">
        <v>3.1</v>
      </c>
      <c r="P26" s="177"/>
    </row>
    <row r="27" spans="1:16" ht="13" x14ac:dyDescent="0.3">
      <c r="A27" s="1933"/>
      <c r="B27" s="184"/>
      <c r="C27" s="185">
        <v>15</v>
      </c>
      <c r="D27" s="185">
        <v>0</v>
      </c>
      <c r="E27" s="185">
        <v>0.2</v>
      </c>
      <c r="F27" s="186">
        <f t="shared" ref="F27:F33" si="4">0.5*(MAX(D27:E27)-MIN(D27:E27))</f>
        <v>0.1</v>
      </c>
      <c r="H27" s="184"/>
      <c r="I27" s="185">
        <v>30</v>
      </c>
      <c r="J27" s="185">
        <v>-5.7</v>
      </c>
      <c r="K27" s="185">
        <v>-1.1000000000000001</v>
      </c>
      <c r="L27" s="186">
        <f t="shared" ref="L27:L33" si="5">0.5*(MAX(J27:K27)-MIN(J27:K27))</f>
        <v>2.2999999999999998</v>
      </c>
      <c r="O27" s="187"/>
      <c r="P27" s="177"/>
    </row>
    <row r="28" spans="1:16" ht="13" x14ac:dyDescent="0.3">
      <c r="A28" s="1933"/>
      <c r="B28" s="184"/>
      <c r="C28" s="185">
        <v>20</v>
      </c>
      <c r="D28" s="185">
        <v>0</v>
      </c>
      <c r="E28" s="185">
        <v>0</v>
      </c>
      <c r="F28" s="186">
        <f t="shared" si="4"/>
        <v>0</v>
      </c>
      <c r="H28" s="184"/>
      <c r="I28" s="185">
        <v>40</v>
      </c>
      <c r="J28" s="185">
        <v>-5.3</v>
      </c>
      <c r="K28" s="185">
        <v>-1.9</v>
      </c>
      <c r="L28" s="186">
        <f t="shared" si="5"/>
        <v>1.7</v>
      </c>
      <c r="O28" s="187"/>
      <c r="P28" s="177"/>
    </row>
    <row r="29" spans="1:16" ht="13" x14ac:dyDescent="0.3">
      <c r="A29" s="1933"/>
      <c r="B29" s="184"/>
      <c r="C29" s="185">
        <v>25</v>
      </c>
      <c r="D29" s="185">
        <v>-0.1</v>
      </c>
      <c r="E29" s="185">
        <v>-0.2</v>
      </c>
      <c r="F29" s="186">
        <f t="shared" si="4"/>
        <v>0.05</v>
      </c>
      <c r="H29" s="184"/>
      <c r="I29" s="185">
        <v>50</v>
      </c>
      <c r="J29" s="185">
        <v>-4.9000000000000004</v>
      </c>
      <c r="K29" s="185">
        <v>-2.2999999999999998</v>
      </c>
      <c r="L29" s="186">
        <f t="shared" si="5"/>
        <v>1.3000000000000003</v>
      </c>
      <c r="O29" s="187"/>
      <c r="P29" s="177"/>
    </row>
    <row r="30" spans="1:16" ht="13" x14ac:dyDescent="0.3">
      <c r="A30" s="1933"/>
      <c r="B30" s="184"/>
      <c r="C30" s="188">
        <v>30</v>
      </c>
      <c r="D30" s="194">
        <v>-0.3</v>
      </c>
      <c r="E30" s="188">
        <v>-0.3</v>
      </c>
      <c r="F30" s="186">
        <f t="shared" si="4"/>
        <v>0</v>
      </c>
      <c r="H30" s="184"/>
      <c r="I30" s="188">
        <v>60</v>
      </c>
      <c r="J30" s="194">
        <v>-4.3</v>
      </c>
      <c r="K30" s="188">
        <v>-2.2000000000000002</v>
      </c>
      <c r="L30" s="186">
        <f t="shared" si="5"/>
        <v>1.0499999999999998</v>
      </c>
      <c r="O30" s="187"/>
      <c r="P30" s="177"/>
    </row>
    <row r="31" spans="1:16" ht="13" x14ac:dyDescent="0.3">
      <c r="A31" s="1933"/>
      <c r="B31" s="184"/>
      <c r="C31" s="188">
        <v>35</v>
      </c>
      <c r="D31" s="194">
        <v>-0.5</v>
      </c>
      <c r="E31" s="188">
        <v>-0.4</v>
      </c>
      <c r="F31" s="186">
        <f t="shared" si="4"/>
        <v>4.9999999999999989E-2</v>
      </c>
      <c r="H31" s="184"/>
      <c r="I31" s="188">
        <v>70</v>
      </c>
      <c r="J31" s="194">
        <v>-3.6</v>
      </c>
      <c r="K31" s="188">
        <v>-1.6</v>
      </c>
      <c r="L31" s="186">
        <f t="shared" si="5"/>
        <v>1</v>
      </c>
      <c r="O31" s="187"/>
      <c r="P31" s="177"/>
    </row>
    <row r="32" spans="1:16" ht="13" x14ac:dyDescent="0.3">
      <c r="A32" s="1933"/>
      <c r="B32" s="184"/>
      <c r="C32" s="188">
        <v>37</v>
      </c>
      <c r="D32" s="194">
        <v>-0.6</v>
      </c>
      <c r="E32" s="188">
        <v>-0.5</v>
      </c>
      <c r="F32" s="186">
        <f t="shared" si="4"/>
        <v>4.9999999999999989E-2</v>
      </c>
      <c r="H32" s="184"/>
      <c r="I32" s="188">
        <v>80</v>
      </c>
      <c r="J32" s="194">
        <v>-2.9</v>
      </c>
      <c r="K32" s="188">
        <v>-0.6</v>
      </c>
      <c r="L32" s="186">
        <f t="shared" si="5"/>
        <v>1.1499999999999999</v>
      </c>
      <c r="O32" s="187"/>
      <c r="P32" s="177"/>
    </row>
    <row r="33" spans="1:16" ht="13.5" thickBot="1" x14ac:dyDescent="0.35">
      <c r="A33" s="1934"/>
      <c r="B33" s="184"/>
      <c r="C33" s="188">
        <v>40</v>
      </c>
      <c r="D33" s="194">
        <v>-0.7</v>
      </c>
      <c r="E33" s="188">
        <v>-0.5</v>
      </c>
      <c r="F33" s="186">
        <f t="shared" si="4"/>
        <v>9.9999999999999978E-2</v>
      </c>
      <c r="G33" s="190"/>
      <c r="H33" s="184"/>
      <c r="I33" s="188">
        <v>90</v>
      </c>
      <c r="J33" s="194">
        <v>-2</v>
      </c>
      <c r="K33" s="188">
        <v>0.9</v>
      </c>
      <c r="L33" s="186">
        <f t="shared" si="5"/>
        <v>1.45</v>
      </c>
      <c r="M33" s="190"/>
      <c r="N33" s="190"/>
      <c r="O33" s="191"/>
      <c r="P33" s="177"/>
    </row>
    <row r="34" spans="1:16" ht="13.5" thickBot="1" x14ac:dyDescent="0.35">
      <c r="A34" s="192"/>
      <c r="B34" s="192"/>
      <c r="H34" s="195"/>
      <c r="O34" s="187"/>
      <c r="P34" s="177"/>
    </row>
    <row r="35" spans="1:16" ht="13.5" thickBot="1" x14ac:dyDescent="0.35">
      <c r="A35" s="1953">
        <v>4</v>
      </c>
      <c r="B35" s="1956" t="s">
        <v>316</v>
      </c>
      <c r="C35" s="1957"/>
      <c r="D35" s="1957"/>
      <c r="E35" s="1957"/>
      <c r="F35" s="1958"/>
      <c r="G35" s="179"/>
      <c r="H35" s="1956" t="str">
        <f>B35</f>
        <v>KOREKSI KIMO THERMOHYGROMETER 15062872</v>
      </c>
      <c r="I35" s="1957"/>
      <c r="J35" s="1957"/>
      <c r="K35" s="1957"/>
      <c r="L35" s="1958"/>
      <c r="M35" s="179"/>
      <c r="N35" s="1941" t="s">
        <v>90</v>
      </c>
      <c r="O35" s="1942"/>
      <c r="P35" s="177"/>
    </row>
    <row r="36" spans="1:16" ht="13.5" thickBot="1" x14ac:dyDescent="0.35">
      <c r="A36" s="1954"/>
      <c r="B36" s="1943" t="s">
        <v>311</v>
      </c>
      <c r="C36" s="1944"/>
      <c r="D36" s="1945" t="s">
        <v>88</v>
      </c>
      <c r="E36" s="1946"/>
      <c r="F36" s="1947" t="s">
        <v>86</v>
      </c>
      <c r="H36" s="1943" t="s">
        <v>312</v>
      </c>
      <c r="I36" s="1944"/>
      <c r="J36" s="1945" t="s">
        <v>88</v>
      </c>
      <c r="K36" s="1946"/>
      <c r="L36" s="1947" t="s">
        <v>86</v>
      </c>
      <c r="N36" s="196" t="s">
        <v>311</v>
      </c>
      <c r="O36" s="197">
        <v>0.6</v>
      </c>
      <c r="P36" s="177"/>
    </row>
    <row r="37" spans="1:16" ht="15" thickBot="1" x14ac:dyDescent="0.35">
      <c r="A37" s="1954"/>
      <c r="B37" s="1949" t="s">
        <v>313</v>
      </c>
      <c r="C37" s="1950"/>
      <c r="D37" s="198">
        <v>2017</v>
      </c>
      <c r="E37" s="198">
        <v>2015</v>
      </c>
      <c r="F37" s="1948"/>
      <c r="H37" s="1951" t="s">
        <v>16</v>
      </c>
      <c r="I37" s="1952"/>
      <c r="J37" s="199">
        <f>D37</f>
        <v>2017</v>
      </c>
      <c r="K37" s="199">
        <f>E37</f>
        <v>2015</v>
      </c>
      <c r="L37" s="1948"/>
      <c r="N37" s="200" t="s">
        <v>16</v>
      </c>
      <c r="O37" s="201">
        <v>2.6</v>
      </c>
      <c r="P37" s="177"/>
    </row>
    <row r="38" spans="1:16" ht="13" x14ac:dyDescent="0.3">
      <c r="A38" s="1954"/>
      <c r="C38" s="202">
        <v>15</v>
      </c>
      <c r="D38" s="203">
        <v>-0.1</v>
      </c>
      <c r="E38" s="203">
        <v>0.4</v>
      </c>
      <c r="F38" s="204">
        <f t="shared" ref="F38:F44" si="6">0.5*(MAX(D38:E38)-MIN(D38:E38))</f>
        <v>0.25</v>
      </c>
      <c r="H38" s="192"/>
      <c r="I38" s="202">
        <v>35</v>
      </c>
      <c r="J38" s="203">
        <v>-1.7</v>
      </c>
      <c r="K38" s="203">
        <v>-0.8</v>
      </c>
      <c r="L38" s="204">
        <f t="shared" ref="L38:L44" si="7">0.5*(MAX(J38:K38)-MIN(J38:K38))</f>
        <v>0.44999999999999996</v>
      </c>
      <c r="O38" s="187"/>
      <c r="P38" s="177"/>
    </row>
    <row r="39" spans="1:16" ht="13" x14ac:dyDescent="0.3">
      <c r="A39" s="1954"/>
      <c r="C39" s="205">
        <v>20</v>
      </c>
      <c r="D39" s="185">
        <v>-0.3</v>
      </c>
      <c r="E39" s="185">
        <v>0</v>
      </c>
      <c r="F39" s="206">
        <f>0.5*(MAX(D39:E39)-MIN(D39:E39))</f>
        <v>0.15</v>
      </c>
      <c r="H39" s="192"/>
      <c r="I39" s="205">
        <v>40</v>
      </c>
      <c r="J39" s="185">
        <v>-1.5</v>
      </c>
      <c r="K39" s="185">
        <v>-0.9</v>
      </c>
      <c r="L39" s="206">
        <f t="shared" si="7"/>
        <v>0.3</v>
      </c>
      <c r="O39" s="187"/>
      <c r="P39" s="177"/>
    </row>
    <row r="40" spans="1:16" ht="13" x14ac:dyDescent="0.3">
      <c r="A40" s="1954"/>
      <c r="C40" s="205">
        <v>25</v>
      </c>
      <c r="D40" s="185">
        <v>-0.5</v>
      </c>
      <c r="E40" s="185">
        <v>-0.5</v>
      </c>
      <c r="F40" s="206">
        <f t="shared" si="6"/>
        <v>0</v>
      </c>
      <c r="H40" s="192"/>
      <c r="I40" s="205">
        <v>50</v>
      </c>
      <c r="J40" s="185">
        <v>-1</v>
      </c>
      <c r="K40" s="185">
        <v>-1</v>
      </c>
      <c r="L40" s="206">
        <f t="shared" si="7"/>
        <v>0</v>
      </c>
      <c r="O40" s="187"/>
      <c r="P40" s="177"/>
    </row>
    <row r="41" spans="1:16" ht="13" x14ac:dyDescent="0.3">
      <c r="A41" s="1954"/>
      <c r="C41" s="207">
        <v>30</v>
      </c>
      <c r="D41" s="189">
        <v>-0.6</v>
      </c>
      <c r="E41" s="188">
        <v>-1</v>
      </c>
      <c r="F41" s="206">
        <f t="shared" si="6"/>
        <v>0.2</v>
      </c>
      <c r="H41" s="192"/>
      <c r="I41" s="207">
        <v>60</v>
      </c>
      <c r="J41" s="189">
        <v>-0.3</v>
      </c>
      <c r="K41" s="188">
        <v>-0.9</v>
      </c>
      <c r="L41" s="206">
        <f t="shared" si="7"/>
        <v>0.30000000000000004</v>
      </c>
      <c r="O41" s="187"/>
      <c r="P41" s="177"/>
    </row>
    <row r="42" spans="1:16" ht="13" x14ac:dyDescent="0.3">
      <c r="A42" s="1954"/>
      <c r="C42" s="207">
        <v>35</v>
      </c>
      <c r="D42" s="189">
        <v>-0.6</v>
      </c>
      <c r="E42" s="188">
        <v>-1.5</v>
      </c>
      <c r="F42" s="206">
        <f t="shared" si="6"/>
        <v>0.45</v>
      </c>
      <c r="H42" s="192"/>
      <c r="I42" s="207">
        <v>70</v>
      </c>
      <c r="J42" s="189">
        <v>0.7</v>
      </c>
      <c r="K42" s="188">
        <v>-0.7</v>
      </c>
      <c r="L42" s="206">
        <f t="shared" si="7"/>
        <v>0.7</v>
      </c>
      <c r="O42" s="187"/>
      <c r="P42" s="177"/>
    </row>
    <row r="43" spans="1:16" ht="13" x14ac:dyDescent="0.3">
      <c r="A43" s="1954"/>
      <c r="C43" s="207">
        <v>37</v>
      </c>
      <c r="D43" s="189">
        <v>-0.6</v>
      </c>
      <c r="E43" s="188">
        <v>-1.8</v>
      </c>
      <c r="F43" s="206">
        <f t="shared" si="6"/>
        <v>0.60000000000000009</v>
      </c>
      <c r="H43" s="192"/>
      <c r="I43" s="207">
        <v>80</v>
      </c>
      <c r="J43" s="189">
        <v>1.9</v>
      </c>
      <c r="K43" s="188">
        <v>-0.4</v>
      </c>
      <c r="L43" s="206">
        <f t="shared" si="7"/>
        <v>1.1499999999999999</v>
      </c>
      <c r="O43" s="187"/>
      <c r="P43" s="177"/>
    </row>
    <row r="44" spans="1:16" ht="13.5" thickBot="1" x14ac:dyDescent="0.35">
      <c r="A44" s="1955"/>
      <c r="B44" s="190"/>
      <c r="C44" s="208">
        <v>40</v>
      </c>
      <c r="D44" s="189">
        <v>-0.6</v>
      </c>
      <c r="E44" s="209">
        <v>-2.1</v>
      </c>
      <c r="F44" s="210">
        <f t="shared" si="6"/>
        <v>0.75</v>
      </c>
      <c r="G44" s="190"/>
      <c r="H44" s="211"/>
      <c r="I44" s="208">
        <v>90</v>
      </c>
      <c r="J44" s="212">
        <v>3.3</v>
      </c>
      <c r="K44" s="209">
        <v>0.2</v>
      </c>
      <c r="L44" s="210">
        <f t="shared" si="7"/>
        <v>1.5499999999999998</v>
      </c>
      <c r="M44" s="190"/>
      <c r="N44" s="190"/>
      <c r="O44" s="191"/>
      <c r="P44" s="177"/>
    </row>
    <row r="45" spans="1:16" ht="13.5" thickBot="1" x14ac:dyDescent="0.35">
      <c r="A45" s="192"/>
      <c r="B45" s="192"/>
      <c r="O45" s="187"/>
      <c r="P45" s="177"/>
    </row>
    <row r="46" spans="1:16" ht="13.5" thickBot="1" x14ac:dyDescent="0.35">
      <c r="A46" s="1953">
        <v>5</v>
      </c>
      <c r="B46" s="1956" t="s">
        <v>317</v>
      </c>
      <c r="C46" s="1957"/>
      <c r="D46" s="1957"/>
      <c r="E46" s="1957"/>
      <c r="F46" s="1958"/>
      <c r="G46" s="179"/>
      <c r="H46" s="1956" t="str">
        <f>B46</f>
        <v>KOREKSI KIMO THERMOHYGROMETER 15062875</v>
      </c>
      <c r="I46" s="1957"/>
      <c r="J46" s="1957"/>
      <c r="K46" s="1957"/>
      <c r="L46" s="1958"/>
      <c r="M46" s="179"/>
      <c r="N46" s="1941" t="s">
        <v>90</v>
      </c>
      <c r="O46" s="1942"/>
      <c r="P46" s="177"/>
    </row>
    <row r="47" spans="1:16" ht="13.5" thickBot="1" x14ac:dyDescent="0.35">
      <c r="A47" s="1954"/>
      <c r="B47" s="1943" t="s">
        <v>311</v>
      </c>
      <c r="C47" s="1944"/>
      <c r="D47" s="1945" t="s">
        <v>88</v>
      </c>
      <c r="E47" s="1946"/>
      <c r="F47" s="1947" t="s">
        <v>86</v>
      </c>
      <c r="H47" s="1943" t="s">
        <v>312</v>
      </c>
      <c r="I47" s="1944"/>
      <c r="J47" s="1945" t="s">
        <v>88</v>
      </c>
      <c r="K47" s="1946"/>
      <c r="L47" s="1947" t="s">
        <v>86</v>
      </c>
      <c r="N47" s="196" t="s">
        <v>311</v>
      </c>
      <c r="O47" s="197">
        <v>0.4</v>
      </c>
      <c r="P47" s="177"/>
    </row>
    <row r="48" spans="1:16" ht="15" thickBot="1" x14ac:dyDescent="0.35">
      <c r="A48" s="1954"/>
      <c r="B48" s="1949" t="s">
        <v>313</v>
      </c>
      <c r="C48" s="1950"/>
      <c r="D48" s="198">
        <v>2020</v>
      </c>
      <c r="E48" s="198">
        <v>2017</v>
      </c>
      <c r="F48" s="1948"/>
      <c r="H48" s="1951" t="s">
        <v>16</v>
      </c>
      <c r="I48" s="1952"/>
      <c r="J48" s="199">
        <f>D48</f>
        <v>2020</v>
      </c>
      <c r="K48" s="199">
        <f>E48</f>
        <v>2017</v>
      </c>
      <c r="L48" s="1948"/>
      <c r="N48" s="200" t="s">
        <v>16</v>
      </c>
      <c r="O48" s="201">
        <v>2.8</v>
      </c>
      <c r="P48" s="177"/>
    </row>
    <row r="49" spans="1:16" ht="13" x14ac:dyDescent="0.3">
      <c r="A49" s="1954"/>
      <c r="C49" s="202">
        <v>15</v>
      </c>
      <c r="D49" s="203">
        <v>-0.3</v>
      </c>
      <c r="E49" s="203">
        <v>0.3</v>
      </c>
      <c r="F49" s="204">
        <f t="shared" ref="F49:F55" si="8">0.5*(MAX(D49:E49)-MIN(D49:E49))</f>
        <v>0.3</v>
      </c>
      <c r="H49" s="192"/>
      <c r="I49" s="202">
        <v>35</v>
      </c>
      <c r="J49" s="203">
        <v>-7.7</v>
      </c>
      <c r="K49" s="203">
        <v>-9.6</v>
      </c>
      <c r="L49" s="204">
        <f t="shared" ref="L49:L55" si="9">0.5*(MAX(J49:K49)-MIN(J49:K49))</f>
        <v>0.94999999999999973</v>
      </c>
      <c r="O49" s="187"/>
      <c r="P49" s="177"/>
    </row>
    <row r="50" spans="1:16" ht="13" x14ac:dyDescent="0.3">
      <c r="A50" s="1954"/>
      <c r="C50" s="205">
        <v>20</v>
      </c>
      <c r="D50" s="185">
        <v>0.1</v>
      </c>
      <c r="E50" s="185">
        <v>0.3</v>
      </c>
      <c r="F50" s="206">
        <f t="shared" si="8"/>
        <v>9.9999999999999992E-2</v>
      </c>
      <c r="H50" s="192"/>
      <c r="I50" s="205">
        <v>40</v>
      </c>
      <c r="J50" s="185">
        <v>-7.2</v>
      </c>
      <c r="K50" s="185">
        <v>-8</v>
      </c>
      <c r="L50" s="206">
        <f t="shared" si="9"/>
        <v>0.39999999999999991</v>
      </c>
      <c r="O50" s="187"/>
      <c r="P50" s="177"/>
    </row>
    <row r="51" spans="1:16" ht="13" x14ac:dyDescent="0.3">
      <c r="A51" s="1954"/>
      <c r="C51" s="205">
        <v>25</v>
      </c>
      <c r="D51" s="185">
        <v>0.4</v>
      </c>
      <c r="E51" s="185">
        <v>0.2</v>
      </c>
      <c r="F51" s="206">
        <f t="shared" si="8"/>
        <v>0.1</v>
      </c>
      <c r="H51" s="192"/>
      <c r="I51" s="205">
        <v>50</v>
      </c>
      <c r="J51" s="185">
        <v>-6.2</v>
      </c>
      <c r="K51" s="185">
        <v>-6.2</v>
      </c>
      <c r="L51" s="206">
        <f t="shared" si="9"/>
        <v>0</v>
      </c>
      <c r="O51" s="187"/>
      <c r="P51" s="177"/>
    </row>
    <row r="52" spans="1:16" ht="13" x14ac:dyDescent="0.3">
      <c r="A52" s="1954"/>
      <c r="C52" s="207">
        <v>30</v>
      </c>
      <c r="D52" s="189">
        <v>0.6</v>
      </c>
      <c r="E52" s="189">
        <v>0.1</v>
      </c>
      <c r="F52" s="206">
        <f t="shared" si="8"/>
        <v>0.25</v>
      </c>
      <c r="H52" s="192"/>
      <c r="I52" s="207">
        <v>60</v>
      </c>
      <c r="J52" s="189">
        <v>-5.2</v>
      </c>
      <c r="K52" s="189">
        <v>-4.2</v>
      </c>
      <c r="L52" s="206">
        <f t="shared" si="9"/>
        <v>0.5</v>
      </c>
      <c r="O52" s="187"/>
      <c r="P52" s="177"/>
    </row>
    <row r="53" spans="1:16" ht="13" x14ac:dyDescent="0.3">
      <c r="A53" s="1954"/>
      <c r="C53" s="207">
        <v>35</v>
      </c>
      <c r="D53" s="189">
        <v>0.7</v>
      </c>
      <c r="E53" s="189">
        <v>0</v>
      </c>
      <c r="F53" s="206">
        <f t="shared" si="8"/>
        <v>0.35</v>
      </c>
      <c r="H53" s="192"/>
      <c r="I53" s="207">
        <v>70</v>
      </c>
      <c r="J53" s="189">
        <v>-4.0999999999999996</v>
      </c>
      <c r="K53" s="189">
        <v>-2.1</v>
      </c>
      <c r="L53" s="206">
        <f t="shared" si="9"/>
        <v>0.99999999999999978</v>
      </c>
      <c r="O53" s="187"/>
      <c r="P53" s="177"/>
    </row>
    <row r="54" spans="1:16" ht="13" x14ac:dyDescent="0.3">
      <c r="A54" s="1954"/>
      <c r="C54" s="207">
        <v>37</v>
      </c>
      <c r="D54" s="189">
        <v>0.7</v>
      </c>
      <c r="E54" s="189">
        <v>0</v>
      </c>
      <c r="F54" s="206">
        <f t="shared" si="8"/>
        <v>0.35</v>
      </c>
      <c r="H54" s="192"/>
      <c r="I54" s="207">
        <v>80</v>
      </c>
      <c r="J54" s="189">
        <v>-3</v>
      </c>
      <c r="K54" s="189">
        <v>0.2</v>
      </c>
      <c r="L54" s="206">
        <f t="shared" si="9"/>
        <v>1.6</v>
      </c>
      <c r="O54" s="187"/>
      <c r="P54" s="177"/>
    </row>
    <row r="55" spans="1:16" ht="13.5" thickBot="1" x14ac:dyDescent="0.35">
      <c r="A55" s="1955"/>
      <c r="B55" s="190"/>
      <c r="C55" s="208">
        <v>40</v>
      </c>
      <c r="D55" s="212">
        <v>0.7</v>
      </c>
      <c r="E55" s="212">
        <v>-0.1</v>
      </c>
      <c r="F55" s="210">
        <f t="shared" si="8"/>
        <v>0.39999999999999997</v>
      </c>
      <c r="G55" s="190"/>
      <c r="H55" s="211"/>
      <c r="I55" s="208">
        <v>90</v>
      </c>
      <c r="J55" s="212">
        <v>-1.8</v>
      </c>
      <c r="K55" s="212">
        <v>2.7</v>
      </c>
      <c r="L55" s="210">
        <f t="shared" si="9"/>
        <v>2.25</v>
      </c>
      <c r="M55" s="190"/>
      <c r="N55" s="190"/>
      <c r="O55" s="191"/>
      <c r="P55" s="177"/>
    </row>
    <row r="56" spans="1:16" ht="13.5" thickBot="1" x14ac:dyDescent="0.35">
      <c r="A56" s="213"/>
      <c r="B56" s="214"/>
      <c r="C56" s="214"/>
      <c r="D56" s="214"/>
      <c r="E56" s="215"/>
      <c r="F56" s="216"/>
      <c r="G56" s="217"/>
      <c r="H56" s="214"/>
      <c r="I56" s="214"/>
      <c r="J56" s="214"/>
      <c r="K56" s="215"/>
      <c r="L56" s="216"/>
      <c r="O56" s="187"/>
      <c r="P56" s="177"/>
    </row>
    <row r="57" spans="1:16" ht="13.5" thickBot="1" x14ac:dyDescent="0.35">
      <c r="A57" s="1953">
        <v>6</v>
      </c>
      <c r="B57" s="1956" t="s">
        <v>318</v>
      </c>
      <c r="C57" s="1957"/>
      <c r="D57" s="1957"/>
      <c r="E57" s="1957"/>
      <c r="F57" s="1958"/>
      <c r="G57" s="179"/>
      <c r="H57" s="1956" t="str">
        <f>B57</f>
        <v>KOREKSI GREISINGER 34903046</v>
      </c>
      <c r="I57" s="1957"/>
      <c r="J57" s="1957"/>
      <c r="K57" s="1957"/>
      <c r="L57" s="1958"/>
      <c r="M57" s="179"/>
      <c r="N57" s="1941" t="s">
        <v>90</v>
      </c>
      <c r="O57" s="1942"/>
      <c r="P57" s="177"/>
    </row>
    <row r="58" spans="1:16" ht="13.5" thickBot="1" x14ac:dyDescent="0.35">
      <c r="A58" s="1954"/>
      <c r="B58" s="1943" t="s">
        <v>311</v>
      </c>
      <c r="C58" s="1944"/>
      <c r="D58" s="1945" t="s">
        <v>88</v>
      </c>
      <c r="E58" s="1946"/>
      <c r="F58" s="1947" t="s">
        <v>86</v>
      </c>
      <c r="H58" s="1943" t="s">
        <v>312</v>
      </c>
      <c r="I58" s="1944"/>
      <c r="J58" s="1945" t="s">
        <v>88</v>
      </c>
      <c r="K58" s="1946"/>
      <c r="L58" s="1947" t="s">
        <v>86</v>
      </c>
      <c r="N58" s="196" t="s">
        <v>311</v>
      </c>
      <c r="O58" s="197">
        <v>0.8</v>
      </c>
      <c r="P58" s="177"/>
    </row>
    <row r="59" spans="1:16" ht="15" thickBot="1" x14ac:dyDescent="0.35">
      <c r="A59" s="1954"/>
      <c r="B59" s="1949" t="s">
        <v>313</v>
      </c>
      <c r="C59" s="1950"/>
      <c r="D59" s="198">
        <v>2019</v>
      </c>
      <c r="E59" s="198">
        <v>2018</v>
      </c>
      <c r="F59" s="1948"/>
      <c r="H59" s="1951" t="s">
        <v>16</v>
      </c>
      <c r="I59" s="1952"/>
      <c r="J59" s="199">
        <f>D59</f>
        <v>2019</v>
      </c>
      <c r="K59" s="199">
        <f>E59</f>
        <v>2018</v>
      </c>
      <c r="L59" s="1948"/>
      <c r="N59" s="200" t="s">
        <v>16</v>
      </c>
      <c r="O59" s="218">
        <v>2.6</v>
      </c>
      <c r="P59" s="177"/>
    </row>
    <row r="60" spans="1:16" ht="13" x14ac:dyDescent="0.3">
      <c r="A60" s="1954"/>
      <c r="C60" s="202">
        <v>15</v>
      </c>
      <c r="D60" s="203">
        <v>0.4</v>
      </c>
      <c r="E60" s="203">
        <v>0.4</v>
      </c>
      <c r="F60" s="204">
        <f t="shared" ref="F60:F66" si="10">0.5*(MAX(D60:E60)-MIN(D60:E60))</f>
        <v>0</v>
      </c>
      <c r="H60" s="192"/>
      <c r="I60" s="202">
        <v>30</v>
      </c>
      <c r="J60" s="203">
        <v>-1.5</v>
      </c>
      <c r="K60" s="203">
        <v>-4.9000000000000004</v>
      </c>
      <c r="L60" s="204">
        <f t="shared" ref="L60:L66" si="11">0.5*(MAX(J60:K60)-MIN(J60:K60))</f>
        <v>1.7000000000000002</v>
      </c>
      <c r="O60" s="187"/>
      <c r="P60" s="177"/>
    </row>
    <row r="61" spans="1:16" ht="13" x14ac:dyDescent="0.3">
      <c r="A61" s="1954"/>
      <c r="C61" s="205">
        <v>20</v>
      </c>
      <c r="D61" s="185">
        <v>0.3</v>
      </c>
      <c r="E61" s="185">
        <v>0.2</v>
      </c>
      <c r="F61" s="206">
        <f t="shared" si="10"/>
        <v>4.9999999999999989E-2</v>
      </c>
      <c r="H61" s="192"/>
      <c r="I61" s="205">
        <v>40</v>
      </c>
      <c r="J61" s="185">
        <v>-3.8</v>
      </c>
      <c r="K61" s="185">
        <v>-3.4</v>
      </c>
      <c r="L61" s="206">
        <f t="shared" si="11"/>
        <v>0.19999999999999996</v>
      </c>
      <c r="O61" s="187"/>
      <c r="P61" s="177"/>
    </row>
    <row r="62" spans="1:16" ht="13" x14ac:dyDescent="0.3">
      <c r="A62" s="1954"/>
      <c r="C62" s="205">
        <v>25</v>
      </c>
      <c r="D62" s="185">
        <v>0.2</v>
      </c>
      <c r="E62" s="185">
        <v>-0.1</v>
      </c>
      <c r="F62" s="206">
        <f t="shared" si="10"/>
        <v>0.15000000000000002</v>
      </c>
      <c r="H62" s="192"/>
      <c r="I62" s="205">
        <v>50</v>
      </c>
      <c r="J62" s="185">
        <v>-5.4</v>
      </c>
      <c r="K62" s="185">
        <v>-2.5</v>
      </c>
      <c r="L62" s="206">
        <f t="shared" si="11"/>
        <v>1.4500000000000002</v>
      </c>
      <c r="O62" s="187"/>
      <c r="P62" s="177"/>
    </row>
    <row r="63" spans="1:16" ht="13" x14ac:dyDescent="0.3">
      <c r="A63" s="1954"/>
      <c r="C63" s="207">
        <v>30</v>
      </c>
      <c r="D63" s="188">
        <v>0.1</v>
      </c>
      <c r="E63" s="188">
        <v>-0.5</v>
      </c>
      <c r="F63" s="206">
        <f t="shared" si="10"/>
        <v>0.3</v>
      </c>
      <c r="H63" s="192"/>
      <c r="I63" s="207">
        <v>60</v>
      </c>
      <c r="J63" s="188">
        <v>-6.4</v>
      </c>
      <c r="K63" s="188">
        <v>-2</v>
      </c>
      <c r="L63" s="206">
        <f t="shared" si="11"/>
        <v>2.2000000000000002</v>
      </c>
      <c r="O63" s="187"/>
      <c r="P63" s="177"/>
    </row>
    <row r="64" spans="1:16" ht="13" x14ac:dyDescent="0.3">
      <c r="A64" s="1954"/>
      <c r="C64" s="207">
        <v>35</v>
      </c>
      <c r="D64" s="188">
        <v>0.1</v>
      </c>
      <c r="E64" s="188">
        <v>-0.9</v>
      </c>
      <c r="F64" s="206">
        <f t="shared" si="10"/>
        <v>0.5</v>
      </c>
      <c r="H64" s="192"/>
      <c r="I64" s="207">
        <v>70</v>
      </c>
      <c r="J64" s="188">
        <v>-6.7</v>
      </c>
      <c r="K64" s="188">
        <v>-2.1</v>
      </c>
      <c r="L64" s="206">
        <f t="shared" si="11"/>
        <v>2.2999999999999998</v>
      </c>
      <c r="O64" s="187"/>
      <c r="P64" s="177"/>
    </row>
    <row r="65" spans="1:16" ht="13" x14ac:dyDescent="0.3">
      <c r="A65" s="1954"/>
      <c r="C65" s="207">
        <v>37</v>
      </c>
      <c r="D65" s="188">
        <v>0.1</v>
      </c>
      <c r="E65" s="188">
        <v>-1.1000000000000001</v>
      </c>
      <c r="F65" s="206">
        <f t="shared" si="10"/>
        <v>0.60000000000000009</v>
      </c>
      <c r="H65" s="192"/>
      <c r="I65" s="207">
        <v>80</v>
      </c>
      <c r="J65" s="188">
        <v>-6.3</v>
      </c>
      <c r="K65" s="188">
        <v>-2.6</v>
      </c>
      <c r="L65" s="206">
        <f t="shared" si="11"/>
        <v>1.8499999999999999</v>
      </c>
      <c r="O65" s="187"/>
      <c r="P65" s="177"/>
    </row>
    <row r="66" spans="1:16" ht="13.5" thickBot="1" x14ac:dyDescent="0.35">
      <c r="A66" s="1955"/>
      <c r="B66" s="190"/>
      <c r="C66" s="208">
        <v>40</v>
      </c>
      <c r="D66" s="209">
        <v>0.1</v>
      </c>
      <c r="E66" s="209">
        <v>-1.4</v>
      </c>
      <c r="F66" s="210">
        <f t="shared" si="10"/>
        <v>0.75</v>
      </c>
      <c r="G66" s="190"/>
      <c r="H66" s="211"/>
      <c r="I66" s="208">
        <v>90</v>
      </c>
      <c r="J66" s="209">
        <v>-5.2</v>
      </c>
      <c r="K66" s="209">
        <v>-2.6</v>
      </c>
      <c r="L66" s="210">
        <f t="shared" si="11"/>
        <v>1.3</v>
      </c>
      <c r="M66" s="190"/>
      <c r="N66" s="190"/>
      <c r="O66" s="191"/>
      <c r="P66" s="177"/>
    </row>
    <row r="67" spans="1:16" ht="13.5" thickBot="1" x14ac:dyDescent="0.35">
      <c r="A67" s="213"/>
      <c r="B67" s="214"/>
      <c r="C67" s="214"/>
      <c r="D67" s="214"/>
      <c r="E67" s="215"/>
      <c r="F67" s="216"/>
      <c r="G67" s="217"/>
      <c r="H67" s="214"/>
      <c r="I67" s="214"/>
      <c r="J67" s="214"/>
      <c r="K67" s="215"/>
      <c r="L67" s="216"/>
      <c r="O67" s="187"/>
      <c r="P67" s="177"/>
    </row>
    <row r="68" spans="1:16" ht="13.5" thickBot="1" x14ac:dyDescent="0.35">
      <c r="A68" s="1953">
        <v>7</v>
      </c>
      <c r="B68" s="1956" t="s">
        <v>319</v>
      </c>
      <c r="C68" s="1957"/>
      <c r="D68" s="1957"/>
      <c r="E68" s="1957"/>
      <c r="F68" s="1958"/>
      <c r="G68" s="179"/>
      <c r="H68" s="1956" t="str">
        <f>B68</f>
        <v>KOREKSI GREISINGER 34903053</v>
      </c>
      <c r="I68" s="1957"/>
      <c r="J68" s="1957"/>
      <c r="K68" s="1957"/>
      <c r="L68" s="1958"/>
      <c r="M68" s="179"/>
      <c r="N68" s="1941" t="s">
        <v>90</v>
      </c>
      <c r="O68" s="1942"/>
      <c r="P68" s="177"/>
    </row>
    <row r="69" spans="1:16" ht="13.5" thickBot="1" x14ac:dyDescent="0.35">
      <c r="A69" s="1954"/>
      <c r="B69" s="1943" t="s">
        <v>311</v>
      </c>
      <c r="C69" s="1944"/>
      <c r="D69" s="1945" t="s">
        <v>88</v>
      </c>
      <c r="E69" s="1946"/>
      <c r="F69" s="1947" t="s">
        <v>86</v>
      </c>
      <c r="H69" s="1943" t="s">
        <v>312</v>
      </c>
      <c r="I69" s="1944"/>
      <c r="J69" s="1945" t="s">
        <v>88</v>
      </c>
      <c r="K69" s="1946"/>
      <c r="L69" s="1947" t="s">
        <v>86</v>
      </c>
      <c r="N69" s="196" t="s">
        <v>311</v>
      </c>
      <c r="O69" s="197">
        <v>0.3</v>
      </c>
      <c r="P69" s="177"/>
    </row>
    <row r="70" spans="1:16" ht="15" thickBot="1" x14ac:dyDescent="0.35">
      <c r="A70" s="1954"/>
      <c r="B70" s="1949" t="s">
        <v>313</v>
      </c>
      <c r="C70" s="1950"/>
      <c r="D70" s="198">
        <v>2018</v>
      </c>
      <c r="E70" s="198">
        <v>2017</v>
      </c>
      <c r="F70" s="1948"/>
      <c r="H70" s="1951" t="s">
        <v>16</v>
      </c>
      <c r="I70" s="1952"/>
      <c r="J70" s="199">
        <f>D70</f>
        <v>2018</v>
      </c>
      <c r="K70" s="199">
        <f>E70</f>
        <v>2017</v>
      </c>
      <c r="L70" s="1948"/>
      <c r="N70" s="200" t="s">
        <v>16</v>
      </c>
      <c r="O70" s="201">
        <v>2.2999999999999998</v>
      </c>
      <c r="P70" s="177"/>
    </row>
    <row r="71" spans="1:16" ht="13" x14ac:dyDescent="0.3">
      <c r="A71" s="1954"/>
      <c r="C71" s="202">
        <v>15</v>
      </c>
      <c r="D71" s="203">
        <v>0.3</v>
      </c>
      <c r="E71" s="203">
        <v>0.2</v>
      </c>
      <c r="F71" s="204">
        <f t="shared" ref="F71:F77" si="12">0.5*(MAX(D71:E71)-MIN(D71:E71))</f>
        <v>4.9999999999999989E-2</v>
      </c>
      <c r="H71" s="192"/>
      <c r="I71" s="202">
        <v>30</v>
      </c>
      <c r="J71" s="203">
        <v>1.8</v>
      </c>
      <c r="K71" s="203">
        <v>-0.1</v>
      </c>
      <c r="L71" s="204">
        <f t="shared" ref="L71:L77" si="13">0.5*(MAX(J71:K71)-MIN(J71:K71))</f>
        <v>0.95000000000000007</v>
      </c>
      <c r="O71" s="187"/>
      <c r="P71" s="177"/>
    </row>
    <row r="72" spans="1:16" ht="13" x14ac:dyDescent="0.3">
      <c r="A72" s="1954"/>
      <c r="C72" s="205">
        <v>20</v>
      </c>
      <c r="D72" s="185">
        <v>0.1</v>
      </c>
      <c r="E72" s="185">
        <v>0.1</v>
      </c>
      <c r="F72" s="206">
        <f t="shared" si="12"/>
        <v>0</v>
      </c>
      <c r="H72" s="192"/>
      <c r="I72" s="205">
        <v>40</v>
      </c>
      <c r="J72" s="185">
        <v>1.2</v>
      </c>
      <c r="K72" s="185">
        <v>0</v>
      </c>
      <c r="L72" s="206">
        <f t="shared" si="13"/>
        <v>0.6</v>
      </c>
      <c r="O72" s="187"/>
      <c r="P72" s="177"/>
    </row>
    <row r="73" spans="1:16" ht="13" x14ac:dyDescent="0.3">
      <c r="A73" s="1954"/>
      <c r="C73" s="205">
        <v>25</v>
      </c>
      <c r="D73" s="185">
        <v>-0.2</v>
      </c>
      <c r="E73" s="185">
        <v>9.9999999999999995E-7</v>
      </c>
      <c r="F73" s="206">
        <f t="shared" si="12"/>
        <v>0.10000050000000001</v>
      </c>
      <c r="H73" s="192"/>
      <c r="I73" s="205">
        <v>50</v>
      </c>
      <c r="J73" s="185">
        <v>0.8</v>
      </c>
      <c r="K73" s="185">
        <v>0.6</v>
      </c>
      <c r="L73" s="206">
        <f t="shared" si="13"/>
        <v>0.10000000000000003</v>
      </c>
      <c r="O73" s="187"/>
      <c r="P73" s="177"/>
    </row>
    <row r="74" spans="1:16" ht="13" x14ac:dyDescent="0.3">
      <c r="A74" s="1954"/>
      <c r="C74" s="207">
        <v>30</v>
      </c>
      <c r="D74" s="188">
        <v>-0.6</v>
      </c>
      <c r="E74" s="188">
        <v>-0.1</v>
      </c>
      <c r="F74" s="206">
        <f t="shared" si="12"/>
        <v>0.25</v>
      </c>
      <c r="H74" s="192"/>
      <c r="I74" s="207">
        <v>60</v>
      </c>
      <c r="J74" s="188">
        <v>0.7</v>
      </c>
      <c r="K74" s="188">
        <v>1.5</v>
      </c>
      <c r="L74" s="206">
        <f t="shared" si="13"/>
        <v>0.4</v>
      </c>
      <c r="O74" s="187"/>
      <c r="P74" s="177"/>
    </row>
    <row r="75" spans="1:16" ht="13" x14ac:dyDescent="0.3">
      <c r="A75" s="1954"/>
      <c r="C75" s="207">
        <v>35</v>
      </c>
      <c r="D75" s="188">
        <v>-1.1000000000000001</v>
      </c>
      <c r="E75" s="188">
        <v>-0.1</v>
      </c>
      <c r="F75" s="206">
        <f t="shared" si="12"/>
        <v>0.5</v>
      </c>
      <c r="H75" s="192"/>
      <c r="I75" s="207">
        <v>70</v>
      </c>
      <c r="J75" s="188">
        <v>0.9</v>
      </c>
      <c r="K75" s="188">
        <v>2.8</v>
      </c>
      <c r="L75" s="206">
        <f t="shared" si="13"/>
        <v>0.95</v>
      </c>
      <c r="O75" s="187"/>
      <c r="P75" s="177"/>
    </row>
    <row r="76" spans="1:16" ht="13" x14ac:dyDescent="0.3">
      <c r="A76" s="1954"/>
      <c r="C76" s="207">
        <v>37</v>
      </c>
      <c r="D76" s="188">
        <v>-1.4</v>
      </c>
      <c r="E76" s="188">
        <v>-0.1</v>
      </c>
      <c r="F76" s="206">
        <f t="shared" si="12"/>
        <v>0.64999999999999991</v>
      </c>
      <c r="H76" s="192"/>
      <c r="I76" s="207">
        <v>80</v>
      </c>
      <c r="J76" s="188">
        <v>1.2</v>
      </c>
      <c r="K76" s="188">
        <v>4.4000000000000004</v>
      </c>
      <c r="L76" s="206">
        <f t="shared" si="13"/>
        <v>1.6</v>
      </c>
      <c r="O76" s="187"/>
      <c r="P76" s="177"/>
    </row>
    <row r="77" spans="1:16" ht="13.5" thickBot="1" x14ac:dyDescent="0.35">
      <c r="A77" s="1955"/>
      <c r="B77" s="190"/>
      <c r="C77" s="208">
        <v>40</v>
      </c>
      <c r="D77" s="209">
        <v>-1.7</v>
      </c>
      <c r="E77" s="209">
        <v>-0.1</v>
      </c>
      <c r="F77" s="210">
        <f t="shared" si="12"/>
        <v>0.79999999999999993</v>
      </c>
      <c r="G77" s="190"/>
      <c r="H77" s="211"/>
      <c r="I77" s="208">
        <v>90</v>
      </c>
      <c r="J77" s="209">
        <v>1.8</v>
      </c>
      <c r="K77" s="209">
        <v>4.4000000000000004</v>
      </c>
      <c r="L77" s="210">
        <f t="shared" si="13"/>
        <v>1.3000000000000003</v>
      </c>
      <c r="M77" s="190"/>
      <c r="N77" s="190"/>
      <c r="O77" s="191"/>
      <c r="P77" s="177"/>
    </row>
    <row r="78" spans="1:16" ht="13.5" thickBot="1" x14ac:dyDescent="0.35">
      <c r="A78" s="213"/>
      <c r="B78" s="214"/>
      <c r="C78" s="214"/>
      <c r="D78" s="214"/>
      <c r="E78" s="215"/>
      <c r="F78" s="216"/>
      <c r="G78" s="217"/>
      <c r="H78" s="214"/>
      <c r="I78" s="214"/>
      <c r="J78" s="214"/>
      <c r="K78" s="215"/>
      <c r="L78" s="216"/>
      <c r="O78" s="187"/>
      <c r="P78" s="177"/>
    </row>
    <row r="79" spans="1:16" ht="13.5" thickBot="1" x14ac:dyDescent="0.35">
      <c r="A79" s="1953">
        <v>8</v>
      </c>
      <c r="B79" s="1956" t="s">
        <v>320</v>
      </c>
      <c r="C79" s="1957"/>
      <c r="D79" s="1957"/>
      <c r="E79" s="1957"/>
      <c r="F79" s="1958"/>
      <c r="G79" s="179"/>
      <c r="H79" s="1956" t="str">
        <f>B79</f>
        <v>KOREKSI GREISINGER 34903051</v>
      </c>
      <c r="I79" s="1957"/>
      <c r="J79" s="1957"/>
      <c r="K79" s="1957"/>
      <c r="L79" s="1958"/>
      <c r="M79" s="179"/>
      <c r="N79" s="1941" t="s">
        <v>90</v>
      </c>
      <c r="O79" s="1942"/>
      <c r="P79" s="177"/>
    </row>
    <row r="80" spans="1:16" ht="13.5" thickBot="1" x14ac:dyDescent="0.35">
      <c r="A80" s="1954"/>
      <c r="B80" s="1943" t="s">
        <v>311</v>
      </c>
      <c r="C80" s="1944"/>
      <c r="D80" s="1945" t="s">
        <v>88</v>
      </c>
      <c r="E80" s="1946"/>
      <c r="F80" s="1947" t="s">
        <v>86</v>
      </c>
      <c r="H80" s="1943" t="s">
        <v>312</v>
      </c>
      <c r="I80" s="1944"/>
      <c r="J80" s="1945" t="s">
        <v>88</v>
      </c>
      <c r="K80" s="1946"/>
      <c r="L80" s="1947" t="s">
        <v>86</v>
      </c>
      <c r="N80" s="196" t="s">
        <v>311</v>
      </c>
      <c r="O80" s="219">
        <v>0.3</v>
      </c>
      <c r="P80" s="177"/>
    </row>
    <row r="81" spans="1:16" ht="15" thickBot="1" x14ac:dyDescent="0.35">
      <c r="A81" s="1954"/>
      <c r="B81" s="1949" t="s">
        <v>313</v>
      </c>
      <c r="C81" s="1950"/>
      <c r="D81" s="198">
        <v>2019</v>
      </c>
      <c r="E81" s="198">
        <v>2017</v>
      </c>
      <c r="F81" s="1948"/>
      <c r="H81" s="1951" t="s">
        <v>16</v>
      </c>
      <c r="I81" s="1952"/>
      <c r="J81" s="199">
        <f>D81</f>
        <v>2019</v>
      </c>
      <c r="K81" s="199">
        <f>E81</f>
        <v>2017</v>
      </c>
      <c r="L81" s="1948"/>
      <c r="N81" s="200" t="s">
        <v>16</v>
      </c>
      <c r="O81" s="218">
        <v>2.6</v>
      </c>
      <c r="P81" s="177"/>
    </row>
    <row r="82" spans="1:16" ht="13" x14ac:dyDescent="0.3">
      <c r="A82" s="1954"/>
      <c r="C82" s="220">
        <v>15</v>
      </c>
      <c r="D82" s="203">
        <v>9.9999999999999995E-7</v>
      </c>
      <c r="E82" s="203">
        <v>-0.2</v>
      </c>
      <c r="F82" s="204">
        <f t="shared" ref="F82:F88" si="14">0.5*(MAX(D82:E82)-MIN(D82:E82))</f>
        <v>0.10000050000000001</v>
      </c>
      <c r="H82" s="192"/>
      <c r="I82" s="220">
        <v>30</v>
      </c>
      <c r="J82" s="203">
        <v>-1.4</v>
      </c>
      <c r="K82" s="203">
        <v>1</v>
      </c>
      <c r="L82" s="204">
        <f t="shared" ref="L82:L88" si="15">0.5*(MAX(J82:K82)-MIN(J82:K82))</f>
        <v>1.2</v>
      </c>
      <c r="O82" s="187"/>
      <c r="P82" s="177"/>
    </row>
    <row r="83" spans="1:16" ht="13" x14ac:dyDescent="0.3">
      <c r="A83" s="1954"/>
      <c r="C83" s="221">
        <v>20</v>
      </c>
      <c r="D83" s="203">
        <v>-0.2</v>
      </c>
      <c r="E83" s="203">
        <v>-0.2</v>
      </c>
      <c r="F83" s="206">
        <f>0.5*(MAX(D83:E83)-MIN(D83:E83))</f>
        <v>0</v>
      </c>
      <c r="H83" s="192"/>
      <c r="I83" s="221">
        <v>40</v>
      </c>
      <c r="J83" s="185">
        <v>-1.2</v>
      </c>
      <c r="K83" s="185">
        <v>1.1000000000000001</v>
      </c>
      <c r="L83" s="206">
        <f t="shared" si="15"/>
        <v>1.1499999999999999</v>
      </c>
      <c r="O83" s="187"/>
      <c r="P83" s="177"/>
    </row>
    <row r="84" spans="1:16" ht="13" x14ac:dyDescent="0.3">
      <c r="A84" s="1954"/>
      <c r="C84" s="221">
        <v>25</v>
      </c>
      <c r="D84" s="203">
        <v>-0.4</v>
      </c>
      <c r="E84" s="203">
        <v>-0.2</v>
      </c>
      <c r="F84" s="206">
        <f t="shared" si="14"/>
        <v>0.1</v>
      </c>
      <c r="H84" s="192"/>
      <c r="I84" s="221">
        <v>50</v>
      </c>
      <c r="J84" s="185">
        <v>-1.2</v>
      </c>
      <c r="K84" s="185">
        <v>1.3</v>
      </c>
      <c r="L84" s="206">
        <f t="shared" si="15"/>
        <v>1.25</v>
      </c>
      <c r="O84" s="187"/>
      <c r="P84" s="177"/>
    </row>
    <row r="85" spans="1:16" ht="13" x14ac:dyDescent="0.3">
      <c r="A85" s="1954"/>
      <c r="C85" s="222">
        <v>30</v>
      </c>
      <c r="D85" s="203">
        <v>-0.4</v>
      </c>
      <c r="E85" s="203">
        <v>-0.2</v>
      </c>
      <c r="F85" s="206">
        <f t="shared" si="14"/>
        <v>0.1</v>
      </c>
      <c r="H85" s="192"/>
      <c r="I85" s="222">
        <v>60</v>
      </c>
      <c r="J85" s="188">
        <v>-1.1000000000000001</v>
      </c>
      <c r="K85" s="188">
        <v>1.7</v>
      </c>
      <c r="L85" s="206">
        <f t="shared" si="15"/>
        <v>1.4</v>
      </c>
      <c r="O85" s="187"/>
      <c r="P85" s="177"/>
    </row>
    <row r="86" spans="1:16" ht="13" x14ac:dyDescent="0.3">
      <c r="A86" s="1954"/>
      <c r="C86" s="222">
        <v>35</v>
      </c>
      <c r="D86" s="188">
        <v>-0.5</v>
      </c>
      <c r="E86" s="188">
        <v>-0.3</v>
      </c>
      <c r="F86" s="206">
        <f t="shared" si="14"/>
        <v>0.1</v>
      </c>
      <c r="H86" s="192"/>
      <c r="I86" s="222">
        <v>70</v>
      </c>
      <c r="J86" s="188">
        <v>-1.2</v>
      </c>
      <c r="K86" s="188">
        <v>2.1</v>
      </c>
      <c r="L86" s="206">
        <f t="shared" si="15"/>
        <v>1.65</v>
      </c>
      <c r="O86" s="187"/>
      <c r="P86" s="177"/>
    </row>
    <row r="87" spans="1:16" ht="13" x14ac:dyDescent="0.3">
      <c r="A87" s="1954"/>
      <c r="C87" s="222">
        <v>37</v>
      </c>
      <c r="D87" s="188">
        <v>-0.5</v>
      </c>
      <c r="E87" s="188">
        <v>-0.3</v>
      </c>
      <c r="F87" s="206">
        <f t="shared" si="14"/>
        <v>0.1</v>
      </c>
      <c r="H87" s="192"/>
      <c r="I87" s="222">
        <v>80</v>
      </c>
      <c r="J87" s="188">
        <v>-1.2</v>
      </c>
      <c r="K87" s="188">
        <v>2.6</v>
      </c>
      <c r="L87" s="206">
        <f t="shared" si="15"/>
        <v>1.9</v>
      </c>
      <c r="O87" s="187"/>
      <c r="P87" s="177"/>
    </row>
    <row r="88" spans="1:16" ht="13.5" thickBot="1" x14ac:dyDescent="0.35">
      <c r="A88" s="1955"/>
      <c r="B88" s="190"/>
      <c r="C88" s="223">
        <v>40</v>
      </c>
      <c r="D88" s="209">
        <v>-0.4</v>
      </c>
      <c r="E88" s="209">
        <v>-0.4</v>
      </c>
      <c r="F88" s="210">
        <f t="shared" si="14"/>
        <v>0</v>
      </c>
      <c r="G88" s="190"/>
      <c r="H88" s="211"/>
      <c r="I88" s="223">
        <v>90</v>
      </c>
      <c r="J88" s="209">
        <v>-1.3</v>
      </c>
      <c r="K88" s="209">
        <v>2.6</v>
      </c>
      <c r="L88" s="210">
        <f t="shared" si="15"/>
        <v>1.9500000000000002</v>
      </c>
      <c r="M88" s="190"/>
      <c r="N88" s="190"/>
      <c r="O88" s="191"/>
      <c r="P88" s="177"/>
    </row>
    <row r="89" spans="1:16" ht="13.5" thickBot="1" x14ac:dyDescent="0.35">
      <c r="A89" s="213"/>
      <c r="B89" s="214"/>
      <c r="C89" s="214"/>
      <c r="D89" s="214"/>
      <c r="E89" s="215"/>
      <c r="F89" s="224"/>
      <c r="G89" s="217"/>
      <c r="H89" s="214"/>
      <c r="I89" s="214"/>
      <c r="J89" s="214"/>
      <c r="K89" s="215"/>
      <c r="L89" s="224"/>
      <c r="O89" s="187"/>
      <c r="P89" s="177"/>
    </row>
    <row r="90" spans="1:16" ht="13.5" thickBot="1" x14ac:dyDescent="0.35">
      <c r="A90" s="1953">
        <v>9</v>
      </c>
      <c r="B90" s="1956" t="s">
        <v>321</v>
      </c>
      <c r="C90" s="1957"/>
      <c r="D90" s="1957"/>
      <c r="E90" s="1957"/>
      <c r="F90" s="1958"/>
      <c r="G90" s="179"/>
      <c r="H90" s="1956" t="str">
        <f>B90</f>
        <v>KOREKSI GREISINGER 34904091</v>
      </c>
      <c r="I90" s="1957"/>
      <c r="J90" s="1957"/>
      <c r="K90" s="1957"/>
      <c r="L90" s="1958"/>
      <c r="M90" s="179"/>
      <c r="N90" s="1941" t="s">
        <v>90</v>
      </c>
      <c r="O90" s="1942"/>
      <c r="P90" s="177"/>
    </row>
    <row r="91" spans="1:16" ht="13.5" thickBot="1" x14ac:dyDescent="0.35">
      <c r="A91" s="1954"/>
      <c r="B91" s="1943" t="s">
        <v>311</v>
      </c>
      <c r="C91" s="1944"/>
      <c r="D91" s="1945" t="s">
        <v>88</v>
      </c>
      <c r="E91" s="1946"/>
      <c r="F91" s="1947" t="s">
        <v>86</v>
      </c>
      <c r="H91" s="1943" t="s">
        <v>312</v>
      </c>
      <c r="I91" s="1944"/>
      <c r="J91" s="1945" t="s">
        <v>88</v>
      </c>
      <c r="K91" s="1946"/>
      <c r="L91" s="1947" t="s">
        <v>86</v>
      </c>
      <c r="N91" s="196" t="s">
        <v>311</v>
      </c>
      <c r="O91" s="219">
        <v>0.3</v>
      </c>
      <c r="P91" s="177"/>
    </row>
    <row r="92" spans="1:16" ht="15" thickBot="1" x14ac:dyDescent="0.35">
      <c r="A92" s="1954"/>
      <c r="B92" s="1949" t="s">
        <v>313</v>
      </c>
      <c r="C92" s="1950"/>
      <c r="D92" s="198">
        <v>2019</v>
      </c>
      <c r="E92" s="225" t="s">
        <v>89</v>
      </c>
      <c r="F92" s="1948"/>
      <c r="H92" s="1951" t="s">
        <v>16</v>
      </c>
      <c r="I92" s="1952"/>
      <c r="J92" s="199">
        <f>D92</f>
        <v>2019</v>
      </c>
      <c r="K92" s="199" t="str">
        <f>E92</f>
        <v>-</v>
      </c>
      <c r="L92" s="1948"/>
      <c r="N92" s="200" t="s">
        <v>16</v>
      </c>
      <c r="O92" s="218">
        <v>2.4</v>
      </c>
      <c r="P92" s="177"/>
    </row>
    <row r="93" spans="1:16" ht="13" x14ac:dyDescent="0.3">
      <c r="A93" s="1954"/>
      <c r="B93" s="192"/>
      <c r="C93" s="220">
        <v>15</v>
      </c>
      <c r="D93" s="203">
        <v>9.9999999999999995E-7</v>
      </c>
      <c r="E93" s="226" t="s">
        <v>89</v>
      </c>
      <c r="F93" s="204">
        <f t="shared" ref="F93" si="16">0.5*(MAX(D93:E93)-MIN(D93:E93))</f>
        <v>0</v>
      </c>
      <c r="H93" s="192"/>
      <c r="I93" s="220">
        <v>30</v>
      </c>
      <c r="J93" s="203">
        <v>-1.2</v>
      </c>
      <c r="K93" s="226" t="s">
        <v>89</v>
      </c>
      <c r="L93" s="204">
        <f t="shared" ref="L93:L99" si="17">0.5*(MAX(J93:K93)-MIN(J93:K93))</f>
        <v>0</v>
      </c>
      <c r="O93" s="187"/>
      <c r="P93" s="177"/>
    </row>
    <row r="94" spans="1:16" ht="13" x14ac:dyDescent="0.3">
      <c r="A94" s="1954"/>
      <c r="B94" s="192"/>
      <c r="C94" s="221">
        <v>20</v>
      </c>
      <c r="D94" s="203">
        <v>-0.2</v>
      </c>
      <c r="E94" s="227" t="s">
        <v>89</v>
      </c>
      <c r="F94" s="206">
        <f>0.5*(MAX(D94:E94)-MIN(D94:E94))</f>
        <v>0</v>
      </c>
      <c r="H94" s="192"/>
      <c r="I94" s="221">
        <v>40</v>
      </c>
      <c r="J94" s="203">
        <v>-1</v>
      </c>
      <c r="K94" s="227" t="s">
        <v>89</v>
      </c>
      <c r="L94" s="206">
        <f t="shared" si="17"/>
        <v>0</v>
      </c>
      <c r="O94" s="187"/>
      <c r="P94" s="177"/>
    </row>
    <row r="95" spans="1:16" ht="13" x14ac:dyDescent="0.3">
      <c r="A95" s="1954"/>
      <c r="B95" s="192"/>
      <c r="C95" s="221">
        <v>25</v>
      </c>
      <c r="D95" s="203">
        <v>-0.4</v>
      </c>
      <c r="E95" s="227" t="s">
        <v>89</v>
      </c>
      <c r="F95" s="206">
        <f t="shared" ref="F95:F99" si="18">0.5*(MAX(D95:E95)-MIN(D95:E95))</f>
        <v>0</v>
      </c>
      <c r="H95" s="192"/>
      <c r="I95" s="221">
        <v>50</v>
      </c>
      <c r="J95" s="203">
        <v>-0.9</v>
      </c>
      <c r="K95" s="227" t="s">
        <v>89</v>
      </c>
      <c r="L95" s="206">
        <f t="shared" si="17"/>
        <v>0</v>
      </c>
      <c r="O95" s="187"/>
      <c r="P95" s="177"/>
    </row>
    <row r="96" spans="1:16" ht="13" x14ac:dyDescent="0.3">
      <c r="A96" s="1954"/>
      <c r="B96" s="192"/>
      <c r="C96" s="222">
        <v>30</v>
      </c>
      <c r="D96" s="203">
        <v>-0.5</v>
      </c>
      <c r="E96" s="189" t="s">
        <v>89</v>
      </c>
      <c r="F96" s="206">
        <f t="shared" si="18"/>
        <v>0</v>
      </c>
      <c r="H96" s="192"/>
      <c r="I96" s="222">
        <v>60</v>
      </c>
      <c r="J96" s="203">
        <v>-0.8</v>
      </c>
      <c r="K96" s="189" t="s">
        <v>89</v>
      </c>
      <c r="L96" s="206">
        <f t="shared" si="17"/>
        <v>0</v>
      </c>
      <c r="O96" s="187"/>
      <c r="P96" s="177"/>
    </row>
    <row r="97" spans="1:16" ht="13" x14ac:dyDescent="0.3">
      <c r="A97" s="1954"/>
      <c r="B97" s="192"/>
      <c r="C97" s="222">
        <v>35</v>
      </c>
      <c r="D97" s="203">
        <v>-0.5</v>
      </c>
      <c r="E97" s="189" t="s">
        <v>89</v>
      </c>
      <c r="F97" s="206">
        <f t="shared" si="18"/>
        <v>0</v>
      </c>
      <c r="H97" s="192"/>
      <c r="I97" s="222">
        <v>70</v>
      </c>
      <c r="J97" s="203">
        <v>-0.6</v>
      </c>
      <c r="K97" s="189" t="s">
        <v>89</v>
      </c>
      <c r="L97" s="206">
        <f t="shared" si="17"/>
        <v>0</v>
      </c>
      <c r="O97" s="187"/>
      <c r="P97" s="177"/>
    </row>
    <row r="98" spans="1:16" ht="13" x14ac:dyDescent="0.3">
      <c r="A98" s="1954"/>
      <c r="B98" s="192"/>
      <c r="C98" s="222">
        <v>37</v>
      </c>
      <c r="D98" s="203">
        <v>-0.5</v>
      </c>
      <c r="E98" s="189" t="s">
        <v>89</v>
      </c>
      <c r="F98" s="206">
        <f t="shared" si="18"/>
        <v>0</v>
      </c>
      <c r="H98" s="192"/>
      <c r="I98" s="222">
        <v>80</v>
      </c>
      <c r="J98" s="203">
        <v>-0.5</v>
      </c>
      <c r="K98" s="189" t="s">
        <v>89</v>
      </c>
      <c r="L98" s="206">
        <f t="shared" si="17"/>
        <v>0</v>
      </c>
      <c r="O98" s="187"/>
      <c r="P98" s="177"/>
    </row>
    <row r="99" spans="1:16" ht="13.5" thickBot="1" x14ac:dyDescent="0.35">
      <c r="A99" s="1955"/>
      <c r="B99" s="211"/>
      <c r="C99" s="223">
        <v>40</v>
      </c>
      <c r="D99" s="228">
        <v>-0.4</v>
      </c>
      <c r="E99" s="212" t="s">
        <v>89</v>
      </c>
      <c r="F99" s="210">
        <f t="shared" si="18"/>
        <v>0</v>
      </c>
      <c r="G99" s="190"/>
      <c r="H99" s="211"/>
      <c r="I99" s="223">
        <v>90</v>
      </c>
      <c r="J99" s="228">
        <v>-0.2</v>
      </c>
      <c r="K99" s="212" t="s">
        <v>89</v>
      </c>
      <c r="L99" s="210">
        <f t="shared" si="17"/>
        <v>0</v>
      </c>
      <c r="M99" s="190"/>
      <c r="N99" s="190"/>
      <c r="O99" s="191"/>
      <c r="P99" s="177"/>
    </row>
    <row r="100" spans="1:16" ht="13.5" thickBot="1" x14ac:dyDescent="0.35">
      <c r="A100" s="213"/>
      <c r="B100" s="214"/>
      <c r="C100" s="214"/>
      <c r="D100" s="214"/>
      <c r="E100" s="215"/>
      <c r="F100" s="224"/>
      <c r="G100" s="217"/>
      <c r="H100" s="214"/>
      <c r="I100" s="214"/>
      <c r="J100" s="214"/>
      <c r="K100" s="215"/>
      <c r="L100" s="224"/>
      <c r="M100" s="217"/>
      <c r="O100" s="187"/>
      <c r="P100" s="177"/>
    </row>
    <row r="101" spans="1:16" ht="13.5" thickBot="1" x14ac:dyDescent="0.35">
      <c r="A101" s="1953">
        <v>10</v>
      </c>
      <c r="B101" s="1956" t="s">
        <v>322</v>
      </c>
      <c r="C101" s="1957"/>
      <c r="D101" s="1957"/>
      <c r="E101" s="1957"/>
      <c r="F101" s="1958"/>
      <c r="G101" s="179"/>
      <c r="H101" s="1959" t="str">
        <f>B101</f>
        <v>KOREKSI Sekonic HE-21.000669</v>
      </c>
      <c r="I101" s="1960"/>
      <c r="J101" s="1960"/>
      <c r="K101" s="1960"/>
      <c r="L101" s="1961"/>
      <c r="M101" s="179"/>
      <c r="N101" s="1941" t="s">
        <v>90</v>
      </c>
      <c r="O101" s="1942"/>
      <c r="P101" s="177"/>
    </row>
    <row r="102" spans="1:16" ht="13.5" thickBot="1" x14ac:dyDescent="0.35">
      <c r="A102" s="1954"/>
      <c r="B102" s="1943" t="s">
        <v>311</v>
      </c>
      <c r="C102" s="1944"/>
      <c r="D102" s="1945" t="s">
        <v>88</v>
      </c>
      <c r="E102" s="1946"/>
      <c r="F102" s="1947" t="s">
        <v>86</v>
      </c>
      <c r="H102" s="1943" t="s">
        <v>312</v>
      </c>
      <c r="I102" s="1944"/>
      <c r="J102" s="1945" t="s">
        <v>88</v>
      </c>
      <c r="K102" s="1946"/>
      <c r="L102" s="1947" t="s">
        <v>86</v>
      </c>
      <c r="N102" s="196" t="s">
        <v>311</v>
      </c>
      <c r="O102" s="219">
        <v>0.3</v>
      </c>
      <c r="P102" s="177"/>
    </row>
    <row r="103" spans="1:16" ht="15" thickBot="1" x14ac:dyDescent="0.35">
      <c r="A103" s="1954"/>
      <c r="B103" s="1949" t="s">
        <v>313</v>
      </c>
      <c r="C103" s="1950"/>
      <c r="D103" s="198">
        <v>2019</v>
      </c>
      <c r="E103" s="198">
        <v>2016</v>
      </c>
      <c r="F103" s="1948"/>
      <c r="H103" s="1951" t="s">
        <v>16</v>
      </c>
      <c r="I103" s="1952"/>
      <c r="J103" s="199">
        <f>D103</f>
        <v>2019</v>
      </c>
      <c r="K103" s="199">
        <f>E103</f>
        <v>2016</v>
      </c>
      <c r="L103" s="1948"/>
      <c r="N103" s="200" t="s">
        <v>16</v>
      </c>
      <c r="O103" s="218">
        <v>1.5</v>
      </c>
      <c r="P103" s="177"/>
    </row>
    <row r="104" spans="1:16" ht="13" x14ac:dyDescent="0.3">
      <c r="A104" s="1954"/>
      <c r="C104" s="220">
        <v>15</v>
      </c>
      <c r="D104" s="203">
        <v>0.2</v>
      </c>
      <c r="E104" s="203">
        <v>0.2</v>
      </c>
      <c r="F104" s="204">
        <f t="shared" ref="F104:F110" si="19">0.5*(MAX(D104:E104)-MIN(D104:E104))</f>
        <v>0</v>
      </c>
      <c r="H104" s="192"/>
      <c r="I104" s="220">
        <v>30</v>
      </c>
      <c r="J104" s="203">
        <v>-2.9</v>
      </c>
      <c r="K104" s="203">
        <v>-5.8</v>
      </c>
      <c r="L104" s="204">
        <f t="shared" ref="L104:L107" si="20">0.5*(MAX(J104:K104)-MIN(J104:K104))</f>
        <v>1.45</v>
      </c>
      <c r="O104" s="187"/>
      <c r="P104" s="177"/>
    </row>
    <row r="105" spans="1:16" ht="13" x14ac:dyDescent="0.3">
      <c r="A105" s="1954"/>
      <c r="C105" s="221">
        <v>20</v>
      </c>
      <c r="D105" s="185">
        <v>0.2</v>
      </c>
      <c r="E105" s="185">
        <v>-0.7</v>
      </c>
      <c r="F105" s="206">
        <f t="shared" si="19"/>
        <v>0.44999999999999996</v>
      </c>
      <c r="H105" s="192"/>
      <c r="I105" s="221">
        <v>40</v>
      </c>
      <c r="J105" s="185">
        <v>-3.3</v>
      </c>
      <c r="K105" s="185">
        <v>-6.4</v>
      </c>
      <c r="L105" s="206">
        <f t="shared" si="20"/>
        <v>1.5500000000000003</v>
      </c>
      <c r="O105" s="187"/>
      <c r="P105" s="177"/>
    </row>
    <row r="106" spans="1:16" ht="13" x14ac:dyDescent="0.3">
      <c r="A106" s="1954"/>
      <c r="C106" s="221">
        <v>25</v>
      </c>
      <c r="D106" s="185">
        <v>0.1</v>
      </c>
      <c r="E106" s="185">
        <v>-0.5</v>
      </c>
      <c r="F106" s="206">
        <f t="shared" si="19"/>
        <v>0.3</v>
      </c>
      <c r="H106" s="192"/>
      <c r="I106" s="221">
        <v>50</v>
      </c>
      <c r="J106" s="185">
        <v>-3.1</v>
      </c>
      <c r="K106" s="185">
        <v>-6.1</v>
      </c>
      <c r="L106" s="206">
        <f t="shared" si="20"/>
        <v>1.4999999999999998</v>
      </c>
      <c r="O106" s="187"/>
      <c r="P106" s="177"/>
    </row>
    <row r="107" spans="1:16" ht="13" x14ac:dyDescent="0.3">
      <c r="A107" s="1954"/>
      <c r="C107" s="222">
        <v>30</v>
      </c>
      <c r="D107" s="188">
        <v>0.1</v>
      </c>
      <c r="E107" s="188">
        <v>0.2</v>
      </c>
      <c r="F107" s="206">
        <f t="shared" si="19"/>
        <v>0.05</v>
      </c>
      <c r="H107" s="192"/>
      <c r="I107" s="222">
        <v>60</v>
      </c>
      <c r="J107" s="188">
        <v>-2.1</v>
      </c>
      <c r="K107" s="188">
        <v>-5.6</v>
      </c>
      <c r="L107" s="206">
        <f t="shared" si="20"/>
        <v>1.7499999999999998</v>
      </c>
      <c r="O107" s="187"/>
      <c r="P107" s="177"/>
    </row>
    <row r="108" spans="1:16" ht="13" x14ac:dyDescent="0.3">
      <c r="A108" s="1954"/>
      <c r="C108" s="222">
        <v>35</v>
      </c>
      <c r="D108" s="188">
        <v>0.2</v>
      </c>
      <c r="E108" s="188">
        <v>0.8</v>
      </c>
      <c r="F108" s="206">
        <f t="shared" si="19"/>
        <v>0.30000000000000004</v>
      </c>
      <c r="H108" s="192"/>
      <c r="I108" s="222">
        <v>70</v>
      </c>
      <c r="J108" s="188">
        <v>-0.3</v>
      </c>
      <c r="K108" s="188">
        <v>-5.0999999999999996</v>
      </c>
      <c r="L108" s="206">
        <f>0.5*(MAX(J108:K108)-MIN(J108:K108))</f>
        <v>2.4</v>
      </c>
      <c r="O108" s="187"/>
      <c r="P108" s="177"/>
    </row>
    <row r="109" spans="1:16" ht="13" x14ac:dyDescent="0.3">
      <c r="A109" s="1954"/>
      <c r="C109" s="222">
        <v>37</v>
      </c>
      <c r="D109" s="188">
        <v>0.2</v>
      </c>
      <c r="E109" s="188">
        <v>0.4</v>
      </c>
      <c r="F109" s="206">
        <f t="shared" si="19"/>
        <v>0.1</v>
      </c>
      <c r="H109" s="192"/>
      <c r="I109" s="222">
        <v>80</v>
      </c>
      <c r="J109" s="188">
        <v>2.2000000000000002</v>
      </c>
      <c r="K109" s="188">
        <v>-4.7</v>
      </c>
      <c r="L109" s="206">
        <f t="shared" ref="L109:L110" si="21">0.5*(MAX(J109:K109)-MIN(J109:K109))</f>
        <v>3.45</v>
      </c>
      <c r="O109" s="187"/>
      <c r="P109" s="177"/>
    </row>
    <row r="110" spans="1:16" ht="13.5" thickBot="1" x14ac:dyDescent="0.35">
      <c r="A110" s="1955"/>
      <c r="B110" s="190"/>
      <c r="C110" s="223">
        <v>40</v>
      </c>
      <c r="D110" s="229">
        <v>0.2</v>
      </c>
      <c r="E110" s="229">
        <v>0</v>
      </c>
      <c r="F110" s="210">
        <f t="shared" si="19"/>
        <v>0.1</v>
      </c>
      <c r="G110" s="190"/>
      <c r="H110" s="211"/>
      <c r="I110" s="223">
        <v>90</v>
      </c>
      <c r="J110" s="208">
        <v>5.4</v>
      </c>
      <c r="K110" s="208">
        <v>0</v>
      </c>
      <c r="L110" s="210">
        <f t="shared" si="21"/>
        <v>2.7</v>
      </c>
      <c r="M110" s="190"/>
      <c r="N110" s="190"/>
      <c r="O110" s="191"/>
      <c r="P110" s="177"/>
    </row>
    <row r="111" spans="1:16" ht="13.5" thickBot="1" x14ac:dyDescent="0.35">
      <c r="A111" s="213"/>
      <c r="B111" s="214"/>
      <c r="C111" s="214"/>
      <c r="D111" s="214"/>
      <c r="E111" s="215"/>
      <c r="F111" s="224"/>
      <c r="G111" s="217"/>
      <c r="H111" s="214"/>
      <c r="I111" s="214"/>
      <c r="J111" s="214"/>
      <c r="K111" s="215"/>
      <c r="L111" s="224"/>
      <c r="M111" s="217"/>
      <c r="O111" s="187"/>
      <c r="P111" s="177"/>
    </row>
    <row r="112" spans="1:16" ht="13.5" thickBot="1" x14ac:dyDescent="0.35">
      <c r="A112" s="1953">
        <v>11</v>
      </c>
      <c r="B112" s="1956" t="s">
        <v>323</v>
      </c>
      <c r="C112" s="1957"/>
      <c r="D112" s="1957"/>
      <c r="E112" s="1957"/>
      <c r="F112" s="1958"/>
      <c r="G112" s="179"/>
      <c r="H112" s="1959" t="str">
        <f>B112</f>
        <v>KOREKSI Sekonic HE-21.000670</v>
      </c>
      <c r="I112" s="1960"/>
      <c r="J112" s="1960"/>
      <c r="K112" s="1960"/>
      <c r="L112" s="1961"/>
      <c r="M112" s="179"/>
      <c r="N112" s="1941" t="s">
        <v>90</v>
      </c>
      <c r="O112" s="1942"/>
      <c r="P112" s="177"/>
    </row>
    <row r="113" spans="1:16" ht="13.5" thickBot="1" x14ac:dyDescent="0.35">
      <c r="A113" s="1954"/>
      <c r="B113" s="1943" t="s">
        <v>311</v>
      </c>
      <c r="C113" s="1944"/>
      <c r="D113" s="1945" t="s">
        <v>88</v>
      </c>
      <c r="E113" s="1946"/>
      <c r="F113" s="1947" t="s">
        <v>86</v>
      </c>
      <c r="H113" s="1943" t="s">
        <v>312</v>
      </c>
      <c r="I113" s="1944"/>
      <c r="J113" s="1945" t="s">
        <v>88</v>
      </c>
      <c r="K113" s="1946"/>
      <c r="L113" s="1947" t="s">
        <v>86</v>
      </c>
      <c r="N113" s="196" t="s">
        <v>311</v>
      </c>
      <c r="O113" s="219">
        <v>0.3</v>
      </c>
      <c r="P113" s="177"/>
    </row>
    <row r="114" spans="1:16" ht="15" thickBot="1" x14ac:dyDescent="0.35">
      <c r="A114" s="1954"/>
      <c r="B114" s="1949" t="s">
        <v>313</v>
      </c>
      <c r="C114" s="1950"/>
      <c r="D114" s="198">
        <v>2020</v>
      </c>
      <c r="E114" s="225" t="s">
        <v>89</v>
      </c>
      <c r="F114" s="1948"/>
      <c r="H114" s="1951" t="s">
        <v>16</v>
      </c>
      <c r="I114" s="1952"/>
      <c r="J114" s="199">
        <f>D114</f>
        <v>2020</v>
      </c>
      <c r="K114" s="199" t="str">
        <f>E114</f>
        <v>-</v>
      </c>
      <c r="L114" s="1948"/>
      <c r="N114" s="200" t="s">
        <v>16</v>
      </c>
      <c r="O114" s="218">
        <v>1.8</v>
      </c>
      <c r="P114" s="177"/>
    </row>
    <row r="115" spans="1:16" ht="13" x14ac:dyDescent="0.3">
      <c r="A115" s="1954"/>
      <c r="C115" s="202">
        <v>15</v>
      </c>
      <c r="D115" s="203">
        <v>0.3</v>
      </c>
      <c r="E115" s="226" t="s">
        <v>89</v>
      </c>
      <c r="F115" s="204">
        <f t="shared" ref="F115:F121" si="22">0.5*(MAX(D115:E115)-MIN(D115:E115))</f>
        <v>0</v>
      </c>
      <c r="H115" s="192"/>
      <c r="I115" s="202">
        <v>35</v>
      </c>
      <c r="J115" s="203">
        <v>-5.2</v>
      </c>
      <c r="K115" s="226" t="s">
        <v>89</v>
      </c>
      <c r="L115" s="204">
        <f t="shared" ref="L115:L121" si="23">0.5*(MAX(J115:K115)-MIN(J115:K115))</f>
        <v>0</v>
      </c>
      <c r="O115" s="187"/>
      <c r="P115" s="177"/>
    </row>
    <row r="116" spans="1:16" ht="13" x14ac:dyDescent="0.3">
      <c r="A116" s="1954"/>
      <c r="C116" s="205">
        <v>20</v>
      </c>
      <c r="D116" s="185">
        <v>0.4</v>
      </c>
      <c r="E116" s="227" t="s">
        <v>89</v>
      </c>
      <c r="F116" s="206">
        <f t="shared" si="22"/>
        <v>0</v>
      </c>
      <c r="H116" s="192"/>
      <c r="I116" s="205">
        <v>40</v>
      </c>
      <c r="J116" s="185">
        <v>-5.5</v>
      </c>
      <c r="K116" s="227" t="s">
        <v>89</v>
      </c>
      <c r="L116" s="206">
        <f t="shared" si="23"/>
        <v>0</v>
      </c>
      <c r="O116" s="187"/>
      <c r="P116" s="177"/>
    </row>
    <row r="117" spans="1:16" ht="13" x14ac:dyDescent="0.3">
      <c r="A117" s="1954"/>
      <c r="C117" s="205">
        <v>25</v>
      </c>
      <c r="D117" s="185">
        <v>0.4</v>
      </c>
      <c r="E117" s="227" t="s">
        <v>89</v>
      </c>
      <c r="F117" s="206">
        <f t="shared" si="22"/>
        <v>0</v>
      </c>
      <c r="H117" s="192"/>
      <c r="I117" s="205">
        <v>50</v>
      </c>
      <c r="J117" s="185">
        <v>-5.5</v>
      </c>
      <c r="K117" s="227" t="s">
        <v>89</v>
      </c>
      <c r="L117" s="206">
        <f t="shared" si="23"/>
        <v>0</v>
      </c>
      <c r="O117" s="187"/>
      <c r="P117" s="177"/>
    </row>
    <row r="118" spans="1:16" ht="13" x14ac:dyDescent="0.3">
      <c r="A118" s="1954"/>
      <c r="C118" s="207">
        <v>30</v>
      </c>
      <c r="D118" s="188">
        <v>0.5</v>
      </c>
      <c r="E118" s="189" t="s">
        <v>89</v>
      </c>
      <c r="F118" s="206">
        <f t="shared" si="22"/>
        <v>0</v>
      </c>
      <c r="H118" s="192"/>
      <c r="I118" s="207">
        <v>60</v>
      </c>
      <c r="J118" s="188">
        <v>-4.8</v>
      </c>
      <c r="K118" s="189" t="s">
        <v>89</v>
      </c>
      <c r="L118" s="206">
        <f t="shared" si="23"/>
        <v>0</v>
      </c>
      <c r="O118" s="187"/>
      <c r="P118" s="177"/>
    </row>
    <row r="119" spans="1:16" ht="13" x14ac:dyDescent="0.3">
      <c r="A119" s="1954"/>
      <c r="C119" s="207">
        <v>35</v>
      </c>
      <c r="D119" s="188">
        <v>0.5</v>
      </c>
      <c r="E119" s="189" t="s">
        <v>89</v>
      </c>
      <c r="F119" s="206">
        <f t="shared" si="22"/>
        <v>0</v>
      </c>
      <c r="H119" s="192"/>
      <c r="I119" s="207">
        <v>70</v>
      </c>
      <c r="J119" s="188">
        <v>-3.4</v>
      </c>
      <c r="K119" s="189" t="s">
        <v>89</v>
      </c>
      <c r="L119" s="206">
        <f t="shared" si="23"/>
        <v>0</v>
      </c>
      <c r="O119" s="187"/>
      <c r="P119" s="177"/>
    </row>
    <row r="120" spans="1:16" ht="13" x14ac:dyDescent="0.3">
      <c r="A120" s="1954"/>
      <c r="C120" s="207">
        <v>37</v>
      </c>
      <c r="D120" s="188">
        <v>0.5</v>
      </c>
      <c r="E120" s="189" t="s">
        <v>89</v>
      </c>
      <c r="F120" s="206">
        <f t="shared" si="22"/>
        <v>0</v>
      </c>
      <c r="H120" s="192"/>
      <c r="I120" s="207">
        <v>80</v>
      </c>
      <c r="J120" s="188">
        <v>-1.4</v>
      </c>
      <c r="K120" s="189" t="s">
        <v>89</v>
      </c>
      <c r="L120" s="206">
        <f t="shared" si="23"/>
        <v>0</v>
      </c>
      <c r="O120" s="187"/>
      <c r="P120" s="177"/>
    </row>
    <row r="121" spans="1:16" ht="13.5" thickBot="1" x14ac:dyDescent="0.35">
      <c r="A121" s="1955"/>
      <c r="B121" s="190"/>
      <c r="C121" s="208">
        <v>40</v>
      </c>
      <c r="D121" s="209">
        <v>0.5</v>
      </c>
      <c r="E121" s="212" t="s">
        <v>89</v>
      </c>
      <c r="F121" s="210">
        <f t="shared" si="22"/>
        <v>0</v>
      </c>
      <c r="G121" s="190"/>
      <c r="H121" s="211"/>
      <c r="I121" s="208">
        <v>90</v>
      </c>
      <c r="J121" s="209">
        <v>1.3</v>
      </c>
      <c r="K121" s="212" t="s">
        <v>89</v>
      </c>
      <c r="L121" s="210">
        <f t="shared" si="23"/>
        <v>0</v>
      </c>
      <c r="M121" s="190"/>
      <c r="N121" s="190"/>
      <c r="O121" s="191"/>
      <c r="P121" s="177"/>
    </row>
    <row r="122" spans="1:16" ht="13.5" thickBot="1" x14ac:dyDescent="0.35">
      <c r="A122" s="213"/>
      <c r="B122" s="214"/>
      <c r="C122" s="214"/>
      <c r="D122" s="214"/>
      <c r="E122" s="215"/>
      <c r="F122" s="224"/>
      <c r="G122" s="217"/>
      <c r="H122" s="214"/>
      <c r="I122" s="214"/>
      <c r="J122" s="214"/>
      <c r="K122" s="215"/>
      <c r="L122" s="224"/>
      <c r="O122" s="187"/>
      <c r="P122" s="177"/>
    </row>
    <row r="123" spans="1:16" ht="13.5" thickBot="1" x14ac:dyDescent="0.35">
      <c r="A123" s="1953">
        <v>12</v>
      </c>
      <c r="B123" s="1956" t="s">
        <v>324</v>
      </c>
      <c r="C123" s="1957"/>
      <c r="D123" s="1957"/>
      <c r="E123" s="1957"/>
      <c r="F123" s="1958"/>
      <c r="G123" s="179"/>
      <c r="H123" s="1956" t="str">
        <f>B123</f>
        <v>KOREKSI EXTECH A.100611</v>
      </c>
      <c r="I123" s="1957"/>
      <c r="J123" s="1957"/>
      <c r="K123" s="1957"/>
      <c r="L123" s="1958"/>
      <c r="M123" s="179"/>
      <c r="N123" s="1941" t="s">
        <v>90</v>
      </c>
      <c r="O123" s="1942"/>
      <c r="P123" s="177"/>
    </row>
    <row r="124" spans="1:16" ht="13.5" thickBot="1" x14ac:dyDescent="0.35">
      <c r="A124" s="1954"/>
      <c r="B124" s="1943" t="s">
        <v>311</v>
      </c>
      <c r="C124" s="1944"/>
      <c r="D124" s="1945" t="s">
        <v>88</v>
      </c>
      <c r="E124" s="1946"/>
      <c r="F124" s="1947" t="s">
        <v>86</v>
      </c>
      <c r="H124" s="1943" t="s">
        <v>312</v>
      </c>
      <c r="I124" s="1944"/>
      <c r="J124" s="1945" t="s">
        <v>88</v>
      </c>
      <c r="K124" s="1946"/>
      <c r="L124" s="1947" t="s">
        <v>86</v>
      </c>
      <c r="N124" s="196" t="s">
        <v>311</v>
      </c>
      <c r="O124" s="219">
        <v>0.3</v>
      </c>
      <c r="P124" s="177"/>
    </row>
    <row r="125" spans="1:16" ht="15" thickBot="1" x14ac:dyDescent="0.35">
      <c r="A125" s="1954"/>
      <c r="B125" s="1949" t="s">
        <v>313</v>
      </c>
      <c r="C125" s="1950"/>
      <c r="D125" s="198">
        <v>2020</v>
      </c>
      <c r="E125" s="225" t="s">
        <v>89</v>
      </c>
      <c r="F125" s="1948"/>
      <c r="H125" s="1951" t="s">
        <v>16</v>
      </c>
      <c r="I125" s="1952"/>
      <c r="J125" s="199">
        <f>D125</f>
        <v>2020</v>
      </c>
      <c r="K125" s="199" t="str">
        <f>E125</f>
        <v>-</v>
      </c>
      <c r="L125" s="1948"/>
      <c r="N125" s="200" t="s">
        <v>16</v>
      </c>
      <c r="O125" s="218">
        <v>2.7</v>
      </c>
      <c r="P125" s="177"/>
    </row>
    <row r="126" spans="1:16" ht="13" x14ac:dyDescent="0.3">
      <c r="A126" s="1954"/>
      <c r="C126" s="202">
        <v>15</v>
      </c>
      <c r="D126" s="203">
        <v>-0.6</v>
      </c>
      <c r="E126" s="226" t="s">
        <v>89</v>
      </c>
      <c r="F126" s="204">
        <f t="shared" ref="F126:F132" si="24">0.5*(MAX(D126:E126)-MIN(D126:E126))</f>
        <v>0</v>
      </c>
      <c r="H126" s="192"/>
      <c r="I126" s="202">
        <v>35</v>
      </c>
      <c r="J126" s="203">
        <v>-0.4</v>
      </c>
      <c r="K126" s="226" t="s">
        <v>89</v>
      </c>
      <c r="L126" s="204">
        <f t="shared" ref="L126:L132" si="25">0.5*(MAX(J126:K126)-MIN(J126:K126))</f>
        <v>0</v>
      </c>
      <c r="O126" s="187"/>
      <c r="P126" s="177"/>
    </row>
    <row r="127" spans="1:16" ht="13" x14ac:dyDescent="0.3">
      <c r="A127" s="1954"/>
      <c r="C127" s="205">
        <v>20</v>
      </c>
      <c r="D127" s="185">
        <v>-0.5</v>
      </c>
      <c r="E127" s="227" t="s">
        <v>89</v>
      </c>
      <c r="F127" s="206">
        <f t="shared" si="24"/>
        <v>0</v>
      </c>
      <c r="H127" s="192"/>
      <c r="I127" s="205">
        <v>40</v>
      </c>
      <c r="J127" s="185">
        <v>-0.3</v>
      </c>
      <c r="K127" s="227" t="s">
        <v>89</v>
      </c>
      <c r="L127" s="206">
        <f t="shared" si="25"/>
        <v>0</v>
      </c>
      <c r="O127" s="187"/>
      <c r="P127" s="177"/>
    </row>
    <row r="128" spans="1:16" ht="13" x14ac:dyDescent="0.3">
      <c r="A128" s="1954"/>
      <c r="C128" s="205">
        <v>25</v>
      </c>
      <c r="D128" s="185">
        <v>-0.4</v>
      </c>
      <c r="E128" s="227" t="s">
        <v>89</v>
      </c>
      <c r="F128" s="206">
        <f t="shared" si="24"/>
        <v>0</v>
      </c>
      <c r="H128" s="192"/>
      <c r="I128" s="205">
        <v>50</v>
      </c>
      <c r="J128" s="185">
        <v>-0.3</v>
      </c>
      <c r="K128" s="227" t="s">
        <v>89</v>
      </c>
      <c r="L128" s="206">
        <f t="shared" si="25"/>
        <v>0</v>
      </c>
      <c r="O128" s="187"/>
      <c r="P128" s="177"/>
    </row>
    <row r="129" spans="1:16" ht="13" x14ac:dyDescent="0.3">
      <c r="A129" s="1954"/>
      <c r="C129" s="207">
        <v>30</v>
      </c>
      <c r="D129" s="188">
        <v>-0.2</v>
      </c>
      <c r="E129" s="189" t="s">
        <v>89</v>
      </c>
      <c r="F129" s="206">
        <f t="shared" si="24"/>
        <v>0</v>
      </c>
      <c r="H129" s="192"/>
      <c r="I129" s="207">
        <v>60</v>
      </c>
      <c r="J129" s="188">
        <v>-0.5</v>
      </c>
      <c r="K129" s="189" t="s">
        <v>89</v>
      </c>
      <c r="L129" s="206">
        <f t="shared" si="25"/>
        <v>0</v>
      </c>
      <c r="O129" s="187"/>
      <c r="P129" s="177"/>
    </row>
    <row r="130" spans="1:16" ht="13" x14ac:dyDescent="0.3">
      <c r="A130" s="1954"/>
      <c r="C130" s="207">
        <v>35</v>
      </c>
      <c r="D130" s="188">
        <v>-0.1</v>
      </c>
      <c r="E130" s="189" t="s">
        <v>89</v>
      </c>
      <c r="F130" s="206">
        <f t="shared" si="24"/>
        <v>0</v>
      </c>
      <c r="H130" s="192"/>
      <c r="I130" s="207">
        <v>70</v>
      </c>
      <c r="J130" s="188">
        <v>-0.8</v>
      </c>
      <c r="K130" s="189" t="s">
        <v>89</v>
      </c>
      <c r="L130" s="206">
        <f t="shared" si="25"/>
        <v>0</v>
      </c>
      <c r="O130" s="187"/>
      <c r="P130" s="177"/>
    </row>
    <row r="131" spans="1:16" ht="13" x14ac:dyDescent="0.3">
      <c r="A131" s="1954"/>
      <c r="C131" s="207">
        <v>37</v>
      </c>
      <c r="D131" s="188">
        <v>-0.1</v>
      </c>
      <c r="E131" s="189" t="s">
        <v>89</v>
      </c>
      <c r="F131" s="206">
        <f t="shared" si="24"/>
        <v>0</v>
      </c>
      <c r="H131" s="192"/>
      <c r="I131" s="207">
        <v>80</v>
      </c>
      <c r="J131" s="188">
        <v>-1.3</v>
      </c>
      <c r="K131" s="189" t="s">
        <v>89</v>
      </c>
      <c r="L131" s="206">
        <f t="shared" si="25"/>
        <v>0</v>
      </c>
      <c r="O131" s="187"/>
      <c r="P131" s="177"/>
    </row>
    <row r="132" spans="1:16" ht="13.5" thickBot="1" x14ac:dyDescent="0.35">
      <c r="A132" s="1955"/>
      <c r="B132" s="190"/>
      <c r="C132" s="208">
        <v>40</v>
      </c>
      <c r="D132" s="209">
        <v>9.9999999999999995E-7</v>
      </c>
      <c r="E132" s="212" t="s">
        <v>89</v>
      </c>
      <c r="F132" s="210">
        <f t="shared" si="24"/>
        <v>0</v>
      </c>
      <c r="G132" s="190"/>
      <c r="H132" s="211"/>
      <c r="I132" s="208">
        <v>90</v>
      </c>
      <c r="J132" s="209">
        <v>-2</v>
      </c>
      <c r="K132" s="212" t="s">
        <v>89</v>
      </c>
      <c r="L132" s="210">
        <f t="shared" si="25"/>
        <v>0</v>
      </c>
      <c r="M132" s="190"/>
      <c r="N132" s="190"/>
      <c r="O132" s="191"/>
      <c r="P132" s="177"/>
    </row>
    <row r="133" spans="1:16" ht="13.5" thickBot="1" x14ac:dyDescent="0.35">
      <c r="A133" s="213"/>
      <c r="B133" s="214"/>
      <c r="C133" s="214"/>
      <c r="D133" s="214"/>
      <c r="E133" s="215"/>
      <c r="F133" s="224"/>
      <c r="G133" s="217"/>
      <c r="H133" s="214"/>
      <c r="I133" s="214"/>
      <c r="J133" s="214"/>
      <c r="K133" s="215"/>
      <c r="L133" s="224"/>
      <c r="O133" s="187"/>
      <c r="P133" s="177"/>
    </row>
    <row r="134" spans="1:16" ht="13.5" thickBot="1" x14ac:dyDescent="0.35">
      <c r="A134" s="1953">
        <v>13</v>
      </c>
      <c r="B134" s="1956" t="s">
        <v>325</v>
      </c>
      <c r="C134" s="1957"/>
      <c r="D134" s="1957"/>
      <c r="E134" s="1957"/>
      <c r="F134" s="1958"/>
      <c r="G134" s="179"/>
      <c r="H134" s="1956" t="str">
        <f>B134</f>
        <v>KOREKSI EXTECH A.100609</v>
      </c>
      <c r="I134" s="1957"/>
      <c r="J134" s="1957"/>
      <c r="K134" s="1957"/>
      <c r="L134" s="1958"/>
      <c r="M134" s="179"/>
      <c r="N134" s="1941" t="s">
        <v>90</v>
      </c>
      <c r="O134" s="1942"/>
      <c r="P134" s="177"/>
    </row>
    <row r="135" spans="1:16" ht="13.5" thickBot="1" x14ac:dyDescent="0.35">
      <c r="A135" s="1954"/>
      <c r="B135" s="1943" t="s">
        <v>311</v>
      </c>
      <c r="C135" s="1944"/>
      <c r="D135" s="1945" t="s">
        <v>88</v>
      </c>
      <c r="E135" s="1946"/>
      <c r="F135" s="1947" t="s">
        <v>86</v>
      </c>
      <c r="H135" s="1943" t="s">
        <v>312</v>
      </c>
      <c r="I135" s="1944"/>
      <c r="J135" s="1945" t="s">
        <v>88</v>
      </c>
      <c r="K135" s="1946"/>
      <c r="L135" s="1947" t="s">
        <v>86</v>
      </c>
      <c r="N135" s="196" t="s">
        <v>311</v>
      </c>
      <c r="O135" s="219">
        <v>0.4</v>
      </c>
      <c r="P135" s="177"/>
    </row>
    <row r="136" spans="1:16" ht="15" thickBot="1" x14ac:dyDescent="0.35">
      <c r="A136" s="1954"/>
      <c r="B136" s="1949" t="s">
        <v>313</v>
      </c>
      <c r="C136" s="1950"/>
      <c r="D136" s="198">
        <v>2020</v>
      </c>
      <c r="E136" s="225" t="s">
        <v>89</v>
      </c>
      <c r="F136" s="1948"/>
      <c r="H136" s="1951" t="s">
        <v>16</v>
      </c>
      <c r="I136" s="1952"/>
      <c r="J136" s="199">
        <f>D136</f>
        <v>2020</v>
      </c>
      <c r="K136" s="199" t="str">
        <f>E136</f>
        <v>-</v>
      </c>
      <c r="L136" s="1948"/>
      <c r="N136" s="200" t="s">
        <v>16</v>
      </c>
      <c r="O136" s="218">
        <v>2.2000000000000002</v>
      </c>
      <c r="P136" s="177"/>
    </row>
    <row r="137" spans="1:16" ht="13" x14ac:dyDescent="0.3">
      <c r="A137" s="1954"/>
      <c r="C137" s="202">
        <v>15</v>
      </c>
      <c r="D137" s="203">
        <v>-0.2</v>
      </c>
      <c r="E137" s="226" t="s">
        <v>89</v>
      </c>
      <c r="F137" s="204">
        <f t="shared" ref="F137:F143" si="26">0.5*(MAX(D137:E137)-MIN(D137:E137))</f>
        <v>0</v>
      </c>
      <c r="H137" s="192"/>
      <c r="I137" s="202">
        <v>35</v>
      </c>
      <c r="J137" s="203">
        <v>0.6</v>
      </c>
      <c r="K137" s="226" t="s">
        <v>89</v>
      </c>
      <c r="L137" s="204">
        <f t="shared" ref="L137:L143" si="27">0.5*(MAX(J137:K137)-MIN(J137:K137))</f>
        <v>0</v>
      </c>
      <c r="O137" s="187"/>
      <c r="P137" s="177"/>
    </row>
    <row r="138" spans="1:16" ht="13" x14ac:dyDescent="0.3">
      <c r="A138" s="1954"/>
      <c r="C138" s="205">
        <v>20</v>
      </c>
      <c r="D138" s="185">
        <v>-0.1</v>
      </c>
      <c r="E138" s="227" t="s">
        <v>89</v>
      </c>
      <c r="F138" s="206">
        <f t="shared" si="26"/>
        <v>0</v>
      </c>
      <c r="H138" s="192"/>
      <c r="I138" s="205">
        <v>40</v>
      </c>
      <c r="J138" s="185">
        <v>0.3</v>
      </c>
      <c r="K138" s="227" t="s">
        <v>89</v>
      </c>
      <c r="L138" s="206">
        <f t="shared" si="27"/>
        <v>0</v>
      </c>
      <c r="O138" s="187"/>
      <c r="P138" s="177"/>
    </row>
    <row r="139" spans="1:16" ht="13" x14ac:dyDescent="0.3">
      <c r="A139" s="1954"/>
      <c r="C139" s="205">
        <v>25</v>
      </c>
      <c r="D139" s="185">
        <v>-0.1</v>
      </c>
      <c r="E139" s="227" t="s">
        <v>89</v>
      </c>
      <c r="F139" s="206">
        <f t="shared" si="26"/>
        <v>0</v>
      </c>
      <c r="H139" s="192"/>
      <c r="I139" s="205">
        <v>50</v>
      </c>
      <c r="J139" s="185">
        <v>-0.2</v>
      </c>
      <c r="K139" s="227" t="s">
        <v>89</v>
      </c>
      <c r="L139" s="206">
        <f t="shared" si="27"/>
        <v>0</v>
      </c>
      <c r="O139" s="187"/>
      <c r="P139" s="177"/>
    </row>
    <row r="140" spans="1:16" ht="13" x14ac:dyDescent="0.3">
      <c r="A140" s="1954"/>
      <c r="C140" s="207">
        <v>30</v>
      </c>
      <c r="D140" s="188">
        <v>-0.3</v>
      </c>
      <c r="E140" s="189" t="s">
        <v>89</v>
      </c>
      <c r="F140" s="206">
        <f t="shared" si="26"/>
        <v>0</v>
      </c>
      <c r="H140" s="192"/>
      <c r="I140" s="207">
        <v>60</v>
      </c>
      <c r="J140" s="188">
        <v>-0.6</v>
      </c>
      <c r="K140" s="189" t="s">
        <v>89</v>
      </c>
      <c r="L140" s="206">
        <f t="shared" si="27"/>
        <v>0</v>
      </c>
      <c r="O140" s="187"/>
      <c r="P140" s="177"/>
    </row>
    <row r="141" spans="1:16" ht="13" x14ac:dyDescent="0.3">
      <c r="A141" s="1954"/>
      <c r="C141" s="207">
        <v>35</v>
      </c>
      <c r="D141" s="188">
        <v>-0.6</v>
      </c>
      <c r="E141" s="189" t="s">
        <v>89</v>
      </c>
      <c r="F141" s="206">
        <f t="shared" si="26"/>
        <v>0</v>
      </c>
      <c r="H141" s="192"/>
      <c r="I141" s="207">
        <v>70</v>
      </c>
      <c r="J141" s="188">
        <v>-0.8</v>
      </c>
      <c r="K141" s="189" t="s">
        <v>89</v>
      </c>
      <c r="L141" s="206">
        <f t="shared" si="27"/>
        <v>0</v>
      </c>
      <c r="O141" s="187"/>
      <c r="P141" s="177"/>
    </row>
    <row r="142" spans="1:16" ht="13" x14ac:dyDescent="0.3">
      <c r="A142" s="1954"/>
      <c r="C142" s="207">
        <v>37</v>
      </c>
      <c r="D142" s="188">
        <v>-0.8</v>
      </c>
      <c r="E142" s="189" t="s">
        <v>89</v>
      </c>
      <c r="F142" s="206">
        <f t="shared" si="26"/>
        <v>0</v>
      </c>
      <c r="H142" s="192"/>
      <c r="I142" s="207">
        <v>80</v>
      </c>
      <c r="J142" s="188">
        <v>-0.9</v>
      </c>
      <c r="K142" s="189" t="s">
        <v>89</v>
      </c>
      <c r="L142" s="206">
        <f t="shared" si="27"/>
        <v>0</v>
      </c>
      <c r="O142" s="187"/>
      <c r="P142" s="177"/>
    </row>
    <row r="143" spans="1:16" ht="13.5" thickBot="1" x14ac:dyDescent="0.35">
      <c r="A143" s="1955"/>
      <c r="B143" s="190"/>
      <c r="C143" s="208">
        <v>40</v>
      </c>
      <c r="D143" s="209">
        <v>-1.1000000000000001</v>
      </c>
      <c r="E143" s="212" t="s">
        <v>89</v>
      </c>
      <c r="F143" s="210">
        <f t="shared" si="26"/>
        <v>0</v>
      </c>
      <c r="G143" s="190"/>
      <c r="H143" s="211"/>
      <c r="I143" s="208">
        <v>90</v>
      </c>
      <c r="J143" s="209">
        <v>-0.8</v>
      </c>
      <c r="K143" s="212" t="s">
        <v>89</v>
      </c>
      <c r="L143" s="210">
        <f t="shared" si="27"/>
        <v>0</v>
      </c>
      <c r="M143" s="190"/>
      <c r="N143" s="190"/>
      <c r="O143" s="191"/>
      <c r="P143" s="177"/>
    </row>
    <row r="144" spans="1:16" ht="13.5" thickBot="1" x14ac:dyDescent="0.35">
      <c r="A144" s="213"/>
      <c r="B144" s="214"/>
      <c r="C144" s="214"/>
      <c r="D144" s="214"/>
      <c r="E144" s="215"/>
      <c r="F144" s="224"/>
      <c r="G144" s="217"/>
      <c r="H144" s="214"/>
      <c r="I144" s="214"/>
      <c r="J144" s="214"/>
      <c r="K144" s="215"/>
      <c r="L144" s="224"/>
      <c r="O144" s="187"/>
      <c r="P144" s="177"/>
    </row>
    <row r="145" spans="1:16" ht="13.5" thickBot="1" x14ac:dyDescent="0.35">
      <c r="A145" s="1953">
        <v>14</v>
      </c>
      <c r="B145" s="1956" t="s">
        <v>326</v>
      </c>
      <c r="C145" s="1957"/>
      <c r="D145" s="1957"/>
      <c r="E145" s="1957"/>
      <c r="F145" s="1958"/>
      <c r="G145" s="179"/>
      <c r="H145" s="1956" t="str">
        <f>B145</f>
        <v>KOREKSI EXTECH A.100605</v>
      </c>
      <c r="I145" s="1957"/>
      <c r="J145" s="1957"/>
      <c r="K145" s="1957"/>
      <c r="L145" s="1958"/>
      <c r="M145" s="179"/>
      <c r="N145" s="1941" t="s">
        <v>90</v>
      </c>
      <c r="O145" s="1942"/>
      <c r="P145" s="177"/>
    </row>
    <row r="146" spans="1:16" ht="13.5" thickBot="1" x14ac:dyDescent="0.35">
      <c r="A146" s="1954"/>
      <c r="B146" s="1943" t="s">
        <v>311</v>
      </c>
      <c r="C146" s="1944"/>
      <c r="D146" s="1945" t="s">
        <v>88</v>
      </c>
      <c r="E146" s="1946"/>
      <c r="F146" s="1947" t="s">
        <v>86</v>
      </c>
      <c r="H146" s="1943" t="s">
        <v>312</v>
      </c>
      <c r="I146" s="1944"/>
      <c r="J146" s="1945" t="s">
        <v>88</v>
      </c>
      <c r="K146" s="1946"/>
      <c r="L146" s="1947" t="s">
        <v>86</v>
      </c>
      <c r="N146" s="196" t="s">
        <v>311</v>
      </c>
      <c r="O146" s="219">
        <v>0.3</v>
      </c>
      <c r="P146" s="177"/>
    </row>
    <row r="147" spans="1:16" ht="15" thickBot="1" x14ac:dyDescent="0.35">
      <c r="A147" s="1954"/>
      <c r="B147" s="1949" t="s">
        <v>313</v>
      </c>
      <c r="C147" s="1950"/>
      <c r="D147" s="198">
        <v>2020</v>
      </c>
      <c r="E147" s="225" t="s">
        <v>89</v>
      </c>
      <c r="F147" s="1948"/>
      <c r="H147" s="1951" t="s">
        <v>16</v>
      </c>
      <c r="I147" s="1952"/>
      <c r="J147" s="199">
        <f>D147</f>
        <v>2020</v>
      </c>
      <c r="K147" s="199" t="str">
        <f>E147</f>
        <v>-</v>
      </c>
      <c r="L147" s="1948"/>
      <c r="N147" s="200" t="s">
        <v>16</v>
      </c>
      <c r="O147" s="218">
        <v>2.7</v>
      </c>
      <c r="P147" s="177"/>
    </row>
    <row r="148" spans="1:16" ht="13" x14ac:dyDescent="0.3">
      <c r="A148" s="1954"/>
      <c r="C148" s="202">
        <v>15</v>
      </c>
      <c r="D148" s="203">
        <v>-0.7</v>
      </c>
      <c r="E148" s="226" t="s">
        <v>89</v>
      </c>
      <c r="F148" s="204">
        <f t="shared" ref="F148:F154" si="28">0.5*(MAX(D148:E148)-MIN(D148:E148))</f>
        <v>0</v>
      </c>
      <c r="H148" s="192"/>
      <c r="I148" s="202">
        <v>35</v>
      </c>
      <c r="J148" s="203">
        <v>-1.4</v>
      </c>
      <c r="K148" s="226" t="s">
        <v>89</v>
      </c>
      <c r="L148" s="204">
        <f t="shared" ref="L148:L154" si="29">0.5*(MAX(J148:K148)-MIN(J148:K148))</f>
        <v>0</v>
      </c>
      <c r="O148" s="187"/>
      <c r="P148" s="177"/>
    </row>
    <row r="149" spans="1:16" ht="13" x14ac:dyDescent="0.3">
      <c r="A149" s="1954"/>
      <c r="C149" s="205">
        <v>20</v>
      </c>
      <c r="D149" s="185">
        <v>-0.4</v>
      </c>
      <c r="E149" s="227" t="s">
        <v>89</v>
      </c>
      <c r="F149" s="206">
        <f t="shared" si="28"/>
        <v>0</v>
      </c>
      <c r="H149" s="192"/>
      <c r="I149" s="205">
        <v>40</v>
      </c>
      <c r="J149" s="185">
        <v>-1.3</v>
      </c>
      <c r="K149" s="227" t="s">
        <v>89</v>
      </c>
      <c r="L149" s="206">
        <f t="shared" si="29"/>
        <v>0</v>
      </c>
      <c r="O149" s="187"/>
      <c r="P149" s="177"/>
    </row>
    <row r="150" spans="1:16" ht="13" x14ac:dyDescent="0.3">
      <c r="A150" s="1954"/>
      <c r="C150" s="205">
        <v>25</v>
      </c>
      <c r="D150" s="185">
        <v>-0.2</v>
      </c>
      <c r="E150" s="227" t="s">
        <v>89</v>
      </c>
      <c r="F150" s="206">
        <f t="shared" si="28"/>
        <v>0</v>
      </c>
      <c r="H150" s="192"/>
      <c r="I150" s="205">
        <v>50</v>
      </c>
      <c r="J150" s="185">
        <v>-1.3</v>
      </c>
      <c r="K150" s="227" t="s">
        <v>89</v>
      </c>
      <c r="L150" s="206">
        <f t="shared" si="29"/>
        <v>0</v>
      </c>
      <c r="O150" s="187"/>
      <c r="P150" s="177"/>
    </row>
    <row r="151" spans="1:16" ht="13" x14ac:dyDescent="0.3">
      <c r="A151" s="1954"/>
      <c r="C151" s="207">
        <v>30</v>
      </c>
      <c r="D151" s="188">
        <v>0.1</v>
      </c>
      <c r="E151" s="189" t="s">
        <v>89</v>
      </c>
      <c r="F151" s="206">
        <f t="shared" si="28"/>
        <v>0</v>
      </c>
      <c r="H151" s="192"/>
      <c r="I151" s="207">
        <v>60</v>
      </c>
      <c r="J151" s="188">
        <v>-1.5</v>
      </c>
      <c r="K151" s="189" t="s">
        <v>89</v>
      </c>
      <c r="L151" s="206">
        <f t="shared" si="29"/>
        <v>0</v>
      </c>
      <c r="O151" s="187"/>
      <c r="P151" s="177"/>
    </row>
    <row r="152" spans="1:16" ht="13" x14ac:dyDescent="0.3">
      <c r="A152" s="1954"/>
      <c r="C152" s="207">
        <v>35</v>
      </c>
      <c r="D152" s="188">
        <v>0.3</v>
      </c>
      <c r="E152" s="189" t="s">
        <v>89</v>
      </c>
      <c r="F152" s="206">
        <f t="shared" si="28"/>
        <v>0</v>
      </c>
      <c r="H152" s="192"/>
      <c r="I152" s="207">
        <v>70</v>
      </c>
      <c r="J152" s="188">
        <v>-1.9</v>
      </c>
      <c r="K152" s="189" t="s">
        <v>89</v>
      </c>
      <c r="L152" s="206">
        <f t="shared" si="29"/>
        <v>0</v>
      </c>
      <c r="O152" s="187"/>
      <c r="P152" s="177"/>
    </row>
    <row r="153" spans="1:16" ht="13" x14ac:dyDescent="0.3">
      <c r="A153" s="1954"/>
      <c r="C153" s="207">
        <v>37</v>
      </c>
      <c r="D153" s="188">
        <v>0.4</v>
      </c>
      <c r="E153" s="189" t="s">
        <v>89</v>
      </c>
      <c r="F153" s="206">
        <f t="shared" si="28"/>
        <v>0</v>
      </c>
      <c r="H153" s="192"/>
      <c r="I153" s="207">
        <v>80</v>
      </c>
      <c r="J153" s="188">
        <v>-2.5</v>
      </c>
      <c r="K153" s="189" t="s">
        <v>89</v>
      </c>
      <c r="L153" s="206">
        <f t="shared" si="29"/>
        <v>0</v>
      </c>
      <c r="O153" s="187"/>
      <c r="P153" s="177"/>
    </row>
    <row r="154" spans="1:16" ht="13.5" thickBot="1" x14ac:dyDescent="0.35">
      <c r="A154" s="1955"/>
      <c r="B154" s="190"/>
      <c r="C154" s="208">
        <v>40</v>
      </c>
      <c r="D154" s="209">
        <v>0.5</v>
      </c>
      <c r="E154" s="212" t="s">
        <v>89</v>
      </c>
      <c r="F154" s="210">
        <f t="shared" si="28"/>
        <v>0</v>
      </c>
      <c r="G154" s="190"/>
      <c r="H154" s="211"/>
      <c r="I154" s="208">
        <v>90</v>
      </c>
      <c r="J154" s="209">
        <v>-3.2</v>
      </c>
      <c r="K154" s="212" t="s">
        <v>89</v>
      </c>
      <c r="L154" s="210">
        <f t="shared" si="29"/>
        <v>0</v>
      </c>
      <c r="M154" s="190"/>
      <c r="N154" s="190"/>
      <c r="O154" s="191"/>
      <c r="P154" s="177"/>
    </row>
    <row r="155" spans="1:16" ht="13.5" thickBot="1" x14ac:dyDescent="0.35">
      <c r="A155" s="213"/>
      <c r="B155" s="214"/>
      <c r="C155" s="214"/>
      <c r="D155" s="214"/>
      <c r="E155" s="215"/>
      <c r="F155" s="224"/>
      <c r="G155" s="217"/>
      <c r="H155" s="214"/>
      <c r="I155" s="214"/>
      <c r="J155" s="214"/>
      <c r="K155" s="215"/>
      <c r="L155" s="224"/>
      <c r="O155" s="187"/>
      <c r="P155" s="177"/>
    </row>
    <row r="156" spans="1:16" ht="13.5" thickBot="1" x14ac:dyDescent="0.35">
      <c r="A156" s="1953">
        <v>15</v>
      </c>
      <c r="B156" s="1956" t="s">
        <v>327</v>
      </c>
      <c r="C156" s="1957"/>
      <c r="D156" s="1957"/>
      <c r="E156" s="1957"/>
      <c r="F156" s="1958"/>
      <c r="G156" s="179"/>
      <c r="H156" s="1956" t="str">
        <f>B156</f>
        <v>KOREKSI EXTECH A.100617</v>
      </c>
      <c r="I156" s="1957"/>
      <c r="J156" s="1957"/>
      <c r="K156" s="1957"/>
      <c r="L156" s="1958"/>
      <c r="M156" s="179"/>
      <c r="N156" s="1941" t="s">
        <v>90</v>
      </c>
      <c r="O156" s="1942"/>
      <c r="P156" s="177"/>
    </row>
    <row r="157" spans="1:16" ht="13.5" thickBot="1" x14ac:dyDescent="0.35">
      <c r="A157" s="1954"/>
      <c r="B157" s="1943" t="s">
        <v>311</v>
      </c>
      <c r="C157" s="1944"/>
      <c r="D157" s="1945" t="s">
        <v>88</v>
      </c>
      <c r="E157" s="1946"/>
      <c r="F157" s="1947" t="s">
        <v>86</v>
      </c>
      <c r="H157" s="1943" t="s">
        <v>312</v>
      </c>
      <c r="I157" s="1944"/>
      <c r="J157" s="1945" t="s">
        <v>88</v>
      </c>
      <c r="K157" s="1946"/>
      <c r="L157" s="1947" t="s">
        <v>86</v>
      </c>
      <c r="N157" s="196" t="s">
        <v>311</v>
      </c>
      <c r="O157" s="219">
        <v>0.3</v>
      </c>
      <c r="P157" s="177"/>
    </row>
    <row r="158" spans="1:16" ht="15" thickBot="1" x14ac:dyDescent="0.35">
      <c r="A158" s="1954"/>
      <c r="B158" s="1949" t="s">
        <v>313</v>
      </c>
      <c r="C158" s="1950"/>
      <c r="D158" s="198">
        <v>2020</v>
      </c>
      <c r="E158" s="225" t="s">
        <v>89</v>
      </c>
      <c r="F158" s="1948"/>
      <c r="H158" s="1951" t="s">
        <v>16</v>
      </c>
      <c r="I158" s="1952"/>
      <c r="J158" s="199">
        <f>D158</f>
        <v>2020</v>
      </c>
      <c r="K158" s="199" t="str">
        <f>E158</f>
        <v>-</v>
      </c>
      <c r="L158" s="1948"/>
      <c r="N158" s="200" t="s">
        <v>16</v>
      </c>
      <c r="O158" s="218">
        <v>2.8</v>
      </c>
      <c r="P158" s="177"/>
    </row>
    <row r="159" spans="1:16" ht="13" x14ac:dyDescent="0.3">
      <c r="A159" s="1954"/>
      <c r="C159" s="202">
        <v>15</v>
      </c>
      <c r="D159" s="203">
        <v>0.1</v>
      </c>
      <c r="E159" s="226" t="s">
        <v>89</v>
      </c>
      <c r="F159" s="204">
        <f t="shared" ref="F159:F165" si="30">0.5*(MAX(D159:E159)-MIN(D159:E159))</f>
        <v>0</v>
      </c>
      <c r="H159" s="192"/>
      <c r="I159" s="202">
        <v>30</v>
      </c>
      <c r="J159" s="203">
        <v>0.1</v>
      </c>
      <c r="K159" s="226" t="s">
        <v>89</v>
      </c>
      <c r="L159" s="204">
        <f t="shared" ref="L159:L165" si="31">0.5*(MAX(J159:K159)-MIN(J159:K159))</f>
        <v>0</v>
      </c>
      <c r="O159" s="187"/>
      <c r="P159" s="177"/>
    </row>
    <row r="160" spans="1:16" ht="13" x14ac:dyDescent="0.3">
      <c r="A160" s="1954"/>
      <c r="C160" s="205">
        <v>20</v>
      </c>
      <c r="D160" s="185">
        <v>0.1</v>
      </c>
      <c r="E160" s="227" t="s">
        <v>89</v>
      </c>
      <c r="F160" s="206">
        <f t="shared" si="30"/>
        <v>0</v>
      </c>
      <c r="H160" s="192"/>
      <c r="I160" s="205">
        <v>40</v>
      </c>
      <c r="J160" s="185">
        <v>0.2</v>
      </c>
      <c r="K160" s="227" t="s">
        <v>89</v>
      </c>
      <c r="L160" s="206">
        <f t="shared" si="31"/>
        <v>0</v>
      </c>
      <c r="O160" s="187"/>
      <c r="P160" s="177"/>
    </row>
    <row r="161" spans="1:16" ht="13" x14ac:dyDescent="0.3">
      <c r="A161" s="1954"/>
      <c r="C161" s="205">
        <v>25</v>
      </c>
      <c r="D161" s="185">
        <v>9.9999999999999995E-7</v>
      </c>
      <c r="E161" s="227" t="s">
        <v>89</v>
      </c>
      <c r="F161" s="206">
        <f t="shared" si="30"/>
        <v>0</v>
      </c>
      <c r="H161" s="192"/>
      <c r="I161" s="205">
        <v>50</v>
      </c>
      <c r="J161" s="185">
        <v>0.2</v>
      </c>
      <c r="K161" s="227" t="s">
        <v>89</v>
      </c>
      <c r="L161" s="206">
        <f t="shared" si="31"/>
        <v>0</v>
      </c>
      <c r="O161" s="187"/>
      <c r="P161" s="177"/>
    </row>
    <row r="162" spans="1:16" ht="13" x14ac:dyDescent="0.3">
      <c r="A162" s="1954"/>
      <c r="C162" s="207">
        <v>30</v>
      </c>
      <c r="D162" s="188">
        <v>-0.2</v>
      </c>
      <c r="E162" s="189" t="s">
        <v>89</v>
      </c>
      <c r="F162" s="206">
        <f t="shared" si="30"/>
        <v>0</v>
      </c>
      <c r="H162" s="192"/>
      <c r="I162" s="207">
        <v>60</v>
      </c>
      <c r="J162" s="188">
        <v>0</v>
      </c>
      <c r="K162" s="189" t="s">
        <v>89</v>
      </c>
      <c r="L162" s="206">
        <f t="shared" si="31"/>
        <v>0</v>
      </c>
      <c r="O162" s="187"/>
      <c r="P162" s="177"/>
    </row>
    <row r="163" spans="1:16" ht="13" x14ac:dyDescent="0.3">
      <c r="A163" s="1954"/>
      <c r="C163" s="207">
        <v>35</v>
      </c>
      <c r="D163" s="188">
        <v>-0.5</v>
      </c>
      <c r="E163" s="189" t="s">
        <v>89</v>
      </c>
      <c r="F163" s="206">
        <f t="shared" si="30"/>
        <v>0</v>
      </c>
      <c r="H163" s="192"/>
      <c r="I163" s="207">
        <v>70</v>
      </c>
      <c r="J163" s="188">
        <v>-0.3</v>
      </c>
      <c r="K163" s="189" t="s">
        <v>89</v>
      </c>
      <c r="L163" s="206">
        <f t="shared" si="31"/>
        <v>0</v>
      </c>
      <c r="O163" s="187"/>
      <c r="P163" s="177"/>
    </row>
    <row r="164" spans="1:16" ht="13" x14ac:dyDescent="0.3">
      <c r="A164" s="1954"/>
      <c r="C164" s="207">
        <v>37</v>
      </c>
      <c r="D164" s="188">
        <v>-0.6</v>
      </c>
      <c r="E164" s="189" t="s">
        <v>89</v>
      </c>
      <c r="F164" s="206">
        <f t="shared" si="30"/>
        <v>0</v>
      </c>
      <c r="H164" s="192"/>
      <c r="I164" s="207">
        <v>80</v>
      </c>
      <c r="J164" s="188">
        <v>-0.8</v>
      </c>
      <c r="K164" s="189" t="s">
        <v>89</v>
      </c>
      <c r="L164" s="206">
        <f t="shared" si="31"/>
        <v>0</v>
      </c>
      <c r="O164" s="187"/>
      <c r="P164" s="177"/>
    </row>
    <row r="165" spans="1:16" ht="13.5" thickBot="1" x14ac:dyDescent="0.35">
      <c r="A165" s="1955"/>
      <c r="B165" s="190"/>
      <c r="C165" s="208">
        <v>40</v>
      </c>
      <c r="D165" s="209">
        <v>-0.8</v>
      </c>
      <c r="E165" s="212" t="s">
        <v>89</v>
      </c>
      <c r="F165" s="210">
        <f t="shared" si="30"/>
        <v>0</v>
      </c>
      <c r="G165" s="190"/>
      <c r="H165" s="211"/>
      <c r="I165" s="208">
        <v>90</v>
      </c>
      <c r="J165" s="209">
        <v>-1.4</v>
      </c>
      <c r="K165" s="212" t="s">
        <v>89</v>
      </c>
      <c r="L165" s="210">
        <f t="shared" si="31"/>
        <v>0</v>
      </c>
      <c r="M165" s="190"/>
      <c r="N165" s="190"/>
      <c r="O165" s="191"/>
      <c r="P165" s="177"/>
    </row>
    <row r="166" spans="1:16" ht="13.5" thickBot="1" x14ac:dyDescent="0.35">
      <c r="A166" s="213"/>
      <c r="B166" s="214"/>
      <c r="C166" s="214"/>
      <c r="D166" s="214"/>
      <c r="E166" s="215"/>
      <c r="F166" s="224"/>
      <c r="G166" s="217"/>
      <c r="H166" s="214"/>
      <c r="I166" s="214"/>
      <c r="J166" s="214"/>
      <c r="K166" s="215"/>
      <c r="L166" s="224"/>
      <c r="O166" s="187"/>
      <c r="P166" s="177"/>
    </row>
    <row r="167" spans="1:16" ht="13.5" thickBot="1" x14ac:dyDescent="0.35">
      <c r="A167" s="1953">
        <v>16</v>
      </c>
      <c r="B167" s="1956" t="s">
        <v>328</v>
      </c>
      <c r="C167" s="1957"/>
      <c r="D167" s="1957"/>
      <c r="E167" s="1957"/>
      <c r="F167" s="1958"/>
      <c r="G167" s="179"/>
      <c r="H167" s="1956" t="str">
        <f>B167</f>
        <v>KOREKSI EXTECH A.100616</v>
      </c>
      <c r="I167" s="1957"/>
      <c r="J167" s="1957"/>
      <c r="K167" s="1957"/>
      <c r="L167" s="1958"/>
      <c r="M167" s="179"/>
      <c r="N167" s="1941" t="s">
        <v>90</v>
      </c>
      <c r="O167" s="1942"/>
      <c r="P167" s="177"/>
    </row>
    <row r="168" spans="1:16" ht="13.5" thickBot="1" x14ac:dyDescent="0.35">
      <c r="A168" s="1954"/>
      <c r="B168" s="1943" t="s">
        <v>311</v>
      </c>
      <c r="C168" s="1944"/>
      <c r="D168" s="1945" t="s">
        <v>88</v>
      </c>
      <c r="E168" s="1946"/>
      <c r="F168" s="1947" t="s">
        <v>86</v>
      </c>
      <c r="H168" s="1943" t="s">
        <v>312</v>
      </c>
      <c r="I168" s="1944"/>
      <c r="J168" s="1945" t="s">
        <v>88</v>
      </c>
      <c r="K168" s="1946"/>
      <c r="L168" s="1947" t="s">
        <v>86</v>
      </c>
      <c r="N168" s="196" t="s">
        <v>311</v>
      </c>
      <c r="O168" s="219">
        <v>0.4</v>
      </c>
      <c r="P168" s="177"/>
    </row>
    <row r="169" spans="1:16" ht="15" thickBot="1" x14ac:dyDescent="0.35">
      <c r="A169" s="1954"/>
      <c r="B169" s="1949" t="s">
        <v>313</v>
      </c>
      <c r="C169" s="1950"/>
      <c r="D169" s="198">
        <v>2020</v>
      </c>
      <c r="E169" s="225" t="s">
        <v>89</v>
      </c>
      <c r="F169" s="1948"/>
      <c r="H169" s="1951" t="s">
        <v>16</v>
      </c>
      <c r="I169" s="1952"/>
      <c r="J169" s="199">
        <f>D169</f>
        <v>2020</v>
      </c>
      <c r="K169" s="199" t="str">
        <f>E169</f>
        <v>-</v>
      </c>
      <c r="L169" s="1948"/>
      <c r="N169" s="200" t="s">
        <v>16</v>
      </c>
      <c r="O169" s="218">
        <v>2.2000000000000002</v>
      </c>
      <c r="P169" s="177"/>
    </row>
    <row r="170" spans="1:16" ht="13" x14ac:dyDescent="0.3">
      <c r="A170" s="1954"/>
      <c r="C170" s="202">
        <v>15</v>
      </c>
      <c r="D170" s="203">
        <v>0.1</v>
      </c>
      <c r="E170" s="226" t="s">
        <v>89</v>
      </c>
      <c r="F170" s="204">
        <f t="shared" ref="F170:F176" si="32">0.5*(MAX(D170:E170)-MIN(D170:E170))</f>
        <v>0</v>
      </c>
      <c r="H170" s="192"/>
      <c r="I170" s="202">
        <v>30</v>
      </c>
      <c r="J170" s="203">
        <v>-1.6</v>
      </c>
      <c r="K170" s="226" t="s">
        <v>89</v>
      </c>
      <c r="L170" s="204">
        <f t="shared" ref="L170:L176" si="33">0.5*(MAX(J170:K170)-MIN(J170:K170))</f>
        <v>0</v>
      </c>
      <c r="O170" s="187"/>
      <c r="P170" s="177"/>
    </row>
    <row r="171" spans="1:16" ht="13" x14ac:dyDescent="0.3">
      <c r="A171" s="1954"/>
      <c r="C171" s="205">
        <v>20</v>
      </c>
      <c r="D171" s="185">
        <v>0.2</v>
      </c>
      <c r="E171" s="227" t="s">
        <v>89</v>
      </c>
      <c r="F171" s="206">
        <f t="shared" si="32"/>
        <v>0</v>
      </c>
      <c r="H171" s="192"/>
      <c r="I171" s="205">
        <v>40</v>
      </c>
      <c r="J171" s="185">
        <v>-1.4</v>
      </c>
      <c r="K171" s="227" t="s">
        <v>89</v>
      </c>
      <c r="L171" s="206">
        <f t="shared" si="33"/>
        <v>0</v>
      </c>
      <c r="O171" s="187"/>
      <c r="P171" s="177"/>
    </row>
    <row r="172" spans="1:16" ht="13" x14ac:dyDescent="0.3">
      <c r="A172" s="1954"/>
      <c r="C172" s="205">
        <v>25</v>
      </c>
      <c r="D172" s="185">
        <v>0.2</v>
      </c>
      <c r="E172" s="227" t="s">
        <v>89</v>
      </c>
      <c r="F172" s="206">
        <f t="shared" si="32"/>
        <v>0</v>
      </c>
      <c r="H172" s="192"/>
      <c r="I172" s="205">
        <v>50</v>
      </c>
      <c r="J172" s="185">
        <v>-1.4</v>
      </c>
      <c r="K172" s="227" t="s">
        <v>89</v>
      </c>
      <c r="L172" s="206">
        <f t="shared" si="33"/>
        <v>0</v>
      </c>
      <c r="O172" s="187"/>
      <c r="P172" s="177"/>
    </row>
    <row r="173" spans="1:16" ht="13" x14ac:dyDescent="0.3">
      <c r="A173" s="1954"/>
      <c r="C173" s="207">
        <v>30</v>
      </c>
      <c r="D173" s="188">
        <v>0.2</v>
      </c>
      <c r="E173" s="189" t="s">
        <v>89</v>
      </c>
      <c r="F173" s="206">
        <f t="shared" si="32"/>
        <v>0</v>
      </c>
      <c r="H173" s="192"/>
      <c r="I173" s="207">
        <v>60</v>
      </c>
      <c r="J173" s="188">
        <v>-1.5</v>
      </c>
      <c r="K173" s="189" t="s">
        <v>89</v>
      </c>
      <c r="L173" s="206">
        <f t="shared" si="33"/>
        <v>0</v>
      </c>
      <c r="O173" s="187"/>
      <c r="P173" s="177"/>
    </row>
    <row r="174" spans="1:16" ht="13" x14ac:dyDescent="0.3">
      <c r="A174" s="1954"/>
      <c r="C174" s="207">
        <v>35</v>
      </c>
      <c r="D174" s="188">
        <v>0.1</v>
      </c>
      <c r="E174" s="189" t="s">
        <v>89</v>
      </c>
      <c r="F174" s="206">
        <f t="shared" si="32"/>
        <v>0</v>
      </c>
      <c r="H174" s="192"/>
      <c r="I174" s="207">
        <v>70</v>
      </c>
      <c r="J174" s="188">
        <v>-1.8</v>
      </c>
      <c r="K174" s="189" t="s">
        <v>89</v>
      </c>
      <c r="L174" s="206">
        <f t="shared" si="33"/>
        <v>0</v>
      </c>
      <c r="O174" s="187"/>
      <c r="P174" s="177"/>
    </row>
    <row r="175" spans="1:16" ht="13" x14ac:dyDescent="0.3">
      <c r="A175" s="1954"/>
      <c r="C175" s="207">
        <v>37</v>
      </c>
      <c r="D175" s="188">
        <v>9.9999999999999995E-7</v>
      </c>
      <c r="E175" s="189" t="s">
        <v>89</v>
      </c>
      <c r="F175" s="206">
        <f t="shared" si="32"/>
        <v>0</v>
      </c>
      <c r="H175" s="192"/>
      <c r="I175" s="207">
        <v>80</v>
      </c>
      <c r="J175" s="188">
        <v>-2.2999999999999998</v>
      </c>
      <c r="K175" s="189" t="s">
        <v>89</v>
      </c>
      <c r="L175" s="206">
        <f t="shared" si="33"/>
        <v>0</v>
      </c>
      <c r="O175" s="187"/>
      <c r="P175" s="177"/>
    </row>
    <row r="176" spans="1:16" ht="13.5" thickBot="1" x14ac:dyDescent="0.35">
      <c r="A176" s="1955"/>
      <c r="B176" s="190"/>
      <c r="C176" s="208">
        <v>40</v>
      </c>
      <c r="D176" s="209">
        <v>9.9999999999999995E-7</v>
      </c>
      <c r="E176" s="212" t="s">
        <v>89</v>
      </c>
      <c r="F176" s="210">
        <f t="shared" si="32"/>
        <v>0</v>
      </c>
      <c r="G176" s="190"/>
      <c r="H176" s="211"/>
      <c r="I176" s="208">
        <v>90</v>
      </c>
      <c r="J176" s="209">
        <v>-3</v>
      </c>
      <c r="K176" s="212" t="s">
        <v>89</v>
      </c>
      <c r="L176" s="210">
        <f t="shared" si="33"/>
        <v>0</v>
      </c>
      <c r="M176" s="190"/>
      <c r="N176" s="190"/>
      <c r="O176" s="191"/>
      <c r="P176" s="177"/>
    </row>
    <row r="177" spans="1:16" ht="13.5" thickBot="1" x14ac:dyDescent="0.35">
      <c r="A177" s="213"/>
      <c r="B177" s="214"/>
      <c r="C177" s="214"/>
      <c r="D177" s="214"/>
      <c r="E177" s="215"/>
      <c r="F177" s="224"/>
      <c r="G177" s="217"/>
      <c r="H177" s="214"/>
      <c r="I177" s="214"/>
      <c r="J177" s="214"/>
      <c r="K177" s="215"/>
      <c r="L177" s="224"/>
      <c r="O177" s="187"/>
      <c r="P177" s="177"/>
    </row>
    <row r="178" spans="1:16" ht="13.5" thickBot="1" x14ac:dyDescent="0.35">
      <c r="A178" s="1953">
        <v>17</v>
      </c>
      <c r="B178" s="1956" t="s">
        <v>329</v>
      </c>
      <c r="C178" s="1957"/>
      <c r="D178" s="1957"/>
      <c r="E178" s="1957"/>
      <c r="F178" s="1958"/>
      <c r="G178" s="179"/>
      <c r="H178" s="1956" t="str">
        <f>B178</f>
        <v>KOREKSI EXTECH A.100618</v>
      </c>
      <c r="I178" s="1957"/>
      <c r="J178" s="1957"/>
      <c r="K178" s="1957"/>
      <c r="L178" s="1958"/>
      <c r="M178" s="179"/>
      <c r="N178" s="1941" t="s">
        <v>90</v>
      </c>
      <c r="O178" s="1942"/>
      <c r="P178" s="177"/>
    </row>
    <row r="179" spans="1:16" ht="13.5" thickBot="1" x14ac:dyDescent="0.35">
      <c r="A179" s="1954"/>
      <c r="B179" s="1943" t="s">
        <v>311</v>
      </c>
      <c r="C179" s="1944"/>
      <c r="D179" s="1945" t="s">
        <v>88</v>
      </c>
      <c r="E179" s="1946"/>
      <c r="F179" s="1947" t="s">
        <v>86</v>
      </c>
      <c r="H179" s="1943" t="s">
        <v>312</v>
      </c>
      <c r="I179" s="1944"/>
      <c r="J179" s="1945" t="s">
        <v>88</v>
      </c>
      <c r="K179" s="1946"/>
      <c r="L179" s="1947" t="s">
        <v>86</v>
      </c>
      <c r="N179" s="196" t="s">
        <v>311</v>
      </c>
      <c r="O179" s="219">
        <v>0.3</v>
      </c>
      <c r="P179" s="177"/>
    </row>
    <row r="180" spans="1:16" ht="15" thickBot="1" x14ac:dyDescent="0.35">
      <c r="A180" s="1954"/>
      <c r="B180" s="1949" t="s">
        <v>313</v>
      </c>
      <c r="C180" s="1950"/>
      <c r="D180" s="198">
        <v>2020</v>
      </c>
      <c r="E180" s="225" t="s">
        <v>89</v>
      </c>
      <c r="F180" s="1948"/>
      <c r="H180" s="1951" t="s">
        <v>16</v>
      </c>
      <c r="I180" s="1952"/>
      <c r="J180" s="199">
        <f>D180</f>
        <v>2020</v>
      </c>
      <c r="K180" s="199" t="str">
        <f>E180</f>
        <v>-</v>
      </c>
      <c r="L180" s="1948"/>
      <c r="N180" s="200" t="s">
        <v>16</v>
      </c>
      <c r="O180" s="218">
        <v>1.6</v>
      </c>
      <c r="P180" s="177"/>
    </row>
    <row r="181" spans="1:16" ht="13" x14ac:dyDescent="0.3">
      <c r="A181" s="1954"/>
      <c r="C181" s="202">
        <v>15</v>
      </c>
      <c r="D181" s="203">
        <v>9.9999999999999995E-7</v>
      </c>
      <c r="E181" s="226" t="s">
        <v>89</v>
      </c>
      <c r="F181" s="204">
        <f t="shared" ref="F181:F187" si="34">0.5*(MAX(D181:E181)-MIN(D181:E181))</f>
        <v>0</v>
      </c>
      <c r="H181" s="192"/>
      <c r="I181" s="202">
        <v>30</v>
      </c>
      <c r="J181" s="203">
        <v>-0.4</v>
      </c>
      <c r="K181" s="226" t="s">
        <v>89</v>
      </c>
      <c r="L181" s="204">
        <f t="shared" ref="L181:L187" si="35">0.5*(MAX(J181:K181)-MIN(J181:K181))</f>
        <v>0</v>
      </c>
      <c r="O181" s="187"/>
      <c r="P181" s="177"/>
    </row>
    <row r="182" spans="1:16" ht="13" x14ac:dyDescent="0.3">
      <c r="A182" s="1954"/>
      <c r="C182" s="205">
        <v>20</v>
      </c>
      <c r="D182" s="185">
        <v>-0.1</v>
      </c>
      <c r="E182" s="227" t="s">
        <v>89</v>
      </c>
      <c r="F182" s="206">
        <f t="shared" si="34"/>
        <v>0</v>
      </c>
      <c r="H182" s="192"/>
      <c r="I182" s="205">
        <v>40</v>
      </c>
      <c r="J182" s="185">
        <v>-0.2</v>
      </c>
      <c r="K182" s="227" t="s">
        <v>89</v>
      </c>
      <c r="L182" s="206">
        <f t="shared" si="35"/>
        <v>0</v>
      </c>
      <c r="O182" s="187"/>
      <c r="P182" s="177"/>
    </row>
    <row r="183" spans="1:16" ht="13" x14ac:dyDescent="0.3">
      <c r="A183" s="1954"/>
      <c r="C183" s="205">
        <v>25</v>
      </c>
      <c r="D183" s="185">
        <v>-0.2</v>
      </c>
      <c r="E183" s="227" t="s">
        <v>89</v>
      </c>
      <c r="F183" s="206">
        <f t="shared" si="34"/>
        <v>0</v>
      </c>
      <c r="H183" s="192"/>
      <c r="I183" s="205">
        <v>50</v>
      </c>
      <c r="J183" s="185">
        <v>-0.2</v>
      </c>
      <c r="K183" s="227" t="s">
        <v>89</v>
      </c>
      <c r="L183" s="206">
        <f t="shared" si="35"/>
        <v>0</v>
      </c>
      <c r="O183" s="187"/>
      <c r="P183" s="177"/>
    </row>
    <row r="184" spans="1:16" ht="13" x14ac:dyDescent="0.3">
      <c r="A184" s="1954"/>
      <c r="C184" s="207">
        <v>30</v>
      </c>
      <c r="D184" s="188">
        <v>-0.2</v>
      </c>
      <c r="E184" s="189" t="s">
        <v>89</v>
      </c>
      <c r="F184" s="206">
        <f t="shared" si="34"/>
        <v>0</v>
      </c>
      <c r="H184" s="192"/>
      <c r="I184" s="207">
        <v>60</v>
      </c>
      <c r="J184" s="188">
        <v>-0.2</v>
      </c>
      <c r="K184" s="189" t="s">
        <v>89</v>
      </c>
      <c r="L184" s="206">
        <f t="shared" si="35"/>
        <v>0</v>
      </c>
      <c r="O184" s="187"/>
      <c r="P184" s="177"/>
    </row>
    <row r="185" spans="1:16" ht="13" x14ac:dyDescent="0.3">
      <c r="A185" s="1954"/>
      <c r="C185" s="207">
        <v>35</v>
      </c>
      <c r="D185" s="188">
        <v>-0.3</v>
      </c>
      <c r="E185" s="189" t="s">
        <v>89</v>
      </c>
      <c r="F185" s="206">
        <f t="shared" si="34"/>
        <v>0</v>
      </c>
      <c r="H185" s="192"/>
      <c r="I185" s="207">
        <v>70</v>
      </c>
      <c r="J185" s="188">
        <v>-0.3</v>
      </c>
      <c r="K185" s="189" t="s">
        <v>89</v>
      </c>
      <c r="L185" s="206">
        <f t="shared" si="35"/>
        <v>0</v>
      </c>
      <c r="O185" s="187"/>
      <c r="P185" s="177"/>
    </row>
    <row r="186" spans="1:16" ht="13" x14ac:dyDescent="0.3">
      <c r="A186" s="1954"/>
      <c r="C186" s="207">
        <v>37</v>
      </c>
      <c r="D186" s="188">
        <v>-0.3</v>
      </c>
      <c r="E186" s="189" t="s">
        <v>89</v>
      </c>
      <c r="F186" s="206">
        <f t="shared" si="34"/>
        <v>0</v>
      </c>
      <c r="H186" s="192"/>
      <c r="I186" s="207">
        <v>80</v>
      </c>
      <c r="J186" s="188">
        <v>-0.5</v>
      </c>
      <c r="K186" s="189" t="s">
        <v>89</v>
      </c>
      <c r="L186" s="206">
        <f t="shared" si="35"/>
        <v>0</v>
      </c>
      <c r="O186" s="187"/>
      <c r="P186" s="177"/>
    </row>
    <row r="187" spans="1:16" ht="13.5" thickBot="1" x14ac:dyDescent="0.35">
      <c r="A187" s="1955"/>
      <c r="B187" s="190"/>
      <c r="C187" s="208">
        <v>40</v>
      </c>
      <c r="D187" s="209">
        <v>-0.4</v>
      </c>
      <c r="E187" s="212" t="s">
        <v>89</v>
      </c>
      <c r="F187" s="210">
        <f t="shared" si="34"/>
        <v>0</v>
      </c>
      <c r="G187" s="190"/>
      <c r="H187" s="211"/>
      <c r="I187" s="208">
        <v>90</v>
      </c>
      <c r="J187" s="209">
        <v>-0.8</v>
      </c>
      <c r="K187" s="212" t="s">
        <v>89</v>
      </c>
      <c r="L187" s="210">
        <f t="shared" si="35"/>
        <v>0</v>
      </c>
      <c r="M187" s="190"/>
      <c r="N187" s="190"/>
      <c r="O187" s="191"/>
      <c r="P187" s="177"/>
    </row>
    <row r="188" spans="1:16" ht="13.5" thickBot="1" x14ac:dyDescent="0.35">
      <c r="A188" s="213"/>
      <c r="B188" s="214"/>
      <c r="C188" s="214"/>
      <c r="D188" s="214"/>
      <c r="E188" s="215"/>
      <c r="F188" s="224"/>
      <c r="G188" s="217"/>
      <c r="H188" s="214"/>
      <c r="I188" s="214"/>
      <c r="J188" s="214"/>
      <c r="K188" s="215"/>
      <c r="L188" s="224"/>
      <c r="O188" s="187"/>
      <c r="P188" s="177"/>
    </row>
    <row r="189" spans="1:16" ht="13.5" thickBot="1" x14ac:dyDescent="0.35">
      <c r="A189" s="1953">
        <v>18</v>
      </c>
      <c r="B189" s="1956" t="s">
        <v>330</v>
      </c>
      <c r="C189" s="1957"/>
      <c r="D189" s="1957"/>
      <c r="E189" s="1957"/>
      <c r="F189" s="1958"/>
      <c r="G189" s="179"/>
      <c r="H189" s="1956" t="str">
        <f>B189</f>
        <v>KOREKSI EXTECH A.100586</v>
      </c>
      <c r="I189" s="1957"/>
      <c r="J189" s="1957"/>
      <c r="K189" s="1957"/>
      <c r="L189" s="1958"/>
      <c r="M189" s="179"/>
      <c r="N189" s="1941" t="s">
        <v>90</v>
      </c>
      <c r="O189" s="1942"/>
      <c r="P189" s="177"/>
    </row>
    <row r="190" spans="1:16" ht="13.5" thickBot="1" x14ac:dyDescent="0.35">
      <c r="A190" s="1954"/>
      <c r="B190" s="1943" t="s">
        <v>311</v>
      </c>
      <c r="C190" s="1944"/>
      <c r="D190" s="1945" t="s">
        <v>88</v>
      </c>
      <c r="E190" s="1946"/>
      <c r="F190" s="1947" t="s">
        <v>86</v>
      </c>
      <c r="H190" s="1943" t="s">
        <v>312</v>
      </c>
      <c r="I190" s="1944"/>
      <c r="J190" s="1945" t="s">
        <v>88</v>
      </c>
      <c r="K190" s="1946"/>
      <c r="L190" s="1947" t="s">
        <v>86</v>
      </c>
      <c r="N190" s="196" t="s">
        <v>311</v>
      </c>
      <c r="O190" s="219">
        <v>0.3</v>
      </c>
      <c r="P190" s="177"/>
    </row>
    <row r="191" spans="1:16" ht="15" thickBot="1" x14ac:dyDescent="0.35">
      <c r="A191" s="1954"/>
      <c r="B191" s="1949" t="s">
        <v>313</v>
      </c>
      <c r="C191" s="1950"/>
      <c r="D191" s="198">
        <v>2017</v>
      </c>
      <c r="E191" s="225" t="s">
        <v>89</v>
      </c>
      <c r="F191" s="1948"/>
      <c r="H191" s="1951" t="s">
        <v>16</v>
      </c>
      <c r="I191" s="1952"/>
      <c r="J191" s="199">
        <f>D191</f>
        <v>2017</v>
      </c>
      <c r="K191" s="199" t="str">
        <f>E191</f>
        <v>-</v>
      </c>
      <c r="L191" s="1948"/>
      <c r="N191" s="200" t="s">
        <v>16</v>
      </c>
      <c r="O191" s="218">
        <v>2</v>
      </c>
      <c r="P191" s="177"/>
    </row>
    <row r="192" spans="1:16" ht="13" x14ac:dyDescent="0.3">
      <c r="A192" s="1954"/>
      <c r="C192" s="202">
        <v>15</v>
      </c>
      <c r="D192" s="203">
        <v>9.9999999999999995E-7</v>
      </c>
      <c r="E192" s="226" t="s">
        <v>89</v>
      </c>
      <c r="F192" s="204">
        <f t="shared" ref="F192:F198" si="36">0.5*(MAX(D192:E192)-MIN(D192:E192))</f>
        <v>0</v>
      </c>
      <c r="H192" s="192"/>
      <c r="I192" s="202">
        <v>30</v>
      </c>
      <c r="J192" s="203">
        <v>-0.4</v>
      </c>
      <c r="K192" s="226" t="s">
        <v>89</v>
      </c>
      <c r="L192" s="204">
        <f t="shared" ref="L192:L198" si="37">0.5*(MAX(J192:K192)-MIN(J192:K192))</f>
        <v>0</v>
      </c>
      <c r="O192" s="187"/>
      <c r="P192" s="177"/>
    </row>
    <row r="193" spans="1:17" ht="13" x14ac:dyDescent="0.3">
      <c r="A193" s="1954"/>
      <c r="C193" s="205">
        <v>20</v>
      </c>
      <c r="D193" s="185">
        <v>9.9999999999999995E-7</v>
      </c>
      <c r="E193" s="227" t="s">
        <v>89</v>
      </c>
      <c r="F193" s="206">
        <f t="shared" si="36"/>
        <v>0</v>
      </c>
      <c r="H193" s="192"/>
      <c r="I193" s="205">
        <v>40</v>
      </c>
      <c r="J193" s="185">
        <v>-0.1</v>
      </c>
      <c r="K193" s="227" t="s">
        <v>89</v>
      </c>
      <c r="L193" s="206">
        <f t="shared" si="37"/>
        <v>0</v>
      </c>
      <c r="O193" s="187"/>
      <c r="P193" s="177"/>
    </row>
    <row r="194" spans="1:17" ht="13" x14ac:dyDescent="0.3">
      <c r="A194" s="1954"/>
      <c r="C194" s="205">
        <v>25</v>
      </c>
      <c r="D194" s="185">
        <v>9.9999999999999995E-7</v>
      </c>
      <c r="E194" s="227" t="s">
        <v>89</v>
      </c>
      <c r="F194" s="206">
        <f t="shared" si="36"/>
        <v>0</v>
      </c>
      <c r="H194" s="192"/>
      <c r="I194" s="205">
        <v>50</v>
      </c>
      <c r="J194" s="185">
        <v>0</v>
      </c>
      <c r="K194" s="227" t="s">
        <v>89</v>
      </c>
      <c r="L194" s="206">
        <f t="shared" si="37"/>
        <v>0</v>
      </c>
      <c r="O194" s="187"/>
      <c r="P194" s="177"/>
    </row>
    <row r="195" spans="1:17" ht="13" x14ac:dyDescent="0.3">
      <c r="A195" s="1954"/>
      <c r="C195" s="207">
        <v>30</v>
      </c>
      <c r="D195" s="188">
        <v>-0.1</v>
      </c>
      <c r="E195" s="189" t="s">
        <v>89</v>
      </c>
      <c r="F195" s="206">
        <f t="shared" si="36"/>
        <v>0</v>
      </c>
      <c r="H195" s="192"/>
      <c r="I195" s="207">
        <v>60</v>
      </c>
      <c r="J195" s="188">
        <v>0</v>
      </c>
      <c r="K195" s="189" t="s">
        <v>89</v>
      </c>
      <c r="L195" s="206">
        <f t="shared" si="37"/>
        <v>0</v>
      </c>
      <c r="O195" s="187"/>
      <c r="P195" s="177"/>
    </row>
    <row r="196" spans="1:17" ht="13" x14ac:dyDescent="0.3">
      <c r="A196" s="1954"/>
      <c r="C196" s="207">
        <v>35</v>
      </c>
      <c r="D196" s="188">
        <v>-0.2</v>
      </c>
      <c r="E196" s="189" t="s">
        <v>89</v>
      </c>
      <c r="F196" s="206">
        <f t="shared" si="36"/>
        <v>0</v>
      </c>
      <c r="H196" s="192"/>
      <c r="I196" s="207">
        <v>70</v>
      </c>
      <c r="J196" s="188">
        <v>-0.1</v>
      </c>
      <c r="K196" s="189" t="s">
        <v>89</v>
      </c>
      <c r="L196" s="206">
        <f t="shared" si="37"/>
        <v>0</v>
      </c>
      <c r="O196" s="187"/>
      <c r="P196" s="177"/>
    </row>
    <row r="197" spans="1:17" ht="13" x14ac:dyDescent="0.3">
      <c r="A197" s="1954"/>
      <c r="C197" s="207">
        <v>37</v>
      </c>
      <c r="D197" s="188">
        <v>-0.3</v>
      </c>
      <c r="E197" s="189" t="s">
        <v>89</v>
      </c>
      <c r="F197" s="206">
        <f t="shared" si="36"/>
        <v>0</v>
      </c>
      <c r="H197" s="192"/>
      <c r="I197" s="207">
        <v>80</v>
      </c>
      <c r="J197" s="188">
        <v>-0.5</v>
      </c>
      <c r="K197" s="189" t="s">
        <v>89</v>
      </c>
      <c r="L197" s="206">
        <f t="shared" si="37"/>
        <v>0</v>
      </c>
      <c r="O197" s="187"/>
      <c r="P197" s="177"/>
    </row>
    <row r="198" spans="1:17" ht="13.5" thickBot="1" x14ac:dyDescent="0.35">
      <c r="A198" s="1955"/>
      <c r="B198" s="190"/>
      <c r="C198" s="208">
        <v>40</v>
      </c>
      <c r="D198" s="209">
        <v>-0.4</v>
      </c>
      <c r="E198" s="212" t="s">
        <v>89</v>
      </c>
      <c r="F198" s="210">
        <f t="shared" si="36"/>
        <v>0</v>
      </c>
      <c r="G198" s="190"/>
      <c r="H198" s="211"/>
      <c r="I198" s="208">
        <v>90</v>
      </c>
      <c r="J198" s="209">
        <v>-0.9</v>
      </c>
      <c r="K198" s="212" t="s">
        <v>89</v>
      </c>
      <c r="L198" s="210">
        <f t="shared" si="37"/>
        <v>0</v>
      </c>
      <c r="M198" s="190"/>
      <c r="N198" s="190"/>
      <c r="O198" s="191"/>
      <c r="P198" s="177"/>
    </row>
    <row r="199" spans="1:17" ht="13.5" thickBot="1" x14ac:dyDescent="0.35">
      <c r="A199" s="230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1"/>
      <c r="N199" s="231"/>
      <c r="O199" s="232"/>
      <c r="P199" s="177"/>
    </row>
    <row r="200" spans="1:17" ht="13.5" thickBot="1" x14ac:dyDescent="0.35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</row>
    <row r="201" spans="1:17" x14ac:dyDescent="0.25">
      <c r="A201" s="1972" t="s">
        <v>26</v>
      </c>
      <c r="B201" s="1974" t="s">
        <v>331</v>
      </c>
      <c r="C201" s="1968" t="s">
        <v>332</v>
      </c>
      <c r="D201" s="1968"/>
      <c r="E201" s="1968"/>
      <c r="F201" s="1968"/>
      <c r="G201" s="115"/>
      <c r="H201" s="1976" t="s">
        <v>26</v>
      </c>
      <c r="I201" s="1974" t="s">
        <v>331</v>
      </c>
      <c r="J201" s="1968" t="s">
        <v>332</v>
      </c>
      <c r="K201" s="1968"/>
      <c r="L201" s="1968"/>
      <c r="M201" s="1968"/>
      <c r="N201" s="116"/>
      <c r="O201" s="1969" t="s">
        <v>90</v>
      </c>
      <c r="P201" s="1970"/>
    </row>
    <row r="202" spans="1:17" ht="13.5" x14ac:dyDescent="0.3">
      <c r="A202" s="1973"/>
      <c r="B202" s="1975"/>
      <c r="C202" s="233" t="s">
        <v>311</v>
      </c>
      <c r="D202" s="1971" t="s">
        <v>88</v>
      </c>
      <c r="E202" s="1971"/>
      <c r="F202" s="1971" t="s">
        <v>86</v>
      </c>
      <c r="G202" s="177"/>
      <c r="H202" s="1977"/>
      <c r="I202" s="1975"/>
      <c r="J202" s="233" t="s">
        <v>312</v>
      </c>
      <c r="K202" s="1971" t="s">
        <v>88</v>
      </c>
      <c r="L202" s="1971"/>
      <c r="M202" s="1971" t="s">
        <v>86</v>
      </c>
      <c r="N202" s="177"/>
      <c r="O202" s="1966" t="s">
        <v>311</v>
      </c>
      <c r="P202" s="1967"/>
    </row>
    <row r="203" spans="1:17" ht="14" x14ac:dyDescent="0.3">
      <c r="A203" s="1973"/>
      <c r="B203" s="1975"/>
      <c r="C203" s="234" t="s">
        <v>333</v>
      </c>
      <c r="D203" s="233"/>
      <c r="E203" s="233"/>
      <c r="F203" s="1971"/>
      <c r="G203" s="177"/>
      <c r="H203" s="1977"/>
      <c r="I203" s="1975"/>
      <c r="J203" s="234" t="s">
        <v>16</v>
      </c>
      <c r="K203" s="233"/>
      <c r="L203" s="233"/>
      <c r="M203" s="1971"/>
      <c r="O203" s="235">
        <v>1</v>
      </c>
      <c r="P203" s="240">
        <f>O3</f>
        <v>0.6</v>
      </c>
      <c r="Q203" s="240">
        <f>O4</f>
        <v>3.1</v>
      </c>
    </row>
    <row r="204" spans="1:17" ht="13" x14ac:dyDescent="0.3">
      <c r="A204" s="1962" t="s">
        <v>100</v>
      </c>
      <c r="B204" s="236">
        <v>1</v>
      </c>
      <c r="C204" s="237">
        <f>C5</f>
        <v>15</v>
      </c>
      <c r="D204" s="237">
        <f t="shared" ref="D204:F204" si="38">D5</f>
        <v>-0.5</v>
      </c>
      <c r="E204" s="237">
        <f t="shared" si="38"/>
        <v>0.3</v>
      </c>
      <c r="F204" s="237">
        <f t="shared" si="38"/>
        <v>0.4</v>
      </c>
      <c r="G204" s="177"/>
      <c r="H204" s="1963" t="s">
        <v>100</v>
      </c>
      <c r="I204" s="236">
        <v>1</v>
      </c>
      <c r="J204" s="237">
        <f>I5</f>
        <v>35</v>
      </c>
      <c r="K204" s="237">
        <f t="shared" ref="K204:M204" si="39">J5</f>
        <v>-6</v>
      </c>
      <c r="L204" s="237">
        <f t="shared" si="39"/>
        <v>-9.4</v>
      </c>
      <c r="M204" s="237">
        <f t="shared" si="39"/>
        <v>1.7000000000000002</v>
      </c>
      <c r="N204" s="177"/>
      <c r="O204" s="238">
        <v>2</v>
      </c>
      <c r="P204" s="402">
        <f>O14</f>
        <v>0.3</v>
      </c>
      <c r="Q204" s="402">
        <f>O15</f>
        <v>3.3</v>
      </c>
    </row>
    <row r="205" spans="1:17" ht="13" x14ac:dyDescent="0.3">
      <c r="A205" s="1962"/>
      <c r="B205" s="236">
        <v>2</v>
      </c>
      <c r="C205" s="237">
        <f>C16</f>
        <v>15</v>
      </c>
      <c r="D205" s="237">
        <f t="shared" ref="D205:F205" si="40">D16</f>
        <v>0</v>
      </c>
      <c r="E205" s="237">
        <f t="shared" si="40"/>
        <v>0.5</v>
      </c>
      <c r="F205" s="237">
        <f t="shared" si="40"/>
        <v>0.25</v>
      </c>
      <c r="G205" s="177"/>
      <c r="H205" s="1963"/>
      <c r="I205" s="236">
        <v>2</v>
      </c>
      <c r="J205" s="237">
        <f>I16</f>
        <v>35</v>
      </c>
      <c r="K205" s="237">
        <f t="shared" ref="K205:M205" si="41">J16</f>
        <v>-1.6</v>
      </c>
      <c r="L205" s="237">
        <f t="shared" si="41"/>
        <v>-0.9</v>
      </c>
      <c r="M205" s="237">
        <f t="shared" si="41"/>
        <v>0.35000000000000003</v>
      </c>
      <c r="N205" s="177"/>
      <c r="O205" s="238">
        <v>3</v>
      </c>
      <c r="P205" s="408">
        <f>O25</f>
        <v>0.3</v>
      </c>
      <c r="Q205" s="408">
        <f>O26</f>
        <v>3.1</v>
      </c>
    </row>
    <row r="206" spans="1:17" ht="13" x14ac:dyDescent="0.3">
      <c r="A206" s="1962"/>
      <c r="B206" s="236">
        <v>3</v>
      </c>
      <c r="C206" s="237">
        <f>C27</f>
        <v>15</v>
      </c>
      <c r="D206" s="237">
        <f t="shared" ref="D206:F206" si="42">D27</f>
        <v>0</v>
      </c>
      <c r="E206" s="237">
        <f t="shared" si="42"/>
        <v>0.2</v>
      </c>
      <c r="F206" s="237">
        <f t="shared" si="42"/>
        <v>0.1</v>
      </c>
      <c r="G206" s="177"/>
      <c r="H206" s="1963"/>
      <c r="I206" s="236">
        <v>3</v>
      </c>
      <c r="J206" s="237">
        <f>I27</f>
        <v>30</v>
      </c>
      <c r="K206" s="237">
        <f t="shared" ref="K206:M206" si="43">J27</f>
        <v>-5.7</v>
      </c>
      <c r="L206" s="237">
        <f t="shared" si="43"/>
        <v>-1.1000000000000001</v>
      </c>
      <c r="M206" s="237">
        <f t="shared" si="43"/>
        <v>2.2999999999999998</v>
      </c>
      <c r="N206" s="177"/>
      <c r="O206" s="238">
        <v>4</v>
      </c>
      <c r="P206" s="408">
        <f>O36</f>
        <v>0.6</v>
      </c>
      <c r="Q206" s="408">
        <f>O37</f>
        <v>2.6</v>
      </c>
    </row>
    <row r="207" spans="1:17" ht="13" x14ac:dyDescent="0.3">
      <c r="A207" s="1962"/>
      <c r="B207" s="236">
        <v>4</v>
      </c>
      <c r="C207" s="239">
        <f>C38</f>
        <v>15</v>
      </c>
      <c r="D207" s="239">
        <f t="shared" ref="D207:F207" si="44">D38</f>
        <v>-0.1</v>
      </c>
      <c r="E207" s="239">
        <f t="shared" si="44"/>
        <v>0.4</v>
      </c>
      <c r="F207" s="239">
        <f t="shared" si="44"/>
        <v>0.25</v>
      </c>
      <c r="G207" s="177"/>
      <c r="H207" s="1963"/>
      <c r="I207" s="236">
        <v>4</v>
      </c>
      <c r="J207" s="239">
        <f>I38</f>
        <v>35</v>
      </c>
      <c r="K207" s="239">
        <f t="shared" ref="K207:M207" si="45">J38</f>
        <v>-1.7</v>
      </c>
      <c r="L207" s="239">
        <f t="shared" si="45"/>
        <v>-0.8</v>
      </c>
      <c r="M207" s="239">
        <f t="shared" si="45"/>
        <v>0.44999999999999996</v>
      </c>
      <c r="N207" s="177"/>
      <c r="O207" s="238">
        <v>5</v>
      </c>
      <c r="P207" s="408">
        <f>O47</f>
        <v>0.4</v>
      </c>
      <c r="Q207" s="408">
        <f>O48</f>
        <v>2.8</v>
      </c>
    </row>
    <row r="208" spans="1:17" ht="13" x14ac:dyDescent="0.3">
      <c r="A208" s="1962"/>
      <c r="B208" s="236">
        <v>5</v>
      </c>
      <c r="C208" s="239">
        <f>C49</f>
        <v>15</v>
      </c>
      <c r="D208" s="239">
        <f t="shared" ref="D208:F208" si="46">D49</f>
        <v>-0.3</v>
      </c>
      <c r="E208" s="239">
        <f t="shared" si="46"/>
        <v>0.3</v>
      </c>
      <c r="F208" s="239">
        <f t="shared" si="46"/>
        <v>0.3</v>
      </c>
      <c r="G208" s="177"/>
      <c r="H208" s="1963"/>
      <c r="I208" s="236">
        <v>5</v>
      </c>
      <c r="J208" s="239">
        <f>I49</f>
        <v>35</v>
      </c>
      <c r="K208" s="239">
        <f t="shared" ref="K208:M208" si="47">J49</f>
        <v>-7.7</v>
      </c>
      <c r="L208" s="239">
        <f t="shared" si="47"/>
        <v>-9.6</v>
      </c>
      <c r="M208" s="239">
        <f t="shared" si="47"/>
        <v>0.94999999999999973</v>
      </c>
      <c r="N208" s="177"/>
      <c r="O208" s="235">
        <v>6</v>
      </c>
      <c r="P208" s="240">
        <f>O58</f>
        <v>0.8</v>
      </c>
      <c r="Q208" s="240">
        <f>O59</f>
        <v>2.6</v>
      </c>
    </row>
    <row r="209" spans="1:17" ht="13" x14ac:dyDescent="0.3">
      <c r="A209" s="1962"/>
      <c r="B209" s="236">
        <v>6</v>
      </c>
      <c r="C209" s="239">
        <f>C60</f>
        <v>15</v>
      </c>
      <c r="D209" s="239">
        <f t="shared" ref="D209:F209" si="48">D60</f>
        <v>0.4</v>
      </c>
      <c r="E209" s="239">
        <f t="shared" si="48"/>
        <v>0.4</v>
      </c>
      <c r="F209" s="239">
        <f t="shared" si="48"/>
        <v>0</v>
      </c>
      <c r="G209" s="177"/>
      <c r="H209" s="1963"/>
      <c r="I209" s="236">
        <v>6</v>
      </c>
      <c r="J209" s="239">
        <f>I60</f>
        <v>30</v>
      </c>
      <c r="K209" s="239">
        <f t="shared" ref="K209:M209" si="49">J60</f>
        <v>-1.5</v>
      </c>
      <c r="L209" s="239">
        <f t="shared" si="49"/>
        <v>-4.9000000000000004</v>
      </c>
      <c r="M209" s="239">
        <f t="shared" si="49"/>
        <v>1.7000000000000002</v>
      </c>
      <c r="N209" s="177"/>
      <c r="O209" s="235">
        <v>7</v>
      </c>
      <c r="P209" s="240">
        <f>O69</f>
        <v>0.3</v>
      </c>
      <c r="Q209" s="240">
        <f>O70</f>
        <v>2.2999999999999998</v>
      </c>
    </row>
    <row r="210" spans="1:17" ht="13" x14ac:dyDescent="0.3">
      <c r="A210" s="1962"/>
      <c r="B210" s="236">
        <v>7</v>
      </c>
      <c r="C210" s="239">
        <f>C71</f>
        <v>15</v>
      </c>
      <c r="D210" s="239">
        <f t="shared" ref="D210:F210" si="50">D71</f>
        <v>0.3</v>
      </c>
      <c r="E210" s="239">
        <f t="shared" si="50"/>
        <v>0.2</v>
      </c>
      <c r="F210" s="239">
        <f t="shared" si="50"/>
        <v>4.9999999999999989E-2</v>
      </c>
      <c r="G210" s="177"/>
      <c r="H210" s="1963"/>
      <c r="I210" s="236">
        <v>7</v>
      </c>
      <c r="J210" s="239">
        <f>I71</f>
        <v>30</v>
      </c>
      <c r="K210" s="239">
        <f t="shared" ref="K210:M210" si="51">J71</f>
        <v>1.8</v>
      </c>
      <c r="L210" s="239">
        <f t="shared" si="51"/>
        <v>-0.1</v>
      </c>
      <c r="M210" s="239">
        <f t="shared" si="51"/>
        <v>0.95000000000000007</v>
      </c>
      <c r="N210" s="177"/>
      <c r="O210" s="235">
        <v>8</v>
      </c>
      <c r="P210" s="240">
        <f>O80</f>
        <v>0.3</v>
      </c>
      <c r="Q210" s="240">
        <f>O81</f>
        <v>2.6</v>
      </c>
    </row>
    <row r="211" spans="1:17" ht="13" x14ac:dyDescent="0.3">
      <c r="A211" s="1962"/>
      <c r="B211" s="236">
        <v>8</v>
      </c>
      <c r="C211" s="239">
        <f>C82</f>
        <v>15</v>
      </c>
      <c r="D211" s="239">
        <f t="shared" ref="D211:F211" si="52">D82</f>
        <v>9.9999999999999995E-7</v>
      </c>
      <c r="E211" s="239">
        <f t="shared" si="52"/>
        <v>-0.2</v>
      </c>
      <c r="F211" s="239">
        <f t="shared" si="52"/>
        <v>0.10000050000000001</v>
      </c>
      <c r="G211" s="177"/>
      <c r="H211" s="1963"/>
      <c r="I211" s="236">
        <v>8</v>
      </c>
      <c r="J211" s="239">
        <f>I82</f>
        <v>30</v>
      </c>
      <c r="K211" s="239">
        <f t="shared" ref="K211:M211" si="53">J82</f>
        <v>-1.4</v>
      </c>
      <c r="L211" s="239">
        <f t="shared" si="53"/>
        <v>1</v>
      </c>
      <c r="M211" s="239">
        <f t="shared" si="53"/>
        <v>1.2</v>
      </c>
      <c r="N211" s="177"/>
      <c r="O211" s="235">
        <v>9</v>
      </c>
      <c r="P211" s="240">
        <f>O91</f>
        <v>0.3</v>
      </c>
      <c r="Q211" s="240">
        <f>O92</f>
        <v>2.4</v>
      </c>
    </row>
    <row r="212" spans="1:17" ht="13" x14ac:dyDescent="0.3">
      <c r="A212" s="1962"/>
      <c r="B212" s="236">
        <v>9</v>
      </c>
      <c r="C212" s="239">
        <f>C93</f>
        <v>15</v>
      </c>
      <c r="D212" s="239">
        <f t="shared" ref="D212:F212" si="54">D93</f>
        <v>9.9999999999999995E-7</v>
      </c>
      <c r="E212" s="239" t="str">
        <f t="shared" si="54"/>
        <v>-</v>
      </c>
      <c r="F212" s="239">
        <f t="shared" si="54"/>
        <v>0</v>
      </c>
      <c r="G212" s="177"/>
      <c r="H212" s="1963"/>
      <c r="I212" s="236">
        <v>9</v>
      </c>
      <c r="J212" s="239">
        <f>I93</f>
        <v>30</v>
      </c>
      <c r="K212" s="239">
        <f t="shared" ref="K212:M212" si="55">J93</f>
        <v>-1.2</v>
      </c>
      <c r="L212" s="239" t="str">
        <f t="shared" si="55"/>
        <v>-</v>
      </c>
      <c r="M212" s="239">
        <f t="shared" si="55"/>
        <v>0</v>
      </c>
      <c r="N212" s="177"/>
      <c r="O212" s="235">
        <v>10</v>
      </c>
      <c r="P212" s="240">
        <f>O102</f>
        <v>0.3</v>
      </c>
      <c r="Q212" s="240">
        <f>O103</f>
        <v>1.5</v>
      </c>
    </row>
    <row r="213" spans="1:17" ht="13" x14ac:dyDescent="0.3">
      <c r="A213" s="1962"/>
      <c r="B213" s="236">
        <v>10</v>
      </c>
      <c r="C213" s="239">
        <f>C104</f>
        <v>15</v>
      </c>
      <c r="D213" s="239">
        <f t="shared" ref="D213:F213" si="56">D104</f>
        <v>0.2</v>
      </c>
      <c r="E213" s="239">
        <f t="shared" si="56"/>
        <v>0.2</v>
      </c>
      <c r="F213" s="239">
        <f t="shared" si="56"/>
        <v>0</v>
      </c>
      <c r="G213" s="177"/>
      <c r="H213" s="1963"/>
      <c r="I213" s="236">
        <v>10</v>
      </c>
      <c r="J213" s="239">
        <f>I104</f>
        <v>30</v>
      </c>
      <c r="K213" s="239">
        <f t="shared" ref="K213:M213" si="57">J104</f>
        <v>-2.9</v>
      </c>
      <c r="L213" s="239">
        <f t="shared" si="57"/>
        <v>-5.8</v>
      </c>
      <c r="M213" s="239">
        <f t="shared" si="57"/>
        <v>1.45</v>
      </c>
      <c r="N213" s="177"/>
      <c r="O213" s="235">
        <v>11</v>
      </c>
      <c r="P213" s="240">
        <f>O113</f>
        <v>0.3</v>
      </c>
      <c r="Q213" s="240">
        <f>O114</f>
        <v>1.8</v>
      </c>
    </row>
    <row r="214" spans="1:17" ht="13" x14ac:dyDescent="0.3">
      <c r="A214" s="1962"/>
      <c r="B214" s="236">
        <v>11</v>
      </c>
      <c r="C214" s="239">
        <f>C115</f>
        <v>15</v>
      </c>
      <c r="D214" s="239">
        <f t="shared" ref="D214:F214" si="58">D115</f>
        <v>0.3</v>
      </c>
      <c r="E214" s="239" t="str">
        <f t="shared" si="58"/>
        <v>-</v>
      </c>
      <c r="F214" s="239">
        <f t="shared" si="58"/>
        <v>0</v>
      </c>
      <c r="G214" s="177"/>
      <c r="H214" s="1963"/>
      <c r="I214" s="236">
        <v>11</v>
      </c>
      <c r="J214" s="239">
        <f>I115</f>
        <v>35</v>
      </c>
      <c r="K214" s="239">
        <f t="shared" ref="K214:M214" si="59">J115</f>
        <v>-5.2</v>
      </c>
      <c r="L214" s="239" t="str">
        <f t="shared" si="59"/>
        <v>-</v>
      </c>
      <c r="M214" s="239">
        <f t="shared" si="59"/>
        <v>0</v>
      </c>
      <c r="N214" s="177"/>
      <c r="O214" s="235">
        <v>12</v>
      </c>
      <c r="P214" s="240">
        <f>O124</f>
        <v>0.3</v>
      </c>
      <c r="Q214" s="409">
        <f>O125</f>
        <v>2.7</v>
      </c>
    </row>
    <row r="215" spans="1:17" ht="13" x14ac:dyDescent="0.3">
      <c r="A215" s="1962"/>
      <c r="B215" s="236">
        <v>12</v>
      </c>
      <c r="C215" s="239">
        <f>C126</f>
        <v>15</v>
      </c>
      <c r="D215" s="239">
        <f t="shared" ref="D215:F215" si="60">D126</f>
        <v>-0.6</v>
      </c>
      <c r="E215" s="239" t="str">
        <f t="shared" si="60"/>
        <v>-</v>
      </c>
      <c r="F215" s="239">
        <f t="shared" si="60"/>
        <v>0</v>
      </c>
      <c r="G215" s="177"/>
      <c r="H215" s="1963"/>
      <c r="I215" s="241">
        <v>12</v>
      </c>
      <c r="J215" s="239">
        <f>I126</f>
        <v>35</v>
      </c>
      <c r="K215" s="239">
        <f t="shared" ref="K215:M215" si="61">J126</f>
        <v>-0.4</v>
      </c>
      <c r="L215" s="239" t="str">
        <f t="shared" si="61"/>
        <v>-</v>
      </c>
      <c r="M215" s="239">
        <f t="shared" si="61"/>
        <v>0</v>
      </c>
      <c r="N215" s="177"/>
      <c r="O215" s="235">
        <v>13</v>
      </c>
      <c r="P215" s="240">
        <f>O135</f>
        <v>0.4</v>
      </c>
      <c r="Q215" s="240">
        <f>O136</f>
        <v>2.2000000000000002</v>
      </c>
    </row>
    <row r="216" spans="1:17" ht="13" x14ac:dyDescent="0.3">
      <c r="A216" s="1962"/>
      <c r="B216" s="236">
        <v>13</v>
      </c>
      <c r="C216" s="239">
        <f>C137</f>
        <v>15</v>
      </c>
      <c r="D216" s="239">
        <f t="shared" ref="D216:F216" si="62">D137</f>
        <v>-0.2</v>
      </c>
      <c r="E216" s="239" t="str">
        <f t="shared" si="62"/>
        <v>-</v>
      </c>
      <c r="F216" s="239">
        <f t="shared" si="62"/>
        <v>0</v>
      </c>
      <c r="G216" s="177"/>
      <c r="H216" s="1963"/>
      <c r="I216" s="236">
        <v>13</v>
      </c>
      <c r="J216" s="239">
        <f>I137</f>
        <v>35</v>
      </c>
      <c r="K216" s="239">
        <f t="shared" ref="K216:M216" si="63">J137</f>
        <v>0.6</v>
      </c>
      <c r="L216" s="239" t="str">
        <f t="shared" si="63"/>
        <v>-</v>
      </c>
      <c r="M216" s="239">
        <f t="shared" si="63"/>
        <v>0</v>
      </c>
      <c r="N216" s="177"/>
      <c r="O216" s="235">
        <v>14</v>
      </c>
      <c r="P216" s="240">
        <f>O146</f>
        <v>0.3</v>
      </c>
      <c r="Q216" s="240">
        <f>O147</f>
        <v>2.7</v>
      </c>
    </row>
    <row r="217" spans="1:17" ht="13" x14ac:dyDescent="0.3">
      <c r="A217" s="1962"/>
      <c r="B217" s="236">
        <v>14</v>
      </c>
      <c r="C217" s="239">
        <f>C148</f>
        <v>15</v>
      </c>
      <c r="D217" s="239">
        <f t="shared" ref="D217:F217" si="64">D148</f>
        <v>-0.7</v>
      </c>
      <c r="E217" s="239" t="str">
        <f t="shared" si="64"/>
        <v>-</v>
      </c>
      <c r="F217" s="239">
        <f t="shared" si="64"/>
        <v>0</v>
      </c>
      <c r="G217" s="177"/>
      <c r="H217" s="1963"/>
      <c r="I217" s="236">
        <v>14</v>
      </c>
      <c r="J217" s="239">
        <f>I148</f>
        <v>35</v>
      </c>
      <c r="K217" s="239">
        <f t="shared" ref="K217:M217" si="65">J148</f>
        <v>-1.4</v>
      </c>
      <c r="L217" s="239" t="str">
        <f t="shared" si="65"/>
        <v>-</v>
      </c>
      <c r="M217" s="239">
        <f t="shared" si="65"/>
        <v>0</v>
      </c>
      <c r="N217" s="177"/>
      <c r="O217" s="235">
        <v>15</v>
      </c>
      <c r="P217" s="240">
        <f>O157</f>
        <v>0.3</v>
      </c>
      <c r="Q217" s="240">
        <f>O158</f>
        <v>2.8</v>
      </c>
    </row>
    <row r="218" spans="1:17" ht="13" x14ac:dyDescent="0.3">
      <c r="A218" s="1962"/>
      <c r="B218" s="236">
        <v>15</v>
      </c>
      <c r="C218" s="239">
        <f>C159</f>
        <v>15</v>
      </c>
      <c r="D218" s="239">
        <f t="shared" ref="D218:F218" si="66">D159</f>
        <v>0.1</v>
      </c>
      <c r="E218" s="239" t="str">
        <f t="shared" si="66"/>
        <v>-</v>
      </c>
      <c r="F218" s="239">
        <f t="shared" si="66"/>
        <v>0</v>
      </c>
      <c r="G218" s="177"/>
      <c r="H218" s="1963"/>
      <c r="I218" s="236">
        <v>15</v>
      </c>
      <c r="J218" s="239">
        <f>I159</f>
        <v>30</v>
      </c>
      <c r="K218" s="239">
        <f t="shared" ref="K218:M218" si="67">J159</f>
        <v>0.1</v>
      </c>
      <c r="L218" s="239" t="str">
        <f t="shared" si="67"/>
        <v>-</v>
      </c>
      <c r="M218" s="239">
        <f t="shared" si="67"/>
        <v>0</v>
      </c>
      <c r="N218" s="177"/>
      <c r="O218" s="235">
        <v>16</v>
      </c>
      <c r="P218" s="240">
        <f>O168</f>
        <v>0.4</v>
      </c>
      <c r="Q218" s="410">
        <f>O169</f>
        <v>2.2000000000000002</v>
      </c>
    </row>
    <row r="219" spans="1:17" ht="13" x14ac:dyDescent="0.3">
      <c r="A219" s="1962"/>
      <c r="B219" s="236">
        <v>16</v>
      </c>
      <c r="C219" s="239">
        <f>C170</f>
        <v>15</v>
      </c>
      <c r="D219" s="239">
        <f t="shared" ref="D219:F219" si="68">D170</f>
        <v>0.1</v>
      </c>
      <c r="E219" s="239" t="str">
        <f t="shared" si="68"/>
        <v>-</v>
      </c>
      <c r="F219" s="239">
        <f t="shared" si="68"/>
        <v>0</v>
      </c>
      <c r="G219" s="177"/>
      <c r="H219" s="1963"/>
      <c r="I219" s="236">
        <v>16</v>
      </c>
      <c r="J219" s="239">
        <f>I170</f>
        <v>30</v>
      </c>
      <c r="K219" s="239">
        <f t="shared" ref="K219:M219" si="69">J170</f>
        <v>-1.6</v>
      </c>
      <c r="L219" s="239" t="str">
        <f t="shared" si="69"/>
        <v>-</v>
      </c>
      <c r="M219" s="239">
        <f t="shared" si="69"/>
        <v>0</v>
      </c>
      <c r="N219" s="177"/>
      <c r="O219" s="235">
        <v>17</v>
      </c>
      <c r="P219" s="240">
        <f>O179</f>
        <v>0.3</v>
      </c>
      <c r="Q219" s="410">
        <f>O180</f>
        <v>1.6</v>
      </c>
    </row>
    <row r="220" spans="1:17" ht="13" x14ac:dyDescent="0.3">
      <c r="A220" s="1962"/>
      <c r="B220" s="236">
        <v>17</v>
      </c>
      <c r="C220" s="239">
        <f>C181</f>
        <v>15</v>
      </c>
      <c r="D220" s="239">
        <f t="shared" ref="D220:F220" si="70">D181</f>
        <v>9.9999999999999995E-7</v>
      </c>
      <c r="E220" s="239" t="str">
        <f t="shared" si="70"/>
        <v>-</v>
      </c>
      <c r="F220" s="239">
        <f t="shared" si="70"/>
        <v>0</v>
      </c>
      <c r="G220" s="177"/>
      <c r="H220" s="1963"/>
      <c r="I220" s="236">
        <v>17</v>
      </c>
      <c r="J220" s="239">
        <f>I181</f>
        <v>30</v>
      </c>
      <c r="K220" s="239">
        <f t="shared" ref="K220:M220" si="71">J181</f>
        <v>-0.4</v>
      </c>
      <c r="L220" s="239" t="str">
        <f t="shared" si="71"/>
        <v>-</v>
      </c>
      <c r="M220" s="239">
        <f t="shared" si="71"/>
        <v>0</v>
      </c>
      <c r="N220" s="177"/>
      <c r="O220" s="235">
        <v>18</v>
      </c>
      <c r="P220" s="240">
        <f>O190</f>
        <v>0.3</v>
      </c>
      <c r="Q220" s="410">
        <f>O191</f>
        <v>2</v>
      </c>
    </row>
    <row r="221" spans="1:17" ht="13" x14ac:dyDescent="0.3">
      <c r="A221" s="1962"/>
      <c r="B221" s="236">
        <v>18</v>
      </c>
      <c r="C221" s="239">
        <f>C192</f>
        <v>15</v>
      </c>
      <c r="D221" s="239">
        <f t="shared" ref="D221:F221" si="72">D192</f>
        <v>9.9999999999999995E-7</v>
      </c>
      <c r="E221" s="239" t="str">
        <f t="shared" si="72"/>
        <v>-</v>
      </c>
      <c r="F221" s="239">
        <f t="shared" si="72"/>
        <v>0</v>
      </c>
      <c r="G221" s="177"/>
      <c r="H221" s="1963"/>
      <c r="I221" s="236">
        <v>18</v>
      </c>
      <c r="J221" s="239">
        <f>I192</f>
        <v>30</v>
      </c>
      <c r="K221" s="239">
        <f t="shared" ref="K221:M221" si="73">J192</f>
        <v>-0.4</v>
      </c>
      <c r="L221" s="239" t="str">
        <f t="shared" si="73"/>
        <v>-</v>
      </c>
      <c r="M221" s="239">
        <f t="shared" si="73"/>
        <v>0</v>
      </c>
      <c r="N221" s="177"/>
      <c r="O221" s="235">
        <v>19</v>
      </c>
      <c r="P221" s="242"/>
      <c r="Q221" s="242"/>
    </row>
    <row r="222" spans="1:17" ht="13" x14ac:dyDescent="0.3">
      <c r="A222" s="243"/>
      <c r="B222" s="244"/>
      <c r="C222" s="245"/>
      <c r="D222" s="245"/>
      <c r="E222" s="245"/>
      <c r="F222" s="246"/>
      <c r="G222" s="247"/>
      <c r="H222" s="248"/>
      <c r="I222" s="248"/>
      <c r="J222" s="249"/>
      <c r="K222" s="249"/>
      <c r="L222" s="249"/>
      <c r="M222" s="249"/>
      <c r="N222" s="247"/>
      <c r="O222" s="247"/>
      <c r="P222" s="247"/>
    </row>
    <row r="223" spans="1:17" ht="13" x14ac:dyDescent="0.3">
      <c r="A223" s="1962" t="s">
        <v>101</v>
      </c>
      <c r="B223" s="236">
        <v>1</v>
      </c>
      <c r="C223" s="239">
        <f>C6</f>
        <v>20</v>
      </c>
      <c r="D223" s="239">
        <f t="shared" ref="D223:F223" si="74">D6</f>
        <v>-0.2</v>
      </c>
      <c r="E223" s="239">
        <f t="shared" si="74"/>
        <v>0.2</v>
      </c>
      <c r="F223" s="239">
        <f t="shared" si="74"/>
        <v>0.2</v>
      </c>
      <c r="G223" s="177"/>
      <c r="H223" s="1963" t="s">
        <v>101</v>
      </c>
      <c r="I223" s="236">
        <v>1</v>
      </c>
      <c r="J223" s="239">
        <f>I6</f>
        <v>40</v>
      </c>
      <c r="K223" s="239">
        <f t="shared" ref="K223:M223" si="75">J50</f>
        <v>-7.2</v>
      </c>
      <c r="L223" s="239">
        <f t="shared" si="75"/>
        <v>-8</v>
      </c>
      <c r="M223" s="239">
        <f t="shared" si="75"/>
        <v>0.39999999999999991</v>
      </c>
      <c r="N223" s="177"/>
      <c r="O223" s="1964" t="s">
        <v>90</v>
      </c>
      <c r="P223" s="1965"/>
    </row>
    <row r="224" spans="1:17" ht="13" x14ac:dyDescent="0.3">
      <c r="A224" s="1962"/>
      <c r="B224" s="236">
        <v>2</v>
      </c>
      <c r="C224" s="239">
        <f>C17</f>
        <v>20</v>
      </c>
      <c r="D224" s="239">
        <f t="shared" ref="D224:F224" si="76">D17</f>
        <v>-0.1</v>
      </c>
      <c r="E224" s="239">
        <f t="shared" si="76"/>
        <v>0</v>
      </c>
      <c r="F224" s="239">
        <f t="shared" si="76"/>
        <v>0.05</v>
      </c>
      <c r="G224" s="177"/>
      <c r="H224" s="1963"/>
      <c r="I224" s="236">
        <v>2</v>
      </c>
      <c r="J224" s="239">
        <f>I17</f>
        <v>40</v>
      </c>
      <c r="K224" s="239">
        <f t="shared" ref="K224:M224" si="77">J17</f>
        <v>-1.6</v>
      </c>
      <c r="L224" s="239">
        <f t="shared" si="77"/>
        <v>-1.1000000000000001</v>
      </c>
      <c r="M224" s="239">
        <f t="shared" si="77"/>
        <v>0.25</v>
      </c>
      <c r="N224" s="177"/>
      <c r="O224" s="1966" t="s">
        <v>312</v>
      </c>
      <c r="P224" s="1967"/>
    </row>
    <row r="225" spans="1:15" ht="13" x14ac:dyDescent="0.3">
      <c r="A225" s="1962"/>
      <c r="B225" s="236">
        <v>3</v>
      </c>
      <c r="C225" s="237">
        <f>C28</f>
        <v>20</v>
      </c>
      <c r="D225" s="237">
        <f t="shared" ref="D225:F225" si="78">D28</f>
        <v>0</v>
      </c>
      <c r="E225" s="237">
        <f t="shared" si="78"/>
        <v>0</v>
      </c>
      <c r="F225" s="237">
        <f t="shared" si="78"/>
        <v>0</v>
      </c>
      <c r="G225" s="177"/>
      <c r="H225" s="1963"/>
      <c r="I225" s="236">
        <v>3</v>
      </c>
      <c r="J225" s="237">
        <f>I28</f>
        <v>40</v>
      </c>
      <c r="K225" s="237">
        <f t="shared" ref="K225:M225" si="79">J28</f>
        <v>-5.3</v>
      </c>
      <c r="L225" s="237">
        <f t="shared" si="79"/>
        <v>-1.9</v>
      </c>
      <c r="M225" s="237">
        <f t="shared" si="79"/>
        <v>1.7</v>
      </c>
      <c r="N225" s="177"/>
      <c r="O225" s="235">
        <v>1</v>
      </c>
    </row>
    <row r="226" spans="1:15" ht="13" x14ac:dyDescent="0.3">
      <c r="A226" s="1962"/>
      <c r="B226" s="236">
        <v>4</v>
      </c>
      <c r="C226" s="237">
        <f>C39</f>
        <v>20</v>
      </c>
      <c r="D226" s="237">
        <f t="shared" ref="D226:F226" si="80">D39</f>
        <v>-0.3</v>
      </c>
      <c r="E226" s="237">
        <f t="shared" si="80"/>
        <v>0</v>
      </c>
      <c r="F226" s="237">
        <f t="shared" si="80"/>
        <v>0.15</v>
      </c>
      <c r="G226" s="177"/>
      <c r="H226" s="1963"/>
      <c r="I226" s="236">
        <v>4</v>
      </c>
      <c r="J226" s="237">
        <f>I39</f>
        <v>40</v>
      </c>
      <c r="K226" s="237">
        <f t="shared" ref="K226:M226" si="81">J39</f>
        <v>-1.5</v>
      </c>
      <c r="L226" s="237">
        <f t="shared" si="81"/>
        <v>-0.9</v>
      </c>
      <c r="M226" s="237">
        <f t="shared" si="81"/>
        <v>0.3</v>
      </c>
      <c r="N226" s="177"/>
      <c r="O226" s="238">
        <v>2</v>
      </c>
    </row>
    <row r="227" spans="1:15" ht="13" x14ac:dyDescent="0.3">
      <c r="A227" s="1962"/>
      <c r="B227" s="236">
        <v>5</v>
      </c>
      <c r="C227" s="237">
        <f>C50</f>
        <v>20</v>
      </c>
      <c r="D227" s="237">
        <f t="shared" ref="D227:F227" si="82">D50</f>
        <v>0.1</v>
      </c>
      <c r="E227" s="237">
        <f t="shared" si="82"/>
        <v>0.3</v>
      </c>
      <c r="F227" s="237">
        <f t="shared" si="82"/>
        <v>9.9999999999999992E-2</v>
      </c>
      <c r="G227" s="177"/>
      <c r="H227" s="1963"/>
      <c r="I227" s="236">
        <v>5</v>
      </c>
      <c r="J227" s="237">
        <f>I50</f>
        <v>40</v>
      </c>
      <c r="K227" s="237">
        <f t="shared" ref="K227:M227" si="83">J50</f>
        <v>-7.2</v>
      </c>
      <c r="L227" s="237">
        <f t="shared" si="83"/>
        <v>-8</v>
      </c>
      <c r="M227" s="237">
        <f t="shared" si="83"/>
        <v>0.39999999999999991</v>
      </c>
      <c r="N227" s="177"/>
      <c r="O227" s="238">
        <v>3</v>
      </c>
    </row>
    <row r="228" spans="1:15" ht="13" x14ac:dyDescent="0.3">
      <c r="A228" s="1962"/>
      <c r="B228" s="236">
        <v>6</v>
      </c>
      <c r="C228" s="237">
        <f>C61</f>
        <v>20</v>
      </c>
      <c r="D228" s="237">
        <f t="shared" ref="D228:F228" si="84">D61</f>
        <v>0.3</v>
      </c>
      <c r="E228" s="237">
        <f t="shared" si="84"/>
        <v>0.2</v>
      </c>
      <c r="F228" s="237">
        <f t="shared" si="84"/>
        <v>4.9999999999999989E-2</v>
      </c>
      <c r="G228" s="177"/>
      <c r="H228" s="1963"/>
      <c r="I228" s="236">
        <v>6</v>
      </c>
      <c r="J228" s="237">
        <f>I61</f>
        <v>40</v>
      </c>
      <c r="K228" s="237">
        <f t="shared" ref="K228:M228" si="85">J61</f>
        <v>-3.8</v>
      </c>
      <c r="L228" s="237">
        <f t="shared" si="85"/>
        <v>-3.4</v>
      </c>
      <c r="M228" s="237">
        <f t="shared" si="85"/>
        <v>0.19999999999999996</v>
      </c>
      <c r="N228" s="177"/>
      <c r="O228" s="238">
        <v>4</v>
      </c>
    </row>
    <row r="229" spans="1:15" ht="13" x14ac:dyDescent="0.3">
      <c r="A229" s="1962"/>
      <c r="B229" s="236">
        <v>7</v>
      </c>
      <c r="C229" s="237">
        <f>C72</f>
        <v>20</v>
      </c>
      <c r="D229" s="237">
        <f t="shared" ref="D229:F229" si="86">D72</f>
        <v>0.1</v>
      </c>
      <c r="E229" s="237">
        <f t="shared" si="86"/>
        <v>0.1</v>
      </c>
      <c r="F229" s="237">
        <f t="shared" si="86"/>
        <v>0</v>
      </c>
      <c r="G229" s="177"/>
      <c r="H229" s="1963"/>
      <c r="I229" s="236">
        <v>7</v>
      </c>
      <c r="J229" s="237">
        <f>I72</f>
        <v>40</v>
      </c>
      <c r="K229" s="237">
        <f t="shared" ref="K229:M229" si="87">J72</f>
        <v>1.2</v>
      </c>
      <c r="L229" s="237">
        <f t="shared" si="87"/>
        <v>0</v>
      </c>
      <c r="M229" s="237">
        <f t="shared" si="87"/>
        <v>0.6</v>
      </c>
      <c r="N229" s="177"/>
      <c r="O229" s="238">
        <v>5</v>
      </c>
    </row>
    <row r="230" spans="1:15" ht="13" x14ac:dyDescent="0.3">
      <c r="A230" s="1962"/>
      <c r="B230" s="236">
        <v>8</v>
      </c>
      <c r="C230" s="237">
        <f>C83</f>
        <v>20</v>
      </c>
      <c r="D230" s="237">
        <f t="shared" ref="D230:F230" si="88">D83</f>
        <v>-0.2</v>
      </c>
      <c r="E230" s="237">
        <f t="shared" si="88"/>
        <v>-0.2</v>
      </c>
      <c r="F230" s="237">
        <f t="shared" si="88"/>
        <v>0</v>
      </c>
      <c r="G230" s="177"/>
      <c r="H230" s="1963"/>
      <c r="I230" s="236">
        <v>8</v>
      </c>
      <c r="J230" s="237">
        <f>I83</f>
        <v>40</v>
      </c>
      <c r="K230" s="237">
        <f t="shared" ref="K230:M230" si="89">J83</f>
        <v>-1.2</v>
      </c>
      <c r="L230" s="237">
        <f t="shared" si="89"/>
        <v>1.1000000000000001</v>
      </c>
      <c r="M230" s="237">
        <f t="shared" si="89"/>
        <v>1.1499999999999999</v>
      </c>
      <c r="N230" s="177"/>
      <c r="O230" s="235">
        <v>6</v>
      </c>
    </row>
    <row r="231" spans="1:15" ht="13" x14ac:dyDescent="0.3">
      <c r="A231" s="1962"/>
      <c r="B231" s="236">
        <v>9</v>
      </c>
      <c r="C231" s="237">
        <f>C94</f>
        <v>20</v>
      </c>
      <c r="D231" s="237">
        <f t="shared" ref="D231:F231" si="90">D94</f>
        <v>-0.2</v>
      </c>
      <c r="E231" s="237" t="str">
        <f t="shared" si="90"/>
        <v>-</v>
      </c>
      <c r="F231" s="237">
        <f t="shared" si="90"/>
        <v>0</v>
      </c>
      <c r="G231" s="177"/>
      <c r="H231" s="1963"/>
      <c r="I231" s="236">
        <v>9</v>
      </c>
      <c r="J231" s="237">
        <f>I94</f>
        <v>40</v>
      </c>
      <c r="K231" s="237">
        <f t="shared" ref="K231:M231" si="91">J94</f>
        <v>-1</v>
      </c>
      <c r="L231" s="237" t="str">
        <f t="shared" si="91"/>
        <v>-</v>
      </c>
      <c r="M231" s="237">
        <f t="shared" si="91"/>
        <v>0</v>
      </c>
      <c r="N231" s="177"/>
      <c r="O231" s="235">
        <v>7</v>
      </c>
    </row>
    <row r="232" spans="1:15" ht="13" x14ac:dyDescent="0.3">
      <c r="A232" s="1962"/>
      <c r="B232" s="236">
        <v>10</v>
      </c>
      <c r="C232" s="237">
        <f>C105</f>
        <v>20</v>
      </c>
      <c r="D232" s="237">
        <f t="shared" ref="D232:F232" si="92">D105</f>
        <v>0.2</v>
      </c>
      <c r="E232" s="237">
        <f t="shared" si="92"/>
        <v>-0.7</v>
      </c>
      <c r="F232" s="237">
        <f t="shared" si="92"/>
        <v>0.44999999999999996</v>
      </c>
      <c r="G232" s="177"/>
      <c r="H232" s="1963"/>
      <c r="I232" s="236">
        <v>10</v>
      </c>
      <c r="J232" s="237">
        <f>I105</f>
        <v>40</v>
      </c>
      <c r="K232" s="237">
        <f t="shared" ref="K232:M232" si="93">J105</f>
        <v>-3.3</v>
      </c>
      <c r="L232" s="237">
        <f t="shared" si="93"/>
        <v>-6.4</v>
      </c>
      <c r="M232" s="237">
        <f t="shared" si="93"/>
        <v>1.5500000000000003</v>
      </c>
      <c r="N232" s="177"/>
      <c r="O232" s="235">
        <v>8</v>
      </c>
    </row>
    <row r="233" spans="1:15" ht="13" x14ac:dyDescent="0.3">
      <c r="A233" s="1962"/>
      <c r="B233" s="236">
        <v>11</v>
      </c>
      <c r="C233" s="237">
        <f>C116</f>
        <v>20</v>
      </c>
      <c r="D233" s="237">
        <f t="shared" ref="D233:F233" si="94">D116</f>
        <v>0.4</v>
      </c>
      <c r="E233" s="237" t="str">
        <f t="shared" si="94"/>
        <v>-</v>
      </c>
      <c r="F233" s="237">
        <f t="shared" si="94"/>
        <v>0</v>
      </c>
      <c r="G233" s="177"/>
      <c r="H233" s="1963"/>
      <c r="I233" s="236">
        <v>11</v>
      </c>
      <c r="J233" s="237">
        <f>I116</f>
        <v>40</v>
      </c>
      <c r="K233" s="237">
        <f t="shared" ref="K233:M233" si="95">J116</f>
        <v>-5.5</v>
      </c>
      <c r="L233" s="237" t="str">
        <f t="shared" si="95"/>
        <v>-</v>
      </c>
      <c r="M233" s="237">
        <f t="shared" si="95"/>
        <v>0</v>
      </c>
      <c r="N233" s="177"/>
      <c r="O233" s="235">
        <v>9</v>
      </c>
    </row>
    <row r="234" spans="1:15" ht="13" x14ac:dyDescent="0.3">
      <c r="A234" s="1962"/>
      <c r="B234" s="236">
        <v>12</v>
      </c>
      <c r="C234" s="237">
        <f>C127</f>
        <v>20</v>
      </c>
      <c r="D234" s="237">
        <f t="shared" ref="D234:F234" si="96">D127</f>
        <v>-0.5</v>
      </c>
      <c r="E234" s="237" t="str">
        <f t="shared" si="96"/>
        <v>-</v>
      </c>
      <c r="F234" s="237">
        <f t="shared" si="96"/>
        <v>0</v>
      </c>
      <c r="G234" s="177"/>
      <c r="H234" s="1963"/>
      <c r="I234" s="236">
        <v>12</v>
      </c>
      <c r="J234" s="237">
        <f>I127</f>
        <v>40</v>
      </c>
      <c r="K234" s="237">
        <f t="shared" ref="K234:M234" si="97">J127</f>
        <v>-0.3</v>
      </c>
      <c r="L234" s="237" t="str">
        <f t="shared" si="97"/>
        <v>-</v>
      </c>
      <c r="M234" s="237">
        <f t="shared" si="97"/>
        <v>0</v>
      </c>
      <c r="N234" s="177"/>
      <c r="O234" s="235">
        <v>10</v>
      </c>
    </row>
    <row r="235" spans="1:15" ht="13" x14ac:dyDescent="0.3">
      <c r="A235" s="1962"/>
      <c r="B235" s="236">
        <v>13</v>
      </c>
      <c r="C235" s="237">
        <f>C138</f>
        <v>20</v>
      </c>
      <c r="D235" s="237">
        <f t="shared" ref="D235:F235" si="98">D138</f>
        <v>-0.1</v>
      </c>
      <c r="E235" s="237" t="str">
        <f t="shared" si="98"/>
        <v>-</v>
      </c>
      <c r="F235" s="237">
        <f t="shared" si="98"/>
        <v>0</v>
      </c>
      <c r="G235" s="177"/>
      <c r="H235" s="1963"/>
      <c r="I235" s="236">
        <v>13</v>
      </c>
      <c r="J235" s="237">
        <f>I138</f>
        <v>40</v>
      </c>
      <c r="K235" s="237">
        <f t="shared" ref="K235:M235" si="99">J138</f>
        <v>0.3</v>
      </c>
      <c r="L235" s="237" t="str">
        <f t="shared" si="99"/>
        <v>-</v>
      </c>
      <c r="M235" s="237">
        <f t="shared" si="99"/>
        <v>0</v>
      </c>
      <c r="N235" s="177"/>
      <c r="O235" s="235">
        <v>11</v>
      </c>
    </row>
    <row r="236" spans="1:15" ht="13" x14ac:dyDescent="0.3">
      <c r="A236" s="1962"/>
      <c r="B236" s="236">
        <v>14</v>
      </c>
      <c r="C236" s="237">
        <f>C149</f>
        <v>20</v>
      </c>
      <c r="D236" s="237">
        <f t="shared" ref="D236:F236" si="100">D149</f>
        <v>-0.4</v>
      </c>
      <c r="E236" s="237" t="str">
        <f t="shared" si="100"/>
        <v>-</v>
      </c>
      <c r="F236" s="237">
        <f t="shared" si="100"/>
        <v>0</v>
      </c>
      <c r="G236" s="177"/>
      <c r="H236" s="1963"/>
      <c r="I236" s="236">
        <v>14</v>
      </c>
      <c r="J236" s="237">
        <f>I149</f>
        <v>40</v>
      </c>
      <c r="K236" s="237">
        <f t="shared" ref="K236:M236" si="101">J149</f>
        <v>-1.3</v>
      </c>
      <c r="L236" s="237" t="str">
        <f t="shared" si="101"/>
        <v>-</v>
      </c>
      <c r="M236" s="237">
        <f t="shared" si="101"/>
        <v>0</v>
      </c>
      <c r="N236" s="177"/>
      <c r="O236" s="235">
        <v>12</v>
      </c>
    </row>
    <row r="237" spans="1:15" ht="13" x14ac:dyDescent="0.3">
      <c r="A237" s="1962"/>
      <c r="B237" s="236">
        <v>15</v>
      </c>
      <c r="C237" s="237">
        <f>C160</f>
        <v>20</v>
      </c>
      <c r="D237" s="237">
        <f t="shared" ref="D237:F237" si="102">D160</f>
        <v>0.1</v>
      </c>
      <c r="E237" s="237" t="str">
        <f t="shared" si="102"/>
        <v>-</v>
      </c>
      <c r="F237" s="237">
        <f t="shared" si="102"/>
        <v>0</v>
      </c>
      <c r="G237" s="177"/>
      <c r="H237" s="1963"/>
      <c r="I237" s="236">
        <v>15</v>
      </c>
      <c r="J237" s="237">
        <f>I160</f>
        <v>40</v>
      </c>
      <c r="K237" s="237">
        <f t="shared" ref="K237:M237" si="103">J160</f>
        <v>0.2</v>
      </c>
      <c r="L237" s="237" t="str">
        <f t="shared" si="103"/>
        <v>-</v>
      </c>
      <c r="M237" s="237">
        <f t="shared" si="103"/>
        <v>0</v>
      </c>
      <c r="N237" s="177"/>
      <c r="O237" s="235">
        <v>13</v>
      </c>
    </row>
    <row r="238" spans="1:15" ht="13" x14ac:dyDescent="0.3">
      <c r="A238" s="1962"/>
      <c r="B238" s="236">
        <v>16</v>
      </c>
      <c r="C238" s="237">
        <f>C171</f>
        <v>20</v>
      </c>
      <c r="D238" s="237">
        <f t="shared" ref="D238:F238" si="104">D171</f>
        <v>0.2</v>
      </c>
      <c r="E238" s="237" t="str">
        <f t="shared" si="104"/>
        <v>-</v>
      </c>
      <c r="F238" s="237">
        <f t="shared" si="104"/>
        <v>0</v>
      </c>
      <c r="G238" s="177"/>
      <c r="H238" s="1963"/>
      <c r="I238" s="236">
        <v>16</v>
      </c>
      <c r="J238" s="237">
        <f>I171</f>
        <v>40</v>
      </c>
      <c r="K238" s="237">
        <f t="shared" ref="K238:M238" si="105">J171</f>
        <v>-1.4</v>
      </c>
      <c r="L238" s="237" t="str">
        <f t="shared" si="105"/>
        <v>-</v>
      </c>
      <c r="M238" s="237">
        <f t="shared" si="105"/>
        <v>0</v>
      </c>
      <c r="N238" s="177"/>
      <c r="O238" s="235">
        <v>14</v>
      </c>
    </row>
    <row r="239" spans="1:15" ht="13" x14ac:dyDescent="0.3">
      <c r="A239" s="1962"/>
      <c r="B239" s="236">
        <v>17</v>
      </c>
      <c r="C239" s="237">
        <f>C182</f>
        <v>20</v>
      </c>
      <c r="D239" s="237">
        <f t="shared" ref="D239:F239" si="106">D182</f>
        <v>-0.1</v>
      </c>
      <c r="E239" s="237" t="str">
        <f t="shared" si="106"/>
        <v>-</v>
      </c>
      <c r="F239" s="237">
        <f t="shared" si="106"/>
        <v>0</v>
      </c>
      <c r="G239" s="177"/>
      <c r="H239" s="1963"/>
      <c r="I239" s="236">
        <v>17</v>
      </c>
      <c r="J239" s="237">
        <f>I182</f>
        <v>40</v>
      </c>
      <c r="K239" s="237">
        <f t="shared" ref="K239:M239" si="107">J182</f>
        <v>-0.2</v>
      </c>
      <c r="L239" s="237" t="str">
        <f t="shared" si="107"/>
        <v>-</v>
      </c>
      <c r="M239" s="237">
        <f t="shared" si="107"/>
        <v>0</v>
      </c>
      <c r="N239" s="177"/>
      <c r="O239" s="250">
        <v>15</v>
      </c>
    </row>
    <row r="240" spans="1:15" ht="13" x14ac:dyDescent="0.3">
      <c r="A240" s="1962"/>
      <c r="B240" s="236">
        <v>18</v>
      </c>
      <c r="C240" s="237">
        <f>C193</f>
        <v>20</v>
      </c>
      <c r="D240" s="237">
        <f t="shared" ref="D240:F240" si="108">D193</f>
        <v>9.9999999999999995E-7</v>
      </c>
      <c r="E240" s="237" t="str">
        <f t="shared" si="108"/>
        <v>-</v>
      </c>
      <c r="F240" s="237">
        <f t="shared" si="108"/>
        <v>0</v>
      </c>
      <c r="G240" s="177"/>
      <c r="H240" s="1963"/>
      <c r="I240" s="236">
        <v>18</v>
      </c>
      <c r="J240" s="237">
        <f>I193</f>
        <v>40</v>
      </c>
      <c r="K240" s="237">
        <f t="shared" ref="K240:M240" si="109">J193</f>
        <v>-0.1</v>
      </c>
      <c r="L240" s="237" t="str">
        <f t="shared" si="109"/>
        <v>-</v>
      </c>
      <c r="M240" s="237">
        <f t="shared" si="109"/>
        <v>0</v>
      </c>
      <c r="N240" s="177"/>
      <c r="O240" s="235">
        <v>16</v>
      </c>
    </row>
    <row r="241" spans="1:16" ht="13" x14ac:dyDescent="0.3">
      <c r="A241" s="243"/>
      <c r="B241" s="244"/>
      <c r="C241" s="251"/>
      <c r="D241" s="251"/>
      <c r="E241" s="251"/>
      <c r="F241" s="252"/>
      <c r="G241" s="247"/>
      <c r="H241" s="243"/>
      <c r="I241" s="244"/>
      <c r="J241" s="251"/>
      <c r="K241" s="251"/>
      <c r="L241" s="251"/>
      <c r="M241" s="252"/>
      <c r="N241" s="177"/>
      <c r="O241" s="250">
        <v>17</v>
      </c>
    </row>
    <row r="242" spans="1:16" ht="13" x14ac:dyDescent="0.3">
      <c r="A242" s="1962" t="s">
        <v>102</v>
      </c>
      <c r="B242" s="236">
        <v>1</v>
      </c>
      <c r="C242" s="237">
        <f>C7</f>
        <v>25</v>
      </c>
      <c r="D242" s="237">
        <f t="shared" ref="D242:F242" si="110">D7</f>
        <v>0</v>
      </c>
      <c r="E242" s="237">
        <f t="shared" si="110"/>
        <v>0.1</v>
      </c>
      <c r="F242" s="237">
        <f t="shared" si="110"/>
        <v>0.05</v>
      </c>
      <c r="G242" s="177"/>
      <c r="H242" s="1963" t="s">
        <v>102</v>
      </c>
      <c r="I242" s="236">
        <v>1</v>
      </c>
      <c r="J242" s="237">
        <f>I7</f>
        <v>50</v>
      </c>
      <c r="K242" s="237">
        <f t="shared" ref="K242:M242" si="111">J7</f>
        <v>-5.3</v>
      </c>
      <c r="L242" s="237">
        <f t="shared" si="111"/>
        <v>-7.2</v>
      </c>
      <c r="M242" s="237">
        <f t="shared" si="111"/>
        <v>0.95000000000000018</v>
      </c>
      <c r="N242" s="177"/>
      <c r="O242" s="235">
        <v>18</v>
      </c>
    </row>
    <row r="243" spans="1:16" ht="13" x14ac:dyDescent="0.3">
      <c r="A243" s="1962"/>
      <c r="B243" s="236">
        <v>2</v>
      </c>
      <c r="C243" s="237">
        <f>C18</f>
        <v>25</v>
      </c>
      <c r="D243" s="237">
        <f t="shared" ref="D243:F243" si="112">D18</f>
        <v>-0.2</v>
      </c>
      <c r="E243" s="237">
        <f t="shared" si="112"/>
        <v>-0.5</v>
      </c>
      <c r="F243" s="237">
        <f t="shared" si="112"/>
        <v>0.15</v>
      </c>
      <c r="G243" s="177"/>
      <c r="H243" s="1963"/>
      <c r="I243" s="236">
        <v>2</v>
      </c>
      <c r="J243" s="237">
        <f>I18</f>
        <v>50</v>
      </c>
      <c r="K243" s="237">
        <f t="shared" ref="K243:M243" si="113">J18</f>
        <v>-1.5</v>
      </c>
      <c r="L243" s="237">
        <f t="shared" si="113"/>
        <v>-1.4</v>
      </c>
      <c r="M243" s="237">
        <f t="shared" si="113"/>
        <v>5.0000000000000044E-2</v>
      </c>
      <c r="N243" s="177"/>
    </row>
    <row r="244" spans="1:16" ht="13" x14ac:dyDescent="0.3">
      <c r="A244" s="1962"/>
      <c r="B244" s="236">
        <v>3</v>
      </c>
      <c r="C244" s="237">
        <f>C29</f>
        <v>25</v>
      </c>
      <c r="D244" s="237">
        <f t="shared" ref="D244:F244" si="114">D29</f>
        <v>-0.1</v>
      </c>
      <c r="E244" s="237">
        <f t="shared" si="114"/>
        <v>-0.2</v>
      </c>
      <c r="F244" s="237">
        <f t="shared" si="114"/>
        <v>0.05</v>
      </c>
      <c r="G244" s="177"/>
      <c r="H244" s="1963"/>
      <c r="I244" s="236">
        <v>3</v>
      </c>
      <c r="J244" s="237">
        <f>I29</f>
        <v>50</v>
      </c>
      <c r="K244" s="237">
        <f t="shared" ref="K244:M244" si="115">J29</f>
        <v>-4.9000000000000004</v>
      </c>
      <c r="L244" s="237">
        <f t="shared" si="115"/>
        <v>-2.2999999999999998</v>
      </c>
      <c r="M244" s="237">
        <f t="shared" si="115"/>
        <v>1.3000000000000003</v>
      </c>
      <c r="N244" s="177"/>
      <c r="O244" s="177"/>
      <c r="P244" s="177"/>
    </row>
    <row r="245" spans="1:16" ht="13" x14ac:dyDescent="0.3">
      <c r="A245" s="1962"/>
      <c r="B245" s="236">
        <v>4</v>
      </c>
      <c r="C245" s="237">
        <f>C40</f>
        <v>25</v>
      </c>
      <c r="D245" s="237">
        <f t="shared" ref="D245:F245" si="116">D40</f>
        <v>-0.5</v>
      </c>
      <c r="E245" s="237">
        <f t="shared" si="116"/>
        <v>-0.5</v>
      </c>
      <c r="F245" s="237">
        <f t="shared" si="116"/>
        <v>0</v>
      </c>
      <c r="G245" s="177"/>
      <c r="H245" s="1963"/>
      <c r="I245" s="236">
        <v>4</v>
      </c>
      <c r="J245" s="237">
        <f>I40</f>
        <v>50</v>
      </c>
      <c r="K245" s="237">
        <f t="shared" ref="K245:M245" si="117">J40</f>
        <v>-1</v>
      </c>
      <c r="L245" s="237">
        <f t="shared" si="117"/>
        <v>-1</v>
      </c>
      <c r="M245" s="237">
        <f t="shared" si="117"/>
        <v>0</v>
      </c>
      <c r="N245" s="177"/>
      <c r="O245" s="177"/>
      <c r="P245" s="177"/>
    </row>
    <row r="246" spans="1:16" ht="13" x14ac:dyDescent="0.3">
      <c r="A246" s="1962"/>
      <c r="B246" s="236">
        <v>5</v>
      </c>
      <c r="C246" s="237">
        <f>C51</f>
        <v>25</v>
      </c>
      <c r="D246" s="237">
        <f t="shared" ref="D246:F246" si="118">D51</f>
        <v>0.4</v>
      </c>
      <c r="E246" s="237">
        <f t="shared" si="118"/>
        <v>0.2</v>
      </c>
      <c r="F246" s="237">
        <f t="shared" si="118"/>
        <v>0.1</v>
      </c>
      <c r="G246" s="177"/>
      <c r="H246" s="1963"/>
      <c r="I246" s="236">
        <v>5</v>
      </c>
      <c r="J246" s="237">
        <f>I51</f>
        <v>50</v>
      </c>
      <c r="K246" s="237">
        <f t="shared" ref="K246:M246" si="119">J51</f>
        <v>-6.2</v>
      </c>
      <c r="L246" s="237">
        <f t="shared" si="119"/>
        <v>-6.2</v>
      </c>
      <c r="M246" s="237">
        <f t="shared" si="119"/>
        <v>0</v>
      </c>
      <c r="N246" s="177"/>
      <c r="O246" s="177"/>
      <c r="P246" s="177"/>
    </row>
    <row r="247" spans="1:16" ht="13" x14ac:dyDescent="0.3">
      <c r="A247" s="1962"/>
      <c r="B247" s="236">
        <v>6</v>
      </c>
      <c r="C247" s="237">
        <f>C62</f>
        <v>25</v>
      </c>
      <c r="D247" s="237">
        <f t="shared" ref="D247:F247" si="120">D62</f>
        <v>0.2</v>
      </c>
      <c r="E247" s="237">
        <f t="shared" si="120"/>
        <v>-0.1</v>
      </c>
      <c r="F247" s="237">
        <f t="shared" si="120"/>
        <v>0.15000000000000002</v>
      </c>
      <c r="G247" s="177"/>
      <c r="H247" s="1963"/>
      <c r="I247" s="236">
        <v>6</v>
      </c>
      <c r="J247" s="237">
        <f>I62</f>
        <v>50</v>
      </c>
      <c r="K247" s="237">
        <f t="shared" ref="K247:M247" si="121">J62</f>
        <v>-5.4</v>
      </c>
      <c r="L247" s="237">
        <f t="shared" si="121"/>
        <v>-2.5</v>
      </c>
      <c r="M247" s="237">
        <f t="shared" si="121"/>
        <v>1.4500000000000002</v>
      </c>
      <c r="N247" s="177"/>
      <c r="O247" s="177"/>
      <c r="P247" s="177"/>
    </row>
    <row r="248" spans="1:16" ht="13" x14ac:dyDescent="0.3">
      <c r="A248" s="1962"/>
      <c r="B248" s="236">
        <v>7</v>
      </c>
      <c r="C248" s="237">
        <f>C73</f>
        <v>25</v>
      </c>
      <c r="D248" s="237">
        <f t="shared" ref="D248:F248" si="122">D73</f>
        <v>-0.2</v>
      </c>
      <c r="E248" s="237">
        <f t="shared" si="122"/>
        <v>9.9999999999999995E-7</v>
      </c>
      <c r="F248" s="237">
        <f t="shared" si="122"/>
        <v>0.10000050000000001</v>
      </c>
      <c r="G248" s="177"/>
      <c r="H248" s="1963"/>
      <c r="I248" s="236">
        <v>7</v>
      </c>
      <c r="J248" s="237">
        <f>I73</f>
        <v>50</v>
      </c>
      <c r="K248" s="237">
        <f t="shared" ref="K248:M248" si="123">J73</f>
        <v>0.8</v>
      </c>
      <c r="L248" s="237">
        <f t="shared" si="123"/>
        <v>0.6</v>
      </c>
      <c r="M248" s="237">
        <f t="shared" si="123"/>
        <v>0.10000000000000003</v>
      </c>
      <c r="N248" s="177"/>
      <c r="O248" s="177"/>
      <c r="P248" s="177"/>
    </row>
    <row r="249" spans="1:16" ht="13" x14ac:dyDescent="0.3">
      <c r="A249" s="1962"/>
      <c r="B249" s="236">
        <v>8</v>
      </c>
      <c r="C249" s="237">
        <f>C84</f>
        <v>25</v>
      </c>
      <c r="D249" s="237">
        <f t="shared" ref="D249:F249" si="124">D84</f>
        <v>-0.4</v>
      </c>
      <c r="E249" s="237">
        <f t="shared" si="124"/>
        <v>-0.2</v>
      </c>
      <c r="F249" s="237">
        <f t="shared" si="124"/>
        <v>0.1</v>
      </c>
      <c r="G249" s="177"/>
      <c r="H249" s="1963"/>
      <c r="I249" s="236">
        <v>8</v>
      </c>
      <c r="J249" s="237">
        <f>I84</f>
        <v>50</v>
      </c>
      <c r="K249" s="237">
        <f t="shared" ref="K249:M249" si="125">J84</f>
        <v>-1.2</v>
      </c>
      <c r="L249" s="237">
        <f t="shared" si="125"/>
        <v>1.3</v>
      </c>
      <c r="M249" s="237">
        <f t="shared" si="125"/>
        <v>1.25</v>
      </c>
      <c r="N249" s="177"/>
      <c r="O249" s="177"/>
      <c r="P249" s="177"/>
    </row>
    <row r="250" spans="1:16" ht="13" x14ac:dyDescent="0.3">
      <c r="A250" s="1962"/>
      <c r="B250" s="236">
        <v>9</v>
      </c>
      <c r="C250" s="237">
        <f>C95</f>
        <v>25</v>
      </c>
      <c r="D250" s="237">
        <f t="shared" ref="D250:F250" si="126">D95</f>
        <v>-0.4</v>
      </c>
      <c r="E250" s="237" t="str">
        <f t="shared" si="126"/>
        <v>-</v>
      </c>
      <c r="F250" s="237">
        <f t="shared" si="126"/>
        <v>0</v>
      </c>
      <c r="G250" s="177"/>
      <c r="H250" s="1963"/>
      <c r="I250" s="236">
        <v>9</v>
      </c>
      <c r="J250" s="237">
        <f>I95</f>
        <v>50</v>
      </c>
      <c r="K250" s="237">
        <f t="shared" ref="K250:M250" si="127">J95</f>
        <v>-0.9</v>
      </c>
      <c r="L250" s="237" t="str">
        <f t="shared" si="127"/>
        <v>-</v>
      </c>
      <c r="M250" s="237">
        <f t="shared" si="127"/>
        <v>0</v>
      </c>
      <c r="N250" s="177"/>
      <c r="O250" s="177"/>
      <c r="P250" s="177"/>
    </row>
    <row r="251" spans="1:16" ht="13" x14ac:dyDescent="0.3">
      <c r="A251" s="1962"/>
      <c r="B251" s="236">
        <v>10</v>
      </c>
      <c r="C251" s="237">
        <f>C106</f>
        <v>25</v>
      </c>
      <c r="D251" s="237">
        <f t="shared" ref="D251:F251" si="128">D106</f>
        <v>0.1</v>
      </c>
      <c r="E251" s="237">
        <f t="shared" si="128"/>
        <v>-0.5</v>
      </c>
      <c r="F251" s="237">
        <f t="shared" si="128"/>
        <v>0.3</v>
      </c>
      <c r="G251" s="177"/>
      <c r="H251" s="1963"/>
      <c r="I251" s="236">
        <v>10</v>
      </c>
      <c r="J251" s="237">
        <f>I106</f>
        <v>50</v>
      </c>
      <c r="K251" s="237">
        <f t="shared" ref="K251:M251" si="129">J106</f>
        <v>-3.1</v>
      </c>
      <c r="L251" s="237">
        <f t="shared" si="129"/>
        <v>-6.1</v>
      </c>
      <c r="M251" s="237">
        <f t="shared" si="129"/>
        <v>1.4999999999999998</v>
      </c>
      <c r="N251" s="177"/>
      <c r="O251" s="177"/>
      <c r="P251" s="177"/>
    </row>
    <row r="252" spans="1:16" ht="13" x14ac:dyDescent="0.3">
      <c r="A252" s="1962"/>
      <c r="B252" s="236">
        <v>11</v>
      </c>
      <c r="C252" s="237">
        <f>C117</f>
        <v>25</v>
      </c>
      <c r="D252" s="237">
        <f t="shared" ref="D252:F252" si="130">D117</f>
        <v>0.4</v>
      </c>
      <c r="E252" s="237" t="str">
        <f t="shared" si="130"/>
        <v>-</v>
      </c>
      <c r="F252" s="237">
        <f t="shared" si="130"/>
        <v>0</v>
      </c>
      <c r="G252" s="177"/>
      <c r="H252" s="1963"/>
      <c r="I252" s="236">
        <v>11</v>
      </c>
      <c r="J252" s="237">
        <f>I117</f>
        <v>50</v>
      </c>
      <c r="K252" s="237">
        <f t="shared" ref="K252:M252" si="131">J117</f>
        <v>-5.5</v>
      </c>
      <c r="L252" s="237" t="str">
        <f t="shared" si="131"/>
        <v>-</v>
      </c>
      <c r="M252" s="237">
        <f t="shared" si="131"/>
        <v>0</v>
      </c>
      <c r="N252" s="177"/>
      <c r="O252" s="177"/>
      <c r="P252" s="177"/>
    </row>
    <row r="253" spans="1:16" ht="13" x14ac:dyDescent="0.3">
      <c r="A253" s="1962"/>
      <c r="B253" s="236">
        <v>12</v>
      </c>
      <c r="C253" s="237">
        <f>C128</f>
        <v>25</v>
      </c>
      <c r="D253" s="237">
        <f t="shared" ref="D253:F253" si="132">D128</f>
        <v>-0.4</v>
      </c>
      <c r="E253" s="237" t="str">
        <f t="shared" si="132"/>
        <v>-</v>
      </c>
      <c r="F253" s="237">
        <f t="shared" si="132"/>
        <v>0</v>
      </c>
      <c r="G253" s="177"/>
      <c r="H253" s="1963"/>
      <c r="I253" s="236">
        <v>12</v>
      </c>
      <c r="J253" s="237">
        <f>I128</f>
        <v>50</v>
      </c>
      <c r="K253" s="237">
        <f t="shared" ref="K253:M253" si="133">J128</f>
        <v>-0.3</v>
      </c>
      <c r="L253" s="237" t="str">
        <f t="shared" si="133"/>
        <v>-</v>
      </c>
      <c r="M253" s="237">
        <f t="shared" si="133"/>
        <v>0</v>
      </c>
      <c r="N253" s="177"/>
      <c r="O253" s="177"/>
      <c r="P253" s="177"/>
    </row>
    <row r="254" spans="1:16" ht="13" x14ac:dyDescent="0.3">
      <c r="A254" s="1962"/>
      <c r="B254" s="236">
        <v>13</v>
      </c>
      <c r="C254" s="237">
        <f>C139</f>
        <v>25</v>
      </c>
      <c r="D254" s="237">
        <f t="shared" ref="D254:F254" si="134">D139</f>
        <v>-0.1</v>
      </c>
      <c r="E254" s="237" t="str">
        <f t="shared" si="134"/>
        <v>-</v>
      </c>
      <c r="F254" s="237">
        <f t="shared" si="134"/>
        <v>0</v>
      </c>
      <c r="G254" s="177"/>
      <c r="H254" s="1963"/>
      <c r="I254" s="236">
        <v>13</v>
      </c>
      <c r="J254" s="237">
        <f>I139</f>
        <v>50</v>
      </c>
      <c r="K254" s="237">
        <f t="shared" ref="K254:M254" si="135">J139</f>
        <v>-0.2</v>
      </c>
      <c r="L254" s="237" t="str">
        <f t="shared" si="135"/>
        <v>-</v>
      </c>
      <c r="M254" s="237">
        <f t="shared" si="135"/>
        <v>0</v>
      </c>
      <c r="N254" s="177"/>
      <c r="O254" s="177"/>
      <c r="P254" s="177"/>
    </row>
    <row r="255" spans="1:16" ht="13" x14ac:dyDescent="0.3">
      <c r="A255" s="1962"/>
      <c r="B255" s="236">
        <v>14</v>
      </c>
      <c r="C255" s="237">
        <f>C150</f>
        <v>25</v>
      </c>
      <c r="D255" s="237">
        <f t="shared" ref="D255:F255" si="136">D150</f>
        <v>-0.2</v>
      </c>
      <c r="E255" s="237" t="str">
        <f t="shared" si="136"/>
        <v>-</v>
      </c>
      <c r="F255" s="237">
        <f t="shared" si="136"/>
        <v>0</v>
      </c>
      <c r="G255" s="177"/>
      <c r="H255" s="1963"/>
      <c r="I255" s="236">
        <v>14</v>
      </c>
      <c r="J255" s="237">
        <f>I150</f>
        <v>50</v>
      </c>
      <c r="K255" s="237">
        <f t="shared" ref="K255:M255" si="137">J150</f>
        <v>-1.3</v>
      </c>
      <c r="L255" s="237" t="str">
        <f t="shared" si="137"/>
        <v>-</v>
      </c>
      <c r="M255" s="237">
        <f t="shared" si="137"/>
        <v>0</v>
      </c>
      <c r="N255" s="177"/>
      <c r="O255" s="177"/>
      <c r="P255" s="177"/>
    </row>
    <row r="256" spans="1:16" ht="13" x14ac:dyDescent="0.3">
      <c r="A256" s="1962"/>
      <c r="B256" s="236">
        <v>15</v>
      </c>
      <c r="C256" s="237">
        <f>C161</f>
        <v>25</v>
      </c>
      <c r="D256" s="237">
        <f t="shared" ref="D256:F256" si="138">D161</f>
        <v>9.9999999999999995E-7</v>
      </c>
      <c r="E256" s="237" t="str">
        <f t="shared" si="138"/>
        <v>-</v>
      </c>
      <c r="F256" s="237">
        <f t="shared" si="138"/>
        <v>0</v>
      </c>
      <c r="G256" s="177"/>
      <c r="H256" s="1963"/>
      <c r="I256" s="236">
        <v>15</v>
      </c>
      <c r="J256" s="237">
        <f>I161</f>
        <v>50</v>
      </c>
      <c r="K256" s="237">
        <f t="shared" ref="K256:M256" si="139">J161</f>
        <v>0.2</v>
      </c>
      <c r="L256" s="237" t="str">
        <f t="shared" si="139"/>
        <v>-</v>
      </c>
      <c r="M256" s="237">
        <f t="shared" si="139"/>
        <v>0</v>
      </c>
      <c r="N256" s="177"/>
      <c r="O256" s="177"/>
      <c r="P256" s="177"/>
    </row>
    <row r="257" spans="1:16" ht="13" x14ac:dyDescent="0.3">
      <c r="A257" s="1962"/>
      <c r="B257" s="236">
        <v>16</v>
      </c>
      <c r="C257" s="237">
        <f>C172</f>
        <v>25</v>
      </c>
      <c r="D257" s="237">
        <f t="shared" ref="D257:F257" si="140">D172</f>
        <v>0.2</v>
      </c>
      <c r="E257" s="237" t="str">
        <f t="shared" si="140"/>
        <v>-</v>
      </c>
      <c r="F257" s="237">
        <f t="shared" si="140"/>
        <v>0</v>
      </c>
      <c r="G257" s="177"/>
      <c r="H257" s="1963"/>
      <c r="I257" s="236">
        <v>16</v>
      </c>
      <c r="J257" s="237">
        <f>I172</f>
        <v>50</v>
      </c>
      <c r="K257" s="237">
        <f t="shared" ref="K257:M257" si="141">J172</f>
        <v>-1.4</v>
      </c>
      <c r="L257" s="237" t="str">
        <f t="shared" si="141"/>
        <v>-</v>
      </c>
      <c r="M257" s="237">
        <f t="shared" si="141"/>
        <v>0</v>
      </c>
      <c r="N257" s="177"/>
      <c r="O257" s="177"/>
      <c r="P257" s="177"/>
    </row>
    <row r="258" spans="1:16" ht="13" x14ac:dyDescent="0.3">
      <c r="A258" s="1962"/>
      <c r="B258" s="236">
        <v>17</v>
      </c>
      <c r="C258" s="237">
        <f>C183</f>
        <v>25</v>
      </c>
      <c r="D258" s="237">
        <f t="shared" ref="D258:F258" si="142">D183</f>
        <v>-0.2</v>
      </c>
      <c r="E258" s="237" t="str">
        <f t="shared" si="142"/>
        <v>-</v>
      </c>
      <c r="F258" s="237">
        <f t="shared" si="142"/>
        <v>0</v>
      </c>
      <c r="G258" s="177"/>
      <c r="H258" s="1963"/>
      <c r="I258" s="236">
        <v>17</v>
      </c>
      <c r="J258" s="237">
        <f>I183</f>
        <v>50</v>
      </c>
      <c r="K258" s="237">
        <f t="shared" ref="K258:M258" si="143">J183</f>
        <v>-0.2</v>
      </c>
      <c r="L258" s="237" t="str">
        <f t="shared" si="143"/>
        <v>-</v>
      </c>
      <c r="M258" s="237">
        <f t="shared" si="143"/>
        <v>0</v>
      </c>
      <c r="N258" s="177"/>
      <c r="O258" s="177"/>
      <c r="P258" s="177"/>
    </row>
    <row r="259" spans="1:16" ht="13" x14ac:dyDescent="0.3">
      <c r="A259" s="1962"/>
      <c r="B259" s="236">
        <v>18</v>
      </c>
      <c r="C259" s="237">
        <f>C194</f>
        <v>25</v>
      </c>
      <c r="D259" s="237">
        <f t="shared" ref="D259:F259" si="144">D194</f>
        <v>9.9999999999999995E-7</v>
      </c>
      <c r="E259" s="237" t="str">
        <f t="shared" si="144"/>
        <v>-</v>
      </c>
      <c r="F259" s="237">
        <f t="shared" si="144"/>
        <v>0</v>
      </c>
      <c r="G259" s="177"/>
      <c r="H259" s="1963"/>
      <c r="I259" s="236">
        <v>18</v>
      </c>
      <c r="J259" s="237">
        <f>I194</f>
        <v>50</v>
      </c>
      <c r="K259" s="237">
        <f t="shared" ref="K259:M259" si="145">J194</f>
        <v>0</v>
      </c>
      <c r="L259" s="237" t="str">
        <f t="shared" si="145"/>
        <v>-</v>
      </c>
      <c r="M259" s="237">
        <f t="shared" si="145"/>
        <v>0</v>
      </c>
      <c r="N259" s="177"/>
      <c r="O259" s="177"/>
      <c r="P259" s="177"/>
    </row>
    <row r="260" spans="1:16" ht="13" x14ac:dyDescent="0.3">
      <c r="A260" s="243"/>
      <c r="B260" s="244"/>
      <c r="C260" s="251"/>
      <c r="D260" s="251"/>
      <c r="E260" s="251"/>
      <c r="F260" s="252"/>
      <c r="G260" s="247"/>
      <c r="H260" s="243"/>
      <c r="I260" s="253"/>
      <c r="J260" s="251"/>
      <c r="K260" s="251"/>
      <c r="L260" s="251"/>
      <c r="M260" s="252"/>
      <c r="N260" s="177"/>
      <c r="O260" s="177"/>
      <c r="P260" s="177"/>
    </row>
    <row r="261" spans="1:16" ht="13" x14ac:dyDescent="0.3">
      <c r="A261" s="1962" t="s">
        <v>113</v>
      </c>
      <c r="B261" s="236">
        <v>1</v>
      </c>
      <c r="C261" s="237">
        <f>C8</f>
        <v>30</v>
      </c>
      <c r="D261" s="237">
        <f t="shared" ref="D261:F261" si="146">D8</f>
        <v>0</v>
      </c>
      <c r="E261" s="237">
        <f t="shared" si="146"/>
        <v>-0.2</v>
      </c>
      <c r="F261" s="237">
        <f t="shared" si="146"/>
        <v>0.1</v>
      </c>
      <c r="G261" s="177"/>
      <c r="H261" s="1963" t="s">
        <v>113</v>
      </c>
      <c r="I261" s="236">
        <v>1</v>
      </c>
      <c r="J261" s="237">
        <f>I8</f>
        <v>60</v>
      </c>
      <c r="K261" s="237">
        <f t="shared" ref="K261:M261" si="147">J8</f>
        <v>-4.4000000000000004</v>
      </c>
      <c r="L261" s="237">
        <f t="shared" si="147"/>
        <v>-5.2</v>
      </c>
      <c r="M261" s="237">
        <f t="shared" si="147"/>
        <v>0.39999999999999991</v>
      </c>
      <c r="N261" s="177"/>
      <c r="O261" s="177"/>
      <c r="P261" s="177"/>
    </row>
    <row r="262" spans="1:16" ht="13" x14ac:dyDescent="0.3">
      <c r="A262" s="1962"/>
      <c r="B262" s="236">
        <v>2</v>
      </c>
      <c r="C262" s="237">
        <f>C19</f>
        <v>30</v>
      </c>
      <c r="D262" s="237">
        <f t="shared" ref="D262:F262" si="148">D19</f>
        <v>-0.3</v>
      </c>
      <c r="E262" s="237">
        <f t="shared" si="148"/>
        <v>-1</v>
      </c>
      <c r="F262" s="237">
        <f t="shared" si="148"/>
        <v>0.35</v>
      </c>
      <c r="G262" s="177"/>
      <c r="H262" s="1963"/>
      <c r="I262" s="236">
        <v>2</v>
      </c>
      <c r="J262" s="237">
        <f>I19</f>
        <v>60</v>
      </c>
      <c r="K262" s="237">
        <f t="shared" ref="K262:M262" si="149">J19</f>
        <v>-1.3</v>
      </c>
      <c r="L262" s="237">
        <f t="shared" si="149"/>
        <v>-1.3</v>
      </c>
      <c r="M262" s="237">
        <f t="shared" si="149"/>
        <v>0</v>
      </c>
      <c r="N262" s="177"/>
      <c r="O262" s="177"/>
      <c r="P262" s="177"/>
    </row>
    <row r="263" spans="1:16" ht="13" x14ac:dyDescent="0.3">
      <c r="A263" s="1962"/>
      <c r="B263" s="236">
        <v>3</v>
      </c>
      <c r="C263" s="237">
        <f>C30</f>
        <v>30</v>
      </c>
      <c r="D263" s="237">
        <f t="shared" ref="D263:F263" si="150">D30</f>
        <v>-0.3</v>
      </c>
      <c r="E263" s="237">
        <f t="shared" si="150"/>
        <v>-0.3</v>
      </c>
      <c r="F263" s="237">
        <f t="shared" si="150"/>
        <v>0</v>
      </c>
      <c r="G263" s="177"/>
      <c r="H263" s="1963"/>
      <c r="I263" s="236">
        <v>3</v>
      </c>
      <c r="J263" s="237">
        <f>I30</f>
        <v>60</v>
      </c>
      <c r="K263" s="237">
        <f t="shared" ref="K263:M263" si="151">J30</f>
        <v>-4.3</v>
      </c>
      <c r="L263" s="237">
        <f t="shared" si="151"/>
        <v>-2.2000000000000002</v>
      </c>
      <c r="M263" s="237">
        <f t="shared" si="151"/>
        <v>1.0499999999999998</v>
      </c>
      <c r="N263" s="177"/>
      <c r="O263" s="177"/>
      <c r="P263" s="177"/>
    </row>
    <row r="264" spans="1:16" ht="13" x14ac:dyDescent="0.3">
      <c r="A264" s="1962"/>
      <c r="B264" s="236">
        <v>4</v>
      </c>
      <c r="C264" s="237">
        <f>C41</f>
        <v>30</v>
      </c>
      <c r="D264" s="237">
        <f t="shared" ref="D264:F264" si="152">D41</f>
        <v>-0.6</v>
      </c>
      <c r="E264" s="237">
        <f t="shared" si="152"/>
        <v>-1</v>
      </c>
      <c r="F264" s="237">
        <f t="shared" si="152"/>
        <v>0.2</v>
      </c>
      <c r="G264" s="177"/>
      <c r="H264" s="1963"/>
      <c r="I264" s="236">
        <v>4</v>
      </c>
      <c r="J264" s="237">
        <f>I41</f>
        <v>60</v>
      </c>
      <c r="K264" s="237">
        <f t="shared" ref="K264:M264" si="153">J41</f>
        <v>-0.3</v>
      </c>
      <c r="L264" s="237">
        <f t="shared" si="153"/>
        <v>-0.9</v>
      </c>
      <c r="M264" s="237">
        <f t="shared" si="153"/>
        <v>0.30000000000000004</v>
      </c>
      <c r="N264" s="177"/>
      <c r="O264" s="177"/>
      <c r="P264" s="177"/>
    </row>
    <row r="265" spans="1:16" ht="13" x14ac:dyDescent="0.3">
      <c r="A265" s="1962"/>
      <c r="B265" s="236">
        <v>5</v>
      </c>
      <c r="C265" s="237">
        <f>C52</f>
        <v>30</v>
      </c>
      <c r="D265" s="237">
        <f t="shared" ref="D265:F265" si="154">D52</f>
        <v>0.6</v>
      </c>
      <c r="E265" s="237">
        <f t="shared" si="154"/>
        <v>0.1</v>
      </c>
      <c r="F265" s="237">
        <f t="shared" si="154"/>
        <v>0.25</v>
      </c>
      <c r="G265" s="177"/>
      <c r="H265" s="1963"/>
      <c r="I265" s="236">
        <v>5</v>
      </c>
      <c r="J265" s="237">
        <f>I52</f>
        <v>60</v>
      </c>
      <c r="K265" s="237">
        <f t="shared" ref="K265:M265" si="155">J52</f>
        <v>-5.2</v>
      </c>
      <c r="L265" s="237">
        <f t="shared" si="155"/>
        <v>-4.2</v>
      </c>
      <c r="M265" s="237">
        <f t="shared" si="155"/>
        <v>0.5</v>
      </c>
      <c r="N265" s="177"/>
      <c r="O265" s="177"/>
      <c r="P265" s="177"/>
    </row>
    <row r="266" spans="1:16" ht="13" x14ac:dyDescent="0.3">
      <c r="A266" s="1962"/>
      <c r="B266" s="236">
        <v>6</v>
      </c>
      <c r="C266" s="237">
        <f>C63</f>
        <v>30</v>
      </c>
      <c r="D266" s="237">
        <f t="shared" ref="D266:F266" si="156">D63</f>
        <v>0.1</v>
      </c>
      <c r="E266" s="237">
        <f t="shared" si="156"/>
        <v>-0.5</v>
      </c>
      <c r="F266" s="237">
        <f t="shared" si="156"/>
        <v>0.3</v>
      </c>
      <c r="G266" s="177"/>
      <c r="H266" s="1963"/>
      <c r="I266" s="236">
        <v>6</v>
      </c>
      <c r="J266" s="237">
        <f>I63</f>
        <v>60</v>
      </c>
      <c r="K266" s="237">
        <f t="shared" ref="K266:M266" si="157">J63</f>
        <v>-6.4</v>
      </c>
      <c r="L266" s="237">
        <f t="shared" si="157"/>
        <v>-2</v>
      </c>
      <c r="M266" s="237">
        <f t="shared" si="157"/>
        <v>2.2000000000000002</v>
      </c>
      <c r="N266" s="177"/>
      <c r="O266" s="177"/>
      <c r="P266" s="177"/>
    </row>
    <row r="267" spans="1:16" ht="13" x14ac:dyDescent="0.3">
      <c r="A267" s="1962"/>
      <c r="B267" s="236">
        <v>7</v>
      </c>
      <c r="C267" s="237">
        <f>C74</f>
        <v>30</v>
      </c>
      <c r="D267" s="237">
        <f t="shared" ref="D267:F267" si="158">D74</f>
        <v>-0.6</v>
      </c>
      <c r="E267" s="237">
        <f t="shared" si="158"/>
        <v>-0.1</v>
      </c>
      <c r="F267" s="237">
        <f t="shared" si="158"/>
        <v>0.25</v>
      </c>
      <c r="G267" s="177"/>
      <c r="H267" s="1963"/>
      <c r="I267" s="236">
        <v>7</v>
      </c>
      <c r="J267" s="237">
        <f>I74</f>
        <v>60</v>
      </c>
      <c r="K267" s="237">
        <f t="shared" ref="K267:M267" si="159">J74</f>
        <v>0.7</v>
      </c>
      <c r="L267" s="237">
        <f t="shared" si="159"/>
        <v>1.5</v>
      </c>
      <c r="M267" s="237">
        <f t="shared" si="159"/>
        <v>0.4</v>
      </c>
      <c r="N267" s="177"/>
      <c r="O267" s="177"/>
      <c r="P267" s="177"/>
    </row>
    <row r="268" spans="1:16" ht="13" x14ac:dyDescent="0.3">
      <c r="A268" s="1962"/>
      <c r="B268" s="236">
        <v>8</v>
      </c>
      <c r="C268" s="237">
        <f>C85</f>
        <v>30</v>
      </c>
      <c r="D268" s="237">
        <f t="shared" ref="D268:F268" si="160">D85</f>
        <v>-0.4</v>
      </c>
      <c r="E268" s="237">
        <f t="shared" si="160"/>
        <v>-0.2</v>
      </c>
      <c r="F268" s="237">
        <f t="shared" si="160"/>
        <v>0.1</v>
      </c>
      <c r="G268" s="177"/>
      <c r="H268" s="1963"/>
      <c r="I268" s="236">
        <v>8</v>
      </c>
      <c r="J268" s="237">
        <f>I85</f>
        <v>60</v>
      </c>
      <c r="K268" s="237">
        <f t="shared" ref="K268:M268" si="161">J85</f>
        <v>-1.1000000000000001</v>
      </c>
      <c r="L268" s="237">
        <f t="shared" si="161"/>
        <v>1.7</v>
      </c>
      <c r="M268" s="237">
        <f t="shared" si="161"/>
        <v>1.4</v>
      </c>
      <c r="N268" s="177"/>
      <c r="O268" s="177"/>
      <c r="P268" s="177"/>
    </row>
    <row r="269" spans="1:16" ht="13" x14ac:dyDescent="0.3">
      <c r="A269" s="1962"/>
      <c r="B269" s="236">
        <v>9</v>
      </c>
      <c r="C269" s="237">
        <f>C96</f>
        <v>30</v>
      </c>
      <c r="D269" s="237">
        <f t="shared" ref="D269:F269" si="162">D96</f>
        <v>-0.5</v>
      </c>
      <c r="E269" s="237" t="str">
        <f t="shared" si="162"/>
        <v>-</v>
      </c>
      <c r="F269" s="237">
        <f t="shared" si="162"/>
        <v>0</v>
      </c>
      <c r="G269" s="177"/>
      <c r="H269" s="1963"/>
      <c r="I269" s="236">
        <v>9</v>
      </c>
      <c r="J269" s="237">
        <f>I96</f>
        <v>60</v>
      </c>
      <c r="K269" s="237">
        <f t="shared" ref="K269:M269" si="163">J96</f>
        <v>-0.8</v>
      </c>
      <c r="L269" s="237" t="str">
        <f t="shared" si="163"/>
        <v>-</v>
      </c>
      <c r="M269" s="237">
        <f t="shared" si="163"/>
        <v>0</v>
      </c>
      <c r="N269" s="177"/>
      <c r="O269" s="177"/>
      <c r="P269" s="177"/>
    </row>
    <row r="270" spans="1:16" ht="13" x14ac:dyDescent="0.3">
      <c r="A270" s="1962"/>
      <c r="B270" s="236">
        <v>10</v>
      </c>
      <c r="C270" s="237">
        <f>C107</f>
        <v>30</v>
      </c>
      <c r="D270" s="237">
        <f t="shared" ref="D270:F270" si="164">D107</f>
        <v>0.1</v>
      </c>
      <c r="E270" s="237">
        <f t="shared" si="164"/>
        <v>0.2</v>
      </c>
      <c r="F270" s="237">
        <f t="shared" si="164"/>
        <v>0.05</v>
      </c>
      <c r="G270" s="177"/>
      <c r="H270" s="1963"/>
      <c r="I270" s="236">
        <v>10</v>
      </c>
      <c r="J270" s="237">
        <f>I107</f>
        <v>60</v>
      </c>
      <c r="K270" s="237">
        <f t="shared" ref="K270:M270" si="165">J107</f>
        <v>-2.1</v>
      </c>
      <c r="L270" s="237">
        <f t="shared" si="165"/>
        <v>-5.6</v>
      </c>
      <c r="M270" s="237">
        <f t="shared" si="165"/>
        <v>1.7499999999999998</v>
      </c>
      <c r="N270" s="177"/>
      <c r="O270" s="177"/>
      <c r="P270" s="177"/>
    </row>
    <row r="271" spans="1:16" ht="13" x14ac:dyDescent="0.3">
      <c r="A271" s="1962"/>
      <c r="B271" s="236">
        <v>11</v>
      </c>
      <c r="C271" s="237">
        <f>C118</f>
        <v>30</v>
      </c>
      <c r="D271" s="237">
        <f t="shared" ref="D271:F271" si="166">D118</f>
        <v>0.5</v>
      </c>
      <c r="E271" s="237" t="str">
        <f t="shared" si="166"/>
        <v>-</v>
      </c>
      <c r="F271" s="237">
        <f t="shared" si="166"/>
        <v>0</v>
      </c>
      <c r="G271" s="177"/>
      <c r="H271" s="1963"/>
      <c r="I271" s="236">
        <v>11</v>
      </c>
      <c r="J271" s="237">
        <f>I118</f>
        <v>60</v>
      </c>
      <c r="K271" s="237">
        <f t="shared" ref="K271:M271" si="167">J118</f>
        <v>-4.8</v>
      </c>
      <c r="L271" s="237" t="str">
        <f t="shared" si="167"/>
        <v>-</v>
      </c>
      <c r="M271" s="237">
        <f t="shared" si="167"/>
        <v>0</v>
      </c>
      <c r="N271" s="177"/>
      <c r="O271" s="177"/>
      <c r="P271" s="177"/>
    </row>
    <row r="272" spans="1:16" ht="13" x14ac:dyDescent="0.3">
      <c r="A272" s="1962"/>
      <c r="B272" s="236">
        <v>12</v>
      </c>
      <c r="C272" s="237">
        <f>C129</f>
        <v>30</v>
      </c>
      <c r="D272" s="237">
        <f t="shared" ref="D272:F272" si="168">D129</f>
        <v>-0.2</v>
      </c>
      <c r="E272" s="237" t="str">
        <f t="shared" si="168"/>
        <v>-</v>
      </c>
      <c r="F272" s="237">
        <f t="shared" si="168"/>
        <v>0</v>
      </c>
      <c r="G272" s="177"/>
      <c r="H272" s="1963"/>
      <c r="I272" s="236">
        <v>12</v>
      </c>
      <c r="J272" s="237">
        <f>I129</f>
        <v>60</v>
      </c>
      <c r="K272" s="237">
        <f t="shared" ref="K272:M272" si="169">J129</f>
        <v>-0.5</v>
      </c>
      <c r="L272" s="237" t="str">
        <f t="shared" si="169"/>
        <v>-</v>
      </c>
      <c r="M272" s="237">
        <f t="shared" si="169"/>
        <v>0</v>
      </c>
      <c r="N272" s="177"/>
      <c r="O272" s="177"/>
      <c r="P272" s="177"/>
    </row>
    <row r="273" spans="1:16" ht="13" x14ac:dyDescent="0.3">
      <c r="A273" s="1962"/>
      <c r="B273" s="236">
        <v>13</v>
      </c>
      <c r="C273" s="237">
        <f>C140</f>
        <v>30</v>
      </c>
      <c r="D273" s="237">
        <f t="shared" ref="D273:F273" si="170">D140</f>
        <v>-0.3</v>
      </c>
      <c r="E273" s="237" t="str">
        <f t="shared" si="170"/>
        <v>-</v>
      </c>
      <c r="F273" s="237">
        <f t="shared" si="170"/>
        <v>0</v>
      </c>
      <c r="G273" s="177"/>
      <c r="H273" s="1963"/>
      <c r="I273" s="236">
        <v>13</v>
      </c>
      <c r="J273" s="237">
        <f>I140</f>
        <v>60</v>
      </c>
      <c r="K273" s="237">
        <f t="shared" ref="K273:M273" si="171">J140</f>
        <v>-0.6</v>
      </c>
      <c r="L273" s="237" t="str">
        <f t="shared" si="171"/>
        <v>-</v>
      </c>
      <c r="M273" s="237">
        <f t="shared" si="171"/>
        <v>0</v>
      </c>
      <c r="N273" s="177"/>
      <c r="O273" s="177"/>
      <c r="P273" s="177"/>
    </row>
    <row r="274" spans="1:16" ht="13" x14ac:dyDescent="0.3">
      <c r="A274" s="1962"/>
      <c r="B274" s="236">
        <v>14</v>
      </c>
      <c r="C274" s="237">
        <f>C151</f>
        <v>30</v>
      </c>
      <c r="D274" s="237">
        <f t="shared" ref="D274:F274" si="172">D151</f>
        <v>0.1</v>
      </c>
      <c r="E274" s="237" t="str">
        <f t="shared" si="172"/>
        <v>-</v>
      </c>
      <c r="F274" s="237">
        <f t="shared" si="172"/>
        <v>0</v>
      </c>
      <c r="G274" s="177"/>
      <c r="H274" s="1963"/>
      <c r="I274" s="236">
        <v>14</v>
      </c>
      <c r="J274" s="237">
        <f>I151</f>
        <v>60</v>
      </c>
      <c r="K274" s="237">
        <f t="shared" ref="K274:M274" si="173">J151</f>
        <v>-1.5</v>
      </c>
      <c r="L274" s="237" t="str">
        <f t="shared" si="173"/>
        <v>-</v>
      </c>
      <c r="M274" s="237">
        <f t="shared" si="173"/>
        <v>0</v>
      </c>
      <c r="N274" s="177"/>
      <c r="O274" s="177"/>
      <c r="P274" s="177"/>
    </row>
    <row r="275" spans="1:16" ht="13" x14ac:dyDescent="0.3">
      <c r="A275" s="1962"/>
      <c r="B275" s="236">
        <v>15</v>
      </c>
      <c r="C275" s="237">
        <f>C162</f>
        <v>30</v>
      </c>
      <c r="D275" s="237">
        <f t="shared" ref="D275:F275" si="174">D162</f>
        <v>-0.2</v>
      </c>
      <c r="E275" s="237" t="str">
        <f t="shared" si="174"/>
        <v>-</v>
      </c>
      <c r="F275" s="237">
        <f t="shared" si="174"/>
        <v>0</v>
      </c>
      <c r="G275" s="177"/>
      <c r="H275" s="1963"/>
      <c r="I275" s="236">
        <v>15</v>
      </c>
      <c r="J275" s="237">
        <f>I162</f>
        <v>60</v>
      </c>
      <c r="K275" s="237">
        <f t="shared" ref="K275:M275" si="175">J162</f>
        <v>0</v>
      </c>
      <c r="L275" s="237" t="str">
        <f t="shared" si="175"/>
        <v>-</v>
      </c>
      <c r="M275" s="237">
        <f t="shared" si="175"/>
        <v>0</v>
      </c>
      <c r="N275" s="177"/>
      <c r="O275" s="177"/>
      <c r="P275" s="177"/>
    </row>
    <row r="276" spans="1:16" ht="13" x14ac:dyDescent="0.3">
      <c r="A276" s="1962"/>
      <c r="B276" s="236">
        <v>16</v>
      </c>
      <c r="C276" s="237">
        <f>C173</f>
        <v>30</v>
      </c>
      <c r="D276" s="237">
        <f t="shared" ref="D276:F276" si="176">D173</f>
        <v>0.2</v>
      </c>
      <c r="E276" s="237" t="str">
        <f t="shared" si="176"/>
        <v>-</v>
      </c>
      <c r="F276" s="237">
        <f t="shared" si="176"/>
        <v>0</v>
      </c>
      <c r="G276" s="177"/>
      <c r="H276" s="1963"/>
      <c r="I276" s="236">
        <v>16</v>
      </c>
      <c r="J276" s="237">
        <f>I173</f>
        <v>60</v>
      </c>
      <c r="K276" s="237">
        <f t="shared" ref="K276:M276" si="177">J173</f>
        <v>-1.5</v>
      </c>
      <c r="L276" s="237" t="str">
        <f t="shared" si="177"/>
        <v>-</v>
      </c>
      <c r="M276" s="237">
        <f t="shared" si="177"/>
        <v>0</v>
      </c>
      <c r="N276" s="177"/>
      <c r="O276" s="177"/>
      <c r="P276" s="177"/>
    </row>
    <row r="277" spans="1:16" ht="13" x14ac:dyDescent="0.3">
      <c r="A277" s="1962"/>
      <c r="B277" s="236">
        <v>17</v>
      </c>
      <c r="C277" s="237">
        <f>C184</f>
        <v>30</v>
      </c>
      <c r="D277" s="237">
        <f t="shared" ref="D277:F277" si="178">D184</f>
        <v>-0.2</v>
      </c>
      <c r="E277" s="237" t="str">
        <f t="shared" si="178"/>
        <v>-</v>
      </c>
      <c r="F277" s="237">
        <f t="shared" si="178"/>
        <v>0</v>
      </c>
      <c r="G277" s="177"/>
      <c r="H277" s="1963"/>
      <c r="I277" s="236">
        <v>17</v>
      </c>
      <c r="J277" s="237">
        <f>I184</f>
        <v>60</v>
      </c>
      <c r="K277" s="237">
        <f t="shared" ref="K277:M277" si="179">J184</f>
        <v>-0.2</v>
      </c>
      <c r="L277" s="237" t="str">
        <f t="shared" si="179"/>
        <v>-</v>
      </c>
      <c r="M277" s="237">
        <f t="shared" si="179"/>
        <v>0</v>
      </c>
      <c r="N277" s="177"/>
      <c r="O277" s="177"/>
      <c r="P277" s="177"/>
    </row>
    <row r="278" spans="1:16" ht="13" x14ac:dyDescent="0.3">
      <c r="A278" s="1962"/>
      <c r="B278" s="236">
        <v>18</v>
      </c>
      <c r="C278" s="237">
        <f>C195</f>
        <v>30</v>
      </c>
      <c r="D278" s="237">
        <f t="shared" ref="D278:F278" si="180">D195</f>
        <v>-0.1</v>
      </c>
      <c r="E278" s="237" t="str">
        <f t="shared" si="180"/>
        <v>-</v>
      </c>
      <c r="F278" s="237">
        <f t="shared" si="180"/>
        <v>0</v>
      </c>
      <c r="G278" s="177"/>
      <c r="H278" s="1963"/>
      <c r="I278" s="236">
        <v>18</v>
      </c>
      <c r="J278" s="237">
        <f>I195</f>
        <v>60</v>
      </c>
      <c r="K278" s="237">
        <f t="shared" ref="K278:M278" si="181">J195</f>
        <v>0</v>
      </c>
      <c r="L278" s="237" t="str">
        <f t="shared" si="181"/>
        <v>-</v>
      </c>
      <c r="M278" s="237">
        <f t="shared" si="181"/>
        <v>0</v>
      </c>
      <c r="N278" s="177"/>
      <c r="O278" s="177"/>
      <c r="P278" s="177"/>
    </row>
    <row r="279" spans="1:16" ht="13" x14ac:dyDescent="0.3">
      <c r="A279" s="243"/>
      <c r="B279" s="244"/>
      <c r="C279" s="251"/>
      <c r="D279" s="251"/>
      <c r="E279" s="251"/>
      <c r="F279" s="252"/>
      <c r="G279" s="247"/>
      <c r="H279" s="243"/>
      <c r="I279" s="253"/>
      <c r="J279" s="251"/>
      <c r="K279" s="251"/>
      <c r="L279" s="251"/>
      <c r="M279" s="252"/>
      <c r="N279" s="177"/>
      <c r="O279" s="177"/>
      <c r="P279" s="177"/>
    </row>
    <row r="280" spans="1:16" ht="13" x14ac:dyDescent="0.3">
      <c r="A280" s="1962" t="s">
        <v>114</v>
      </c>
      <c r="B280" s="236">
        <v>1</v>
      </c>
      <c r="C280" s="237">
        <f>C9</f>
        <v>35</v>
      </c>
      <c r="D280" s="237">
        <f t="shared" ref="D280:F280" si="182">D9</f>
        <v>-0.1</v>
      </c>
      <c r="E280" s="237">
        <f t="shared" si="182"/>
        <v>-0.5</v>
      </c>
      <c r="F280" s="237">
        <f t="shared" si="182"/>
        <v>0.2</v>
      </c>
      <c r="G280" s="177"/>
      <c r="H280" s="1963" t="s">
        <v>114</v>
      </c>
      <c r="I280" s="236">
        <v>1</v>
      </c>
      <c r="J280" s="237">
        <f>I20</f>
        <v>70</v>
      </c>
      <c r="K280" s="237">
        <f t="shared" ref="K280:M280" si="183">J20</f>
        <v>-1.1000000000000001</v>
      </c>
      <c r="L280" s="237">
        <f t="shared" si="183"/>
        <v>-1</v>
      </c>
      <c r="M280" s="237">
        <f t="shared" si="183"/>
        <v>5.0000000000000044E-2</v>
      </c>
      <c r="N280" s="177"/>
      <c r="O280" s="177"/>
      <c r="P280" s="177"/>
    </row>
    <row r="281" spans="1:16" ht="13" x14ac:dyDescent="0.3">
      <c r="A281" s="1962"/>
      <c r="B281" s="236">
        <v>2</v>
      </c>
      <c r="C281" s="237">
        <f>C20</f>
        <v>35</v>
      </c>
      <c r="D281" s="237">
        <f t="shared" ref="D281:F281" si="184">D20</f>
        <v>-0.3</v>
      </c>
      <c r="E281" s="237">
        <f t="shared" si="184"/>
        <v>-1.6</v>
      </c>
      <c r="F281" s="237">
        <f t="shared" si="184"/>
        <v>0.65</v>
      </c>
      <c r="G281" s="177"/>
      <c r="H281" s="1963"/>
      <c r="I281" s="236">
        <v>2</v>
      </c>
      <c r="J281" s="237">
        <f>I20</f>
        <v>70</v>
      </c>
      <c r="K281" s="237">
        <f t="shared" ref="K281:M281" si="185">J20</f>
        <v>-1.1000000000000001</v>
      </c>
      <c r="L281" s="237">
        <f t="shared" si="185"/>
        <v>-1</v>
      </c>
      <c r="M281" s="237">
        <f t="shared" si="185"/>
        <v>5.0000000000000044E-2</v>
      </c>
      <c r="N281" s="177"/>
      <c r="O281" s="177"/>
      <c r="P281" s="177"/>
    </row>
    <row r="282" spans="1:16" ht="13" x14ac:dyDescent="0.3">
      <c r="A282" s="1962"/>
      <c r="B282" s="236">
        <v>3</v>
      </c>
      <c r="C282" s="237">
        <f>C31</f>
        <v>35</v>
      </c>
      <c r="D282" s="237">
        <f t="shared" ref="D282:F282" si="186">D31</f>
        <v>-0.5</v>
      </c>
      <c r="E282" s="237">
        <f t="shared" si="186"/>
        <v>-0.4</v>
      </c>
      <c r="F282" s="237">
        <f t="shared" si="186"/>
        <v>4.9999999999999989E-2</v>
      </c>
      <c r="G282" s="177"/>
      <c r="H282" s="1963"/>
      <c r="I282" s="236">
        <v>3</v>
      </c>
      <c r="J282" s="237">
        <f>I31</f>
        <v>70</v>
      </c>
      <c r="K282" s="237">
        <f t="shared" ref="K282:M282" si="187">J31</f>
        <v>-3.6</v>
      </c>
      <c r="L282" s="237">
        <f t="shared" si="187"/>
        <v>-1.6</v>
      </c>
      <c r="M282" s="237">
        <f t="shared" si="187"/>
        <v>1</v>
      </c>
      <c r="N282" s="177"/>
      <c r="O282" s="177"/>
      <c r="P282" s="177"/>
    </row>
    <row r="283" spans="1:16" ht="13" x14ac:dyDescent="0.3">
      <c r="A283" s="1962"/>
      <c r="B283" s="236">
        <v>4</v>
      </c>
      <c r="C283" s="237">
        <f>C42</f>
        <v>35</v>
      </c>
      <c r="D283" s="237">
        <f t="shared" ref="D283:F283" si="188">D42</f>
        <v>-0.6</v>
      </c>
      <c r="E283" s="237">
        <f t="shared" si="188"/>
        <v>-1.5</v>
      </c>
      <c r="F283" s="237">
        <f t="shared" si="188"/>
        <v>0.45</v>
      </c>
      <c r="G283" s="177"/>
      <c r="H283" s="1963"/>
      <c r="I283" s="236">
        <v>4</v>
      </c>
      <c r="J283" s="237">
        <f>I42</f>
        <v>70</v>
      </c>
      <c r="K283" s="237">
        <f t="shared" ref="K283:M283" si="189">J42</f>
        <v>0.7</v>
      </c>
      <c r="L283" s="237">
        <f t="shared" si="189"/>
        <v>-0.7</v>
      </c>
      <c r="M283" s="237">
        <f t="shared" si="189"/>
        <v>0.7</v>
      </c>
      <c r="N283" s="177"/>
      <c r="O283" s="177"/>
      <c r="P283" s="177"/>
    </row>
    <row r="284" spans="1:16" ht="13" x14ac:dyDescent="0.3">
      <c r="A284" s="1962"/>
      <c r="B284" s="236">
        <v>5</v>
      </c>
      <c r="C284" s="237">
        <f>C53</f>
        <v>35</v>
      </c>
      <c r="D284" s="237">
        <f t="shared" ref="D284:F284" si="190">D53</f>
        <v>0.7</v>
      </c>
      <c r="E284" s="237">
        <f t="shared" si="190"/>
        <v>0</v>
      </c>
      <c r="F284" s="237">
        <f t="shared" si="190"/>
        <v>0.35</v>
      </c>
      <c r="G284" s="177"/>
      <c r="H284" s="1963"/>
      <c r="I284" s="236">
        <v>5</v>
      </c>
      <c r="J284" s="237">
        <f>I53</f>
        <v>70</v>
      </c>
      <c r="K284" s="237">
        <f t="shared" ref="K284:M284" si="191">J53</f>
        <v>-4.0999999999999996</v>
      </c>
      <c r="L284" s="237">
        <f t="shared" si="191"/>
        <v>-2.1</v>
      </c>
      <c r="M284" s="237">
        <f t="shared" si="191"/>
        <v>0.99999999999999978</v>
      </c>
      <c r="N284" s="177"/>
      <c r="O284" s="177"/>
      <c r="P284" s="177"/>
    </row>
    <row r="285" spans="1:16" ht="13" x14ac:dyDescent="0.3">
      <c r="A285" s="1962"/>
      <c r="B285" s="236">
        <v>6</v>
      </c>
      <c r="C285" s="237">
        <f>C64</f>
        <v>35</v>
      </c>
      <c r="D285" s="237">
        <f t="shared" ref="D285:F285" si="192">D64</f>
        <v>0.1</v>
      </c>
      <c r="E285" s="237">
        <f t="shared" si="192"/>
        <v>-0.9</v>
      </c>
      <c r="F285" s="237">
        <f t="shared" si="192"/>
        <v>0.5</v>
      </c>
      <c r="G285" s="177"/>
      <c r="H285" s="1963"/>
      <c r="I285" s="236">
        <v>6</v>
      </c>
      <c r="J285" s="237">
        <f>I64</f>
        <v>70</v>
      </c>
      <c r="K285" s="237">
        <f t="shared" ref="K285:M285" si="193">J64</f>
        <v>-6.7</v>
      </c>
      <c r="L285" s="237">
        <f t="shared" si="193"/>
        <v>-2.1</v>
      </c>
      <c r="M285" s="237">
        <f t="shared" si="193"/>
        <v>2.2999999999999998</v>
      </c>
      <c r="N285" s="177"/>
      <c r="O285" s="177"/>
      <c r="P285" s="177"/>
    </row>
    <row r="286" spans="1:16" ht="13" x14ac:dyDescent="0.3">
      <c r="A286" s="1962"/>
      <c r="B286" s="236">
        <v>7</v>
      </c>
      <c r="C286" s="237">
        <f>C75</f>
        <v>35</v>
      </c>
      <c r="D286" s="237">
        <f t="shared" ref="D286:F286" si="194">D75</f>
        <v>-1.1000000000000001</v>
      </c>
      <c r="E286" s="237">
        <f t="shared" si="194"/>
        <v>-0.1</v>
      </c>
      <c r="F286" s="237">
        <f t="shared" si="194"/>
        <v>0.5</v>
      </c>
      <c r="G286" s="177"/>
      <c r="H286" s="1963"/>
      <c r="I286" s="236">
        <v>7</v>
      </c>
      <c r="J286" s="237">
        <f>I75</f>
        <v>70</v>
      </c>
      <c r="K286" s="237">
        <f t="shared" ref="K286:M286" si="195">J75</f>
        <v>0.9</v>
      </c>
      <c r="L286" s="237">
        <f t="shared" si="195"/>
        <v>2.8</v>
      </c>
      <c r="M286" s="237">
        <f t="shared" si="195"/>
        <v>0.95</v>
      </c>
      <c r="N286" s="177"/>
      <c r="O286" s="177"/>
      <c r="P286" s="177"/>
    </row>
    <row r="287" spans="1:16" ht="13" x14ac:dyDescent="0.3">
      <c r="A287" s="1962"/>
      <c r="B287" s="236">
        <v>8</v>
      </c>
      <c r="C287" s="237">
        <f>C86</f>
        <v>35</v>
      </c>
      <c r="D287" s="237">
        <f t="shared" ref="D287:F287" si="196">D86</f>
        <v>-0.5</v>
      </c>
      <c r="E287" s="237">
        <f t="shared" si="196"/>
        <v>-0.3</v>
      </c>
      <c r="F287" s="237">
        <f t="shared" si="196"/>
        <v>0.1</v>
      </c>
      <c r="G287" s="177"/>
      <c r="H287" s="1963"/>
      <c r="I287" s="236">
        <v>8</v>
      </c>
      <c r="J287" s="237">
        <f>I86</f>
        <v>70</v>
      </c>
      <c r="K287" s="237">
        <f t="shared" ref="K287:M287" si="197">J86</f>
        <v>-1.2</v>
      </c>
      <c r="L287" s="237">
        <f t="shared" si="197"/>
        <v>2.1</v>
      </c>
      <c r="M287" s="237">
        <f t="shared" si="197"/>
        <v>1.65</v>
      </c>
      <c r="N287" s="177"/>
      <c r="O287" s="177"/>
      <c r="P287" s="177"/>
    </row>
    <row r="288" spans="1:16" ht="13" x14ac:dyDescent="0.3">
      <c r="A288" s="1962"/>
      <c r="B288" s="236">
        <v>9</v>
      </c>
      <c r="C288" s="237">
        <f>C97</f>
        <v>35</v>
      </c>
      <c r="D288" s="237">
        <f t="shared" ref="D288:F288" si="198">D97</f>
        <v>-0.5</v>
      </c>
      <c r="E288" s="237" t="str">
        <f t="shared" si="198"/>
        <v>-</v>
      </c>
      <c r="F288" s="237">
        <f t="shared" si="198"/>
        <v>0</v>
      </c>
      <c r="G288" s="177"/>
      <c r="H288" s="1963"/>
      <c r="I288" s="236">
        <v>9</v>
      </c>
      <c r="J288" s="237">
        <f>I97</f>
        <v>70</v>
      </c>
      <c r="K288" s="237">
        <f t="shared" ref="K288:M288" si="199">J97</f>
        <v>-0.6</v>
      </c>
      <c r="L288" s="237" t="str">
        <f t="shared" si="199"/>
        <v>-</v>
      </c>
      <c r="M288" s="237">
        <f t="shared" si="199"/>
        <v>0</v>
      </c>
      <c r="N288" s="177"/>
      <c r="O288" s="177"/>
      <c r="P288" s="177"/>
    </row>
    <row r="289" spans="1:16" ht="13" x14ac:dyDescent="0.3">
      <c r="A289" s="1962"/>
      <c r="B289" s="236">
        <v>10</v>
      </c>
      <c r="C289" s="237">
        <f>C108</f>
        <v>35</v>
      </c>
      <c r="D289" s="237">
        <f t="shared" ref="D289:F289" si="200">D108</f>
        <v>0.2</v>
      </c>
      <c r="E289" s="237">
        <f t="shared" si="200"/>
        <v>0.8</v>
      </c>
      <c r="F289" s="237">
        <f t="shared" si="200"/>
        <v>0.30000000000000004</v>
      </c>
      <c r="G289" s="177"/>
      <c r="H289" s="1963"/>
      <c r="I289" s="236">
        <v>10</v>
      </c>
      <c r="J289" s="237">
        <f>I108</f>
        <v>70</v>
      </c>
      <c r="K289" s="237">
        <f t="shared" ref="K289:M289" si="201">J108</f>
        <v>-0.3</v>
      </c>
      <c r="L289" s="237">
        <f t="shared" si="201"/>
        <v>-5.0999999999999996</v>
      </c>
      <c r="M289" s="237">
        <f t="shared" si="201"/>
        <v>2.4</v>
      </c>
      <c r="N289" s="177"/>
      <c r="O289" s="177"/>
      <c r="P289" s="177"/>
    </row>
    <row r="290" spans="1:16" ht="13" x14ac:dyDescent="0.3">
      <c r="A290" s="1962"/>
      <c r="B290" s="236">
        <v>11</v>
      </c>
      <c r="C290" s="237">
        <f>C119</f>
        <v>35</v>
      </c>
      <c r="D290" s="237">
        <f t="shared" ref="D290:F290" si="202">D119</f>
        <v>0.5</v>
      </c>
      <c r="E290" s="237" t="str">
        <f t="shared" si="202"/>
        <v>-</v>
      </c>
      <c r="F290" s="237">
        <f t="shared" si="202"/>
        <v>0</v>
      </c>
      <c r="G290" s="177"/>
      <c r="H290" s="1963"/>
      <c r="I290" s="236">
        <v>11</v>
      </c>
      <c r="J290" s="237">
        <f>I119</f>
        <v>70</v>
      </c>
      <c r="K290" s="237">
        <f t="shared" ref="K290:M290" si="203">J119</f>
        <v>-3.4</v>
      </c>
      <c r="L290" s="237" t="str">
        <f t="shared" si="203"/>
        <v>-</v>
      </c>
      <c r="M290" s="237">
        <f t="shared" si="203"/>
        <v>0</v>
      </c>
      <c r="N290" s="177"/>
      <c r="O290" s="177"/>
      <c r="P290" s="177"/>
    </row>
    <row r="291" spans="1:16" ht="13" x14ac:dyDescent="0.3">
      <c r="A291" s="1962"/>
      <c r="B291" s="236">
        <v>12</v>
      </c>
      <c r="C291" s="237">
        <f>C130</f>
        <v>35</v>
      </c>
      <c r="D291" s="237">
        <f t="shared" ref="D291:F291" si="204">D130</f>
        <v>-0.1</v>
      </c>
      <c r="E291" s="237" t="str">
        <f t="shared" si="204"/>
        <v>-</v>
      </c>
      <c r="F291" s="237">
        <f t="shared" si="204"/>
        <v>0</v>
      </c>
      <c r="G291" s="177"/>
      <c r="H291" s="1963"/>
      <c r="I291" s="236">
        <v>12</v>
      </c>
      <c r="J291" s="237">
        <f>I130</f>
        <v>70</v>
      </c>
      <c r="K291" s="237">
        <f t="shared" ref="K291:M291" si="205">J130</f>
        <v>-0.8</v>
      </c>
      <c r="L291" s="237" t="str">
        <f t="shared" si="205"/>
        <v>-</v>
      </c>
      <c r="M291" s="237">
        <f t="shared" si="205"/>
        <v>0</v>
      </c>
      <c r="N291" s="177"/>
      <c r="O291" s="177"/>
      <c r="P291" s="177"/>
    </row>
    <row r="292" spans="1:16" ht="13" x14ac:dyDescent="0.3">
      <c r="A292" s="1962"/>
      <c r="B292" s="236">
        <v>13</v>
      </c>
      <c r="C292" s="237">
        <f>C141</f>
        <v>35</v>
      </c>
      <c r="D292" s="237">
        <f t="shared" ref="D292:F292" si="206">D141</f>
        <v>-0.6</v>
      </c>
      <c r="E292" s="237" t="str">
        <f t="shared" si="206"/>
        <v>-</v>
      </c>
      <c r="F292" s="237">
        <f t="shared" si="206"/>
        <v>0</v>
      </c>
      <c r="G292" s="177"/>
      <c r="H292" s="1963"/>
      <c r="I292" s="236">
        <v>13</v>
      </c>
      <c r="J292" s="237">
        <f>I141</f>
        <v>70</v>
      </c>
      <c r="K292" s="237">
        <f t="shared" ref="K292:M292" si="207">J141</f>
        <v>-0.8</v>
      </c>
      <c r="L292" s="237" t="str">
        <f t="shared" si="207"/>
        <v>-</v>
      </c>
      <c r="M292" s="237">
        <f t="shared" si="207"/>
        <v>0</v>
      </c>
      <c r="N292" s="177"/>
      <c r="O292" s="177"/>
      <c r="P292" s="177"/>
    </row>
    <row r="293" spans="1:16" ht="13" x14ac:dyDescent="0.3">
      <c r="A293" s="1962"/>
      <c r="B293" s="236">
        <v>14</v>
      </c>
      <c r="C293" s="237">
        <f>C152</f>
        <v>35</v>
      </c>
      <c r="D293" s="237">
        <f t="shared" ref="D293:F293" si="208">D152</f>
        <v>0.3</v>
      </c>
      <c r="E293" s="237" t="str">
        <f t="shared" si="208"/>
        <v>-</v>
      </c>
      <c r="F293" s="237">
        <f t="shared" si="208"/>
        <v>0</v>
      </c>
      <c r="G293" s="177"/>
      <c r="H293" s="1963"/>
      <c r="I293" s="236">
        <v>14</v>
      </c>
      <c r="J293" s="237">
        <f>I152</f>
        <v>70</v>
      </c>
      <c r="K293" s="237">
        <f t="shared" ref="K293:M293" si="209">J152</f>
        <v>-1.9</v>
      </c>
      <c r="L293" s="237" t="str">
        <f t="shared" si="209"/>
        <v>-</v>
      </c>
      <c r="M293" s="237">
        <f t="shared" si="209"/>
        <v>0</v>
      </c>
      <c r="N293" s="177"/>
      <c r="O293" s="177"/>
      <c r="P293" s="177"/>
    </row>
    <row r="294" spans="1:16" ht="13" x14ac:dyDescent="0.3">
      <c r="A294" s="1962"/>
      <c r="B294" s="236">
        <v>15</v>
      </c>
      <c r="C294" s="237">
        <f>C163</f>
        <v>35</v>
      </c>
      <c r="D294" s="237">
        <f t="shared" ref="D294:F294" si="210">D163</f>
        <v>-0.5</v>
      </c>
      <c r="E294" s="237" t="str">
        <f t="shared" si="210"/>
        <v>-</v>
      </c>
      <c r="F294" s="237">
        <f t="shared" si="210"/>
        <v>0</v>
      </c>
      <c r="G294" s="177"/>
      <c r="H294" s="1963"/>
      <c r="I294" s="236">
        <v>15</v>
      </c>
      <c r="J294" s="237">
        <f>I163</f>
        <v>70</v>
      </c>
      <c r="K294" s="237">
        <f t="shared" ref="K294:M294" si="211">J163</f>
        <v>-0.3</v>
      </c>
      <c r="L294" s="237" t="str">
        <f t="shared" si="211"/>
        <v>-</v>
      </c>
      <c r="M294" s="237">
        <f t="shared" si="211"/>
        <v>0</v>
      </c>
      <c r="N294" s="177"/>
      <c r="O294" s="177"/>
      <c r="P294" s="177"/>
    </row>
    <row r="295" spans="1:16" ht="13" x14ac:dyDescent="0.3">
      <c r="A295" s="1962"/>
      <c r="B295" s="236">
        <v>16</v>
      </c>
      <c r="C295" s="237">
        <f>C174</f>
        <v>35</v>
      </c>
      <c r="D295" s="237">
        <f t="shared" ref="D295:F295" si="212">D174</f>
        <v>0.1</v>
      </c>
      <c r="E295" s="237" t="str">
        <f t="shared" si="212"/>
        <v>-</v>
      </c>
      <c r="F295" s="237">
        <f t="shared" si="212"/>
        <v>0</v>
      </c>
      <c r="G295" s="177"/>
      <c r="H295" s="1963"/>
      <c r="I295" s="236">
        <v>16</v>
      </c>
      <c r="J295" s="237">
        <f>I174</f>
        <v>70</v>
      </c>
      <c r="K295" s="237">
        <f t="shared" ref="K295:M295" si="213">J174</f>
        <v>-1.8</v>
      </c>
      <c r="L295" s="237" t="str">
        <f t="shared" si="213"/>
        <v>-</v>
      </c>
      <c r="M295" s="237">
        <f t="shared" si="213"/>
        <v>0</v>
      </c>
      <c r="N295" s="177"/>
      <c r="O295" s="177"/>
      <c r="P295" s="177"/>
    </row>
    <row r="296" spans="1:16" ht="13" x14ac:dyDescent="0.3">
      <c r="A296" s="1962"/>
      <c r="B296" s="236">
        <v>17</v>
      </c>
      <c r="C296" s="237">
        <f>C185</f>
        <v>35</v>
      </c>
      <c r="D296" s="237">
        <f t="shared" ref="D296:F296" si="214">D185</f>
        <v>-0.3</v>
      </c>
      <c r="E296" s="237" t="str">
        <f t="shared" si="214"/>
        <v>-</v>
      </c>
      <c r="F296" s="237">
        <f t="shared" si="214"/>
        <v>0</v>
      </c>
      <c r="G296" s="177"/>
      <c r="H296" s="1963"/>
      <c r="I296" s="236">
        <v>17</v>
      </c>
      <c r="J296" s="237">
        <f>I185</f>
        <v>70</v>
      </c>
      <c r="K296" s="237">
        <f t="shared" ref="K296:M296" si="215">J185</f>
        <v>-0.3</v>
      </c>
      <c r="L296" s="237" t="str">
        <f t="shared" si="215"/>
        <v>-</v>
      </c>
      <c r="M296" s="237">
        <f t="shared" si="215"/>
        <v>0</v>
      </c>
      <c r="N296" s="177"/>
      <c r="O296" s="177"/>
      <c r="P296" s="177"/>
    </row>
    <row r="297" spans="1:16" ht="13" x14ac:dyDescent="0.3">
      <c r="A297" s="1962"/>
      <c r="B297" s="236">
        <v>18</v>
      </c>
      <c r="C297" s="237">
        <f>C196</f>
        <v>35</v>
      </c>
      <c r="D297" s="237">
        <f t="shared" ref="D297:F297" si="216">D196</f>
        <v>-0.2</v>
      </c>
      <c r="E297" s="237" t="str">
        <f t="shared" si="216"/>
        <v>-</v>
      </c>
      <c r="F297" s="237">
        <f t="shared" si="216"/>
        <v>0</v>
      </c>
      <c r="G297" s="177"/>
      <c r="H297" s="1963"/>
      <c r="I297" s="236">
        <v>18</v>
      </c>
      <c r="J297" s="237">
        <f>I196</f>
        <v>70</v>
      </c>
      <c r="K297" s="237">
        <f t="shared" ref="K297:M297" si="217">J196</f>
        <v>-0.1</v>
      </c>
      <c r="L297" s="237" t="str">
        <f t="shared" si="217"/>
        <v>-</v>
      </c>
      <c r="M297" s="237">
        <f t="shared" si="217"/>
        <v>0</v>
      </c>
      <c r="N297" s="177"/>
      <c r="O297" s="177"/>
      <c r="P297" s="177"/>
    </row>
    <row r="298" spans="1:16" ht="13" x14ac:dyDescent="0.3">
      <c r="A298" s="243"/>
      <c r="B298" s="244"/>
      <c r="C298" s="251"/>
      <c r="D298" s="251"/>
      <c r="E298" s="251"/>
      <c r="F298" s="252"/>
      <c r="G298" s="247"/>
      <c r="H298" s="243"/>
      <c r="I298" s="244"/>
      <c r="J298" s="251"/>
      <c r="K298" s="251"/>
      <c r="L298" s="251"/>
      <c r="M298" s="252"/>
      <c r="N298" s="177"/>
      <c r="O298" s="177"/>
      <c r="P298" s="177"/>
    </row>
    <row r="299" spans="1:16" ht="13" x14ac:dyDescent="0.3">
      <c r="A299" s="1962" t="s">
        <v>115</v>
      </c>
      <c r="B299" s="236">
        <v>1</v>
      </c>
      <c r="C299" s="237">
        <f>C10</f>
        <v>37</v>
      </c>
      <c r="D299" s="237">
        <f t="shared" ref="D299:F299" si="218">D10</f>
        <v>-0.2</v>
      </c>
      <c r="E299" s="237">
        <f t="shared" si="218"/>
        <v>-0.6</v>
      </c>
      <c r="F299" s="237">
        <f t="shared" si="218"/>
        <v>0.19999999999999998</v>
      </c>
      <c r="G299" s="177"/>
      <c r="H299" s="1963" t="s">
        <v>115</v>
      </c>
      <c r="I299" s="236">
        <v>1</v>
      </c>
      <c r="J299" s="237">
        <f>I10</f>
        <v>80</v>
      </c>
      <c r="K299" s="237">
        <f t="shared" ref="K299:M299" si="219">J10</f>
        <v>-1.6</v>
      </c>
      <c r="L299" s="237">
        <f t="shared" si="219"/>
        <v>0.7</v>
      </c>
      <c r="M299" s="237">
        <f t="shared" si="219"/>
        <v>1.1499999999999999</v>
      </c>
      <c r="N299" s="177"/>
      <c r="O299" s="177"/>
      <c r="P299" s="177"/>
    </row>
    <row r="300" spans="1:16" ht="13" x14ac:dyDescent="0.3">
      <c r="A300" s="1962"/>
      <c r="B300" s="236">
        <v>2</v>
      </c>
      <c r="C300" s="237">
        <f>C21</f>
        <v>37</v>
      </c>
      <c r="D300" s="237">
        <f t="shared" ref="D300:F300" si="220">D21</f>
        <v>-0.3</v>
      </c>
      <c r="E300" s="237">
        <f t="shared" si="220"/>
        <v>-1.8</v>
      </c>
      <c r="F300" s="237">
        <f t="shared" si="220"/>
        <v>0.75</v>
      </c>
      <c r="G300" s="177"/>
      <c r="H300" s="1963"/>
      <c r="I300" s="236">
        <v>2</v>
      </c>
      <c r="J300" s="237">
        <f>I21</f>
        <v>80</v>
      </c>
      <c r="K300" s="237">
        <f t="shared" ref="K300:M300" si="221">J21</f>
        <v>-0.7</v>
      </c>
      <c r="L300" s="237">
        <f t="shared" si="221"/>
        <v>-0.4</v>
      </c>
      <c r="M300" s="237">
        <f t="shared" si="221"/>
        <v>0.14999999999999997</v>
      </c>
      <c r="N300" s="177"/>
      <c r="O300" s="177"/>
      <c r="P300" s="177"/>
    </row>
    <row r="301" spans="1:16" ht="13" x14ac:dyDescent="0.3">
      <c r="A301" s="1962"/>
      <c r="B301" s="236">
        <v>3</v>
      </c>
      <c r="C301" s="237">
        <f>C32</f>
        <v>37</v>
      </c>
      <c r="D301" s="237">
        <f t="shared" ref="D301:F301" si="222">D32</f>
        <v>-0.6</v>
      </c>
      <c r="E301" s="237">
        <f t="shared" si="222"/>
        <v>-0.5</v>
      </c>
      <c r="F301" s="237">
        <f t="shared" si="222"/>
        <v>4.9999999999999989E-2</v>
      </c>
      <c r="G301" s="177"/>
      <c r="H301" s="1963"/>
      <c r="I301" s="236">
        <v>3</v>
      </c>
      <c r="J301" s="237">
        <f>I32</f>
        <v>80</v>
      </c>
      <c r="K301" s="237">
        <f t="shared" ref="K301:M301" si="223">J32</f>
        <v>-2.9</v>
      </c>
      <c r="L301" s="237">
        <f t="shared" si="223"/>
        <v>-0.6</v>
      </c>
      <c r="M301" s="237">
        <f t="shared" si="223"/>
        <v>1.1499999999999999</v>
      </c>
      <c r="N301" s="177"/>
      <c r="O301" s="177"/>
      <c r="P301" s="177"/>
    </row>
    <row r="302" spans="1:16" ht="13" x14ac:dyDescent="0.3">
      <c r="A302" s="1962"/>
      <c r="B302" s="236">
        <v>4</v>
      </c>
      <c r="C302" s="237">
        <f>C43</f>
        <v>37</v>
      </c>
      <c r="D302" s="237">
        <f t="shared" ref="D302:F302" si="224">D43</f>
        <v>-0.6</v>
      </c>
      <c r="E302" s="237">
        <f t="shared" si="224"/>
        <v>-1.8</v>
      </c>
      <c r="F302" s="237">
        <f t="shared" si="224"/>
        <v>0.60000000000000009</v>
      </c>
      <c r="G302" s="177"/>
      <c r="H302" s="1963"/>
      <c r="I302" s="236">
        <v>4</v>
      </c>
      <c r="J302" s="237">
        <f>I43</f>
        <v>80</v>
      </c>
      <c r="K302" s="237">
        <f t="shared" ref="K302:M302" si="225">J43</f>
        <v>1.9</v>
      </c>
      <c r="L302" s="237">
        <f t="shared" si="225"/>
        <v>-0.4</v>
      </c>
      <c r="M302" s="237">
        <f t="shared" si="225"/>
        <v>1.1499999999999999</v>
      </c>
      <c r="N302" s="177"/>
      <c r="O302" s="177"/>
      <c r="P302" s="177"/>
    </row>
    <row r="303" spans="1:16" ht="13" x14ac:dyDescent="0.3">
      <c r="A303" s="1962"/>
      <c r="B303" s="236">
        <v>5</v>
      </c>
      <c r="C303" s="237">
        <f>C54</f>
        <v>37</v>
      </c>
      <c r="D303" s="237">
        <f t="shared" ref="D303:F303" si="226">D54</f>
        <v>0.7</v>
      </c>
      <c r="E303" s="237">
        <f t="shared" si="226"/>
        <v>0</v>
      </c>
      <c r="F303" s="237">
        <f t="shared" si="226"/>
        <v>0.35</v>
      </c>
      <c r="G303" s="177"/>
      <c r="H303" s="1963"/>
      <c r="I303" s="236">
        <v>5</v>
      </c>
      <c r="J303" s="237">
        <f>I54</f>
        <v>80</v>
      </c>
      <c r="K303" s="237">
        <f t="shared" ref="K303:M303" si="227">J54</f>
        <v>-3</v>
      </c>
      <c r="L303" s="237">
        <f t="shared" si="227"/>
        <v>0.2</v>
      </c>
      <c r="M303" s="237">
        <f t="shared" si="227"/>
        <v>1.6</v>
      </c>
      <c r="N303" s="177"/>
      <c r="O303" s="177"/>
      <c r="P303" s="177"/>
    </row>
    <row r="304" spans="1:16" ht="13" x14ac:dyDescent="0.3">
      <c r="A304" s="1962"/>
      <c r="B304" s="236">
        <v>6</v>
      </c>
      <c r="C304" s="237">
        <f>C65</f>
        <v>37</v>
      </c>
      <c r="D304" s="237">
        <f t="shared" ref="D304:F304" si="228">D65</f>
        <v>0.1</v>
      </c>
      <c r="E304" s="237">
        <f t="shared" si="228"/>
        <v>-1.1000000000000001</v>
      </c>
      <c r="F304" s="237">
        <f t="shared" si="228"/>
        <v>0.60000000000000009</v>
      </c>
      <c r="G304" s="177"/>
      <c r="H304" s="1963"/>
      <c r="I304" s="236">
        <v>6</v>
      </c>
      <c r="J304" s="237">
        <f>I65</f>
        <v>80</v>
      </c>
      <c r="K304" s="237">
        <f t="shared" ref="K304:M304" si="229">J65</f>
        <v>-6.3</v>
      </c>
      <c r="L304" s="237">
        <f t="shared" si="229"/>
        <v>-2.6</v>
      </c>
      <c r="M304" s="237">
        <f t="shared" si="229"/>
        <v>1.8499999999999999</v>
      </c>
      <c r="N304" s="177"/>
      <c r="O304" s="177"/>
      <c r="P304" s="177"/>
    </row>
    <row r="305" spans="1:16" ht="13" x14ac:dyDescent="0.3">
      <c r="A305" s="1962"/>
      <c r="B305" s="236">
        <v>7</v>
      </c>
      <c r="C305" s="237">
        <f>C76</f>
        <v>37</v>
      </c>
      <c r="D305" s="237">
        <f t="shared" ref="D305:F305" si="230">D76</f>
        <v>-1.4</v>
      </c>
      <c r="E305" s="237">
        <f t="shared" si="230"/>
        <v>-0.1</v>
      </c>
      <c r="F305" s="237">
        <f t="shared" si="230"/>
        <v>0.64999999999999991</v>
      </c>
      <c r="G305" s="177"/>
      <c r="H305" s="1963"/>
      <c r="I305" s="236">
        <v>7</v>
      </c>
      <c r="J305" s="237">
        <f>I76</f>
        <v>80</v>
      </c>
      <c r="K305" s="237">
        <f t="shared" ref="K305:M305" si="231">J76</f>
        <v>1.2</v>
      </c>
      <c r="L305" s="237">
        <f t="shared" si="231"/>
        <v>4.4000000000000004</v>
      </c>
      <c r="M305" s="237">
        <f t="shared" si="231"/>
        <v>1.6</v>
      </c>
      <c r="N305" s="177"/>
      <c r="O305" s="177"/>
      <c r="P305" s="177"/>
    </row>
    <row r="306" spans="1:16" ht="13" x14ac:dyDescent="0.3">
      <c r="A306" s="1962"/>
      <c r="B306" s="236">
        <v>8</v>
      </c>
      <c r="C306" s="237">
        <f>C87</f>
        <v>37</v>
      </c>
      <c r="D306" s="237">
        <f t="shared" ref="D306:F306" si="232">D87</f>
        <v>-0.5</v>
      </c>
      <c r="E306" s="237">
        <f t="shared" si="232"/>
        <v>-0.3</v>
      </c>
      <c r="F306" s="237">
        <f t="shared" si="232"/>
        <v>0.1</v>
      </c>
      <c r="G306" s="177"/>
      <c r="H306" s="1963"/>
      <c r="I306" s="236">
        <v>8</v>
      </c>
      <c r="J306" s="237">
        <f>I87</f>
        <v>80</v>
      </c>
      <c r="K306" s="237">
        <f t="shared" ref="K306:M306" si="233">J87</f>
        <v>-1.2</v>
      </c>
      <c r="L306" s="237">
        <f t="shared" si="233"/>
        <v>2.6</v>
      </c>
      <c r="M306" s="237">
        <f t="shared" si="233"/>
        <v>1.9</v>
      </c>
      <c r="N306" s="177"/>
      <c r="O306" s="177"/>
      <c r="P306" s="177"/>
    </row>
    <row r="307" spans="1:16" ht="13" x14ac:dyDescent="0.3">
      <c r="A307" s="1962"/>
      <c r="B307" s="236">
        <v>9</v>
      </c>
      <c r="C307" s="237">
        <f>C98</f>
        <v>37</v>
      </c>
      <c r="D307" s="237">
        <f t="shared" ref="D307:F307" si="234">D98</f>
        <v>-0.5</v>
      </c>
      <c r="E307" s="237" t="str">
        <f t="shared" si="234"/>
        <v>-</v>
      </c>
      <c r="F307" s="237">
        <f t="shared" si="234"/>
        <v>0</v>
      </c>
      <c r="G307" s="177"/>
      <c r="H307" s="1963"/>
      <c r="I307" s="236">
        <v>9</v>
      </c>
      <c r="J307" s="237">
        <f>I98</f>
        <v>80</v>
      </c>
      <c r="K307" s="237">
        <f t="shared" ref="K307:M307" si="235">J98</f>
        <v>-0.5</v>
      </c>
      <c r="L307" s="237" t="str">
        <f t="shared" si="235"/>
        <v>-</v>
      </c>
      <c r="M307" s="237">
        <f t="shared" si="235"/>
        <v>0</v>
      </c>
      <c r="N307" s="177"/>
      <c r="O307" s="177"/>
      <c r="P307" s="177"/>
    </row>
    <row r="308" spans="1:16" ht="13" x14ac:dyDescent="0.3">
      <c r="A308" s="1962"/>
      <c r="B308" s="236">
        <v>10</v>
      </c>
      <c r="C308" s="237">
        <f>C109</f>
        <v>37</v>
      </c>
      <c r="D308" s="237">
        <f t="shared" ref="D308:F308" si="236">D109</f>
        <v>0.2</v>
      </c>
      <c r="E308" s="237">
        <f t="shared" si="236"/>
        <v>0.4</v>
      </c>
      <c r="F308" s="237">
        <f t="shared" si="236"/>
        <v>0.1</v>
      </c>
      <c r="G308" s="177"/>
      <c r="H308" s="1963"/>
      <c r="I308" s="236">
        <v>10</v>
      </c>
      <c r="J308" s="237">
        <f>I109</f>
        <v>80</v>
      </c>
      <c r="K308" s="237">
        <f t="shared" ref="K308:M308" si="237">J109</f>
        <v>2.2000000000000002</v>
      </c>
      <c r="L308" s="237">
        <f t="shared" si="237"/>
        <v>-4.7</v>
      </c>
      <c r="M308" s="237">
        <f t="shared" si="237"/>
        <v>3.45</v>
      </c>
      <c r="N308" s="177"/>
      <c r="O308" s="177"/>
      <c r="P308" s="177"/>
    </row>
    <row r="309" spans="1:16" ht="13" x14ac:dyDescent="0.3">
      <c r="A309" s="1962"/>
      <c r="B309" s="236">
        <v>11</v>
      </c>
      <c r="C309" s="237">
        <f>C120</f>
        <v>37</v>
      </c>
      <c r="D309" s="237">
        <f t="shared" ref="D309:F309" si="238">D120</f>
        <v>0.5</v>
      </c>
      <c r="E309" s="237" t="str">
        <f t="shared" si="238"/>
        <v>-</v>
      </c>
      <c r="F309" s="237">
        <f t="shared" si="238"/>
        <v>0</v>
      </c>
      <c r="G309" s="177"/>
      <c r="H309" s="1963"/>
      <c r="I309" s="236">
        <v>11</v>
      </c>
      <c r="J309" s="237">
        <f>I120</f>
        <v>80</v>
      </c>
      <c r="K309" s="237">
        <f t="shared" ref="K309:M309" si="239">J120</f>
        <v>-1.4</v>
      </c>
      <c r="L309" s="237" t="str">
        <f t="shared" si="239"/>
        <v>-</v>
      </c>
      <c r="M309" s="237">
        <f t="shared" si="239"/>
        <v>0</v>
      </c>
      <c r="N309" s="177"/>
      <c r="O309" s="177"/>
      <c r="P309" s="177"/>
    </row>
    <row r="310" spans="1:16" ht="13" x14ac:dyDescent="0.3">
      <c r="A310" s="1962"/>
      <c r="B310" s="236">
        <v>12</v>
      </c>
      <c r="C310" s="237">
        <f>C131</f>
        <v>37</v>
      </c>
      <c r="D310" s="237">
        <f t="shared" ref="D310:F310" si="240">D131</f>
        <v>-0.1</v>
      </c>
      <c r="E310" s="237" t="str">
        <f t="shared" si="240"/>
        <v>-</v>
      </c>
      <c r="F310" s="237">
        <f t="shared" si="240"/>
        <v>0</v>
      </c>
      <c r="G310" s="177"/>
      <c r="H310" s="1963"/>
      <c r="I310" s="236">
        <v>12</v>
      </c>
      <c r="J310" s="237">
        <f>I131</f>
        <v>80</v>
      </c>
      <c r="K310" s="237">
        <f t="shared" ref="K310:M310" si="241">J131</f>
        <v>-1.3</v>
      </c>
      <c r="L310" s="237" t="str">
        <f t="shared" si="241"/>
        <v>-</v>
      </c>
      <c r="M310" s="237">
        <f t="shared" si="241"/>
        <v>0</v>
      </c>
      <c r="N310" s="177"/>
      <c r="O310" s="177"/>
      <c r="P310" s="177"/>
    </row>
    <row r="311" spans="1:16" ht="13" x14ac:dyDescent="0.3">
      <c r="A311" s="1962"/>
      <c r="B311" s="236">
        <v>13</v>
      </c>
      <c r="C311" s="237">
        <f>C142</f>
        <v>37</v>
      </c>
      <c r="D311" s="237">
        <f t="shared" ref="D311:F311" si="242">D142</f>
        <v>-0.8</v>
      </c>
      <c r="E311" s="237" t="str">
        <f t="shared" si="242"/>
        <v>-</v>
      </c>
      <c r="F311" s="237">
        <f t="shared" si="242"/>
        <v>0</v>
      </c>
      <c r="G311" s="177"/>
      <c r="H311" s="1963"/>
      <c r="I311" s="236">
        <v>13</v>
      </c>
      <c r="J311" s="237">
        <f>I142</f>
        <v>80</v>
      </c>
      <c r="K311" s="237">
        <f t="shared" ref="K311:M311" si="243">J142</f>
        <v>-0.9</v>
      </c>
      <c r="L311" s="237" t="str">
        <f t="shared" si="243"/>
        <v>-</v>
      </c>
      <c r="M311" s="237">
        <f t="shared" si="243"/>
        <v>0</v>
      </c>
      <c r="N311" s="177"/>
      <c r="O311" s="177"/>
      <c r="P311" s="177"/>
    </row>
    <row r="312" spans="1:16" ht="13" x14ac:dyDescent="0.3">
      <c r="A312" s="1962"/>
      <c r="B312" s="236">
        <v>14</v>
      </c>
      <c r="C312" s="237">
        <f>C153</f>
        <v>37</v>
      </c>
      <c r="D312" s="237">
        <f t="shared" ref="D312:F312" si="244">D153</f>
        <v>0.4</v>
      </c>
      <c r="E312" s="237" t="str">
        <f t="shared" si="244"/>
        <v>-</v>
      </c>
      <c r="F312" s="237">
        <f t="shared" si="244"/>
        <v>0</v>
      </c>
      <c r="G312" s="177"/>
      <c r="H312" s="1963"/>
      <c r="I312" s="236">
        <v>14</v>
      </c>
      <c r="J312" s="237">
        <f>I153</f>
        <v>80</v>
      </c>
      <c r="K312" s="237">
        <f t="shared" ref="K312:M312" si="245">J153</f>
        <v>-2.5</v>
      </c>
      <c r="L312" s="237" t="str">
        <f t="shared" si="245"/>
        <v>-</v>
      </c>
      <c r="M312" s="237">
        <f t="shared" si="245"/>
        <v>0</v>
      </c>
      <c r="N312" s="177"/>
      <c r="O312" s="177"/>
      <c r="P312" s="177"/>
    </row>
    <row r="313" spans="1:16" ht="13" x14ac:dyDescent="0.3">
      <c r="A313" s="1962"/>
      <c r="B313" s="236">
        <v>15</v>
      </c>
      <c r="C313" s="237">
        <f>C164</f>
        <v>37</v>
      </c>
      <c r="D313" s="237">
        <f t="shared" ref="D313:F313" si="246">D164</f>
        <v>-0.6</v>
      </c>
      <c r="E313" s="237" t="str">
        <f t="shared" si="246"/>
        <v>-</v>
      </c>
      <c r="F313" s="237">
        <f t="shared" si="246"/>
        <v>0</v>
      </c>
      <c r="G313" s="177"/>
      <c r="H313" s="1963"/>
      <c r="I313" s="236">
        <v>15</v>
      </c>
      <c r="J313" s="237">
        <f>I164</f>
        <v>80</v>
      </c>
      <c r="K313" s="237">
        <f t="shared" ref="K313:M313" si="247">J164</f>
        <v>-0.8</v>
      </c>
      <c r="L313" s="237" t="str">
        <f t="shared" si="247"/>
        <v>-</v>
      </c>
      <c r="M313" s="237">
        <f t="shared" si="247"/>
        <v>0</v>
      </c>
      <c r="N313" s="177"/>
      <c r="O313" s="177"/>
      <c r="P313" s="177"/>
    </row>
    <row r="314" spans="1:16" ht="13" x14ac:dyDescent="0.3">
      <c r="A314" s="1962"/>
      <c r="B314" s="236">
        <v>16</v>
      </c>
      <c r="C314" s="237">
        <f>C175</f>
        <v>37</v>
      </c>
      <c r="D314" s="237">
        <f t="shared" ref="D314:F314" si="248">D175</f>
        <v>9.9999999999999995E-7</v>
      </c>
      <c r="E314" s="237" t="str">
        <f t="shared" si="248"/>
        <v>-</v>
      </c>
      <c r="F314" s="237">
        <f t="shared" si="248"/>
        <v>0</v>
      </c>
      <c r="G314" s="177"/>
      <c r="H314" s="1963"/>
      <c r="I314" s="236">
        <v>16</v>
      </c>
      <c r="J314" s="237">
        <f>I175</f>
        <v>80</v>
      </c>
      <c r="K314" s="237">
        <f t="shared" ref="K314:M314" si="249">J175</f>
        <v>-2.2999999999999998</v>
      </c>
      <c r="L314" s="237" t="str">
        <f t="shared" si="249"/>
        <v>-</v>
      </c>
      <c r="M314" s="237">
        <f t="shared" si="249"/>
        <v>0</v>
      </c>
      <c r="N314" s="177"/>
      <c r="O314" s="177"/>
      <c r="P314" s="177"/>
    </row>
    <row r="315" spans="1:16" ht="13" x14ac:dyDescent="0.3">
      <c r="A315" s="1962"/>
      <c r="B315" s="236">
        <v>17</v>
      </c>
      <c r="C315" s="237">
        <f>C186</f>
        <v>37</v>
      </c>
      <c r="D315" s="237">
        <f t="shared" ref="D315:F315" si="250">D186</f>
        <v>-0.3</v>
      </c>
      <c r="E315" s="237" t="str">
        <f t="shared" si="250"/>
        <v>-</v>
      </c>
      <c r="F315" s="237">
        <f t="shared" si="250"/>
        <v>0</v>
      </c>
      <c r="G315" s="177"/>
      <c r="H315" s="1963"/>
      <c r="I315" s="236">
        <v>17</v>
      </c>
      <c r="J315" s="237">
        <f>I186</f>
        <v>80</v>
      </c>
      <c r="K315" s="237">
        <f t="shared" ref="K315:M315" si="251">J186</f>
        <v>-0.5</v>
      </c>
      <c r="L315" s="237" t="str">
        <f t="shared" si="251"/>
        <v>-</v>
      </c>
      <c r="M315" s="237">
        <f t="shared" si="251"/>
        <v>0</v>
      </c>
      <c r="N315" s="237"/>
      <c r="O315" s="177"/>
      <c r="P315" s="177"/>
    </row>
    <row r="316" spans="1:16" ht="13" x14ac:dyDescent="0.3">
      <c r="A316" s="1962"/>
      <c r="B316" s="236">
        <v>18</v>
      </c>
      <c r="C316" s="237">
        <f>C197</f>
        <v>37</v>
      </c>
      <c r="D316" s="237">
        <f t="shared" ref="D316:F316" si="252">D197</f>
        <v>-0.3</v>
      </c>
      <c r="E316" s="237" t="str">
        <f t="shared" si="252"/>
        <v>-</v>
      </c>
      <c r="F316" s="237">
        <f t="shared" si="252"/>
        <v>0</v>
      </c>
      <c r="G316" s="177"/>
      <c r="H316" s="1963"/>
      <c r="I316" s="236">
        <v>18</v>
      </c>
      <c r="J316" s="237">
        <f>I197</f>
        <v>80</v>
      </c>
      <c r="K316" s="237">
        <f t="shared" ref="K316:M316" si="253">J197</f>
        <v>-0.5</v>
      </c>
      <c r="L316" s="237" t="str">
        <f t="shared" si="253"/>
        <v>-</v>
      </c>
      <c r="M316" s="237">
        <f t="shared" si="253"/>
        <v>0</v>
      </c>
      <c r="N316" s="177"/>
      <c r="O316" s="177"/>
      <c r="P316" s="177"/>
    </row>
    <row r="317" spans="1:16" ht="13" x14ac:dyDescent="0.3">
      <c r="A317" s="243"/>
      <c r="B317" s="244"/>
      <c r="C317" s="251"/>
      <c r="D317" s="251"/>
      <c r="E317" s="251"/>
      <c r="F317" s="252"/>
      <c r="G317" s="247"/>
      <c r="H317" s="254"/>
      <c r="I317" s="244"/>
      <c r="J317" s="251"/>
      <c r="K317" s="251"/>
      <c r="L317" s="251"/>
      <c r="M317" s="252"/>
      <c r="N317" s="177"/>
      <c r="O317" s="177"/>
      <c r="P317" s="177"/>
    </row>
    <row r="318" spans="1:16" ht="13" x14ac:dyDescent="0.3">
      <c r="A318" s="1962" t="s">
        <v>116</v>
      </c>
      <c r="B318" s="236">
        <v>1</v>
      </c>
      <c r="C318" s="237">
        <f>C11</f>
        <v>40</v>
      </c>
      <c r="D318" s="237">
        <f t="shared" ref="D318:F318" si="254">D11</f>
        <v>-0.3</v>
      </c>
      <c r="E318" s="237">
        <f t="shared" si="254"/>
        <v>-0.8</v>
      </c>
      <c r="F318" s="237">
        <f t="shared" si="254"/>
        <v>0.25</v>
      </c>
      <c r="G318" s="177"/>
      <c r="H318" s="1963" t="s">
        <v>116</v>
      </c>
      <c r="I318" s="236">
        <v>1</v>
      </c>
      <c r="J318" s="237">
        <f>I11</f>
        <v>90</v>
      </c>
      <c r="K318" s="237">
        <f t="shared" ref="K318:M318" si="255">J11</f>
        <v>0.3</v>
      </c>
      <c r="L318" s="237">
        <f t="shared" si="255"/>
        <v>4.5</v>
      </c>
      <c r="M318" s="237">
        <f t="shared" si="255"/>
        <v>2.1</v>
      </c>
      <c r="N318" s="177"/>
      <c r="O318" s="177"/>
      <c r="P318" s="177"/>
    </row>
    <row r="319" spans="1:16" ht="13" x14ac:dyDescent="0.3">
      <c r="A319" s="1962"/>
      <c r="B319" s="236">
        <v>2</v>
      </c>
      <c r="C319" s="237">
        <f>C22</f>
        <v>40</v>
      </c>
      <c r="D319" s="237">
        <f t="shared" ref="D319:F319" si="256">D22</f>
        <v>-0.3</v>
      </c>
      <c r="E319" s="237">
        <f t="shared" si="256"/>
        <v>-2.1</v>
      </c>
      <c r="F319" s="237">
        <f t="shared" si="256"/>
        <v>0.9</v>
      </c>
      <c r="G319" s="177"/>
      <c r="H319" s="1963"/>
      <c r="I319" s="236">
        <v>2</v>
      </c>
      <c r="J319" s="237">
        <f>I22</f>
        <v>90</v>
      </c>
      <c r="K319" s="237">
        <f t="shared" ref="K319:M319" si="257">J22</f>
        <v>-0.3</v>
      </c>
      <c r="L319" s="237">
        <f t="shared" si="257"/>
        <v>0.6</v>
      </c>
      <c r="M319" s="237">
        <f t="shared" si="257"/>
        <v>0.44999999999999996</v>
      </c>
      <c r="N319" s="177"/>
      <c r="O319" s="177"/>
      <c r="P319" s="177"/>
    </row>
    <row r="320" spans="1:16" ht="13" x14ac:dyDescent="0.3">
      <c r="A320" s="1962"/>
      <c r="B320" s="236">
        <v>3</v>
      </c>
      <c r="C320" s="237">
        <f>C33</f>
        <v>40</v>
      </c>
      <c r="D320" s="237">
        <f t="shared" ref="D320:F320" si="258">D33</f>
        <v>-0.7</v>
      </c>
      <c r="E320" s="237">
        <f t="shared" si="258"/>
        <v>-0.5</v>
      </c>
      <c r="F320" s="237">
        <f t="shared" si="258"/>
        <v>9.9999999999999978E-2</v>
      </c>
      <c r="G320" s="177"/>
      <c r="H320" s="1963"/>
      <c r="I320" s="236">
        <v>3</v>
      </c>
      <c r="J320" s="237">
        <f>I33</f>
        <v>90</v>
      </c>
      <c r="K320" s="237">
        <f t="shared" ref="K320:M320" si="259">J33</f>
        <v>-2</v>
      </c>
      <c r="L320" s="237">
        <f t="shared" si="259"/>
        <v>0.9</v>
      </c>
      <c r="M320" s="237">
        <f t="shared" si="259"/>
        <v>1.45</v>
      </c>
      <c r="N320" s="177"/>
      <c r="O320" s="177"/>
      <c r="P320" s="177"/>
    </row>
    <row r="321" spans="1:16" ht="13" x14ac:dyDescent="0.3">
      <c r="A321" s="1962"/>
      <c r="B321" s="236">
        <v>4</v>
      </c>
      <c r="C321" s="237">
        <f>C44</f>
        <v>40</v>
      </c>
      <c r="D321" s="237">
        <f t="shared" ref="D321:F321" si="260">D44</f>
        <v>-0.6</v>
      </c>
      <c r="E321" s="237">
        <f t="shared" si="260"/>
        <v>-2.1</v>
      </c>
      <c r="F321" s="237">
        <f t="shared" si="260"/>
        <v>0.75</v>
      </c>
      <c r="G321" s="177"/>
      <c r="H321" s="1963"/>
      <c r="I321" s="236">
        <v>4</v>
      </c>
      <c r="J321" s="237">
        <f>I44</f>
        <v>90</v>
      </c>
      <c r="K321" s="237">
        <f t="shared" ref="K321:M321" si="261">J44</f>
        <v>3.3</v>
      </c>
      <c r="L321" s="237">
        <f t="shared" si="261"/>
        <v>0.2</v>
      </c>
      <c r="M321" s="237">
        <f t="shared" si="261"/>
        <v>1.5499999999999998</v>
      </c>
      <c r="N321" s="177"/>
      <c r="O321" s="177"/>
      <c r="P321" s="177"/>
    </row>
    <row r="322" spans="1:16" ht="13" x14ac:dyDescent="0.3">
      <c r="A322" s="1962"/>
      <c r="B322" s="236">
        <v>5</v>
      </c>
      <c r="C322" s="237">
        <f>C55</f>
        <v>40</v>
      </c>
      <c r="D322" s="237">
        <f t="shared" ref="D322:F322" si="262">D55</f>
        <v>0.7</v>
      </c>
      <c r="E322" s="237">
        <f t="shared" si="262"/>
        <v>-0.1</v>
      </c>
      <c r="F322" s="237">
        <f t="shared" si="262"/>
        <v>0.39999999999999997</v>
      </c>
      <c r="G322" s="177"/>
      <c r="H322" s="1963"/>
      <c r="I322" s="236">
        <v>5</v>
      </c>
      <c r="J322" s="237">
        <f>I55</f>
        <v>90</v>
      </c>
      <c r="K322" s="237">
        <f t="shared" ref="K322:M322" si="263">J55</f>
        <v>-1.8</v>
      </c>
      <c r="L322" s="237">
        <f t="shared" si="263"/>
        <v>2.7</v>
      </c>
      <c r="M322" s="237">
        <f t="shared" si="263"/>
        <v>2.25</v>
      </c>
      <c r="N322" s="177"/>
      <c r="O322" s="177"/>
      <c r="P322" s="177"/>
    </row>
    <row r="323" spans="1:16" ht="13" x14ac:dyDescent="0.3">
      <c r="A323" s="1962"/>
      <c r="B323" s="236">
        <v>6</v>
      </c>
      <c r="C323" s="237">
        <f>C66</f>
        <v>40</v>
      </c>
      <c r="D323" s="237">
        <f t="shared" ref="D323:F323" si="264">D66</f>
        <v>0.1</v>
      </c>
      <c r="E323" s="237">
        <f t="shared" si="264"/>
        <v>-1.4</v>
      </c>
      <c r="F323" s="237">
        <f t="shared" si="264"/>
        <v>0.75</v>
      </c>
      <c r="G323" s="177"/>
      <c r="H323" s="1963"/>
      <c r="I323" s="236">
        <v>6</v>
      </c>
      <c r="J323" s="237">
        <f>I66</f>
        <v>90</v>
      </c>
      <c r="K323" s="237">
        <f t="shared" ref="K323:M323" si="265">J66</f>
        <v>-5.2</v>
      </c>
      <c r="L323" s="237">
        <f t="shared" si="265"/>
        <v>-2.6</v>
      </c>
      <c r="M323" s="237">
        <f t="shared" si="265"/>
        <v>1.3</v>
      </c>
      <c r="N323" s="177"/>
      <c r="O323" s="177"/>
      <c r="P323" s="177"/>
    </row>
    <row r="324" spans="1:16" ht="13" x14ac:dyDescent="0.3">
      <c r="A324" s="1962"/>
      <c r="B324" s="236">
        <v>7</v>
      </c>
      <c r="C324" s="237">
        <f>C77</f>
        <v>40</v>
      </c>
      <c r="D324" s="237">
        <f t="shared" ref="D324:F324" si="266">D77</f>
        <v>-1.7</v>
      </c>
      <c r="E324" s="237">
        <f t="shared" si="266"/>
        <v>-0.1</v>
      </c>
      <c r="F324" s="237">
        <f t="shared" si="266"/>
        <v>0.79999999999999993</v>
      </c>
      <c r="G324" s="177"/>
      <c r="H324" s="1963"/>
      <c r="I324" s="236">
        <v>7</v>
      </c>
      <c r="J324" s="237">
        <f>I77</f>
        <v>90</v>
      </c>
      <c r="K324" s="237">
        <f t="shared" ref="K324:M324" si="267">J77</f>
        <v>1.8</v>
      </c>
      <c r="L324" s="237">
        <f t="shared" si="267"/>
        <v>4.4000000000000004</v>
      </c>
      <c r="M324" s="237">
        <f t="shared" si="267"/>
        <v>1.3000000000000003</v>
      </c>
      <c r="N324" s="177"/>
      <c r="O324" s="177"/>
      <c r="P324" s="177"/>
    </row>
    <row r="325" spans="1:16" ht="13" x14ac:dyDescent="0.3">
      <c r="A325" s="1962"/>
      <c r="B325" s="236">
        <v>8</v>
      </c>
      <c r="C325" s="237">
        <f>C88</f>
        <v>40</v>
      </c>
      <c r="D325" s="237">
        <f t="shared" ref="D325:F325" si="268">D88</f>
        <v>-0.4</v>
      </c>
      <c r="E325" s="237">
        <f t="shared" si="268"/>
        <v>-0.4</v>
      </c>
      <c r="F325" s="237">
        <f t="shared" si="268"/>
        <v>0</v>
      </c>
      <c r="G325" s="177"/>
      <c r="H325" s="1963"/>
      <c r="I325" s="236">
        <v>8</v>
      </c>
      <c r="J325" s="237">
        <f>I88</f>
        <v>90</v>
      </c>
      <c r="K325" s="237">
        <f t="shared" ref="K325:M325" si="269">J88</f>
        <v>-1.3</v>
      </c>
      <c r="L325" s="237">
        <f t="shared" si="269"/>
        <v>2.6</v>
      </c>
      <c r="M325" s="237">
        <f t="shared" si="269"/>
        <v>1.9500000000000002</v>
      </c>
      <c r="N325" s="177"/>
      <c r="O325" s="177"/>
      <c r="P325" s="177"/>
    </row>
    <row r="326" spans="1:16" ht="13" x14ac:dyDescent="0.3">
      <c r="A326" s="1962"/>
      <c r="B326" s="236">
        <v>9</v>
      </c>
      <c r="C326" s="237">
        <f>C99</f>
        <v>40</v>
      </c>
      <c r="D326" s="237">
        <f t="shared" ref="D326:F326" si="270">D99</f>
        <v>-0.4</v>
      </c>
      <c r="E326" s="237" t="str">
        <f t="shared" si="270"/>
        <v>-</v>
      </c>
      <c r="F326" s="237">
        <f t="shared" si="270"/>
        <v>0</v>
      </c>
      <c r="G326" s="177"/>
      <c r="H326" s="1963"/>
      <c r="I326" s="236">
        <v>9</v>
      </c>
      <c r="J326" s="237">
        <f>I99</f>
        <v>90</v>
      </c>
      <c r="K326" s="237">
        <f t="shared" ref="K326:M326" si="271">J99</f>
        <v>-0.2</v>
      </c>
      <c r="L326" s="237" t="str">
        <f t="shared" si="271"/>
        <v>-</v>
      </c>
      <c r="M326" s="237">
        <f t="shared" si="271"/>
        <v>0</v>
      </c>
      <c r="N326" s="177"/>
      <c r="O326" s="177"/>
      <c r="P326" s="177"/>
    </row>
    <row r="327" spans="1:16" ht="13" x14ac:dyDescent="0.3">
      <c r="A327" s="1962"/>
      <c r="B327" s="236">
        <v>10</v>
      </c>
      <c r="C327" s="237">
        <f>C110</f>
        <v>40</v>
      </c>
      <c r="D327" s="237">
        <f t="shared" ref="D327:F327" si="272">D110</f>
        <v>0.2</v>
      </c>
      <c r="E327" s="237">
        <f t="shared" si="272"/>
        <v>0</v>
      </c>
      <c r="F327" s="237">
        <f t="shared" si="272"/>
        <v>0.1</v>
      </c>
      <c r="G327" s="177"/>
      <c r="H327" s="1963"/>
      <c r="I327" s="236">
        <v>10</v>
      </c>
      <c r="J327" s="237">
        <f>I110</f>
        <v>90</v>
      </c>
      <c r="K327" s="237">
        <f t="shared" ref="K327:M327" si="273">J110</f>
        <v>5.4</v>
      </c>
      <c r="L327" s="237">
        <f t="shared" si="273"/>
        <v>0</v>
      </c>
      <c r="M327" s="237">
        <f t="shared" si="273"/>
        <v>2.7</v>
      </c>
      <c r="N327" s="177"/>
      <c r="O327" s="177"/>
      <c r="P327" s="177"/>
    </row>
    <row r="328" spans="1:16" ht="13" x14ac:dyDescent="0.3">
      <c r="A328" s="1962"/>
      <c r="B328" s="236">
        <v>11</v>
      </c>
      <c r="C328" s="237">
        <f>C121</f>
        <v>40</v>
      </c>
      <c r="D328" s="237">
        <f t="shared" ref="D328:F328" si="274">D121</f>
        <v>0.5</v>
      </c>
      <c r="E328" s="237" t="str">
        <f t="shared" si="274"/>
        <v>-</v>
      </c>
      <c r="F328" s="237">
        <f t="shared" si="274"/>
        <v>0</v>
      </c>
      <c r="G328" s="177"/>
      <c r="H328" s="1963"/>
      <c r="I328" s="236">
        <v>11</v>
      </c>
      <c r="J328" s="237">
        <f>I121</f>
        <v>90</v>
      </c>
      <c r="K328" s="237">
        <f t="shared" ref="K328:M328" si="275">J121</f>
        <v>1.3</v>
      </c>
      <c r="L328" s="237" t="str">
        <f t="shared" si="275"/>
        <v>-</v>
      </c>
      <c r="M328" s="237">
        <f t="shared" si="275"/>
        <v>0</v>
      </c>
      <c r="N328" s="177"/>
      <c r="O328" s="177"/>
      <c r="P328" s="177"/>
    </row>
    <row r="329" spans="1:16" ht="13" x14ac:dyDescent="0.3">
      <c r="A329" s="1962"/>
      <c r="B329" s="236">
        <v>12</v>
      </c>
      <c r="C329" s="237">
        <f>C132</f>
        <v>40</v>
      </c>
      <c r="D329" s="237">
        <f t="shared" ref="D329:F329" si="276">D132</f>
        <v>9.9999999999999995E-7</v>
      </c>
      <c r="E329" s="237" t="str">
        <f t="shared" si="276"/>
        <v>-</v>
      </c>
      <c r="F329" s="237">
        <f t="shared" si="276"/>
        <v>0</v>
      </c>
      <c r="G329" s="177"/>
      <c r="H329" s="1963"/>
      <c r="I329" s="236">
        <v>12</v>
      </c>
      <c r="J329" s="237">
        <f>I132</f>
        <v>90</v>
      </c>
      <c r="K329" s="237">
        <f t="shared" ref="K329:M329" si="277">J132</f>
        <v>-2</v>
      </c>
      <c r="L329" s="237" t="str">
        <f t="shared" si="277"/>
        <v>-</v>
      </c>
      <c r="M329" s="237">
        <f t="shared" si="277"/>
        <v>0</v>
      </c>
      <c r="N329" s="177"/>
      <c r="O329" s="177"/>
      <c r="P329" s="177"/>
    </row>
    <row r="330" spans="1:16" ht="13" x14ac:dyDescent="0.3">
      <c r="A330" s="1962"/>
      <c r="B330" s="236">
        <v>13</v>
      </c>
      <c r="C330" s="237">
        <f>C143</f>
        <v>40</v>
      </c>
      <c r="D330" s="237">
        <f t="shared" ref="D330:F330" si="278">D143</f>
        <v>-1.1000000000000001</v>
      </c>
      <c r="E330" s="237" t="str">
        <f t="shared" si="278"/>
        <v>-</v>
      </c>
      <c r="F330" s="237">
        <f t="shared" si="278"/>
        <v>0</v>
      </c>
      <c r="G330" s="177"/>
      <c r="H330" s="1963"/>
      <c r="I330" s="236">
        <v>13</v>
      </c>
      <c r="J330" s="237">
        <f>I143</f>
        <v>90</v>
      </c>
      <c r="K330" s="237">
        <f t="shared" ref="K330:M330" si="279">J143</f>
        <v>-0.8</v>
      </c>
      <c r="L330" s="237" t="str">
        <f t="shared" si="279"/>
        <v>-</v>
      </c>
      <c r="M330" s="237">
        <f t="shared" si="279"/>
        <v>0</v>
      </c>
      <c r="N330" s="177"/>
      <c r="O330" s="177"/>
      <c r="P330" s="177"/>
    </row>
    <row r="331" spans="1:16" ht="13" x14ac:dyDescent="0.3">
      <c r="A331" s="1962"/>
      <c r="B331" s="236">
        <v>14</v>
      </c>
      <c r="C331" s="237">
        <f>C154</f>
        <v>40</v>
      </c>
      <c r="D331" s="237">
        <f t="shared" ref="D331:F331" si="280">D154</f>
        <v>0.5</v>
      </c>
      <c r="E331" s="237" t="str">
        <f t="shared" si="280"/>
        <v>-</v>
      </c>
      <c r="F331" s="237">
        <f t="shared" si="280"/>
        <v>0</v>
      </c>
      <c r="G331" s="177"/>
      <c r="H331" s="1963"/>
      <c r="I331" s="236">
        <v>14</v>
      </c>
      <c r="J331" s="237">
        <f>I154</f>
        <v>90</v>
      </c>
      <c r="K331" s="237">
        <f t="shared" ref="K331:M331" si="281">J154</f>
        <v>-3.2</v>
      </c>
      <c r="L331" s="237" t="str">
        <f t="shared" si="281"/>
        <v>-</v>
      </c>
      <c r="M331" s="237">
        <f t="shared" si="281"/>
        <v>0</v>
      </c>
      <c r="N331" s="177"/>
      <c r="O331" s="177"/>
      <c r="P331" s="177"/>
    </row>
    <row r="332" spans="1:16" ht="13" x14ac:dyDescent="0.3">
      <c r="A332" s="1962"/>
      <c r="B332" s="236">
        <v>15</v>
      </c>
      <c r="C332" s="237">
        <f>C165</f>
        <v>40</v>
      </c>
      <c r="D332" s="237">
        <f t="shared" ref="D332:F332" si="282">D165</f>
        <v>-0.8</v>
      </c>
      <c r="E332" s="237" t="str">
        <f t="shared" si="282"/>
        <v>-</v>
      </c>
      <c r="F332" s="237">
        <f t="shared" si="282"/>
        <v>0</v>
      </c>
      <c r="G332" s="177"/>
      <c r="H332" s="1963"/>
      <c r="I332" s="236">
        <v>15</v>
      </c>
      <c r="J332" s="237">
        <f>I165</f>
        <v>90</v>
      </c>
      <c r="K332" s="237">
        <f t="shared" ref="K332:M332" si="283">J165</f>
        <v>-1.4</v>
      </c>
      <c r="L332" s="237" t="str">
        <f t="shared" si="283"/>
        <v>-</v>
      </c>
      <c r="M332" s="237">
        <f t="shared" si="283"/>
        <v>0</v>
      </c>
      <c r="N332" s="177"/>
      <c r="O332" s="177"/>
      <c r="P332" s="177"/>
    </row>
    <row r="333" spans="1:16" ht="13" x14ac:dyDescent="0.3">
      <c r="A333" s="1962"/>
      <c r="B333" s="236">
        <v>16</v>
      </c>
      <c r="C333" s="237">
        <f>C176</f>
        <v>40</v>
      </c>
      <c r="D333" s="237">
        <f t="shared" ref="D333:F333" si="284">D176</f>
        <v>9.9999999999999995E-7</v>
      </c>
      <c r="E333" s="237" t="str">
        <f t="shared" si="284"/>
        <v>-</v>
      </c>
      <c r="F333" s="237">
        <f t="shared" si="284"/>
        <v>0</v>
      </c>
      <c r="G333" s="177"/>
      <c r="H333" s="1963"/>
      <c r="I333" s="236">
        <v>16</v>
      </c>
      <c r="J333" s="237">
        <f>I176</f>
        <v>90</v>
      </c>
      <c r="K333" s="237">
        <f t="shared" ref="K333:M333" si="285">J176</f>
        <v>-3</v>
      </c>
      <c r="L333" s="237" t="str">
        <f t="shared" si="285"/>
        <v>-</v>
      </c>
      <c r="M333" s="237">
        <f t="shared" si="285"/>
        <v>0</v>
      </c>
      <c r="N333" s="177"/>
      <c r="O333" s="177"/>
      <c r="P333" s="177"/>
    </row>
    <row r="334" spans="1:16" ht="13" x14ac:dyDescent="0.3">
      <c r="A334" s="1962"/>
      <c r="B334" s="236">
        <v>17</v>
      </c>
      <c r="C334" s="237">
        <f>C187</f>
        <v>40</v>
      </c>
      <c r="D334" s="237">
        <f t="shared" ref="D334:F334" si="286">D187</f>
        <v>-0.4</v>
      </c>
      <c r="E334" s="237" t="str">
        <f t="shared" si="286"/>
        <v>-</v>
      </c>
      <c r="F334" s="237">
        <f t="shared" si="286"/>
        <v>0</v>
      </c>
      <c r="G334" s="177"/>
      <c r="H334" s="1963"/>
      <c r="I334" s="236">
        <v>17</v>
      </c>
      <c r="J334" s="237">
        <f>I187</f>
        <v>90</v>
      </c>
      <c r="K334" s="237">
        <f t="shared" ref="K334:M334" si="287">J187</f>
        <v>-0.8</v>
      </c>
      <c r="L334" s="237" t="str">
        <f t="shared" si="287"/>
        <v>-</v>
      </c>
      <c r="M334" s="237">
        <f t="shared" si="287"/>
        <v>0</v>
      </c>
      <c r="N334" s="177"/>
      <c r="O334" s="177"/>
      <c r="P334" s="177"/>
    </row>
    <row r="335" spans="1:16" ht="13" x14ac:dyDescent="0.3">
      <c r="A335" s="1962"/>
      <c r="B335" s="236">
        <v>18</v>
      </c>
      <c r="C335" s="237">
        <f>C198</f>
        <v>40</v>
      </c>
      <c r="D335" s="237">
        <f t="shared" ref="D335:F335" si="288">D198</f>
        <v>-0.4</v>
      </c>
      <c r="E335" s="237" t="str">
        <f t="shared" si="288"/>
        <v>-</v>
      </c>
      <c r="F335" s="237">
        <f t="shared" si="288"/>
        <v>0</v>
      </c>
      <c r="G335" s="177"/>
      <c r="H335" s="1963"/>
      <c r="I335" s="236">
        <v>18</v>
      </c>
      <c r="J335" s="237">
        <f>I198</f>
        <v>90</v>
      </c>
      <c r="K335" s="237">
        <f t="shared" ref="K335:M335" si="289">J198</f>
        <v>-0.9</v>
      </c>
      <c r="L335" s="237" t="str">
        <f t="shared" si="289"/>
        <v>-</v>
      </c>
      <c r="M335" s="237">
        <f t="shared" si="289"/>
        <v>0</v>
      </c>
      <c r="N335" s="177"/>
      <c r="O335" s="177"/>
      <c r="P335" s="177"/>
    </row>
    <row r="336" spans="1:16" ht="13.5" thickBot="1" x14ac:dyDescent="0.35">
      <c r="A336" s="255"/>
      <c r="B336" s="256"/>
      <c r="C336" s="247"/>
      <c r="D336" s="247"/>
      <c r="E336" s="247"/>
      <c r="F336" s="247"/>
      <c r="G336" s="247"/>
      <c r="H336" s="177"/>
      <c r="I336" s="257"/>
      <c r="J336" s="256"/>
      <c r="K336" s="247"/>
      <c r="L336" s="247"/>
      <c r="M336" s="247"/>
      <c r="N336" s="247"/>
      <c r="O336" s="247"/>
      <c r="P336" s="177"/>
    </row>
    <row r="337" spans="1:16" ht="29.25" customHeight="1" x14ac:dyDescent="0.3">
      <c r="A337" s="117">
        <f>A375</f>
        <v>8</v>
      </c>
      <c r="B337" s="1978" t="str">
        <f>A356</f>
        <v>Thermohygrolight, Merek : Greisinger, Model : GFTB 200, SN : 34903051</v>
      </c>
      <c r="C337" s="1978"/>
      <c r="D337" s="1979"/>
      <c r="E337" s="118"/>
      <c r="F337" s="117">
        <f>A337</f>
        <v>8</v>
      </c>
      <c r="G337" s="1978" t="str">
        <f>B337</f>
        <v>Thermohygrolight, Merek : Greisinger, Model : GFTB 200, SN : 34903051</v>
      </c>
      <c r="H337" s="1978"/>
      <c r="I337" s="1979"/>
      <c r="J337" s="118"/>
      <c r="K337" s="117">
        <f>A337</f>
        <v>8</v>
      </c>
      <c r="L337" s="1994" t="str">
        <f>G337</f>
        <v>Thermohygrolight, Merek : Greisinger, Model : GFTB 200, SN : 34903051</v>
      </c>
      <c r="M337" s="1995"/>
      <c r="N337" s="1995"/>
      <c r="O337" s="1996"/>
      <c r="P337" s="177"/>
    </row>
    <row r="338" spans="1:16" ht="13.5" x14ac:dyDescent="0.3">
      <c r="A338" s="258" t="s">
        <v>311</v>
      </c>
      <c r="B338" s="1997" t="s">
        <v>88</v>
      </c>
      <c r="C338" s="1997"/>
      <c r="D338" s="1998" t="s">
        <v>86</v>
      </c>
      <c r="E338" s="2005" t="s">
        <v>90</v>
      </c>
      <c r="F338" s="403" t="s">
        <v>312</v>
      </c>
      <c r="G338" s="1997" t="s">
        <v>88</v>
      </c>
      <c r="H338" s="1997"/>
      <c r="I338" s="1999" t="s">
        <v>86</v>
      </c>
      <c r="J338" s="2005" t="s">
        <v>90</v>
      </c>
      <c r="K338" s="2000"/>
      <c r="L338" s="2003" t="s">
        <v>92</v>
      </c>
      <c r="M338" s="2003" t="s">
        <v>93</v>
      </c>
      <c r="N338" s="2003" t="s">
        <v>94</v>
      </c>
      <c r="O338" s="2004" t="s">
        <v>90</v>
      </c>
      <c r="P338" s="177"/>
    </row>
    <row r="339" spans="1:16" ht="14" x14ac:dyDescent="0.3">
      <c r="A339" s="119" t="s">
        <v>333</v>
      </c>
      <c r="B339" s="259">
        <f>VLOOKUP(B337,A357:K374,9,FALSE)</f>
        <v>2019</v>
      </c>
      <c r="C339" s="259">
        <f>VLOOKUP(B337,A357:K374,10,FALSE)</f>
        <v>2017</v>
      </c>
      <c r="D339" s="1998"/>
      <c r="E339" s="2006"/>
      <c r="F339" s="404" t="s">
        <v>16</v>
      </c>
      <c r="G339" s="259">
        <f>B339</f>
        <v>2019</v>
      </c>
      <c r="H339" s="259">
        <f>C339</f>
        <v>2017</v>
      </c>
      <c r="I339" s="1999"/>
      <c r="J339" s="2006"/>
      <c r="K339" s="2001"/>
      <c r="L339" s="2003"/>
      <c r="M339" s="2003"/>
      <c r="N339" s="2003"/>
      <c r="O339" s="2004"/>
      <c r="P339" s="177"/>
    </row>
    <row r="340" spans="1:16" ht="13" x14ac:dyDescent="0.3">
      <c r="A340" s="260">
        <f>VLOOKUP($A$337,$B$204:$F$221,2,FALSE)</f>
        <v>15</v>
      </c>
      <c r="B340" s="261">
        <f>VLOOKUP($A$337,$B$204:$F$221,3,FALSE)</f>
        <v>9.9999999999999995E-7</v>
      </c>
      <c r="C340" s="261">
        <f>VLOOKUP($A$337,$B$204:$F$221,4,FALSE)</f>
        <v>-0.2</v>
      </c>
      <c r="D340" s="406">
        <f>VLOOKUP($A$337,$B$204:$F$221,5,FALSE)</f>
        <v>0.10000050000000001</v>
      </c>
      <c r="F340" s="407">
        <f>VLOOKUP($F$337,$I$204:$M$221,2,FALSE)</f>
        <v>30</v>
      </c>
      <c r="G340" s="261">
        <f>VLOOKUP($F$337,$I$204:$M$221,3,FALSE)</f>
        <v>-1.4</v>
      </c>
      <c r="H340" s="261">
        <f>VLOOKUP($F$337,$I$204:$M$221,4,FALSE)</f>
        <v>1</v>
      </c>
      <c r="I340" s="262">
        <f>VLOOKUP($F$337,$I$204:$M$221,5,FALSE)</f>
        <v>1.2</v>
      </c>
      <c r="J340" s="247"/>
      <c r="K340" s="2002"/>
      <c r="L340" s="2003"/>
      <c r="M340" s="2003"/>
      <c r="N340" s="2003"/>
      <c r="O340" s="2004"/>
      <c r="P340" s="177"/>
    </row>
    <row r="341" spans="1:16" ht="13" x14ac:dyDescent="0.3">
      <c r="A341" s="260">
        <f>VLOOKUP($A$337,$B$223:$F$240,2,FALSE)</f>
        <v>20</v>
      </c>
      <c r="B341" s="261">
        <f>VLOOKUP($A$337,$B$223:$F$240,3,FALSE)</f>
        <v>-0.2</v>
      </c>
      <c r="C341" s="261">
        <f>VLOOKUP($A$337,$B$223:$F$240,4,FALSE)</f>
        <v>-0.2</v>
      </c>
      <c r="D341" s="262">
        <f>VLOOKUP($A$337,$B$223:$F$240,5,FALSE)</f>
        <v>0</v>
      </c>
      <c r="E341" s="405"/>
      <c r="F341" s="260">
        <f>VLOOKUP($F$337,$I$223:$M$240,2,FALSE)</f>
        <v>40</v>
      </c>
      <c r="G341" s="261">
        <f>VLOOKUP($F$337,$I$223:$M$240,3,FALSE)</f>
        <v>-1.2</v>
      </c>
      <c r="H341" s="261">
        <f>VLOOKUP($F$337,$I$223:$M$240,4,FALSE)</f>
        <v>1.1000000000000001</v>
      </c>
      <c r="I341" s="262">
        <f>VLOOKUP($F$337,$I$223:$M$240,5,FALSE)</f>
        <v>1.1499999999999999</v>
      </c>
      <c r="J341" s="247"/>
      <c r="K341" s="263" t="s">
        <v>311</v>
      </c>
      <c r="L341" s="264">
        <f>AVERAGE(ID!E16:F16)</f>
        <v>23.45</v>
      </c>
      <c r="M341" s="265">
        <f>L341+E350</f>
        <v>23.198962552538845</v>
      </c>
      <c r="N341" s="265">
        <f>STDEV(ID!E16:F16)</f>
        <v>7.0710678118655765E-2</v>
      </c>
      <c r="O341" s="405">
        <f>IF($A$337=$O$203,P203,IF($A$337=$O$204,P204,IF(A337=O205,P205,IF(A337=O206,P206,IF(A337=O207,P207,IF(A337=O208,P208,IF(A337=O209,P209,IF(A337=O210,P210,IF(A337=O211,P211,IF(A337=O212,P212,IF(A337=O213,P213,IF(A337=O214,P214,IF(A337=O215,P215,IF(A337=O216,P216,IF(A337=O217,P217,IF(A337=O218,P218,IF(A337=O219,P219,IF(A337=O220,P220))))))))))))))))))</f>
        <v>0.3</v>
      </c>
      <c r="P341" s="266"/>
    </row>
    <row r="342" spans="1:16" ht="13.5" thickBot="1" x14ac:dyDescent="0.35">
      <c r="A342" s="260">
        <f>VLOOKUP($A$337,$B$242:$F$259,2,FALSE)</f>
        <v>25</v>
      </c>
      <c r="B342" s="261">
        <f>VLOOKUP($A$337,$B$242:$F$259,3,FALSE)</f>
        <v>-0.4</v>
      </c>
      <c r="C342" s="261">
        <f>VLOOKUP($A$337,$B$242:$F$259,4,FALSE)</f>
        <v>-0.2</v>
      </c>
      <c r="D342" s="262">
        <f>VLOOKUP($A$337,$B$242:$F$259,5,FALSE)</f>
        <v>0.1</v>
      </c>
      <c r="E342" s="247"/>
      <c r="F342" s="260">
        <f>VLOOKUP($F$337,$I$242:$M$259,2,FALSE)</f>
        <v>50</v>
      </c>
      <c r="G342" s="261">
        <f>VLOOKUP($F$337,$I$242:$M$259,3,FALSE)</f>
        <v>-1.2</v>
      </c>
      <c r="H342" s="261">
        <f>VLOOKUP($F$337,$I$242:$M$259,4,FALSE)</f>
        <v>1.3</v>
      </c>
      <c r="I342" s="262">
        <f>VLOOKUP($F$337,$I$242:$M$259,5,FALSE)</f>
        <v>1.25</v>
      </c>
      <c r="J342" s="247"/>
      <c r="K342" s="267" t="s">
        <v>16</v>
      </c>
      <c r="L342" s="264">
        <f>AVERAGE(ID!E17:F17)</f>
        <v>40.4</v>
      </c>
      <c r="M342" s="268">
        <f>L342+J350</f>
        <v>39.15042857142857</v>
      </c>
      <c r="N342" s="265">
        <f>STDEV(ID!E17:F17)</f>
        <v>24.041630560342615</v>
      </c>
      <c r="O342" s="405">
        <f>IF($A$337=$O$203,Q203,IF($A$337=$O$204,Q204,IF(A337=O205,Q205,IF(A337=O206,Q206,IF(A337=O207,Q207,IF(A337=O208,Q208,IF(A337=O209,Q209,IF(A337=O210,Q210,IF(A337=O211,Q211,IF(A337=O212,Q212,IF(A337=O213,Q213,IF(A337=O214,Q214,IF(A337=O215,Q215,IF(A337=O216,Q216,IF(A337=O217,Q217,IF(A337=O218,Q218,IF(A337=O219,Q219,IF(A337=O220,Q220))))))))))))))))))</f>
        <v>2.6</v>
      </c>
      <c r="P342" s="266"/>
    </row>
    <row r="343" spans="1:16" ht="13" x14ac:dyDescent="0.3">
      <c r="A343" s="260">
        <f>VLOOKUP($A$337,$B$261:$F$278,2,FALSE)</f>
        <v>30</v>
      </c>
      <c r="B343" s="261">
        <f>VLOOKUP($A$337,$B$261:$F$278,3,FALSE)</f>
        <v>-0.4</v>
      </c>
      <c r="C343" s="261">
        <f>VLOOKUP($A$337,$B$261:$F$278,4,FALSE)</f>
        <v>-0.2</v>
      </c>
      <c r="D343" s="262">
        <f>VLOOKUP($A$337,$B$261:$F$278,5,FALSE)</f>
        <v>0.1</v>
      </c>
      <c r="E343" s="247"/>
      <c r="F343" s="260">
        <f>VLOOKUP($F$337,$I$261:$M$278,2,FALSE)</f>
        <v>60</v>
      </c>
      <c r="G343" s="261">
        <f>VLOOKUP($F$337,$I$261:$M$278,3,FALSE)</f>
        <v>-1.1000000000000001</v>
      </c>
      <c r="H343" s="261">
        <f>VLOOKUP($F$337,$I$261:$M$278,4,FALSE)</f>
        <v>1.7</v>
      </c>
      <c r="I343" s="262">
        <f>VLOOKUP($F$337,$I$261:$M$278,5,FALSE)</f>
        <v>1.4</v>
      </c>
      <c r="J343" s="247"/>
      <c r="K343" s="247"/>
      <c r="L343" s="120"/>
      <c r="M343" s="121"/>
      <c r="N343" s="120"/>
      <c r="O343" s="122"/>
      <c r="P343" s="266"/>
    </row>
    <row r="344" spans="1:16" ht="13.5" thickBot="1" x14ac:dyDescent="0.35">
      <c r="A344" s="260">
        <f>VLOOKUP($A$337,$B$280:$F$297,2,FALSE)</f>
        <v>35</v>
      </c>
      <c r="B344" s="261">
        <f>VLOOKUP($A$337,$B$280:$F$297,3,FALSE)</f>
        <v>-0.5</v>
      </c>
      <c r="C344" s="261">
        <f>VLOOKUP($A$337,$B$280:$F$297,4,FALSE)</f>
        <v>-0.3</v>
      </c>
      <c r="D344" s="262">
        <f>VLOOKUP($A$337,$B$280:$F$297,5,FALSE)</f>
        <v>0.1</v>
      </c>
      <c r="E344" s="247"/>
      <c r="F344" s="260">
        <f>VLOOKUP($F$337,$I$280:$M$297,2,FALSE)</f>
        <v>70</v>
      </c>
      <c r="G344" s="261">
        <f>VLOOKUP($F$337,$I$280:$M$297,3,FALSE)</f>
        <v>-1.2</v>
      </c>
      <c r="H344" s="261">
        <f>VLOOKUP($F$337,$I$280:$M$297,4,FALSE)</f>
        <v>2.1</v>
      </c>
      <c r="I344" s="262">
        <f>VLOOKUP($F$337,$I$280:$M$297,5,FALSE)</f>
        <v>1.65</v>
      </c>
      <c r="J344" s="247"/>
      <c r="K344" s="247"/>
      <c r="O344" s="123"/>
      <c r="P344" s="266"/>
    </row>
    <row r="345" spans="1:16" ht="14.5" thickBot="1" x14ac:dyDescent="0.35">
      <c r="A345" s="260">
        <f>VLOOKUP($A$337,$B$299:$F$316,2,FALSE)</f>
        <v>37</v>
      </c>
      <c r="B345" s="261">
        <f>VLOOKUP($A$337,$B$299:$F$316,3,FALSE)</f>
        <v>-0.5</v>
      </c>
      <c r="C345" s="261">
        <f>VLOOKUP($A$337,$B$299:$F$316,4,FALSE)</f>
        <v>-0.3</v>
      </c>
      <c r="D345" s="262">
        <f>VLOOKUP($A$337,$B$299:$F$316,5,FALSE)</f>
        <v>0.1</v>
      </c>
      <c r="E345" s="247"/>
      <c r="F345" s="260">
        <f>VLOOKUP($F$337,$I$299:$M$316,2,FALSE)</f>
        <v>80</v>
      </c>
      <c r="G345" s="261">
        <f>VLOOKUP($F$337,$I$299:$M$316,3,FALSE)</f>
        <v>-1.2</v>
      </c>
      <c r="H345" s="261">
        <f>VLOOKUP($F$337,$I$299:$M$316,4,FALSE)</f>
        <v>2.6</v>
      </c>
      <c r="I345" s="262">
        <f>VLOOKUP($F$337,$I$299:$M$316,5,FALSE)</f>
        <v>1.9</v>
      </c>
      <c r="J345" s="247"/>
      <c r="K345" s="1980" t="s">
        <v>334</v>
      </c>
      <c r="L345" s="179" t="str">
        <f>TEXT(M341,"0.0")</f>
        <v>23.2</v>
      </c>
      <c r="M345" s="269"/>
      <c r="O345" s="125"/>
      <c r="P345" s="270"/>
    </row>
    <row r="346" spans="1:16" ht="14.5" thickBot="1" x14ac:dyDescent="0.35">
      <c r="A346" s="271">
        <f>VLOOKUP($A$337,$B$318:$F$335,2,FALSE)</f>
        <v>40</v>
      </c>
      <c r="B346" s="272">
        <f>VLOOKUP($A$337,$B$318:$F$335,3,FALSE)</f>
        <v>-0.4</v>
      </c>
      <c r="C346" s="272">
        <f>VLOOKUP($A$337,$B$318:$F$335,4,FALSE)</f>
        <v>-0.4</v>
      </c>
      <c r="D346" s="273">
        <f>VLOOKUP($A$337,$B$318:$F$335,5,FALSE)</f>
        <v>0</v>
      </c>
      <c r="E346" s="247"/>
      <c r="F346" s="271">
        <f>VLOOKUP($F$337,$I$318:$M$335,2,FALSE)</f>
        <v>90</v>
      </c>
      <c r="G346" s="272">
        <f>VLOOKUP($F$337,$I$318:$M$335,3,FALSE)</f>
        <v>-1.3</v>
      </c>
      <c r="H346" s="272">
        <f>VLOOKUP($F$337,$I$318:$M$335,4,FALSE)</f>
        <v>2.6</v>
      </c>
      <c r="I346" s="273">
        <f>VLOOKUP($F$337,$I$318:$M$335,5,FALSE)</f>
        <v>1.9500000000000002</v>
      </c>
      <c r="J346" s="247"/>
      <c r="K346" s="1981"/>
      <c r="L346" s="179" t="str">
        <f>TEXT(M342,"0.0")</f>
        <v>39.2</v>
      </c>
      <c r="M346" s="191"/>
      <c r="O346" s="125"/>
      <c r="P346" s="266"/>
    </row>
    <row r="347" spans="1:16" ht="16" thickBot="1" x14ac:dyDescent="0.4">
      <c r="A347" s="274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O347" s="125"/>
      <c r="P347" s="275"/>
    </row>
    <row r="348" spans="1:16" ht="14.5" thickBot="1" x14ac:dyDescent="0.35">
      <c r="A348" s="1982" t="s">
        <v>335</v>
      </c>
      <c r="B348" s="1983"/>
      <c r="C348" s="1983"/>
      <c r="D348" s="1984"/>
      <c r="E348" s="126"/>
      <c r="F348" s="1982" t="s">
        <v>336</v>
      </c>
      <c r="G348" s="1983"/>
      <c r="H348" s="1983"/>
      <c r="I348" s="1984"/>
      <c r="J348" s="247"/>
      <c r="K348" s="247"/>
      <c r="L348" s="247"/>
      <c r="M348" s="127"/>
      <c r="N348" s="128"/>
      <c r="O348" s="125"/>
      <c r="P348" s="276"/>
    </row>
    <row r="349" spans="1:16" ht="13.5" x14ac:dyDescent="0.3">
      <c r="A349" s="277"/>
      <c r="B349" s="278"/>
      <c r="C349" s="278"/>
      <c r="D349" s="279"/>
      <c r="E349" s="280"/>
      <c r="F349" s="281"/>
      <c r="G349" s="278"/>
      <c r="H349" s="278"/>
      <c r="I349" s="279"/>
      <c r="J349" s="247"/>
      <c r="K349" s="247"/>
      <c r="L349" s="247"/>
      <c r="M349" s="247"/>
      <c r="N349" s="247"/>
      <c r="O349" s="282"/>
      <c r="P349" s="283"/>
    </row>
    <row r="350" spans="1:16" ht="14" x14ac:dyDescent="0.3">
      <c r="A350" s="284">
        <f>L341</f>
        <v>23.45</v>
      </c>
      <c r="B350" s="285"/>
      <c r="C350" s="285"/>
      <c r="D350" s="368"/>
      <c r="E350" s="371">
        <f>(FORECAST(A350,B340:B346,A340:A346))</f>
        <v>-0.25103744746115431</v>
      </c>
      <c r="F350" s="369">
        <f>L342</f>
        <v>40.4</v>
      </c>
      <c r="G350" s="285"/>
      <c r="H350" s="367"/>
      <c r="I350" s="368"/>
      <c r="J350" s="370">
        <f>(FORECAST(F350,G340:G346,F340:F346))</f>
        <v>-1.249571428571429</v>
      </c>
      <c r="K350" s="247"/>
      <c r="L350" s="247"/>
      <c r="M350" s="247"/>
      <c r="N350" s="247"/>
      <c r="O350" s="282"/>
      <c r="P350" s="286"/>
    </row>
    <row r="351" spans="1:16" ht="13.5" thickBot="1" x14ac:dyDescent="0.35">
      <c r="A351" s="287"/>
      <c r="B351" s="288"/>
      <c r="C351" s="289"/>
      <c r="D351" s="290"/>
      <c r="E351" s="291"/>
      <c r="F351" s="287"/>
      <c r="G351" s="288"/>
      <c r="H351" s="289"/>
      <c r="I351" s="290"/>
      <c r="J351" s="292"/>
      <c r="K351" s="292"/>
      <c r="L351" s="292"/>
      <c r="M351" s="292"/>
      <c r="N351" s="292"/>
      <c r="O351" s="293"/>
      <c r="P351" s="294"/>
    </row>
    <row r="355" spans="1:15" ht="13" thickBot="1" x14ac:dyDescent="0.3"/>
    <row r="356" spans="1:15" s="295" customFormat="1" ht="13.5" thickBot="1" x14ac:dyDescent="0.3">
      <c r="A356" s="1985" t="str">
        <f>ID!B86</f>
        <v>Thermohygrolight, Merek : Greisinger, Model : GFTB 200, SN : 34903051</v>
      </c>
      <c r="B356" s="1986"/>
      <c r="C356" s="1986"/>
      <c r="D356" s="1986"/>
      <c r="E356" s="1986"/>
      <c r="F356" s="1986"/>
      <c r="G356" s="1986"/>
      <c r="H356" s="1986"/>
      <c r="I356" s="1987"/>
      <c r="J356" s="1987"/>
      <c r="K356" s="1988"/>
      <c r="M356" s="1989" t="s">
        <v>337</v>
      </c>
      <c r="N356" s="1989"/>
      <c r="O356" s="1989"/>
    </row>
    <row r="357" spans="1:15" s="295" customFormat="1" ht="15.5" x14ac:dyDescent="0.25">
      <c r="A357" s="296" t="s">
        <v>338</v>
      </c>
      <c r="B357" s="297"/>
      <c r="C357" s="297"/>
      <c r="D357" s="298"/>
      <c r="E357" s="298"/>
      <c r="F357" s="298"/>
      <c r="G357" s="299"/>
      <c r="H357" s="300"/>
      <c r="I357" s="301">
        <f>D4</f>
        <v>2020</v>
      </c>
      <c r="J357" s="302">
        <f>E4</f>
        <v>2017</v>
      </c>
      <c r="K357" s="303">
        <v>1</v>
      </c>
      <c r="M357" s="1411" t="str">
        <f>TEXT(M341,"0.0")</f>
        <v>23.2</v>
      </c>
      <c r="N357" s="1411" t="str">
        <f>TEXT(O341,"0.0")</f>
        <v>0.3</v>
      </c>
      <c r="O357" s="304" t="s">
        <v>339</v>
      </c>
    </row>
    <row r="358" spans="1:15" s="295" customFormat="1" ht="15.5" x14ac:dyDescent="0.25">
      <c r="A358" s="296" t="s">
        <v>340</v>
      </c>
      <c r="B358" s="297"/>
      <c r="C358" s="297"/>
      <c r="D358" s="298"/>
      <c r="E358" s="298"/>
      <c r="F358" s="298"/>
      <c r="G358" s="299"/>
      <c r="H358" s="300"/>
      <c r="I358" s="305">
        <f>D15</f>
        <v>2018</v>
      </c>
      <c r="J358" s="306">
        <f>E15</f>
        <v>2017</v>
      </c>
      <c r="K358" s="303">
        <v>2</v>
      </c>
      <c r="M358" s="1411" t="str">
        <f>TEXT(M342,"0.0")</f>
        <v>39.2</v>
      </c>
      <c r="N358" s="1411" t="str">
        <f>TEXT(O342,"0.0")</f>
        <v>2.6</v>
      </c>
      <c r="O358" s="304" t="s">
        <v>341</v>
      </c>
    </row>
    <row r="359" spans="1:15" s="295" customFormat="1" ht="15.5" x14ac:dyDescent="0.3">
      <c r="A359" s="296" t="s">
        <v>342</v>
      </c>
      <c r="B359" s="297"/>
      <c r="C359" s="297"/>
      <c r="D359" s="298"/>
      <c r="E359" s="298"/>
      <c r="F359" s="298"/>
      <c r="G359" s="299"/>
      <c r="H359" s="300"/>
      <c r="I359" s="305">
        <f>D26</f>
        <v>2018</v>
      </c>
      <c r="J359" s="306">
        <f>E26</f>
        <v>2017</v>
      </c>
      <c r="K359" s="303">
        <v>3</v>
      </c>
      <c r="M359" s="307"/>
      <c r="N359" s="308"/>
      <c r="O359" s="308"/>
    </row>
    <row r="360" spans="1:15" s="295" customFormat="1" ht="13" x14ac:dyDescent="0.25">
      <c r="A360" s="296" t="s">
        <v>344</v>
      </c>
      <c r="B360" s="297"/>
      <c r="C360" s="297"/>
      <c r="D360" s="298"/>
      <c r="E360" s="298"/>
      <c r="F360" s="298"/>
      <c r="G360" s="299"/>
      <c r="H360" s="300"/>
      <c r="I360" s="305">
        <f>D37</f>
        <v>2017</v>
      </c>
      <c r="J360" s="306">
        <f>E37</f>
        <v>2015</v>
      </c>
      <c r="K360" s="303">
        <v>4</v>
      </c>
    </row>
    <row r="361" spans="1:15" s="295" customFormat="1" ht="13" x14ac:dyDescent="0.25">
      <c r="A361" s="296" t="s">
        <v>345</v>
      </c>
      <c r="B361" s="297"/>
      <c r="C361" s="297"/>
      <c r="D361" s="298"/>
      <c r="E361" s="298"/>
      <c r="F361" s="298"/>
      <c r="G361" s="299"/>
      <c r="H361" s="300"/>
      <c r="I361" s="305">
        <f>D48</f>
        <v>2020</v>
      </c>
      <c r="J361" s="306">
        <f>E48</f>
        <v>2017</v>
      </c>
      <c r="K361" s="303">
        <v>5</v>
      </c>
    </row>
    <row r="362" spans="1:15" s="295" customFormat="1" ht="13" x14ac:dyDescent="0.25">
      <c r="A362" s="296" t="s">
        <v>346</v>
      </c>
      <c r="B362" s="297"/>
      <c r="C362" s="297"/>
      <c r="D362" s="298"/>
      <c r="E362" s="298"/>
      <c r="F362" s="298"/>
      <c r="G362" s="299"/>
      <c r="H362" s="300"/>
      <c r="I362" s="305">
        <f>D59</f>
        <v>2019</v>
      </c>
      <c r="J362" s="306">
        <f>E59</f>
        <v>2018</v>
      </c>
      <c r="K362" s="303">
        <v>6</v>
      </c>
    </row>
    <row r="363" spans="1:15" s="295" customFormat="1" ht="13" x14ac:dyDescent="0.25">
      <c r="A363" s="296" t="s">
        <v>347</v>
      </c>
      <c r="B363" s="297"/>
      <c r="C363" s="297"/>
      <c r="D363" s="298"/>
      <c r="E363" s="298"/>
      <c r="F363" s="298"/>
      <c r="G363" s="299"/>
      <c r="H363" s="300"/>
      <c r="I363" s="305">
        <f>D70</f>
        <v>2018</v>
      </c>
      <c r="J363" s="306">
        <f>E70</f>
        <v>2017</v>
      </c>
      <c r="K363" s="303">
        <v>7</v>
      </c>
    </row>
    <row r="364" spans="1:15" s="295" customFormat="1" ht="13" x14ac:dyDescent="0.25">
      <c r="A364" s="296" t="s">
        <v>150</v>
      </c>
      <c r="B364" s="297"/>
      <c r="C364" s="297"/>
      <c r="D364" s="298"/>
      <c r="E364" s="298"/>
      <c r="F364" s="298"/>
      <c r="G364" s="299"/>
      <c r="H364" s="300"/>
      <c r="I364" s="305">
        <f>D81</f>
        <v>2019</v>
      </c>
      <c r="J364" s="306">
        <f>E81</f>
        <v>2017</v>
      </c>
      <c r="K364" s="303">
        <v>8</v>
      </c>
    </row>
    <row r="365" spans="1:15" s="295" customFormat="1" ht="13" x14ac:dyDescent="0.25">
      <c r="A365" s="296" t="s">
        <v>348</v>
      </c>
      <c r="B365" s="297"/>
      <c r="C365" s="297"/>
      <c r="D365" s="298"/>
      <c r="E365" s="298"/>
      <c r="F365" s="298"/>
      <c r="G365" s="299"/>
      <c r="H365" s="300"/>
      <c r="I365" s="305">
        <f>D92</f>
        <v>2019</v>
      </c>
      <c r="J365" s="306" t="str">
        <f>E92</f>
        <v>-</v>
      </c>
      <c r="K365" s="303">
        <v>9</v>
      </c>
    </row>
    <row r="366" spans="1:15" s="295" customFormat="1" ht="13" x14ac:dyDescent="0.25">
      <c r="A366" s="296" t="s">
        <v>349</v>
      </c>
      <c r="B366" s="297"/>
      <c r="C366" s="297"/>
      <c r="D366" s="298"/>
      <c r="E366" s="298"/>
      <c r="F366" s="298"/>
      <c r="G366" s="299"/>
      <c r="H366" s="300"/>
      <c r="I366" s="305">
        <f>D103</f>
        <v>2019</v>
      </c>
      <c r="J366" s="306">
        <f>E103</f>
        <v>2016</v>
      </c>
      <c r="K366" s="303">
        <v>10</v>
      </c>
    </row>
    <row r="367" spans="1:15" s="295" customFormat="1" ht="13" x14ac:dyDescent="0.25">
      <c r="A367" s="296" t="s">
        <v>350</v>
      </c>
      <c r="B367" s="297"/>
      <c r="C367" s="297"/>
      <c r="D367" s="298"/>
      <c r="E367" s="298"/>
      <c r="F367" s="298"/>
      <c r="G367" s="299"/>
      <c r="H367" s="300"/>
      <c r="I367" s="305">
        <f>D114</f>
        <v>2020</v>
      </c>
      <c r="J367" s="306" t="str">
        <f>E114</f>
        <v>-</v>
      </c>
      <c r="K367" s="303">
        <v>11</v>
      </c>
    </row>
    <row r="368" spans="1:15" s="295" customFormat="1" ht="13" x14ac:dyDescent="0.25">
      <c r="A368" s="296" t="s">
        <v>351</v>
      </c>
      <c r="B368" s="297"/>
      <c r="C368" s="297"/>
      <c r="D368" s="298"/>
      <c r="E368" s="298"/>
      <c r="F368" s="298"/>
      <c r="G368" s="299"/>
      <c r="H368" s="300"/>
      <c r="I368" s="309">
        <f>D125</f>
        <v>2020</v>
      </c>
      <c r="J368" s="309" t="str">
        <f>E125</f>
        <v>-</v>
      </c>
      <c r="K368" s="303">
        <v>12</v>
      </c>
    </row>
    <row r="369" spans="1:11" s="295" customFormat="1" ht="13" x14ac:dyDescent="0.25">
      <c r="A369" s="296" t="s">
        <v>352</v>
      </c>
      <c r="B369" s="297"/>
      <c r="C369" s="297"/>
      <c r="D369" s="298"/>
      <c r="E369" s="298"/>
      <c r="F369" s="298"/>
      <c r="G369" s="299"/>
      <c r="H369" s="300"/>
      <c r="I369" s="309">
        <f>D136</f>
        <v>2020</v>
      </c>
      <c r="J369" s="309" t="str">
        <f>E136</f>
        <v>-</v>
      </c>
      <c r="K369" s="303">
        <v>13</v>
      </c>
    </row>
    <row r="370" spans="1:11" s="295" customFormat="1" ht="13" x14ac:dyDescent="0.25">
      <c r="A370" s="296" t="s">
        <v>353</v>
      </c>
      <c r="B370" s="297"/>
      <c r="C370" s="297"/>
      <c r="D370" s="298"/>
      <c r="E370" s="298"/>
      <c r="F370" s="298"/>
      <c r="G370" s="299"/>
      <c r="H370" s="300"/>
      <c r="I370" s="309">
        <f>D147</f>
        <v>2020</v>
      </c>
      <c r="J370" s="309" t="str">
        <f>E147</f>
        <v>-</v>
      </c>
      <c r="K370" s="303">
        <v>14</v>
      </c>
    </row>
    <row r="371" spans="1:11" s="295" customFormat="1" ht="13" x14ac:dyDescent="0.25">
      <c r="A371" s="296" t="s">
        <v>354</v>
      </c>
      <c r="B371" s="297"/>
      <c r="C371" s="297"/>
      <c r="D371" s="298"/>
      <c r="E371" s="298"/>
      <c r="F371" s="298"/>
      <c r="G371" s="299"/>
      <c r="H371" s="300"/>
      <c r="I371" s="309">
        <f>D158</f>
        <v>2020</v>
      </c>
      <c r="J371" s="309" t="str">
        <f>E158</f>
        <v>-</v>
      </c>
      <c r="K371" s="303">
        <v>15</v>
      </c>
    </row>
    <row r="372" spans="1:11" s="295" customFormat="1" ht="13" x14ac:dyDescent="0.25">
      <c r="A372" s="296" t="s">
        <v>355</v>
      </c>
      <c r="B372" s="297"/>
      <c r="C372" s="297"/>
      <c r="D372" s="298"/>
      <c r="E372" s="298"/>
      <c r="F372" s="298"/>
      <c r="G372" s="299"/>
      <c r="H372" s="300"/>
      <c r="I372" s="309">
        <f>D169</f>
        <v>2020</v>
      </c>
      <c r="J372" s="309" t="str">
        <f>E169</f>
        <v>-</v>
      </c>
      <c r="K372" s="303">
        <v>16</v>
      </c>
    </row>
    <row r="373" spans="1:11" s="295" customFormat="1" ht="13" x14ac:dyDescent="0.25">
      <c r="A373" s="296" t="s">
        <v>356</v>
      </c>
      <c r="B373" s="297"/>
      <c r="C373" s="297"/>
      <c r="D373" s="298"/>
      <c r="E373" s="298"/>
      <c r="F373" s="298"/>
      <c r="G373" s="299"/>
      <c r="H373" s="300"/>
      <c r="I373" s="309">
        <f>D180</f>
        <v>2020</v>
      </c>
      <c r="J373" s="309" t="str">
        <f>E180</f>
        <v>-</v>
      </c>
      <c r="K373" s="303">
        <v>17</v>
      </c>
    </row>
    <row r="374" spans="1:11" s="295" customFormat="1" ht="13.5" thickBot="1" x14ac:dyDescent="0.3">
      <c r="A374" s="296" t="s">
        <v>357</v>
      </c>
      <c r="B374" s="297"/>
      <c r="C374" s="297"/>
      <c r="D374" s="298"/>
      <c r="E374" s="298"/>
      <c r="F374" s="298"/>
      <c r="G374" s="299"/>
      <c r="H374" s="300"/>
      <c r="I374" s="310">
        <f>D191</f>
        <v>2017</v>
      </c>
      <c r="J374" s="311" t="str">
        <f>E191</f>
        <v>-</v>
      </c>
      <c r="K374" s="303">
        <v>18</v>
      </c>
    </row>
    <row r="375" spans="1:11" s="295" customFormat="1" ht="13.5" thickBot="1" x14ac:dyDescent="0.3">
      <c r="A375" s="1990">
        <f>VLOOKUP(A356,A357:K374,11,(FALSE))</f>
        <v>8</v>
      </c>
      <c r="B375" s="1991"/>
      <c r="C375" s="1991"/>
      <c r="D375" s="1991"/>
      <c r="E375" s="1991"/>
      <c r="F375" s="1991"/>
      <c r="G375" s="1991"/>
      <c r="H375" s="1991"/>
      <c r="I375" s="1992"/>
      <c r="J375" s="1992"/>
      <c r="K375" s="1993"/>
    </row>
  </sheetData>
  <mergeCells count="265"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E338:E339"/>
    <mergeCell ref="J338:J339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92EE-6B63-4974-9184-3C64525707C9}">
  <dimension ref="A1:AC216"/>
  <sheetViews>
    <sheetView view="pageBreakPreview" topLeftCell="A186" zoomScale="90" zoomScaleNormal="100" zoomScaleSheetLayoutView="90" workbookViewId="0">
      <selection activeCell="O171" sqref="O171"/>
    </sheetView>
  </sheetViews>
  <sheetFormatPr defaultColWidth="9.1796875" defaultRowHeight="12.5" x14ac:dyDescent="0.25"/>
  <cols>
    <col min="1" max="1" width="11.7265625" style="159" customWidth="1"/>
    <col min="2" max="2" width="9.1796875" style="159"/>
    <col min="3" max="3" width="11" style="159" customWidth="1"/>
    <col min="4" max="4" width="10.26953125" style="159" customWidth="1"/>
    <col min="5" max="5" width="9.1796875" style="159" customWidth="1"/>
    <col min="6" max="6" width="10.26953125" style="159" customWidth="1"/>
    <col min="7" max="7" width="11.26953125" style="159" customWidth="1"/>
    <col min="8" max="8" width="9.1796875" style="159"/>
    <col min="9" max="9" width="11.453125" style="159" customWidth="1"/>
    <col min="10" max="10" width="8.7265625" style="159" customWidth="1"/>
    <col min="11" max="11" width="11.453125" style="159" customWidth="1"/>
    <col min="12" max="12" width="10.54296875" style="159" customWidth="1"/>
    <col min="13" max="13" width="12.26953125" style="159" customWidth="1"/>
    <col min="14" max="16384" width="9.1796875" style="159"/>
  </cols>
  <sheetData>
    <row r="1" spans="1:29" ht="13.5" thickBot="1" x14ac:dyDescent="0.35">
      <c r="A1" s="768"/>
      <c r="B1" s="769"/>
      <c r="C1" s="770"/>
      <c r="D1" s="770"/>
      <c r="E1" s="770"/>
      <c r="F1" s="771"/>
      <c r="G1" s="283"/>
      <c r="H1" s="768"/>
      <c r="I1" s="769"/>
      <c r="J1" s="770"/>
      <c r="K1" s="770"/>
      <c r="L1" s="770"/>
      <c r="M1" s="771"/>
      <c r="N1" s="283"/>
      <c r="O1" s="283"/>
      <c r="P1" s="283"/>
      <c r="Q1" s="166"/>
    </row>
    <row r="2" spans="1:29" ht="15" x14ac:dyDescent="0.25">
      <c r="A2" s="1520" t="s">
        <v>424</v>
      </c>
      <c r="B2" s="1521"/>
      <c r="C2" s="1521"/>
      <c r="D2" s="1521"/>
      <c r="E2" s="1521"/>
      <c r="F2" s="1521"/>
      <c r="G2" s="1521"/>
      <c r="H2" s="1521"/>
      <c r="I2" s="1521"/>
      <c r="J2" s="1521"/>
      <c r="K2" s="1521"/>
      <c r="L2" s="1521"/>
      <c r="M2" s="1521"/>
      <c r="N2" s="1521"/>
      <c r="O2" s="1521"/>
      <c r="P2" s="1521"/>
      <c r="Q2" s="1522"/>
      <c r="R2" s="434"/>
      <c r="S2" s="772"/>
      <c r="T2" s="772"/>
      <c r="U2" s="772"/>
      <c r="V2" s="772"/>
      <c r="W2" s="772"/>
      <c r="X2" s="772"/>
      <c r="Y2" s="772"/>
      <c r="Z2" s="772"/>
      <c r="AA2" s="772"/>
      <c r="AB2" s="772"/>
      <c r="AC2" s="772"/>
    </row>
    <row r="3" spans="1:29" ht="15.75" customHeight="1" x14ac:dyDescent="0.3">
      <c r="A3" s="1523" t="s">
        <v>425</v>
      </c>
      <c r="B3" s="1524"/>
      <c r="C3" s="1524"/>
      <c r="D3" s="1494" t="s">
        <v>86</v>
      </c>
      <c r="E3" s="1495" t="s">
        <v>87</v>
      </c>
      <c r="F3" s="1503"/>
      <c r="G3" s="1524" t="s">
        <v>426</v>
      </c>
      <c r="H3" s="1524"/>
      <c r="I3" s="1524"/>
      <c r="J3" s="1494" t="s">
        <v>86</v>
      </c>
      <c r="K3" s="1495" t="str">
        <f>E3</f>
        <v>U95 STD</v>
      </c>
      <c r="L3" s="166"/>
      <c r="M3" s="1524" t="s">
        <v>427</v>
      </c>
      <c r="N3" s="1524"/>
      <c r="O3" s="1524"/>
      <c r="P3" s="1494" t="s">
        <v>86</v>
      </c>
      <c r="Q3" s="1511" t="str">
        <f>K3</f>
        <v>U95 STD</v>
      </c>
      <c r="S3" s="773"/>
      <c r="T3" s="773"/>
      <c r="U3" s="773"/>
      <c r="V3" s="774"/>
      <c r="W3" s="775"/>
      <c r="X3" s="776"/>
      <c r="Y3" s="777"/>
      <c r="Z3" s="777"/>
      <c r="AA3" s="777"/>
      <c r="AB3" s="774"/>
      <c r="AC3" s="775"/>
    </row>
    <row r="4" spans="1:29" ht="12.75" customHeight="1" x14ac:dyDescent="0.25">
      <c r="A4" s="778" t="s">
        <v>428</v>
      </c>
      <c r="B4" s="1494" t="s">
        <v>88</v>
      </c>
      <c r="C4" s="1494"/>
      <c r="D4" s="1494"/>
      <c r="E4" s="1495"/>
      <c r="F4" s="1504"/>
      <c r="G4" s="779" t="str">
        <f>A4</f>
        <v>Timer</v>
      </c>
      <c r="H4" s="1494" t="s">
        <v>88</v>
      </c>
      <c r="I4" s="1494"/>
      <c r="J4" s="1494"/>
      <c r="K4" s="1495"/>
      <c r="L4" s="166"/>
      <c r="M4" s="779" t="str">
        <f>G4</f>
        <v>Timer</v>
      </c>
      <c r="N4" s="1494" t="s">
        <v>88</v>
      </c>
      <c r="O4" s="1494"/>
      <c r="P4" s="1494"/>
      <c r="Q4" s="1511"/>
      <c r="S4" s="780"/>
      <c r="T4" s="774"/>
      <c r="U4" s="774"/>
      <c r="V4" s="774"/>
      <c r="W4" s="775"/>
      <c r="X4" s="776"/>
      <c r="Y4" s="780"/>
      <c r="Z4" s="774"/>
      <c r="AA4" s="774"/>
      <c r="AB4" s="774"/>
      <c r="AC4" s="775"/>
    </row>
    <row r="5" spans="1:29" ht="12.75" customHeight="1" x14ac:dyDescent="0.25">
      <c r="A5" s="119" t="s">
        <v>429</v>
      </c>
      <c r="B5" s="779">
        <v>2016</v>
      </c>
      <c r="C5" s="781">
        <v>2015</v>
      </c>
      <c r="D5" s="1494"/>
      <c r="E5" s="1495"/>
      <c r="F5" s="1504"/>
      <c r="G5" s="782" t="str">
        <f>A5</f>
        <v>s</v>
      </c>
      <c r="H5" s="779">
        <v>2018</v>
      </c>
      <c r="I5" s="779">
        <v>2017</v>
      </c>
      <c r="J5" s="1494"/>
      <c r="K5" s="1495"/>
      <c r="L5" s="166"/>
      <c r="M5" s="782" t="str">
        <f>G5</f>
        <v>s</v>
      </c>
      <c r="N5" s="779">
        <v>2018</v>
      </c>
      <c r="O5" s="779">
        <v>2017</v>
      </c>
      <c r="P5" s="1494"/>
      <c r="Q5" s="1511"/>
      <c r="S5" s="783"/>
      <c r="T5" s="780"/>
      <c r="U5" s="784"/>
      <c r="V5" s="774"/>
      <c r="W5" s="775"/>
      <c r="X5" s="776"/>
      <c r="Y5" s="783"/>
      <c r="Z5" s="780"/>
      <c r="AA5" s="780"/>
      <c r="AB5" s="774"/>
      <c r="AC5" s="775"/>
    </row>
    <row r="6" spans="1:29" ht="13.5" customHeight="1" x14ac:dyDescent="0.25">
      <c r="A6" s="785">
        <v>0</v>
      </c>
      <c r="B6" s="786">
        <v>0</v>
      </c>
      <c r="C6" s="787">
        <v>0</v>
      </c>
      <c r="D6" s="788">
        <f>0.5*(MAX(B6:C6)-MIN(B6:C6))</f>
        <v>0</v>
      </c>
      <c r="E6" s="789">
        <v>0.04</v>
      </c>
      <c r="F6" s="1504"/>
      <c r="G6" s="790">
        <v>0</v>
      </c>
      <c r="H6" s="789">
        <v>0</v>
      </c>
      <c r="I6" s="787">
        <v>0</v>
      </c>
      <c r="J6" s="788">
        <f>0.5*(MAX(H6:I6)-MIN(H6:I6))</f>
        <v>0</v>
      </c>
      <c r="K6" s="789">
        <v>0.12</v>
      </c>
      <c r="L6" s="166"/>
      <c r="M6" s="790">
        <v>0</v>
      </c>
      <c r="N6" s="789">
        <v>0</v>
      </c>
      <c r="O6" s="787">
        <v>0</v>
      </c>
      <c r="P6" s="788">
        <f>0.5*(MAX(N6:O6)-MIN(N6:O6))</f>
        <v>0</v>
      </c>
      <c r="Q6" s="791">
        <v>0</v>
      </c>
      <c r="S6" s="792"/>
      <c r="T6" s="793"/>
      <c r="U6" s="794"/>
      <c r="V6" s="795"/>
      <c r="W6" s="793"/>
      <c r="X6" s="776"/>
      <c r="Y6" s="792"/>
      <c r="Z6" s="793"/>
      <c r="AA6" s="793"/>
      <c r="AB6" s="795"/>
      <c r="AC6" s="793"/>
    </row>
    <row r="7" spans="1:29" ht="12.75" customHeight="1" x14ac:dyDescent="0.25">
      <c r="A7" s="785">
        <v>60</v>
      </c>
      <c r="B7" s="787">
        <v>0</v>
      </c>
      <c r="C7" s="787">
        <v>1E-3</v>
      </c>
      <c r="D7" s="788">
        <f>0.5*(MAX(B7:C7)-MIN(B7:C7))</f>
        <v>5.0000000000000001E-4</v>
      </c>
      <c r="E7" s="789">
        <v>0.04</v>
      </c>
      <c r="F7" s="1504"/>
      <c r="G7" s="790">
        <v>60</v>
      </c>
      <c r="H7" s="789">
        <v>0.01</v>
      </c>
      <c r="I7" s="787">
        <v>0</v>
      </c>
      <c r="J7" s="788">
        <f>0.5*(MAX(H7:I7)-MIN(H7:I7))</f>
        <v>5.0000000000000001E-3</v>
      </c>
      <c r="K7" s="789">
        <v>0.12</v>
      </c>
      <c r="L7" s="166"/>
      <c r="M7" s="790">
        <v>60</v>
      </c>
      <c r="N7" s="789">
        <v>0.01</v>
      </c>
      <c r="O7" s="787">
        <v>0</v>
      </c>
      <c r="P7" s="788">
        <f>0.5*(MAX(N7:O7)-MIN(N7:O7))</f>
        <v>5.0000000000000001E-3</v>
      </c>
      <c r="Q7" s="791">
        <v>0.12</v>
      </c>
      <c r="S7" s="792"/>
      <c r="T7" s="793"/>
      <c r="U7" s="793"/>
      <c r="V7" s="795"/>
      <c r="W7" s="793"/>
      <c r="X7" s="776"/>
      <c r="Y7" s="792"/>
      <c r="Z7" s="793"/>
      <c r="AA7" s="793"/>
      <c r="AB7" s="795"/>
      <c r="AC7" s="793"/>
    </row>
    <row r="8" spans="1:29" ht="12.75" customHeight="1" x14ac:dyDescent="0.25">
      <c r="A8" s="785">
        <v>300</v>
      </c>
      <c r="B8" s="787">
        <v>0</v>
      </c>
      <c r="C8" s="787">
        <v>2E-3</v>
      </c>
      <c r="D8" s="788">
        <f>0.5*(MAX(B8:C8)-MIN(B8:C8))</f>
        <v>1E-3</v>
      </c>
      <c r="E8" s="789">
        <v>0.04</v>
      </c>
      <c r="F8" s="1504"/>
      <c r="G8" s="790">
        <v>300</v>
      </c>
      <c r="H8" s="789">
        <v>0.01</v>
      </c>
      <c r="I8" s="787">
        <v>7.0000000000000001E-3</v>
      </c>
      <c r="J8" s="788">
        <f>0.5*(MAX(H8:I8)-MIN(H8:I8))</f>
        <v>1.5E-3</v>
      </c>
      <c r="K8" s="789">
        <v>0.12</v>
      </c>
      <c r="L8" s="166"/>
      <c r="M8" s="790">
        <v>300</v>
      </c>
      <c r="N8" s="789">
        <v>0.01</v>
      </c>
      <c r="O8" s="787">
        <v>2E-3</v>
      </c>
      <c r="P8" s="788">
        <f>0.5*(MAX(N8:O8)-MIN(N8:O8))</f>
        <v>4.0000000000000001E-3</v>
      </c>
      <c r="Q8" s="791">
        <v>0.12</v>
      </c>
      <c r="S8" s="792"/>
      <c r="T8" s="793"/>
      <c r="U8" s="793"/>
      <c r="V8" s="795"/>
      <c r="W8" s="793"/>
      <c r="X8" s="776"/>
      <c r="Y8" s="792"/>
      <c r="Z8" s="793"/>
      <c r="AA8" s="793"/>
      <c r="AB8" s="795"/>
      <c r="AC8" s="793"/>
    </row>
    <row r="9" spans="1:29" ht="12.75" customHeight="1" x14ac:dyDescent="0.25">
      <c r="A9" s="785">
        <v>600</v>
      </c>
      <c r="B9" s="786">
        <v>0.01</v>
      </c>
      <c r="C9" s="787">
        <v>2E-3</v>
      </c>
      <c r="D9" s="788">
        <f t="shared" ref="D9:D11" si="0">0.5*(MAX(B9:C9)-MIN(B9:C9))</f>
        <v>4.0000000000000001E-3</v>
      </c>
      <c r="E9" s="789">
        <v>0.04</v>
      </c>
      <c r="F9" s="1504"/>
      <c r="G9" s="790">
        <v>600</v>
      </c>
      <c r="H9" s="796">
        <v>0.01</v>
      </c>
      <c r="I9" s="787">
        <v>4.0000000000000001E-3</v>
      </c>
      <c r="J9" s="788">
        <f t="shared" ref="J9:J11" si="1">0.5*(MAX(H9:I9)-MIN(H9:I9))</f>
        <v>3.0000000000000001E-3</v>
      </c>
      <c r="K9" s="789">
        <v>0.12</v>
      </c>
      <c r="L9" s="166"/>
      <c r="M9" s="790">
        <v>600</v>
      </c>
      <c r="N9" s="796">
        <v>0.02</v>
      </c>
      <c r="O9" s="787">
        <v>3.0000000000000001E-3</v>
      </c>
      <c r="P9" s="788">
        <f t="shared" ref="P9:P11" si="2">0.5*(MAX(N9:O9)-MIN(N9:O9))</f>
        <v>8.5000000000000006E-3</v>
      </c>
      <c r="Q9" s="791">
        <v>0.12</v>
      </c>
      <c r="S9" s="792"/>
      <c r="T9" s="793"/>
      <c r="U9" s="794"/>
      <c r="V9" s="795"/>
      <c r="W9" s="793"/>
      <c r="X9" s="776"/>
      <c r="Y9" s="792"/>
      <c r="Z9" s="793"/>
      <c r="AA9" s="794"/>
      <c r="AB9" s="795"/>
      <c r="AC9" s="793"/>
    </row>
    <row r="10" spans="1:29" ht="12.75" customHeight="1" x14ac:dyDescent="0.25">
      <c r="A10" s="785">
        <v>700</v>
      </c>
      <c r="B10" s="796">
        <v>0</v>
      </c>
      <c r="C10" s="787">
        <v>0</v>
      </c>
      <c r="D10" s="788">
        <f t="shared" si="0"/>
        <v>0</v>
      </c>
      <c r="E10" s="789">
        <v>0.04</v>
      </c>
      <c r="F10" s="1504"/>
      <c r="G10" s="790">
        <v>700</v>
      </c>
      <c r="H10" s="796">
        <v>0</v>
      </c>
      <c r="I10" s="787">
        <v>0</v>
      </c>
      <c r="J10" s="788">
        <f t="shared" si="1"/>
        <v>0</v>
      </c>
      <c r="K10" s="789">
        <v>0.12</v>
      </c>
      <c r="L10" s="166"/>
      <c r="M10" s="790">
        <v>700</v>
      </c>
      <c r="N10" s="796">
        <v>0</v>
      </c>
      <c r="O10" s="787">
        <v>0</v>
      </c>
      <c r="P10" s="788">
        <f t="shared" si="2"/>
        <v>0</v>
      </c>
      <c r="Q10" s="791">
        <v>0</v>
      </c>
      <c r="S10" s="792"/>
      <c r="T10" s="793"/>
      <c r="U10" s="794"/>
      <c r="V10" s="795"/>
      <c r="W10" s="793"/>
      <c r="X10" s="776"/>
      <c r="Y10" s="792"/>
      <c r="Z10" s="793"/>
      <c r="AA10" s="794"/>
      <c r="AB10" s="795"/>
      <c r="AC10" s="793"/>
    </row>
    <row r="11" spans="1:29" ht="12.75" customHeight="1" x14ac:dyDescent="0.25">
      <c r="A11" s="785">
        <v>0</v>
      </c>
      <c r="B11" s="796">
        <v>0</v>
      </c>
      <c r="C11" s="789">
        <v>0</v>
      </c>
      <c r="D11" s="788">
        <f t="shared" si="0"/>
        <v>0</v>
      </c>
      <c r="E11" s="789">
        <v>0</v>
      </c>
      <c r="F11" s="1504"/>
      <c r="G11" s="790">
        <v>0</v>
      </c>
      <c r="H11" s="789">
        <v>0</v>
      </c>
      <c r="I11" s="789">
        <v>0</v>
      </c>
      <c r="J11" s="788">
        <f t="shared" si="1"/>
        <v>0</v>
      </c>
      <c r="K11" s="789">
        <v>0</v>
      </c>
      <c r="L11" s="166"/>
      <c r="M11" s="790">
        <v>0</v>
      </c>
      <c r="N11" s="789">
        <v>0</v>
      </c>
      <c r="O11" s="789">
        <v>0</v>
      </c>
      <c r="P11" s="788">
        <f t="shared" si="2"/>
        <v>0</v>
      </c>
      <c r="Q11" s="791">
        <v>0</v>
      </c>
      <c r="S11" s="792"/>
      <c r="T11" s="793"/>
      <c r="U11" s="794"/>
      <c r="V11" s="795"/>
      <c r="W11" s="793"/>
      <c r="X11" s="776"/>
      <c r="Y11" s="792"/>
      <c r="Z11" s="793"/>
      <c r="AA11" s="794"/>
      <c r="AB11" s="795"/>
      <c r="AC11" s="793"/>
    </row>
    <row r="12" spans="1:29" ht="12.75" customHeight="1" x14ac:dyDescent="0.25">
      <c r="A12" s="785">
        <v>0</v>
      </c>
      <c r="B12" s="796">
        <v>0</v>
      </c>
      <c r="C12" s="789">
        <v>0</v>
      </c>
      <c r="D12" s="788">
        <f>0.5*(MAX(B12:C12)-MIN(B12:C12))</f>
        <v>0</v>
      </c>
      <c r="E12" s="789">
        <v>0</v>
      </c>
      <c r="F12" s="1504"/>
      <c r="G12" s="790">
        <v>0</v>
      </c>
      <c r="H12" s="789">
        <v>0</v>
      </c>
      <c r="I12" s="789">
        <v>0</v>
      </c>
      <c r="J12" s="788">
        <f>0.5*(MAX(H12:I12)-MIN(H12:I12))</f>
        <v>0</v>
      </c>
      <c r="K12" s="789">
        <v>0</v>
      </c>
      <c r="L12" s="166"/>
      <c r="M12" s="790">
        <v>0</v>
      </c>
      <c r="N12" s="789">
        <v>0</v>
      </c>
      <c r="O12" s="789">
        <v>0</v>
      </c>
      <c r="P12" s="788">
        <f>0.5*(MAX(N12:O12)-MIN(N12:O12))</f>
        <v>0</v>
      </c>
      <c r="Q12" s="791">
        <v>0</v>
      </c>
      <c r="S12" s="792"/>
      <c r="T12" s="793"/>
      <c r="U12" s="794"/>
      <c r="V12" s="795"/>
      <c r="W12" s="793"/>
      <c r="X12" s="776"/>
      <c r="Y12" s="792"/>
      <c r="Z12" s="793"/>
      <c r="AA12" s="794"/>
      <c r="AB12" s="795"/>
      <c r="AC12" s="793"/>
    </row>
    <row r="13" spans="1:29" ht="12.75" customHeight="1" x14ac:dyDescent="0.25">
      <c r="A13" s="785">
        <v>0</v>
      </c>
      <c r="B13" s="796">
        <v>0</v>
      </c>
      <c r="C13" s="789">
        <v>0</v>
      </c>
      <c r="D13" s="789">
        <f>0.5*(MAX(B13:C13)-MIN(B13:C13))</f>
        <v>0</v>
      </c>
      <c r="E13" s="789">
        <v>0</v>
      </c>
      <c r="F13" s="1504"/>
      <c r="G13" s="790">
        <v>0</v>
      </c>
      <c r="H13" s="789">
        <v>0</v>
      </c>
      <c r="I13" s="789">
        <v>0</v>
      </c>
      <c r="J13" s="789">
        <f>0.5*(MAX(H13:I13)-MIN(H13:I13))</f>
        <v>0</v>
      </c>
      <c r="K13" s="789">
        <v>0</v>
      </c>
      <c r="L13" s="166"/>
      <c r="M13" s="790">
        <v>0</v>
      </c>
      <c r="N13" s="789">
        <v>0</v>
      </c>
      <c r="O13" s="789">
        <v>0</v>
      </c>
      <c r="P13" s="789">
        <f>0.5*(MAX(N13:O13)-MIN(N13:O13))</f>
        <v>0</v>
      </c>
      <c r="Q13" s="791">
        <v>0</v>
      </c>
      <c r="S13" s="792"/>
      <c r="T13" s="793"/>
      <c r="U13" s="794"/>
      <c r="V13" s="793"/>
      <c r="W13" s="793"/>
      <c r="X13" s="776"/>
      <c r="Y13" s="792"/>
      <c r="Z13" s="793"/>
      <c r="AA13" s="794"/>
      <c r="AB13" s="793"/>
      <c r="AC13" s="793"/>
    </row>
    <row r="14" spans="1:29" ht="12.75" customHeight="1" x14ac:dyDescent="0.25">
      <c r="A14" s="785">
        <v>1</v>
      </c>
      <c r="B14" s="789">
        <v>0</v>
      </c>
      <c r="C14" s="796">
        <v>0</v>
      </c>
      <c r="D14" s="797">
        <f>0.5*(MAX(B14:C14)-MIN(B14:C14))</f>
        <v>0</v>
      </c>
      <c r="E14" s="789">
        <v>0</v>
      </c>
      <c r="F14" s="1504"/>
      <c r="G14" s="790">
        <v>2</v>
      </c>
      <c r="H14" s="789">
        <v>0</v>
      </c>
      <c r="I14" s="789">
        <v>0</v>
      </c>
      <c r="J14" s="789">
        <f>0.5*(MAX(H14:I14)-MIN(H14:I14))</f>
        <v>0</v>
      </c>
      <c r="K14" s="789">
        <v>0</v>
      </c>
      <c r="L14" s="166"/>
      <c r="M14" s="790">
        <v>3</v>
      </c>
      <c r="N14" s="789">
        <v>0</v>
      </c>
      <c r="O14" s="789">
        <v>0</v>
      </c>
      <c r="P14" s="789">
        <f>0.5*(MAX(N14:O14)-MIN(N14:O14))</f>
        <v>0</v>
      </c>
      <c r="Q14" s="791">
        <v>0</v>
      </c>
      <c r="S14" s="792"/>
      <c r="T14" s="793"/>
      <c r="U14" s="794"/>
      <c r="V14" s="793"/>
      <c r="W14" s="793"/>
      <c r="X14" s="776"/>
      <c r="Y14" s="792"/>
      <c r="Z14" s="793"/>
      <c r="AA14" s="794"/>
      <c r="AB14" s="793"/>
      <c r="AC14" s="793"/>
    </row>
    <row r="15" spans="1:29" ht="12.75" customHeight="1" x14ac:dyDescent="0.3">
      <c r="A15" s="1512"/>
      <c r="B15" s="1513"/>
      <c r="C15" s="1513"/>
      <c r="D15" s="1513"/>
      <c r="E15" s="1514"/>
      <c r="F15" s="1504"/>
      <c r="G15" s="1515"/>
      <c r="H15" s="1516"/>
      <c r="I15" s="1516"/>
      <c r="J15" s="1516"/>
      <c r="K15" s="1517"/>
      <c r="L15" s="283"/>
      <c r="M15" s="1518"/>
      <c r="N15" s="1513"/>
      <c r="O15" s="1513"/>
      <c r="P15" s="1513"/>
      <c r="Q15" s="1519"/>
      <c r="S15" s="166"/>
      <c r="T15" s="166"/>
      <c r="U15" s="166"/>
      <c r="V15" s="166"/>
      <c r="W15" s="166"/>
      <c r="X15" s="776"/>
      <c r="Y15" s="283"/>
      <c r="Z15" s="283"/>
      <c r="AA15" s="283"/>
      <c r="AB15" s="283"/>
      <c r="AC15" s="283"/>
    </row>
    <row r="16" spans="1:29" ht="15.75" customHeight="1" x14ac:dyDescent="0.3">
      <c r="A16" s="1525" t="s">
        <v>430</v>
      </c>
      <c r="B16" s="1526"/>
      <c r="C16" s="1526"/>
      <c r="D16" s="1494" t="s">
        <v>86</v>
      </c>
      <c r="E16" s="1495" t="str">
        <f>E3</f>
        <v>U95 STD</v>
      </c>
      <c r="F16" s="1504"/>
      <c r="G16" s="1502" t="s">
        <v>431</v>
      </c>
      <c r="H16" s="1492"/>
      <c r="I16" s="1493"/>
      <c r="J16" s="1494" t="s">
        <v>86</v>
      </c>
      <c r="K16" s="1495" t="str">
        <f>E16</f>
        <v>U95 STD</v>
      </c>
      <c r="L16" s="283"/>
      <c r="M16" s="1502" t="s">
        <v>432</v>
      </c>
      <c r="N16" s="1492"/>
      <c r="O16" s="1493"/>
      <c r="P16" s="1494" t="s">
        <v>86</v>
      </c>
      <c r="Q16" s="1511" t="str">
        <f>K16</f>
        <v>U95 STD</v>
      </c>
      <c r="S16" s="773"/>
      <c r="T16" s="773"/>
      <c r="U16" s="773"/>
      <c r="V16" s="774"/>
      <c r="W16" s="775"/>
      <c r="X16" s="776"/>
      <c r="Y16" s="773"/>
      <c r="Z16" s="773"/>
      <c r="AA16" s="773"/>
      <c r="AB16" s="774"/>
      <c r="AC16" s="775"/>
    </row>
    <row r="17" spans="1:29" ht="12.75" customHeight="1" x14ac:dyDescent="0.3">
      <c r="A17" s="778" t="str">
        <f>A4</f>
        <v>Timer</v>
      </c>
      <c r="B17" s="1494" t="s">
        <v>88</v>
      </c>
      <c r="C17" s="1494"/>
      <c r="D17" s="1494"/>
      <c r="E17" s="1495"/>
      <c r="F17" s="1504"/>
      <c r="G17" s="779" t="str">
        <f>A17</f>
        <v>Timer</v>
      </c>
      <c r="H17" s="1494" t="s">
        <v>88</v>
      </c>
      <c r="I17" s="1494"/>
      <c r="J17" s="1494"/>
      <c r="K17" s="1495"/>
      <c r="L17" s="283"/>
      <c r="M17" s="779" t="str">
        <f>G17</f>
        <v>Timer</v>
      </c>
      <c r="N17" s="1494" t="s">
        <v>88</v>
      </c>
      <c r="O17" s="1494"/>
      <c r="P17" s="1494"/>
      <c r="Q17" s="1511"/>
      <c r="S17" s="780"/>
      <c r="T17" s="774"/>
      <c r="U17" s="774"/>
      <c r="V17" s="774"/>
      <c r="W17" s="775"/>
      <c r="X17" s="776"/>
      <c r="Y17" s="780"/>
      <c r="Z17" s="774"/>
      <c r="AA17" s="774"/>
      <c r="AB17" s="774"/>
      <c r="AC17" s="775"/>
    </row>
    <row r="18" spans="1:29" ht="15" customHeight="1" x14ac:dyDescent="0.3">
      <c r="A18" s="119" t="str">
        <f>A5</f>
        <v>s</v>
      </c>
      <c r="B18" s="779">
        <v>2019</v>
      </c>
      <c r="C18" s="779">
        <v>2018</v>
      </c>
      <c r="D18" s="1494"/>
      <c r="E18" s="1495"/>
      <c r="F18" s="1504"/>
      <c r="G18" s="782" t="str">
        <f>A18</f>
        <v>s</v>
      </c>
      <c r="H18" s="779">
        <v>2020</v>
      </c>
      <c r="I18" s="781" t="s">
        <v>89</v>
      </c>
      <c r="J18" s="1494"/>
      <c r="K18" s="1495"/>
      <c r="L18" s="283"/>
      <c r="M18" s="782" t="str">
        <f>G18</f>
        <v>s</v>
      </c>
      <c r="N18" s="779">
        <v>2020</v>
      </c>
      <c r="O18" s="781" t="s">
        <v>89</v>
      </c>
      <c r="P18" s="1494"/>
      <c r="Q18" s="1511"/>
      <c r="S18" s="783"/>
      <c r="T18" s="780"/>
      <c r="U18" s="780"/>
      <c r="V18" s="774"/>
      <c r="W18" s="775"/>
      <c r="X18" s="776"/>
      <c r="Y18" s="783"/>
      <c r="Z18" s="780"/>
      <c r="AA18" s="780"/>
      <c r="AB18" s="774"/>
      <c r="AC18" s="775"/>
    </row>
    <row r="19" spans="1:29" ht="12.75" customHeight="1" x14ac:dyDescent="0.3">
      <c r="A19" s="785">
        <v>0</v>
      </c>
      <c r="B19" s="787">
        <v>0</v>
      </c>
      <c r="C19" s="789">
        <v>0</v>
      </c>
      <c r="D19" s="788">
        <f>0.5*(MAX(B19:C19)-MIN(B19:C19))</f>
        <v>0</v>
      </c>
      <c r="E19" s="787">
        <v>0</v>
      </c>
      <c r="F19" s="1504"/>
      <c r="G19" s="785">
        <v>0</v>
      </c>
      <c r="H19" s="789">
        <v>0</v>
      </c>
      <c r="I19" s="789" t="s">
        <v>89</v>
      </c>
      <c r="J19" s="788">
        <f>0.5*(MAX(H19:I19)-MIN(H19:I19))</f>
        <v>0</v>
      </c>
      <c r="K19" s="789">
        <v>0</v>
      </c>
      <c r="L19" s="283"/>
      <c r="M19" s="785">
        <v>0</v>
      </c>
      <c r="N19" s="789">
        <v>0</v>
      </c>
      <c r="O19" s="796" t="s">
        <v>89</v>
      </c>
      <c r="P19" s="789">
        <f t="shared" ref="P19:P24" si="3">0.5*(MAX(N19:O19)-MIN(N19:O19))</f>
        <v>0</v>
      </c>
      <c r="Q19" s="791">
        <v>0</v>
      </c>
      <c r="S19" s="792"/>
      <c r="T19" s="793"/>
      <c r="U19" s="793"/>
      <c r="V19" s="795"/>
      <c r="W19" s="793"/>
      <c r="X19" s="776"/>
      <c r="Y19" s="792"/>
      <c r="Z19" s="793"/>
      <c r="AA19" s="793"/>
      <c r="AB19" s="795"/>
      <c r="AC19" s="793"/>
    </row>
    <row r="20" spans="1:29" ht="12.75" customHeight="1" x14ac:dyDescent="0.3">
      <c r="A20" s="785">
        <v>60</v>
      </c>
      <c r="B20" s="787">
        <v>2E-3</v>
      </c>
      <c r="C20" s="789">
        <v>0</v>
      </c>
      <c r="D20" s="788">
        <f>0.5*(MAX(B20:C20)-MIN(B20:C20))</f>
        <v>1E-3</v>
      </c>
      <c r="E20" s="787">
        <v>3.7999999999999999E-2</v>
      </c>
      <c r="F20" s="1504"/>
      <c r="G20" s="790">
        <v>60</v>
      </c>
      <c r="H20" s="789">
        <v>0</v>
      </c>
      <c r="I20" s="789" t="s">
        <v>89</v>
      </c>
      <c r="J20" s="788">
        <f>0.5*(MAX(H20:I20)-MIN(H20:I20))</f>
        <v>0</v>
      </c>
      <c r="K20" s="789">
        <v>0.12</v>
      </c>
      <c r="L20" s="283"/>
      <c r="M20" s="790">
        <v>60</v>
      </c>
      <c r="N20" s="789">
        <v>0.02</v>
      </c>
      <c r="O20" s="789" t="s">
        <v>89</v>
      </c>
      <c r="P20" s="789">
        <f t="shared" si="3"/>
        <v>0</v>
      </c>
      <c r="Q20" s="789">
        <v>0.12</v>
      </c>
      <c r="S20" s="792"/>
      <c r="T20" s="793"/>
      <c r="U20" s="793"/>
      <c r="V20" s="795"/>
      <c r="W20" s="793"/>
      <c r="X20" s="776"/>
      <c r="Y20" s="792"/>
      <c r="Z20" s="793"/>
      <c r="AA20" s="793"/>
      <c r="AB20" s="795"/>
      <c r="AC20" s="793"/>
    </row>
    <row r="21" spans="1:29" ht="12.75" customHeight="1" x14ac:dyDescent="0.3">
      <c r="A21" s="785">
        <v>300</v>
      </c>
      <c r="B21" s="787">
        <v>1E-3</v>
      </c>
      <c r="C21" s="789">
        <v>0</v>
      </c>
      <c r="D21" s="788">
        <f>0.5*(MAX(B21:C21)-MIN(B21:C21))</f>
        <v>5.0000000000000001E-4</v>
      </c>
      <c r="E21" s="787">
        <v>3.7999999999999999E-2</v>
      </c>
      <c r="F21" s="1504"/>
      <c r="G21" s="790">
        <v>300</v>
      </c>
      <c r="H21" s="789">
        <v>0.01</v>
      </c>
      <c r="I21" s="789" t="s">
        <v>89</v>
      </c>
      <c r="J21" s="788">
        <f>0.5*(MAX(H21:I21)-MIN(H21:I21))</f>
        <v>0</v>
      </c>
      <c r="K21" s="789">
        <v>0.12</v>
      </c>
      <c r="L21" s="283"/>
      <c r="M21" s="790">
        <v>300</v>
      </c>
      <c r="N21" s="789">
        <v>0.02</v>
      </c>
      <c r="O21" s="789" t="s">
        <v>89</v>
      </c>
      <c r="P21" s="789">
        <f t="shared" si="3"/>
        <v>0</v>
      </c>
      <c r="Q21" s="789">
        <v>0.12</v>
      </c>
      <c r="S21" s="792"/>
      <c r="T21" s="793"/>
      <c r="U21" s="793"/>
      <c r="V21" s="795"/>
      <c r="W21" s="793"/>
      <c r="X21" s="776"/>
      <c r="Y21" s="792"/>
      <c r="Z21" s="793"/>
      <c r="AA21" s="793"/>
      <c r="AB21" s="795"/>
      <c r="AC21" s="793"/>
    </row>
    <row r="22" spans="1:29" ht="12.75" customHeight="1" x14ac:dyDescent="0.3">
      <c r="A22" s="785">
        <v>600</v>
      </c>
      <c r="B22" s="787">
        <v>6.0000000000000001E-3</v>
      </c>
      <c r="C22" s="789">
        <v>0</v>
      </c>
      <c r="D22" s="788">
        <f t="shared" ref="D22:D24" si="4">0.5*(MAX(B22:C22)-MIN(B22:C22))</f>
        <v>3.0000000000000001E-3</v>
      </c>
      <c r="E22" s="787">
        <v>3.7999999999999999E-2</v>
      </c>
      <c r="F22" s="1504"/>
      <c r="G22" s="790">
        <v>600</v>
      </c>
      <c r="H22" s="789">
        <v>0.02</v>
      </c>
      <c r="I22" s="796" t="s">
        <v>89</v>
      </c>
      <c r="J22" s="788">
        <f t="shared" ref="J22:J24" si="5">0.5*(MAX(H22:I22)-MIN(H22:I22))</f>
        <v>0</v>
      </c>
      <c r="K22" s="789">
        <v>0.12</v>
      </c>
      <c r="L22" s="283"/>
      <c r="M22" s="790">
        <v>600</v>
      </c>
      <c r="N22" s="789">
        <v>0.02</v>
      </c>
      <c r="O22" s="796" t="s">
        <v>89</v>
      </c>
      <c r="P22" s="789">
        <f t="shared" si="3"/>
        <v>0</v>
      </c>
      <c r="Q22" s="789">
        <v>0.12</v>
      </c>
      <c r="S22" s="792"/>
      <c r="T22" s="793"/>
      <c r="U22" s="794"/>
      <c r="V22" s="795"/>
      <c r="W22" s="793"/>
      <c r="X22" s="776"/>
      <c r="Y22" s="792"/>
      <c r="Z22" s="793"/>
      <c r="AA22" s="794"/>
      <c r="AB22" s="795"/>
      <c r="AC22" s="793"/>
    </row>
    <row r="23" spans="1:29" ht="12.75" customHeight="1" x14ac:dyDescent="0.3">
      <c r="A23" s="785">
        <v>700</v>
      </c>
      <c r="B23" s="786">
        <v>0</v>
      </c>
      <c r="C23" s="789">
        <v>0</v>
      </c>
      <c r="D23" s="788">
        <f t="shared" si="4"/>
        <v>0</v>
      </c>
      <c r="E23" s="787">
        <v>0</v>
      </c>
      <c r="F23" s="1504"/>
      <c r="G23" s="790">
        <v>900</v>
      </c>
      <c r="H23" s="789">
        <v>0.02</v>
      </c>
      <c r="I23" s="796" t="s">
        <v>89</v>
      </c>
      <c r="J23" s="788">
        <f t="shared" si="5"/>
        <v>0</v>
      </c>
      <c r="K23" s="789">
        <v>0.12</v>
      </c>
      <c r="L23" s="283"/>
      <c r="M23" s="790">
        <v>900</v>
      </c>
      <c r="N23" s="796">
        <v>0.03</v>
      </c>
      <c r="O23" s="796" t="s">
        <v>89</v>
      </c>
      <c r="P23" s="789">
        <f t="shared" si="3"/>
        <v>0</v>
      </c>
      <c r="Q23" s="789">
        <v>0.12</v>
      </c>
      <c r="S23" s="792"/>
      <c r="T23" s="793"/>
      <c r="U23" s="794"/>
      <c r="V23" s="795"/>
      <c r="W23" s="793"/>
      <c r="X23" s="776"/>
      <c r="Y23" s="792"/>
      <c r="Z23" s="793"/>
      <c r="AA23" s="794"/>
      <c r="AB23" s="795"/>
      <c r="AC23" s="793"/>
    </row>
    <row r="24" spans="1:29" ht="12.75" customHeight="1" x14ac:dyDescent="0.3">
      <c r="A24" s="785">
        <v>0</v>
      </c>
      <c r="B24" s="786">
        <v>0</v>
      </c>
      <c r="C24" s="789">
        <v>0</v>
      </c>
      <c r="D24" s="788">
        <f t="shared" si="4"/>
        <v>0</v>
      </c>
      <c r="E24" s="787">
        <v>0</v>
      </c>
      <c r="F24" s="1504"/>
      <c r="G24" s="790">
        <v>1200</v>
      </c>
      <c r="H24" s="789">
        <v>0.02</v>
      </c>
      <c r="I24" s="796" t="s">
        <v>89</v>
      </c>
      <c r="J24" s="788">
        <f t="shared" si="5"/>
        <v>0</v>
      </c>
      <c r="K24" s="789">
        <v>0.12</v>
      </c>
      <c r="L24" s="283"/>
      <c r="M24" s="790">
        <v>1200</v>
      </c>
      <c r="N24" s="796">
        <v>0.03</v>
      </c>
      <c r="O24" s="796" t="s">
        <v>89</v>
      </c>
      <c r="P24" s="789">
        <f t="shared" si="3"/>
        <v>0</v>
      </c>
      <c r="Q24" s="789">
        <v>0.12</v>
      </c>
      <c r="S24" s="792"/>
      <c r="T24" s="793"/>
      <c r="U24" s="794"/>
      <c r="V24" s="795"/>
      <c r="W24" s="793"/>
      <c r="X24" s="776"/>
      <c r="Y24" s="792"/>
      <c r="Z24" s="793"/>
      <c r="AA24" s="794"/>
      <c r="AB24" s="795"/>
      <c r="AC24" s="793"/>
    </row>
    <row r="25" spans="1:29" ht="12.75" customHeight="1" x14ac:dyDescent="0.3">
      <c r="A25" s="785">
        <v>0</v>
      </c>
      <c r="B25" s="786">
        <v>0</v>
      </c>
      <c r="C25" s="789">
        <v>0</v>
      </c>
      <c r="D25" s="788">
        <f>0.5*(MAX(B25:C25)-MIN(B25:C25))</f>
        <v>0</v>
      </c>
      <c r="E25" s="787">
        <v>0</v>
      </c>
      <c r="F25" s="1504"/>
      <c r="G25" s="790">
        <v>0</v>
      </c>
      <c r="H25" s="789">
        <v>0</v>
      </c>
      <c r="I25" s="796" t="s">
        <v>89</v>
      </c>
      <c r="J25" s="788">
        <f>0.5*(MAX(H25:I25)-MIN(H25:I25))</f>
        <v>0</v>
      </c>
      <c r="K25" s="789">
        <v>0</v>
      </c>
      <c r="L25" s="283"/>
      <c r="M25" s="790">
        <v>0</v>
      </c>
      <c r="N25" s="796">
        <v>0</v>
      </c>
      <c r="O25" s="796" t="s">
        <v>89</v>
      </c>
      <c r="P25" s="789">
        <f>0.5*(MAX(N25:O25)-MIN(N25:O25))</f>
        <v>0</v>
      </c>
      <c r="Q25" s="791">
        <v>0</v>
      </c>
      <c r="S25" s="792"/>
      <c r="T25" s="793"/>
      <c r="U25" s="794"/>
      <c r="V25" s="795"/>
      <c r="W25" s="793"/>
      <c r="X25" s="776"/>
      <c r="Y25" s="792"/>
      <c r="Z25" s="793"/>
      <c r="AA25" s="794"/>
      <c r="AB25" s="795"/>
      <c r="AC25" s="793"/>
    </row>
    <row r="26" spans="1:29" ht="12.75" customHeight="1" x14ac:dyDescent="0.3">
      <c r="A26" s="785">
        <v>0</v>
      </c>
      <c r="B26" s="786">
        <v>0</v>
      </c>
      <c r="C26" s="789">
        <v>0</v>
      </c>
      <c r="D26" s="789">
        <f>0.5*(MAX(B26:C26)-MIN(B26:C26))</f>
        <v>0</v>
      </c>
      <c r="E26" s="787">
        <v>0</v>
      </c>
      <c r="F26" s="1504"/>
      <c r="G26" s="790">
        <v>0</v>
      </c>
      <c r="H26" s="789">
        <v>0</v>
      </c>
      <c r="I26" s="796" t="s">
        <v>89</v>
      </c>
      <c r="J26" s="789">
        <f>0.5*(MAX(H26:I26)-MIN(H26:I26))</f>
        <v>0</v>
      </c>
      <c r="K26" s="789">
        <v>0</v>
      </c>
      <c r="L26" s="283"/>
      <c r="M26" s="790">
        <v>0</v>
      </c>
      <c r="N26" s="796">
        <v>0</v>
      </c>
      <c r="O26" s="796" t="s">
        <v>89</v>
      </c>
      <c r="P26" s="789">
        <f>0.5*(MAX(N26:O26)-MIN(N26:O26))</f>
        <v>0</v>
      </c>
      <c r="Q26" s="791">
        <v>0</v>
      </c>
      <c r="S26" s="792"/>
      <c r="T26" s="793"/>
      <c r="U26" s="794"/>
      <c r="V26" s="793"/>
      <c r="W26" s="793"/>
      <c r="X26" s="776"/>
      <c r="Y26" s="792"/>
      <c r="Z26" s="793"/>
      <c r="AA26" s="794"/>
      <c r="AB26" s="793"/>
      <c r="AC26" s="793"/>
    </row>
    <row r="27" spans="1:29" ht="12.75" customHeight="1" x14ac:dyDescent="0.3">
      <c r="A27" s="785">
        <v>0</v>
      </c>
      <c r="B27" s="786">
        <v>0</v>
      </c>
      <c r="C27" s="789">
        <v>0</v>
      </c>
      <c r="D27" s="789">
        <f>0.5*(MAX(B27:C27)-MIN(B27:C27))</f>
        <v>0</v>
      </c>
      <c r="E27" s="787">
        <v>0</v>
      </c>
      <c r="F27" s="1504"/>
      <c r="G27" s="790">
        <v>0</v>
      </c>
      <c r="H27" s="789">
        <v>0</v>
      </c>
      <c r="I27" s="796" t="s">
        <v>89</v>
      </c>
      <c r="J27" s="789">
        <f>0.5*(MAX(H27:I27)-MIN(H27:I27))</f>
        <v>0</v>
      </c>
      <c r="K27" s="789">
        <v>0</v>
      </c>
      <c r="L27" s="283"/>
      <c r="M27" s="790">
        <v>0</v>
      </c>
      <c r="N27" s="796">
        <v>0</v>
      </c>
      <c r="O27" s="796" t="s">
        <v>433</v>
      </c>
      <c r="P27" s="789">
        <f>0.5*(MAX(N27:O27)-MIN(N27:O27))</f>
        <v>0</v>
      </c>
      <c r="Q27" s="791">
        <v>0</v>
      </c>
      <c r="S27" s="792"/>
      <c r="T27" s="793"/>
      <c r="U27" s="794"/>
      <c r="V27" s="793"/>
      <c r="W27" s="793"/>
      <c r="X27" s="798"/>
      <c r="Y27" s="792"/>
      <c r="Z27" s="793"/>
      <c r="AA27" s="794"/>
      <c r="AB27" s="793"/>
      <c r="AC27" s="793"/>
    </row>
    <row r="28" spans="1:29" ht="12.75" customHeight="1" x14ac:dyDescent="0.25">
      <c r="A28" s="799"/>
      <c r="B28" s="793"/>
      <c r="C28" s="793"/>
      <c r="D28" s="793"/>
      <c r="E28" s="793"/>
      <c r="F28" s="793"/>
      <c r="G28" s="793"/>
      <c r="H28" s="793"/>
      <c r="I28" s="793"/>
      <c r="J28" s="793"/>
      <c r="K28" s="793"/>
      <c r="L28" s="800"/>
      <c r="M28" s="801"/>
      <c r="N28" s="166"/>
      <c r="O28" s="166"/>
      <c r="P28" s="166"/>
      <c r="Q28" s="802"/>
      <c r="S28" s="793"/>
      <c r="T28" s="793"/>
      <c r="U28" s="793"/>
      <c r="V28" s="793"/>
      <c r="W28" s="793"/>
      <c r="X28" s="793"/>
      <c r="Y28" s="793"/>
      <c r="Z28" s="793"/>
      <c r="AA28" s="793"/>
      <c r="AB28" s="793"/>
      <c r="AC28" s="793"/>
    </row>
    <row r="29" spans="1:29" ht="13" x14ac:dyDescent="0.3">
      <c r="A29" s="803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804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</row>
    <row r="30" spans="1:29" ht="15.75" customHeight="1" x14ac:dyDescent="0.3">
      <c r="A30" s="1491" t="s">
        <v>434</v>
      </c>
      <c r="B30" s="1492"/>
      <c r="C30" s="1493"/>
      <c r="D30" s="1494" t="s">
        <v>86</v>
      </c>
      <c r="E30" s="1495" t="str">
        <f>E16</f>
        <v>U95 STD</v>
      </c>
      <c r="F30" s="1503"/>
      <c r="G30" s="1502" t="s">
        <v>435</v>
      </c>
      <c r="H30" s="1492"/>
      <c r="I30" s="1493"/>
      <c r="J30" s="1494" t="s">
        <v>86</v>
      </c>
      <c r="K30" s="1495" t="str">
        <f>E30</f>
        <v>U95 STD</v>
      </c>
      <c r="L30" s="283"/>
      <c r="M30" s="1491" t="s">
        <v>436</v>
      </c>
      <c r="N30" s="1492"/>
      <c r="O30" s="1493"/>
      <c r="P30" s="1494" t="s">
        <v>86</v>
      </c>
      <c r="Q30" s="1495" t="str">
        <f>E30</f>
        <v>U95 STD</v>
      </c>
      <c r="S30" s="773"/>
      <c r="T30" s="773"/>
      <c r="U30" s="773"/>
      <c r="V30" s="774"/>
      <c r="W30" s="775"/>
      <c r="X30" s="776"/>
      <c r="Y30" s="777"/>
      <c r="Z30" s="777"/>
      <c r="AA30" s="777"/>
      <c r="AB30" s="774"/>
      <c r="AC30" s="775"/>
    </row>
    <row r="31" spans="1:29" ht="12.75" customHeight="1" x14ac:dyDescent="0.3">
      <c r="A31" s="778" t="str">
        <f>A17</f>
        <v>Timer</v>
      </c>
      <c r="B31" s="1494" t="s">
        <v>88</v>
      </c>
      <c r="C31" s="1494"/>
      <c r="D31" s="1494"/>
      <c r="E31" s="1495"/>
      <c r="F31" s="1504"/>
      <c r="G31" s="779" t="str">
        <f>A31</f>
        <v>Timer</v>
      </c>
      <c r="H31" s="1494" t="s">
        <v>88</v>
      </c>
      <c r="I31" s="1494"/>
      <c r="J31" s="1494"/>
      <c r="K31" s="1495"/>
      <c r="L31" s="283"/>
      <c r="M31" s="778" t="str">
        <f>A31</f>
        <v>Timer</v>
      </c>
      <c r="N31" s="1494" t="s">
        <v>88</v>
      </c>
      <c r="O31" s="1494"/>
      <c r="P31" s="1494"/>
      <c r="Q31" s="1495"/>
      <c r="S31" s="780"/>
      <c r="T31" s="774"/>
      <c r="U31" s="774"/>
      <c r="V31" s="774"/>
      <c r="W31" s="775"/>
      <c r="X31" s="776"/>
      <c r="Y31" s="780"/>
      <c r="Z31" s="774"/>
      <c r="AA31" s="774"/>
      <c r="AB31" s="774"/>
      <c r="AC31" s="775"/>
    </row>
    <row r="32" spans="1:29" ht="15" customHeight="1" x14ac:dyDescent="0.3">
      <c r="A32" s="119" t="str">
        <f>A18</f>
        <v>s</v>
      </c>
      <c r="B32" s="779">
        <v>2020</v>
      </c>
      <c r="C32" s="781" t="s">
        <v>89</v>
      </c>
      <c r="D32" s="1494"/>
      <c r="E32" s="1495"/>
      <c r="F32" s="1504"/>
      <c r="G32" s="782" t="str">
        <f>A32</f>
        <v>s</v>
      </c>
      <c r="H32" s="779">
        <v>2020</v>
      </c>
      <c r="I32" s="781" t="s">
        <v>89</v>
      </c>
      <c r="J32" s="1494"/>
      <c r="K32" s="1495"/>
      <c r="L32" s="283"/>
      <c r="M32" s="119" t="str">
        <f>A32</f>
        <v>s</v>
      </c>
      <c r="N32" s="779">
        <v>2020</v>
      </c>
      <c r="O32" s="781" t="s">
        <v>89</v>
      </c>
      <c r="P32" s="1494"/>
      <c r="Q32" s="1495"/>
      <c r="S32" s="783"/>
      <c r="T32" s="780"/>
      <c r="U32" s="784"/>
      <c r="V32" s="774"/>
      <c r="W32" s="775"/>
      <c r="X32" s="776"/>
      <c r="Y32" s="783"/>
      <c r="Z32" s="780"/>
      <c r="AA32" s="780"/>
      <c r="AB32" s="774"/>
      <c r="AC32" s="775"/>
    </row>
    <row r="33" spans="1:29" ht="12.75" customHeight="1" x14ac:dyDescent="0.3">
      <c r="A33" s="785">
        <v>0</v>
      </c>
      <c r="B33" s="789">
        <v>0</v>
      </c>
      <c r="C33" s="786" t="s">
        <v>89</v>
      </c>
      <c r="D33" s="788">
        <f t="shared" ref="D33:D38" si="6">0.5*(MAX(B33:C33)-MIN(B33:C33))</f>
        <v>0</v>
      </c>
      <c r="E33" s="789">
        <v>0</v>
      </c>
      <c r="F33" s="1504"/>
      <c r="G33" s="785">
        <v>0</v>
      </c>
      <c r="H33" s="789">
        <v>0</v>
      </c>
      <c r="I33" s="787" t="s">
        <v>89</v>
      </c>
      <c r="J33" s="788">
        <f t="shared" ref="J33:J38" si="7">0.5*(MAX(H33:I33)-MIN(H33:I33))</f>
        <v>0</v>
      </c>
      <c r="K33" s="789">
        <v>0</v>
      </c>
      <c r="L33" s="283"/>
      <c r="M33" s="785">
        <v>0</v>
      </c>
      <c r="N33" s="789">
        <v>0</v>
      </c>
      <c r="O33" s="789" t="s">
        <v>89</v>
      </c>
      <c r="P33" s="788">
        <f t="shared" ref="P33:P38" si="8">0.5*(MAX(N33:O33)-MIN(N33:O33))</f>
        <v>0</v>
      </c>
      <c r="Q33" s="789">
        <v>0</v>
      </c>
      <c r="S33" s="792"/>
      <c r="T33" s="793"/>
      <c r="U33" s="794"/>
      <c r="V33" s="795"/>
      <c r="W33" s="793"/>
      <c r="X33" s="776"/>
      <c r="Y33" s="792"/>
      <c r="Z33" s="793"/>
      <c r="AA33" s="793"/>
      <c r="AB33" s="795"/>
      <c r="AC33" s="793"/>
    </row>
    <row r="34" spans="1:29" ht="12.75" customHeight="1" x14ac:dyDescent="0.3">
      <c r="A34" s="790">
        <v>60</v>
      </c>
      <c r="B34" s="789">
        <v>0.02</v>
      </c>
      <c r="C34" s="787" t="s">
        <v>89</v>
      </c>
      <c r="D34" s="788">
        <f t="shared" si="6"/>
        <v>0</v>
      </c>
      <c r="E34" s="789">
        <v>0.12</v>
      </c>
      <c r="F34" s="1504"/>
      <c r="G34" s="790">
        <v>60</v>
      </c>
      <c r="H34" s="789">
        <v>0.01</v>
      </c>
      <c r="I34" s="787" t="s">
        <v>89</v>
      </c>
      <c r="J34" s="788">
        <f t="shared" si="7"/>
        <v>0</v>
      </c>
      <c r="K34" s="789">
        <v>0.12</v>
      </c>
      <c r="L34" s="283"/>
      <c r="M34" s="790">
        <v>60</v>
      </c>
      <c r="N34" s="789">
        <v>0.01</v>
      </c>
      <c r="O34" s="789" t="s">
        <v>89</v>
      </c>
      <c r="P34" s="788">
        <f t="shared" si="8"/>
        <v>0</v>
      </c>
      <c r="Q34" s="789">
        <v>0.12</v>
      </c>
      <c r="S34" s="792"/>
      <c r="T34" s="793"/>
      <c r="U34" s="793"/>
      <c r="V34" s="795"/>
      <c r="W34" s="793"/>
      <c r="X34" s="776"/>
      <c r="Y34" s="792"/>
      <c r="Z34" s="793"/>
      <c r="AA34" s="793"/>
      <c r="AB34" s="795"/>
      <c r="AC34" s="793"/>
    </row>
    <row r="35" spans="1:29" ht="12.75" customHeight="1" x14ac:dyDescent="0.3">
      <c r="A35" s="790">
        <v>300</v>
      </c>
      <c r="B35" s="789">
        <v>0.02</v>
      </c>
      <c r="C35" s="787" t="s">
        <v>89</v>
      </c>
      <c r="D35" s="788">
        <f t="shared" si="6"/>
        <v>0</v>
      </c>
      <c r="E35" s="789">
        <v>0.12</v>
      </c>
      <c r="F35" s="1504"/>
      <c r="G35" s="790">
        <v>300</v>
      </c>
      <c r="H35" s="789">
        <v>0.02</v>
      </c>
      <c r="I35" s="787" t="s">
        <v>89</v>
      </c>
      <c r="J35" s="788">
        <f t="shared" si="7"/>
        <v>0</v>
      </c>
      <c r="K35" s="789">
        <v>0.12</v>
      </c>
      <c r="L35" s="283"/>
      <c r="M35" s="790">
        <v>300</v>
      </c>
      <c r="N35" s="789">
        <v>0.02</v>
      </c>
      <c r="O35" s="789" t="s">
        <v>89</v>
      </c>
      <c r="P35" s="788">
        <f t="shared" si="8"/>
        <v>0</v>
      </c>
      <c r="Q35" s="789">
        <v>0.12</v>
      </c>
      <c r="S35" s="792"/>
      <c r="T35" s="793"/>
      <c r="U35" s="793"/>
      <c r="V35" s="795"/>
      <c r="W35" s="793"/>
      <c r="X35" s="776"/>
      <c r="Y35" s="792"/>
      <c r="Z35" s="793"/>
      <c r="AA35" s="793"/>
      <c r="AB35" s="795"/>
      <c r="AC35" s="793"/>
    </row>
    <row r="36" spans="1:29" ht="12.75" customHeight="1" x14ac:dyDescent="0.3">
      <c r="A36" s="790">
        <v>600</v>
      </c>
      <c r="B36" s="789">
        <v>0.02</v>
      </c>
      <c r="C36" s="786" t="s">
        <v>89</v>
      </c>
      <c r="D36" s="788">
        <f t="shared" si="6"/>
        <v>0</v>
      </c>
      <c r="E36" s="789">
        <v>0.12</v>
      </c>
      <c r="F36" s="1504"/>
      <c r="G36" s="790">
        <v>600</v>
      </c>
      <c r="H36" s="789">
        <v>0.02</v>
      </c>
      <c r="I36" s="786" t="s">
        <v>89</v>
      </c>
      <c r="J36" s="788">
        <f t="shared" si="7"/>
        <v>0</v>
      </c>
      <c r="K36" s="789">
        <v>0.12</v>
      </c>
      <c r="L36" s="283"/>
      <c r="M36" s="790">
        <v>600</v>
      </c>
      <c r="N36" s="789">
        <v>0.02</v>
      </c>
      <c r="O36" s="796" t="s">
        <v>89</v>
      </c>
      <c r="P36" s="788">
        <f t="shared" si="8"/>
        <v>0</v>
      </c>
      <c r="Q36" s="789">
        <v>0.12</v>
      </c>
      <c r="S36" s="792"/>
      <c r="T36" s="793"/>
      <c r="U36" s="794"/>
      <c r="V36" s="795"/>
      <c r="W36" s="793"/>
      <c r="X36" s="776"/>
      <c r="Y36" s="792"/>
      <c r="Z36" s="793"/>
      <c r="AA36" s="794"/>
      <c r="AB36" s="795"/>
      <c r="AC36" s="793"/>
    </row>
    <row r="37" spans="1:29" ht="12.75" customHeight="1" x14ac:dyDescent="0.3">
      <c r="A37" s="790">
        <v>900</v>
      </c>
      <c r="B37" s="789">
        <v>0.03</v>
      </c>
      <c r="C37" s="786" t="s">
        <v>89</v>
      </c>
      <c r="D37" s="788">
        <f t="shared" si="6"/>
        <v>0</v>
      </c>
      <c r="E37" s="789">
        <v>0.12</v>
      </c>
      <c r="F37" s="1504"/>
      <c r="G37" s="790">
        <v>900</v>
      </c>
      <c r="H37" s="789">
        <v>0.02</v>
      </c>
      <c r="I37" s="786" t="s">
        <v>89</v>
      </c>
      <c r="J37" s="788">
        <f t="shared" si="7"/>
        <v>0</v>
      </c>
      <c r="K37" s="789">
        <v>0.12</v>
      </c>
      <c r="L37" s="283"/>
      <c r="M37" s="790">
        <v>900</v>
      </c>
      <c r="N37" s="789">
        <v>0.02</v>
      </c>
      <c r="O37" s="796" t="s">
        <v>89</v>
      </c>
      <c r="P37" s="788">
        <f t="shared" si="8"/>
        <v>0</v>
      </c>
      <c r="Q37" s="789">
        <v>0.12</v>
      </c>
      <c r="S37" s="792"/>
      <c r="T37" s="793"/>
      <c r="U37" s="794"/>
      <c r="V37" s="795"/>
      <c r="W37" s="793"/>
      <c r="X37" s="776"/>
      <c r="Y37" s="792"/>
      <c r="Z37" s="793"/>
      <c r="AA37" s="794"/>
      <c r="AB37" s="795"/>
      <c r="AC37" s="793"/>
    </row>
    <row r="38" spans="1:29" ht="12.75" customHeight="1" x14ac:dyDescent="0.3">
      <c r="A38" s="790">
        <v>1200</v>
      </c>
      <c r="B38" s="789">
        <v>0.03</v>
      </c>
      <c r="C38" s="786" t="s">
        <v>89</v>
      </c>
      <c r="D38" s="788">
        <f t="shared" si="6"/>
        <v>0</v>
      </c>
      <c r="E38" s="789">
        <v>0.12</v>
      </c>
      <c r="F38" s="1504"/>
      <c r="G38" s="790">
        <v>1200</v>
      </c>
      <c r="H38" s="789">
        <v>0.02</v>
      </c>
      <c r="I38" s="786" t="s">
        <v>89</v>
      </c>
      <c r="J38" s="788">
        <f t="shared" si="7"/>
        <v>0</v>
      </c>
      <c r="K38" s="789">
        <v>0.12</v>
      </c>
      <c r="L38" s="283"/>
      <c r="M38" s="790">
        <v>1200</v>
      </c>
      <c r="N38" s="789">
        <v>0.03</v>
      </c>
      <c r="O38" s="796" t="s">
        <v>89</v>
      </c>
      <c r="P38" s="788">
        <f t="shared" si="8"/>
        <v>0</v>
      </c>
      <c r="Q38" s="789">
        <v>0.12</v>
      </c>
      <c r="S38" s="792"/>
      <c r="T38" s="793"/>
      <c r="U38" s="794"/>
      <c r="V38" s="795"/>
      <c r="W38" s="793"/>
      <c r="X38" s="776"/>
      <c r="Y38" s="792"/>
      <c r="Z38" s="793"/>
      <c r="AA38" s="794"/>
      <c r="AB38" s="795"/>
      <c r="AC38" s="793"/>
    </row>
    <row r="39" spans="1:29" ht="12.75" customHeight="1" x14ac:dyDescent="0.3">
      <c r="A39" s="785">
        <v>0</v>
      </c>
      <c r="B39" s="789">
        <v>0</v>
      </c>
      <c r="C39" s="786" t="s">
        <v>89</v>
      </c>
      <c r="D39" s="788">
        <f>0.5*(MAX(B39:C39)-MIN(B39:C39))</f>
        <v>0</v>
      </c>
      <c r="E39" s="789">
        <v>0</v>
      </c>
      <c r="F39" s="1504"/>
      <c r="G39" s="790">
        <v>0</v>
      </c>
      <c r="H39" s="789">
        <v>0</v>
      </c>
      <c r="I39" s="786" t="s">
        <v>89</v>
      </c>
      <c r="J39" s="788">
        <f>0.5*(MAX(H39:I39)-MIN(H39:I39))</f>
        <v>0</v>
      </c>
      <c r="K39" s="789">
        <v>0</v>
      </c>
      <c r="L39" s="283"/>
      <c r="M39" s="785">
        <v>0</v>
      </c>
      <c r="N39" s="789">
        <v>0</v>
      </c>
      <c r="O39" s="796" t="s">
        <v>89</v>
      </c>
      <c r="P39" s="788">
        <f>0.5*(MAX(N39:O39)-MIN(N39:O39))</f>
        <v>0</v>
      </c>
      <c r="Q39" s="789">
        <v>0</v>
      </c>
      <c r="S39" s="792"/>
      <c r="T39" s="793"/>
      <c r="U39" s="794"/>
      <c r="V39" s="795"/>
      <c r="W39" s="793"/>
      <c r="X39" s="776"/>
      <c r="Y39" s="792"/>
      <c r="Z39" s="793"/>
      <c r="AA39" s="794"/>
      <c r="AB39" s="795"/>
      <c r="AC39" s="793"/>
    </row>
    <row r="40" spans="1:29" ht="13.5" customHeight="1" x14ac:dyDescent="0.3">
      <c r="A40" s="785">
        <v>0</v>
      </c>
      <c r="B40" s="789">
        <v>0</v>
      </c>
      <c r="C40" s="786" t="s">
        <v>89</v>
      </c>
      <c r="D40" s="788">
        <f>0.5*(MAX(B40:C40)-MIN(B40:C40))</f>
        <v>0</v>
      </c>
      <c r="E40" s="789">
        <v>0</v>
      </c>
      <c r="F40" s="1504"/>
      <c r="G40" s="790">
        <v>0</v>
      </c>
      <c r="H40" s="789">
        <v>0</v>
      </c>
      <c r="I40" s="786" t="s">
        <v>89</v>
      </c>
      <c r="J40" s="788">
        <f>0.5*(MAX(H40:I40)-MIN(H40:I40))</f>
        <v>0</v>
      </c>
      <c r="K40" s="789">
        <v>0</v>
      </c>
      <c r="L40" s="283"/>
      <c r="M40" s="785">
        <v>0</v>
      </c>
      <c r="N40" s="789">
        <v>0</v>
      </c>
      <c r="O40" s="796" t="s">
        <v>89</v>
      </c>
      <c r="P40" s="788">
        <f>0.5*(MAX(N40:O40)-MIN(N40:O40))</f>
        <v>0</v>
      </c>
      <c r="Q40" s="789">
        <v>0</v>
      </c>
      <c r="S40" s="792"/>
      <c r="T40" s="793"/>
      <c r="U40" s="794"/>
      <c r="V40" s="795"/>
      <c r="W40" s="793"/>
      <c r="X40" s="776"/>
      <c r="Y40" s="792"/>
      <c r="Z40" s="793"/>
      <c r="AA40" s="794"/>
      <c r="AB40" s="795"/>
      <c r="AC40" s="793"/>
    </row>
    <row r="41" spans="1:29" ht="13.5" customHeight="1" x14ac:dyDescent="0.3">
      <c r="A41" s="785">
        <v>0</v>
      </c>
      <c r="B41" s="789">
        <v>0</v>
      </c>
      <c r="C41" s="786" t="s">
        <v>89</v>
      </c>
      <c r="D41" s="788">
        <f>0.5*(MAX(B41:C41)-MIN(B41:C41))</f>
        <v>0</v>
      </c>
      <c r="E41" s="789">
        <v>0</v>
      </c>
      <c r="F41" s="1504"/>
      <c r="G41" s="790">
        <v>0</v>
      </c>
      <c r="H41" s="789">
        <v>0</v>
      </c>
      <c r="I41" s="786" t="s">
        <v>89</v>
      </c>
      <c r="J41" s="788">
        <f>0.5*(MAX(H41:I41)-MIN(H41:I41))</f>
        <v>0</v>
      </c>
      <c r="K41" s="789">
        <v>0</v>
      </c>
      <c r="L41" s="283"/>
      <c r="M41" s="785">
        <v>0</v>
      </c>
      <c r="N41" s="789">
        <v>0</v>
      </c>
      <c r="O41" s="796" t="s">
        <v>89</v>
      </c>
      <c r="P41" s="788">
        <f>0.5*(MAX(N41:O41)-MIN(N41:O41))</f>
        <v>0</v>
      </c>
      <c r="Q41" s="789">
        <v>0</v>
      </c>
      <c r="S41" s="792"/>
      <c r="T41" s="793"/>
      <c r="U41" s="794"/>
      <c r="V41" s="795"/>
      <c r="W41" s="793"/>
      <c r="X41" s="776"/>
      <c r="Y41" s="792"/>
      <c r="Z41" s="793"/>
      <c r="AA41" s="794"/>
      <c r="AB41" s="795"/>
      <c r="AC41" s="793"/>
    </row>
    <row r="42" spans="1:29" ht="13.5" customHeight="1" x14ac:dyDescent="0.3">
      <c r="A42" s="1505"/>
      <c r="B42" s="1506"/>
      <c r="C42" s="1506"/>
      <c r="D42" s="1506"/>
      <c r="E42" s="1507"/>
      <c r="F42" s="1504"/>
      <c r="G42" s="1508"/>
      <c r="H42" s="1509"/>
      <c r="I42" s="1509"/>
      <c r="J42" s="1509"/>
      <c r="K42" s="1510"/>
      <c r="L42" s="283"/>
      <c r="M42" s="166"/>
      <c r="N42" s="166"/>
      <c r="O42" s="166"/>
      <c r="P42" s="166"/>
      <c r="Q42" s="802"/>
      <c r="S42" s="166"/>
      <c r="T42" s="166"/>
      <c r="U42" s="166"/>
      <c r="V42" s="166"/>
      <c r="W42" s="166"/>
      <c r="X42" s="776"/>
      <c r="Y42" s="283"/>
      <c r="Z42" s="283"/>
      <c r="AA42" s="283"/>
      <c r="AB42" s="283"/>
      <c r="AC42" s="283"/>
    </row>
    <row r="43" spans="1:29" ht="15.75" customHeight="1" x14ac:dyDescent="0.3">
      <c r="A43" s="1491" t="s">
        <v>437</v>
      </c>
      <c r="B43" s="1492"/>
      <c r="C43" s="1493"/>
      <c r="D43" s="1494" t="s">
        <v>86</v>
      </c>
      <c r="E43" s="1495" t="str">
        <f>E30</f>
        <v>U95 STD</v>
      </c>
      <c r="F43" s="1504"/>
      <c r="G43" s="1502" t="s">
        <v>438</v>
      </c>
      <c r="H43" s="1492"/>
      <c r="I43" s="1493"/>
      <c r="J43" s="1494" t="s">
        <v>86</v>
      </c>
      <c r="K43" s="1495" t="str">
        <f>K30</f>
        <v>U95 STD</v>
      </c>
      <c r="L43" s="283"/>
      <c r="M43" s="1502" t="s">
        <v>439</v>
      </c>
      <c r="N43" s="1492"/>
      <c r="O43" s="1493"/>
      <c r="P43" s="1494" t="s">
        <v>86</v>
      </c>
      <c r="Q43" s="1495" t="str">
        <f>Q30</f>
        <v>U95 STD</v>
      </c>
      <c r="S43" s="773"/>
      <c r="T43" s="773"/>
      <c r="U43" s="773"/>
      <c r="V43" s="774"/>
      <c r="W43" s="775"/>
      <c r="X43" s="776"/>
      <c r="Y43" s="773"/>
      <c r="Z43" s="773"/>
      <c r="AA43" s="773"/>
      <c r="AB43" s="774"/>
      <c r="AC43" s="775"/>
    </row>
    <row r="44" spans="1:29" ht="12.75" customHeight="1" x14ac:dyDescent="0.3">
      <c r="A44" s="778" t="str">
        <f>A31</f>
        <v>Timer</v>
      </c>
      <c r="B44" s="1494" t="s">
        <v>88</v>
      </c>
      <c r="C44" s="1494"/>
      <c r="D44" s="1494"/>
      <c r="E44" s="1495"/>
      <c r="F44" s="1504"/>
      <c r="G44" s="779" t="str">
        <f>G31</f>
        <v>Timer</v>
      </c>
      <c r="H44" s="1494" t="s">
        <v>88</v>
      </c>
      <c r="I44" s="1494"/>
      <c r="J44" s="1494"/>
      <c r="K44" s="1495"/>
      <c r="L44" s="283"/>
      <c r="M44" s="779" t="str">
        <f>M31</f>
        <v>Timer</v>
      </c>
      <c r="N44" s="1494" t="s">
        <v>88</v>
      </c>
      <c r="O44" s="1494"/>
      <c r="P44" s="1494"/>
      <c r="Q44" s="1495"/>
      <c r="S44" s="780"/>
      <c r="T44" s="774"/>
      <c r="U44" s="774"/>
      <c r="V44" s="774"/>
      <c r="W44" s="775"/>
      <c r="X44" s="776"/>
      <c r="Y44" s="780"/>
      <c r="Z44" s="774"/>
      <c r="AA44" s="774"/>
      <c r="AB44" s="774"/>
      <c r="AC44" s="775"/>
    </row>
    <row r="45" spans="1:29" ht="15" customHeight="1" x14ac:dyDescent="0.3">
      <c r="A45" s="119" t="str">
        <f>A32</f>
        <v>s</v>
      </c>
      <c r="B45" s="779">
        <v>2020</v>
      </c>
      <c r="C45" s="781" t="s">
        <v>89</v>
      </c>
      <c r="D45" s="1494"/>
      <c r="E45" s="1495"/>
      <c r="F45" s="1504"/>
      <c r="G45" s="782" t="str">
        <f>G32</f>
        <v>s</v>
      </c>
      <c r="H45" s="779">
        <v>2020</v>
      </c>
      <c r="I45" s="781" t="s">
        <v>89</v>
      </c>
      <c r="J45" s="1494"/>
      <c r="K45" s="1495"/>
      <c r="L45" s="283"/>
      <c r="M45" s="782" t="str">
        <f>M32</f>
        <v>s</v>
      </c>
      <c r="N45" s="779">
        <v>2020</v>
      </c>
      <c r="O45" s="781" t="s">
        <v>89</v>
      </c>
      <c r="P45" s="1494"/>
      <c r="Q45" s="1495"/>
      <c r="S45" s="783"/>
      <c r="T45" s="780"/>
      <c r="U45" s="780"/>
      <c r="V45" s="774"/>
      <c r="W45" s="775"/>
      <c r="X45" s="776"/>
      <c r="Y45" s="783"/>
      <c r="Z45" s="780"/>
      <c r="AA45" s="780"/>
      <c r="AB45" s="774"/>
      <c r="AC45" s="775"/>
    </row>
    <row r="46" spans="1:29" ht="12.75" customHeight="1" x14ac:dyDescent="0.3">
      <c r="A46" s="785">
        <v>0</v>
      </c>
      <c r="B46" s="789">
        <v>0</v>
      </c>
      <c r="C46" s="789" t="s">
        <v>89</v>
      </c>
      <c r="D46" s="788">
        <f t="shared" ref="D46:D51" si="9">0.5*(MAX(B46:C46)-MIN(B46:C46))</f>
        <v>0</v>
      </c>
      <c r="E46" s="789">
        <v>0</v>
      </c>
      <c r="F46" s="1504"/>
      <c r="G46" s="785">
        <v>0</v>
      </c>
      <c r="H46" s="789">
        <v>0</v>
      </c>
      <c r="I46" s="787" t="s">
        <v>89</v>
      </c>
      <c r="J46" s="788">
        <f t="shared" ref="J46:J51" si="10">0.5*(MAX(H46:I46)-MIN(H46:I46))</f>
        <v>0</v>
      </c>
      <c r="K46" s="789">
        <v>0</v>
      </c>
      <c r="L46" s="283"/>
      <c r="M46" s="785">
        <v>0</v>
      </c>
      <c r="N46" s="789">
        <v>0</v>
      </c>
      <c r="O46" s="787" t="s">
        <v>89</v>
      </c>
      <c r="P46" s="788">
        <f t="shared" ref="P46:P51" si="11">0.5*(MAX(N46:O46)-MIN(N46:O46))</f>
        <v>0</v>
      </c>
      <c r="Q46" s="789">
        <v>0</v>
      </c>
      <c r="S46" s="792"/>
      <c r="T46" s="793"/>
      <c r="U46" s="793"/>
      <c r="V46" s="795"/>
      <c r="W46" s="793"/>
      <c r="X46" s="776"/>
      <c r="Y46" s="792"/>
      <c r="Z46" s="793"/>
      <c r="AA46" s="793"/>
      <c r="AB46" s="795"/>
      <c r="AC46" s="793"/>
    </row>
    <row r="47" spans="1:29" ht="12.75" customHeight="1" x14ac:dyDescent="0.3">
      <c r="A47" s="790">
        <v>60</v>
      </c>
      <c r="B47" s="789">
        <v>0.01</v>
      </c>
      <c r="C47" s="789" t="s">
        <v>89</v>
      </c>
      <c r="D47" s="788">
        <f t="shared" si="9"/>
        <v>0</v>
      </c>
      <c r="E47" s="789">
        <v>0.12</v>
      </c>
      <c r="F47" s="1504"/>
      <c r="G47" s="790">
        <v>60</v>
      </c>
      <c r="H47" s="789">
        <v>-0.01</v>
      </c>
      <c r="I47" s="787" t="s">
        <v>89</v>
      </c>
      <c r="J47" s="788">
        <f t="shared" si="10"/>
        <v>0</v>
      </c>
      <c r="K47" s="789">
        <v>0.12</v>
      </c>
      <c r="L47" s="283"/>
      <c r="M47" s="790">
        <v>60</v>
      </c>
      <c r="N47" s="789">
        <v>0.02</v>
      </c>
      <c r="O47" s="787" t="s">
        <v>89</v>
      </c>
      <c r="P47" s="788">
        <f t="shared" si="11"/>
        <v>0</v>
      </c>
      <c r="Q47" s="789">
        <v>0.12</v>
      </c>
      <c r="S47" s="792"/>
      <c r="T47" s="793"/>
      <c r="U47" s="793"/>
      <c r="V47" s="795"/>
      <c r="W47" s="793"/>
      <c r="X47" s="776"/>
      <c r="Y47" s="792"/>
      <c r="Z47" s="793"/>
      <c r="AA47" s="793"/>
      <c r="AB47" s="795"/>
      <c r="AC47" s="793"/>
    </row>
    <row r="48" spans="1:29" ht="12.75" customHeight="1" x14ac:dyDescent="0.3">
      <c r="A48" s="790">
        <v>300</v>
      </c>
      <c r="B48" s="789">
        <v>0.01</v>
      </c>
      <c r="C48" s="789" t="s">
        <v>89</v>
      </c>
      <c r="D48" s="788">
        <f t="shared" si="9"/>
        <v>0</v>
      </c>
      <c r="E48" s="789">
        <v>0.12</v>
      </c>
      <c r="F48" s="1504"/>
      <c r="G48" s="790">
        <v>300</v>
      </c>
      <c r="H48" s="789">
        <v>-0.02</v>
      </c>
      <c r="I48" s="787" t="s">
        <v>89</v>
      </c>
      <c r="J48" s="788">
        <f t="shared" si="10"/>
        <v>0</v>
      </c>
      <c r="K48" s="789">
        <v>0.12</v>
      </c>
      <c r="L48" s="283"/>
      <c r="M48" s="790">
        <v>300</v>
      </c>
      <c r="N48" s="789">
        <v>0.02</v>
      </c>
      <c r="O48" s="787" t="s">
        <v>89</v>
      </c>
      <c r="P48" s="788">
        <f t="shared" si="11"/>
        <v>0</v>
      </c>
      <c r="Q48" s="789">
        <v>0.12</v>
      </c>
      <c r="S48" s="792"/>
      <c r="T48" s="793"/>
      <c r="U48" s="793"/>
      <c r="V48" s="795"/>
      <c r="W48" s="793"/>
      <c r="X48" s="776"/>
      <c r="Y48" s="792"/>
      <c r="Z48" s="793"/>
      <c r="AA48" s="793"/>
      <c r="AB48" s="795"/>
      <c r="AC48" s="793"/>
    </row>
    <row r="49" spans="1:29" ht="12.75" customHeight="1" x14ac:dyDescent="0.3">
      <c r="A49" s="790">
        <v>600</v>
      </c>
      <c r="B49" s="789">
        <v>0.02</v>
      </c>
      <c r="C49" s="796" t="s">
        <v>89</v>
      </c>
      <c r="D49" s="788">
        <f t="shared" si="9"/>
        <v>0</v>
      </c>
      <c r="E49" s="789">
        <v>0.12</v>
      </c>
      <c r="F49" s="1504"/>
      <c r="G49" s="790">
        <v>600</v>
      </c>
      <c r="H49" s="789">
        <v>-0.02</v>
      </c>
      <c r="I49" s="786" t="s">
        <v>89</v>
      </c>
      <c r="J49" s="788">
        <f t="shared" si="10"/>
        <v>0</v>
      </c>
      <c r="K49" s="789">
        <v>0.12</v>
      </c>
      <c r="L49" s="283"/>
      <c r="M49" s="790">
        <v>600</v>
      </c>
      <c r="N49" s="789">
        <v>0.03</v>
      </c>
      <c r="O49" s="786" t="s">
        <v>89</v>
      </c>
      <c r="P49" s="788">
        <f t="shared" si="11"/>
        <v>0</v>
      </c>
      <c r="Q49" s="789">
        <v>0.12</v>
      </c>
      <c r="S49" s="792"/>
      <c r="T49" s="793"/>
      <c r="U49" s="794"/>
      <c r="V49" s="795"/>
      <c r="W49" s="793"/>
      <c r="X49" s="776"/>
      <c r="Y49" s="792"/>
      <c r="Z49" s="793"/>
      <c r="AA49" s="794"/>
      <c r="AB49" s="795"/>
      <c r="AC49" s="793"/>
    </row>
    <row r="50" spans="1:29" ht="12.75" customHeight="1" x14ac:dyDescent="0.3">
      <c r="A50" s="790">
        <v>900</v>
      </c>
      <c r="B50" s="789">
        <v>0.02</v>
      </c>
      <c r="C50" s="796" t="s">
        <v>89</v>
      </c>
      <c r="D50" s="788">
        <f t="shared" si="9"/>
        <v>0</v>
      </c>
      <c r="E50" s="789">
        <v>0.12</v>
      </c>
      <c r="F50" s="1504"/>
      <c r="G50" s="790">
        <v>900</v>
      </c>
      <c r="H50" s="789">
        <v>-0.03</v>
      </c>
      <c r="I50" s="786" t="s">
        <v>89</v>
      </c>
      <c r="J50" s="788">
        <f t="shared" si="10"/>
        <v>0</v>
      </c>
      <c r="K50" s="789">
        <v>0.12</v>
      </c>
      <c r="L50" s="283"/>
      <c r="M50" s="790">
        <v>900</v>
      </c>
      <c r="N50" s="789">
        <v>0.03</v>
      </c>
      <c r="O50" s="786" t="s">
        <v>89</v>
      </c>
      <c r="P50" s="788">
        <f t="shared" si="11"/>
        <v>0</v>
      </c>
      <c r="Q50" s="789">
        <v>0.12</v>
      </c>
      <c r="S50" s="792"/>
      <c r="T50" s="793"/>
      <c r="U50" s="794"/>
      <c r="V50" s="795"/>
      <c r="W50" s="793"/>
      <c r="X50" s="776"/>
      <c r="Y50" s="792"/>
      <c r="Z50" s="793"/>
      <c r="AA50" s="794"/>
      <c r="AB50" s="795"/>
      <c r="AC50" s="793"/>
    </row>
    <row r="51" spans="1:29" ht="12.75" customHeight="1" x14ac:dyDescent="0.3">
      <c r="A51" s="790">
        <v>1200</v>
      </c>
      <c r="B51" s="789">
        <v>0.02</v>
      </c>
      <c r="C51" s="796" t="s">
        <v>89</v>
      </c>
      <c r="D51" s="788">
        <f t="shared" si="9"/>
        <v>0</v>
      </c>
      <c r="E51" s="789">
        <v>0.12</v>
      </c>
      <c r="F51" s="1504"/>
      <c r="G51" s="790">
        <v>1200</v>
      </c>
      <c r="H51" s="789">
        <v>-0.04</v>
      </c>
      <c r="I51" s="786" t="s">
        <v>89</v>
      </c>
      <c r="J51" s="788">
        <f t="shared" si="10"/>
        <v>0</v>
      </c>
      <c r="K51" s="789">
        <v>0.12</v>
      </c>
      <c r="L51" s="283"/>
      <c r="M51" s="790">
        <v>1200</v>
      </c>
      <c r="N51" s="789">
        <v>0.03</v>
      </c>
      <c r="O51" s="786" t="s">
        <v>89</v>
      </c>
      <c r="P51" s="788">
        <f t="shared" si="11"/>
        <v>0</v>
      </c>
      <c r="Q51" s="789">
        <v>0.12</v>
      </c>
      <c r="S51" s="792"/>
      <c r="T51" s="793"/>
      <c r="U51" s="794"/>
      <c r="V51" s="795"/>
      <c r="W51" s="793"/>
      <c r="X51" s="776"/>
      <c r="Y51" s="792"/>
      <c r="Z51" s="793"/>
      <c r="AA51" s="794"/>
      <c r="AB51" s="795"/>
      <c r="AC51" s="793"/>
    </row>
    <row r="52" spans="1:29" ht="12.75" customHeight="1" x14ac:dyDescent="0.3">
      <c r="A52" s="785">
        <v>0</v>
      </c>
      <c r="B52" s="789">
        <v>0</v>
      </c>
      <c r="C52" s="796" t="s">
        <v>89</v>
      </c>
      <c r="D52" s="788">
        <f>0.5*(MAX(B52:C52)-MIN(B52:C52))</f>
        <v>0</v>
      </c>
      <c r="E52" s="789">
        <v>0</v>
      </c>
      <c r="F52" s="1504"/>
      <c r="G52" s="790">
        <v>0</v>
      </c>
      <c r="H52" s="789">
        <v>0</v>
      </c>
      <c r="I52" s="786" t="s">
        <v>89</v>
      </c>
      <c r="J52" s="788">
        <f>0.5*(MAX(H52:I52)-MIN(H52:I52))</f>
        <v>0</v>
      </c>
      <c r="K52" s="789">
        <v>0</v>
      </c>
      <c r="L52" s="283"/>
      <c r="M52" s="790">
        <v>0</v>
      </c>
      <c r="N52" s="789">
        <v>0</v>
      </c>
      <c r="O52" s="786" t="s">
        <v>89</v>
      </c>
      <c r="P52" s="788">
        <f>0.5*(MAX(N52:O52)-MIN(N52:O52))</f>
        <v>0</v>
      </c>
      <c r="Q52" s="789">
        <v>0</v>
      </c>
      <c r="S52" s="792"/>
      <c r="T52" s="793"/>
      <c r="U52" s="794"/>
      <c r="V52" s="795"/>
      <c r="W52" s="793"/>
      <c r="X52" s="776"/>
      <c r="Y52" s="792"/>
      <c r="Z52" s="793"/>
      <c r="AA52" s="794"/>
      <c r="AB52" s="795"/>
      <c r="AC52" s="793"/>
    </row>
    <row r="53" spans="1:29" ht="13.5" customHeight="1" x14ac:dyDescent="0.3">
      <c r="A53" s="785">
        <v>0</v>
      </c>
      <c r="B53" s="789">
        <v>0</v>
      </c>
      <c r="C53" s="796" t="s">
        <v>89</v>
      </c>
      <c r="D53" s="788">
        <f>0.5*(MAX(B53:C53)-MIN(B53:C53))</f>
        <v>0</v>
      </c>
      <c r="E53" s="789">
        <v>0</v>
      </c>
      <c r="F53" s="1504"/>
      <c r="G53" s="790">
        <v>0</v>
      </c>
      <c r="H53" s="789">
        <v>0</v>
      </c>
      <c r="I53" s="786" t="s">
        <v>89</v>
      </c>
      <c r="J53" s="788">
        <f>0.5*(MAX(H53:I53)-MIN(H53:I53))</f>
        <v>0</v>
      </c>
      <c r="K53" s="789">
        <v>0</v>
      </c>
      <c r="L53" s="283"/>
      <c r="M53" s="790">
        <v>0</v>
      </c>
      <c r="N53" s="789">
        <v>0</v>
      </c>
      <c r="O53" s="786" t="s">
        <v>89</v>
      </c>
      <c r="P53" s="788">
        <f>0.5*(MAX(N53:O53)-MIN(N53:O53))</f>
        <v>0</v>
      </c>
      <c r="Q53" s="789">
        <v>0</v>
      </c>
      <c r="S53" s="792"/>
      <c r="T53" s="793"/>
      <c r="U53" s="794"/>
      <c r="V53" s="795"/>
      <c r="W53" s="793"/>
      <c r="X53" s="776"/>
      <c r="Y53" s="792"/>
      <c r="Z53" s="793"/>
      <c r="AA53" s="794"/>
      <c r="AB53" s="795"/>
      <c r="AC53" s="793"/>
    </row>
    <row r="54" spans="1:29" ht="13.5" customHeight="1" x14ac:dyDescent="0.3">
      <c r="A54" s="785">
        <v>0</v>
      </c>
      <c r="B54" s="789">
        <v>0</v>
      </c>
      <c r="C54" s="796" t="s">
        <v>89</v>
      </c>
      <c r="D54" s="788">
        <f>0.5*(MAX(B54:C54)-MIN(B54:C54))</f>
        <v>0</v>
      </c>
      <c r="E54" s="789">
        <v>0</v>
      </c>
      <c r="F54" s="1504"/>
      <c r="G54" s="790">
        <v>0</v>
      </c>
      <c r="H54" s="789">
        <v>0</v>
      </c>
      <c r="I54" s="786" t="s">
        <v>89</v>
      </c>
      <c r="J54" s="788">
        <f>0.5*(MAX(H54:I54)-MIN(H54:I54))</f>
        <v>0</v>
      </c>
      <c r="K54" s="789">
        <v>0</v>
      </c>
      <c r="L54" s="283"/>
      <c r="M54" s="790">
        <v>0</v>
      </c>
      <c r="N54" s="789">
        <v>0</v>
      </c>
      <c r="O54" s="786" t="s">
        <v>89</v>
      </c>
      <c r="P54" s="788">
        <f>0.5*(MAX(N54:O54)-MIN(N54:O54))</f>
        <v>0</v>
      </c>
      <c r="Q54" s="789">
        <v>0</v>
      </c>
      <c r="S54" s="792"/>
      <c r="T54" s="793"/>
      <c r="U54" s="794"/>
      <c r="V54" s="795"/>
      <c r="W54" s="793"/>
      <c r="X54" s="798"/>
      <c r="Y54" s="792"/>
      <c r="Z54" s="793"/>
      <c r="AA54" s="794"/>
      <c r="AB54" s="795"/>
      <c r="AC54" s="793"/>
    </row>
    <row r="55" spans="1:29" ht="13.5" customHeight="1" x14ac:dyDescent="0.3">
      <c r="A55" s="805"/>
      <c r="B55" s="793"/>
      <c r="C55" s="794"/>
      <c r="D55" s="795"/>
      <c r="E55" s="793"/>
      <c r="F55" s="798"/>
      <c r="G55" s="792"/>
      <c r="H55" s="793"/>
      <c r="I55" s="806"/>
      <c r="J55" s="795"/>
      <c r="K55" s="793"/>
      <c r="L55" s="283"/>
      <c r="M55" s="792"/>
      <c r="N55" s="793"/>
      <c r="O55" s="806"/>
      <c r="P55" s="795"/>
      <c r="Q55" s="793"/>
      <c r="S55" s="792"/>
      <c r="T55" s="793"/>
      <c r="U55" s="794"/>
      <c r="V55" s="795"/>
      <c r="W55" s="793"/>
      <c r="X55" s="798"/>
      <c r="Y55" s="792"/>
      <c r="Z55" s="793"/>
      <c r="AA55" s="794"/>
      <c r="AB55" s="795"/>
      <c r="AC55" s="793"/>
    </row>
    <row r="56" spans="1:29" ht="13.5" customHeight="1" x14ac:dyDescent="0.3">
      <c r="A56" s="1491" t="s">
        <v>440</v>
      </c>
      <c r="B56" s="1492"/>
      <c r="C56" s="1493"/>
      <c r="D56" s="1494" t="s">
        <v>86</v>
      </c>
      <c r="E56" s="1495" t="str">
        <f>E43</f>
        <v>U95 STD</v>
      </c>
      <c r="F56" s="798"/>
      <c r="G56" s="1491" t="s">
        <v>441</v>
      </c>
      <c r="H56" s="1492"/>
      <c r="I56" s="1493"/>
      <c r="J56" s="1494" t="s">
        <v>86</v>
      </c>
      <c r="K56" s="1495" t="str">
        <f>K43</f>
        <v>U95 STD</v>
      </c>
      <c r="L56" s="283"/>
      <c r="M56" s="1491" t="s">
        <v>442</v>
      </c>
      <c r="N56" s="1492"/>
      <c r="O56" s="1493"/>
      <c r="P56" s="1494" t="s">
        <v>86</v>
      </c>
      <c r="Q56" s="1495" t="str">
        <f>Q43</f>
        <v>U95 STD</v>
      </c>
      <c r="S56" s="792"/>
      <c r="T56" s="793"/>
      <c r="U56" s="794"/>
      <c r="V56" s="795"/>
      <c r="W56" s="793"/>
      <c r="X56" s="798"/>
      <c r="Y56" s="792"/>
      <c r="Z56" s="793"/>
      <c r="AA56" s="794"/>
      <c r="AB56" s="795"/>
      <c r="AC56" s="793"/>
    </row>
    <row r="57" spans="1:29" ht="13.5" customHeight="1" x14ac:dyDescent="0.3">
      <c r="A57" s="778" t="str">
        <f>A44</f>
        <v>Timer</v>
      </c>
      <c r="B57" s="1494" t="s">
        <v>88</v>
      </c>
      <c r="C57" s="1494"/>
      <c r="D57" s="1494"/>
      <c r="E57" s="1495"/>
      <c r="F57" s="798"/>
      <c r="G57" s="778" t="str">
        <f>G44</f>
        <v>Timer</v>
      </c>
      <c r="H57" s="1494" t="s">
        <v>88</v>
      </c>
      <c r="I57" s="1494"/>
      <c r="J57" s="1494"/>
      <c r="K57" s="1495"/>
      <c r="L57" s="283"/>
      <c r="M57" s="778" t="str">
        <f>M44</f>
        <v>Timer</v>
      </c>
      <c r="N57" s="1494" t="s">
        <v>88</v>
      </c>
      <c r="O57" s="1494"/>
      <c r="P57" s="1494"/>
      <c r="Q57" s="1495"/>
      <c r="S57" s="792"/>
      <c r="T57" s="793"/>
      <c r="U57" s="794"/>
      <c r="V57" s="795"/>
      <c r="W57" s="793"/>
      <c r="X57" s="798"/>
      <c r="Y57" s="792"/>
      <c r="Z57" s="793"/>
      <c r="AA57" s="794"/>
      <c r="AB57" s="795"/>
      <c r="AC57" s="793"/>
    </row>
    <row r="58" spans="1:29" ht="13.5" customHeight="1" x14ac:dyDescent="0.3">
      <c r="A58" s="119" t="str">
        <f>A45</f>
        <v>s</v>
      </c>
      <c r="B58" s="779">
        <v>2020</v>
      </c>
      <c r="C58" s="781" t="s">
        <v>89</v>
      </c>
      <c r="D58" s="1494"/>
      <c r="E58" s="1495"/>
      <c r="F58" s="798"/>
      <c r="G58" s="119" t="str">
        <f>G45</f>
        <v>s</v>
      </c>
      <c r="H58" s="779">
        <v>2020</v>
      </c>
      <c r="I58" s="781" t="s">
        <v>89</v>
      </c>
      <c r="J58" s="1494"/>
      <c r="K58" s="1495"/>
      <c r="L58" s="283"/>
      <c r="M58" s="119" t="str">
        <f>M45</f>
        <v>s</v>
      </c>
      <c r="N58" s="779">
        <v>2020</v>
      </c>
      <c r="O58" s="781" t="s">
        <v>89</v>
      </c>
      <c r="P58" s="1494"/>
      <c r="Q58" s="1495"/>
      <c r="S58" s="792"/>
      <c r="T58" s="793"/>
      <c r="U58" s="794"/>
      <c r="V58" s="795"/>
      <c r="W58" s="793"/>
      <c r="X58" s="798"/>
      <c r="Y58" s="792"/>
      <c r="Z58" s="793"/>
      <c r="AA58" s="794"/>
      <c r="AB58" s="795"/>
      <c r="AC58" s="793"/>
    </row>
    <row r="59" spans="1:29" ht="13.5" customHeight="1" x14ac:dyDescent="0.3">
      <c r="A59" s="785">
        <v>0</v>
      </c>
      <c r="B59" s="789">
        <v>0</v>
      </c>
      <c r="C59" s="789" t="s">
        <v>89</v>
      </c>
      <c r="D59" s="788">
        <f t="shared" ref="D59:D64" si="12">0.5*(MAX(B59:C59)-MIN(B59:C59))</f>
        <v>0</v>
      </c>
      <c r="E59" s="789">
        <v>0</v>
      </c>
      <c r="F59" s="798"/>
      <c r="G59" s="785">
        <v>0</v>
      </c>
      <c r="H59" s="789">
        <v>0</v>
      </c>
      <c r="I59" s="789" t="s">
        <v>89</v>
      </c>
      <c r="J59" s="788">
        <f t="shared" ref="J59:J64" si="13">0.5*(MAX(H59:I59)-MIN(H59:I59))</f>
        <v>0</v>
      </c>
      <c r="K59" s="789">
        <v>0</v>
      </c>
      <c r="L59" s="283"/>
      <c r="M59" s="785">
        <v>0</v>
      </c>
      <c r="N59" s="789">
        <v>0</v>
      </c>
      <c r="O59" s="789" t="s">
        <v>89</v>
      </c>
      <c r="P59" s="788">
        <f t="shared" ref="P59:P64" si="14">0.5*(MAX(N59:O59)-MIN(N59:O59))</f>
        <v>0</v>
      </c>
      <c r="Q59" s="789">
        <v>0</v>
      </c>
      <c r="S59" s="792"/>
      <c r="T59" s="793"/>
      <c r="U59" s="794"/>
      <c r="V59" s="795"/>
      <c r="W59" s="793"/>
      <c r="X59" s="798"/>
      <c r="Y59" s="792"/>
      <c r="Z59" s="793"/>
      <c r="AA59" s="794"/>
      <c r="AB59" s="795"/>
      <c r="AC59" s="793"/>
    </row>
    <row r="60" spans="1:29" ht="13.5" customHeight="1" x14ac:dyDescent="0.3">
      <c r="A60" s="790">
        <v>60</v>
      </c>
      <c r="B60" s="789">
        <v>0.02</v>
      </c>
      <c r="C60" s="789" t="s">
        <v>89</v>
      </c>
      <c r="D60" s="788">
        <f t="shared" si="12"/>
        <v>0</v>
      </c>
      <c r="E60" s="789">
        <v>0.12</v>
      </c>
      <c r="F60" s="798"/>
      <c r="G60" s="790">
        <v>60</v>
      </c>
      <c r="H60" s="789">
        <v>-0.01</v>
      </c>
      <c r="I60" s="789" t="s">
        <v>89</v>
      </c>
      <c r="J60" s="788">
        <f t="shared" si="13"/>
        <v>0</v>
      </c>
      <c r="K60" s="789">
        <v>0.12</v>
      </c>
      <c r="L60" s="283"/>
      <c r="M60" s="790">
        <v>60</v>
      </c>
      <c r="N60" s="789">
        <v>0</v>
      </c>
      <c r="O60" s="789" t="s">
        <v>89</v>
      </c>
      <c r="P60" s="788">
        <f t="shared" si="14"/>
        <v>0</v>
      </c>
      <c r="Q60" s="789">
        <v>0.12</v>
      </c>
      <c r="S60" s="792"/>
      <c r="T60" s="793"/>
      <c r="U60" s="794"/>
      <c r="V60" s="795"/>
      <c r="W60" s="793"/>
      <c r="X60" s="798"/>
      <c r="Y60" s="792"/>
      <c r="Z60" s="793"/>
      <c r="AA60" s="794"/>
      <c r="AB60" s="795"/>
      <c r="AC60" s="793"/>
    </row>
    <row r="61" spans="1:29" ht="13.5" customHeight="1" x14ac:dyDescent="0.3">
      <c r="A61" s="790">
        <v>300</v>
      </c>
      <c r="B61" s="789">
        <v>0.02</v>
      </c>
      <c r="C61" s="789" t="s">
        <v>89</v>
      </c>
      <c r="D61" s="788">
        <f t="shared" si="12"/>
        <v>0</v>
      </c>
      <c r="E61" s="789">
        <v>0.12</v>
      </c>
      <c r="F61" s="798"/>
      <c r="G61" s="790">
        <v>300</v>
      </c>
      <c r="H61" s="789">
        <v>-0.01</v>
      </c>
      <c r="I61" s="789" t="s">
        <v>89</v>
      </c>
      <c r="J61" s="788">
        <f t="shared" si="13"/>
        <v>0</v>
      </c>
      <c r="K61" s="789">
        <v>0.12</v>
      </c>
      <c r="L61" s="283"/>
      <c r="M61" s="790">
        <v>300</v>
      </c>
      <c r="N61" s="789">
        <v>0.01</v>
      </c>
      <c r="O61" s="789" t="s">
        <v>89</v>
      </c>
      <c r="P61" s="788">
        <f t="shared" si="14"/>
        <v>0</v>
      </c>
      <c r="Q61" s="789">
        <v>0.12</v>
      </c>
      <c r="S61" s="792"/>
      <c r="T61" s="793"/>
      <c r="U61" s="794"/>
      <c r="V61" s="795"/>
      <c r="W61" s="793"/>
      <c r="X61" s="798"/>
      <c r="Y61" s="792"/>
      <c r="Z61" s="793"/>
      <c r="AA61" s="794"/>
      <c r="AB61" s="795"/>
      <c r="AC61" s="793"/>
    </row>
    <row r="62" spans="1:29" ht="13.5" customHeight="1" x14ac:dyDescent="0.3">
      <c r="A62" s="790">
        <v>600</v>
      </c>
      <c r="B62" s="789">
        <v>0.03</v>
      </c>
      <c r="C62" s="796" t="s">
        <v>89</v>
      </c>
      <c r="D62" s="788">
        <f t="shared" si="12"/>
        <v>0</v>
      </c>
      <c r="E62" s="789">
        <v>0.12</v>
      </c>
      <c r="F62" s="798"/>
      <c r="G62" s="790">
        <v>600</v>
      </c>
      <c r="H62" s="789">
        <v>-0.02</v>
      </c>
      <c r="I62" s="796" t="s">
        <v>89</v>
      </c>
      <c r="J62" s="788">
        <f t="shared" si="13"/>
        <v>0</v>
      </c>
      <c r="K62" s="789">
        <v>0.12</v>
      </c>
      <c r="L62" s="283"/>
      <c r="M62" s="790">
        <v>600</v>
      </c>
      <c r="N62" s="789">
        <v>0.02</v>
      </c>
      <c r="O62" s="796" t="s">
        <v>89</v>
      </c>
      <c r="P62" s="788">
        <f t="shared" si="14"/>
        <v>0</v>
      </c>
      <c r="Q62" s="789">
        <v>0.12</v>
      </c>
      <c r="S62" s="792"/>
      <c r="T62" s="793"/>
      <c r="U62" s="794"/>
      <c r="V62" s="795"/>
      <c r="W62" s="793"/>
      <c r="X62" s="798"/>
      <c r="Y62" s="792"/>
      <c r="Z62" s="793"/>
      <c r="AA62" s="794"/>
      <c r="AB62" s="795"/>
      <c r="AC62" s="793"/>
    </row>
    <row r="63" spans="1:29" ht="13.5" customHeight="1" x14ac:dyDescent="0.3">
      <c r="A63" s="790">
        <v>900</v>
      </c>
      <c r="B63" s="789">
        <v>0.03</v>
      </c>
      <c r="C63" s="796" t="s">
        <v>89</v>
      </c>
      <c r="D63" s="788">
        <f t="shared" si="12"/>
        <v>0</v>
      </c>
      <c r="E63" s="789">
        <v>0.12</v>
      </c>
      <c r="F63" s="798"/>
      <c r="G63" s="790">
        <v>900</v>
      </c>
      <c r="H63" s="789">
        <v>-0.02</v>
      </c>
      <c r="I63" s="796" t="s">
        <v>89</v>
      </c>
      <c r="J63" s="788">
        <f t="shared" si="13"/>
        <v>0</v>
      </c>
      <c r="K63" s="789">
        <v>0.12</v>
      </c>
      <c r="L63" s="283"/>
      <c r="M63" s="790">
        <v>900</v>
      </c>
      <c r="N63" s="789">
        <v>0.03</v>
      </c>
      <c r="O63" s="796" t="s">
        <v>89</v>
      </c>
      <c r="P63" s="788">
        <f t="shared" si="14"/>
        <v>0</v>
      </c>
      <c r="Q63" s="789">
        <v>0.12</v>
      </c>
      <c r="S63" s="792"/>
      <c r="T63" s="793"/>
      <c r="U63" s="794"/>
      <c r="V63" s="795"/>
      <c r="W63" s="793"/>
      <c r="X63" s="798"/>
      <c r="Y63" s="792"/>
      <c r="Z63" s="793"/>
      <c r="AA63" s="794"/>
      <c r="AB63" s="795"/>
      <c r="AC63" s="793"/>
    </row>
    <row r="64" spans="1:29" ht="13.5" customHeight="1" x14ac:dyDescent="0.3">
      <c r="A64" s="790">
        <v>1200</v>
      </c>
      <c r="B64" s="789">
        <v>0.03</v>
      </c>
      <c r="C64" s="796" t="s">
        <v>89</v>
      </c>
      <c r="D64" s="788">
        <f t="shared" si="12"/>
        <v>0</v>
      </c>
      <c r="E64" s="789">
        <v>0.12</v>
      </c>
      <c r="F64" s="798"/>
      <c r="G64" s="790">
        <v>1200</v>
      </c>
      <c r="H64" s="789">
        <v>-0.03</v>
      </c>
      <c r="I64" s="796" t="s">
        <v>89</v>
      </c>
      <c r="J64" s="788">
        <f t="shared" si="13"/>
        <v>0</v>
      </c>
      <c r="K64" s="789">
        <v>0.12</v>
      </c>
      <c r="L64" s="283"/>
      <c r="M64" s="790">
        <v>1200</v>
      </c>
      <c r="N64" s="789">
        <v>0.04</v>
      </c>
      <c r="O64" s="796" t="s">
        <v>89</v>
      </c>
      <c r="P64" s="788">
        <f t="shared" si="14"/>
        <v>0</v>
      </c>
      <c r="Q64" s="789">
        <v>0.12</v>
      </c>
      <c r="S64" s="792"/>
      <c r="T64" s="793"/>
      <c r="U64" s="794"/>
      <c r="V64" s="795"/>
      <c r="W64" s="793"/>
      <c r="X64" s="798"/>
      <c r="Y64" s="792"/>
      <c r="Z64" s="793"/>
      <c r="AA64" s="794"/>
      <c r="AB64" s="795"/>
      <c r="AC64" s="793"/>
    </row>
    <row r="65" spans="1:29" ht="13.5" customHeight="1" x14ac:dyDescent="0.3">
      <c r="A65" s="785">
        <v>0</v>
      </c>
      <c r="B65" s="789">
        <v>0</v>
      </c>
      <c r="C65" s="796" t="s">
        <v>89</v>
      </c>
      <c r="D65" s="788">
        <f>0.5*(MAX(B65:C65)-MIN(B65:C65))</f>
        <v>0</v>
      </c>
      <c r="E65" s="789">
        <v>0</v>
      </c>
      <c r="F65" s="798"/>
      <c r="G65" s="785">
        <v>0</v>
      </c>
      <c r="H65" s="789">
        <v>0</v>
      </c>
      <c r="I65" s="796" t="s">
        <v>89</v>
      </c>
      <c r="J65" s="788">
        <f>0.5*(MAX(H65:I65)-MIN(H65:I65))</f>
        <v>0</v>
      </c>
      <c r="K65" s="789">
        <v>0</v>
      </c>
      <c r="L65" s="283"/>
      <c r="M65" s="785">
        <v>0</v>
      </c>
      <c r="N65" s="789">
        <v>0</v>
      </c>
      <c r="O65" s="796" t="s">
        <v>89</v>
      </c>
      <c r="P65" s="788">
        <f>0.5*(MAX(N65:O65)-MIN(N65:O65))</f>
        <v>0</v>
      </c>
      <c r="Q65" s="789">
        <v>0</v>
      </c>
      <c r="S65" s="792"/>
      <c r="T65" s="793"/>
      <c r="U65" s="794"/>
      <c r="V65" s="795"/>
      <c r="W65" s="793"/>
      <c r="X65" s="798"/>
      <c r="Y65" s="792"/>
      <c r="Z65" s="793"/>
      <c r="AA65" s="794"/>
      <c r="AB65" s="795"/>
      <c r="AC65" s="793"/>
    </row>
    <row r="66" spans="1:29" ht="13.5" customHeight="1" x14ac:dyDescent="0.3">
      <c r="A66" s="785">
        <v>0</v>
      </c>
      <c r="B66" s="789">
        <v>0</v>
      </c>
      <c r="C66" s="796" t="s">
        <v>89</v>
      </c>
      <c r="D66" s="788">
        <f>0.5*(MAX(B66:C66)-MIN(B66:C66))</f>
        <v>0</v>
      </c>
      <c r="E66" s="789">
        <v>0</v>
      </c>
      <c r="F66" s="798"/>
      <c r="G66" s="785">
        <v>0</v>
      </c>
      <c r="H66" s="789">
        <v>0</v>
      </c>
      <c r="I66" s="796" t="s">
        <v>89</v>
      </c>
      <c r="J66" s="788">
        <f>0.5*(MAX(H66:I66)-MIN(H66:I66))</f>
        <v>0</v>
      </c>
      <c r="K66" s="789">
        <v>0</v>
      </c>
      <c r="L66" s="283"/>
      <c r="M66" s="785">
        <v>0</v>
      </c>
      <c r="N66" s="789">
        <v>0</v>
      </c>
      <c r="O66" s="796" t="s">
        <v>89</v>
      </c>
      <c r="P66" s="788">
        <f>0.5*(MAX(N66:O66)-MIN(N66:O66))</f>
        <v>0</v>
      </c>
      <c r="Q66" s="789">
        <v>0</v>
      </c>
      <c r="S66" s="792"/>
      <c r="T66" s="793"/>
      <c r="U66" s="794"/>
      <c r="V66" s="795"/>
      <c r="W66" s="793"/>
      <c r="X66" s="798"/>
      <c r="Y66" s="792"/>
      <c r="Z66" s="793"/>
      <c r="AA66" s="794"/>
      <c r="AB66" s="795"/>
      <c r="AC66" s="793"/>
    </row>
    <row r="67" spans="1:29" ht="13.5" customHeight="1" x14ac:dyDescent="0.3">
      <c r="A67" s="785">
        <v>0</v>
      </c>
      <c r="B67" s="789">
        <v>0</v>
      </c>
      <c r="C67" s="796" t="s">
        <v>89</v>
      </c>
      <c r="D67" s="788">
        <f>0.5*(MAX(B67:C67)-MIN(B67:C67))</f>
        <v>0</v>
      </c>
      <c r="E67" s="789">
        <v>0</v>
      </c>
      <c r="F67" s="798"/>
      <c r="G67" s="785">
        <v>0</v>
      </c>
      <c r="H67" s="789">
        <v>0</v>
      </c>
      <c r="I67" s="796" t="s">
        <v>89</v>
      </c>
      <c r="J67" s="788">
        <f>0.5*(MAX(H67:I67)-MIN(H67:I67))</f>
        <v>0</v>
      </c>
      <c r="K67" s="789">
        <v>0</v>
      </c>
      <c r="L67" s="283"/>
      <c r="M67" s="785">
        <v>0</v>
      </c>
      <c r="N67" s="789">
        <v>0</v>
      </c>
      <c r="O67" s="796" t="s">
        <v>89</v>
      </c>
      <c r="P67" s="788">
        <f>0.5*(MAX(N67:O67)-MIN(N67:O67))</f>
        <v>0</v>
      </c>
      <c r="Q67" s="789">
        <v>0</v>
      </c>
      <c r="S67" s="792"/>
      <c r="T67" s="793"/>
      <c r="U67" s="794"/>
      <c r="V67" s="795"/>
      <c r="W67" s="793"/>
      <c r="X67" s="798"/>
      <c r="Y67" s="792"/>
      <c r="Z67" s="793"/>
      <c r="AA67" s="794"/>
      <c r="AB67" s="795"/>
      <c r="AC67" s="793"/>
    </row>
    <row r="68" spans="1:29" ht="13.5" customHeight="1" x14ac:dyDescent="0.3">
      <c r="A68" s="805"/>
      <c r="B68" s="793"/>
      <c r="C68" s="794"/>
      <c r="D68" s="795"/>
      <c r="E68" s="793"/>
      <c r="F68" s="798"/>
      <c r="G68" s="792"/>
      <c r="H68" s="793"/>
      <c r="I68" s="806"/>
      <c r="J68" s="795"/>
      <c r="K68" s="793"/>
      <c r="L68" s="283"/>
      <c r="M68" s="792"/>
      <c r="N68" s="793"/>
      <c r="O68" s="806"/>
      <c r="P68" s="795"/>
      <c r="Q68" s="793"/>
      <c r="S68" s="792"/>
      <c r="T68" s="793"/>
      <c r="U68" s="794"/>
      <c r="V68" s="795"/>
      <c r="W68" s="793"/>
      <c r="X68" s="798"/>
      <c r="Y68" s="792"/>
      <c r="Z68" s="793"/>
      <c r="AA68" s="794"/>
      <c r="AB68" s="795"/>
      <c r="AC68" s="793"/>
    </row>
    <row r="69" spans="1:29" ht="13.5" customHeight="1" x14ac:dyDescent="0.3">
      <c r="A69" s="1491" t="s">
        <v>443</v>
      </c>
      <c r="B69" s="1492"/>
      <c r="C69" s="1493"/>
      <c r="D69" s="1494" t="s">
        <v>86</v>
      </c>
      <c r="E69" s="1495" t="str">
        <f>E56</f>
        <v>U95 STD</v>
      </c>
      <c r="F69" s="798"/>
      <c r="G69" s="792"/>
      <c r="H69" s="793"/>
      <c r="I69" s="806"/>
      <c r="J69" s="795"/>
      <c r="K69" s="793"/>
      <c r="L69" s="283"/>
      <c r="M69" s="792"/>
      <c r="N69" s="793"/>
      <c r="O69" s="806"/>
      <c r="P69" s="795"/>
      <c r="Q69" s="793"/>
      <c r="S69" s="792"/>
      <c r="T69" s="793"/>
      <c r="U69" s="794"/>
      <c r="V69" s="795"/>
      <c r="W69" s="793"/>
      <c r="X69" s="798"/>
      <c r="Y69" s="792"/>
      <c r="Z69" s="793"/>
      <c r="AA69" s="794"/>
      <c r="AB69" s="795"/>
      <c r="AC69" s="793"/>
    </row>
    <row r="70" spans="1:29" ht="13.5" customHeight="1" x14ac:dyDescent="0.3">
      <c r="A70" s="778" t="str">
        <f>A57</f>
        <v>Timer</v>
      </c>
      <c r="B70" s="1494" t="s">
        <v>88</v>
      </c>
      <c r="C70" s="1494"/>
      <c r="D70" s="1494"/>
      <c r="E70" s="1495"/>
      <c r="F70" s="798"/>
      <c r="G70" s="792"/>
      <c r="H70" s="793"/>
      <c r="I70" s="806"/>
      <c r="J70" s="795"/>
      <c r="K70" s="793"/>
      <c r="L70" s="283"/>
      <c r="M70" s="792"/>
      <c r="N70" s="793"/>
      <c r="O70" s="806"/>
      <c r="P70" s="795"/>
      <c r="Q70" s="793"/>
      <c r="S70" s="792"/>
      <c r="T70" s="793"/>
      <c r="U70" s="794"/>
      <c r="V70" s="795"/>
      <c r="W70" s="793"/>
      <c r="X70" s="798"/>
      <c r="Y70" s="792"/>
      <c r="Z70" s="793"/>
      <c r="AA70" s="794"/>
      <c r="AB70" s="795"/>
      <c r="AC70" s="793"/>
    </row>
    <row r="71" spans="1:29" ht="13.5" customHeight="1" x14ac:dyDescent="0.3">
      <c r="A71" s="119" t="str">
        <f>A58</f>
        <v>s</v>
      </c>
      <c r="B71" s="779">
        <v>2020</v>
      </c>
      <c r="C71" s="781" t="s">
        <v>89</v>
      </c>
      <c r="D71" s="1494"/>
      <c r="E71" s="1495"/>
      <c r="F71" s="798"/>
      <c r="G71" s="792"/>
      <c r="H71" s="793"/>
      <c r="I71" s="806"/>
      <c r="J71" s="795"/>
      <c r="K71" s="793"/>
      <c r="L71" s="283"/>
      <c r="M71" s="792"/>
      <c r="N71" s="793"/>
      <c r="O71" s="806"/>
      <c r="P71" s="795"/>
      <c r="Q71" s="793"/>
      <c r="S71" s="792"/>
      <c r="T71" s="793"/>
      <c r="U71" s="794"/>
      <c r="V71" s="795"/>
      <c r="W71" s="793"/>
      <c r="X71" s="798"/>
      <c r="Y71" s="792"/>
      <c r="Z71" s="793"/>
      <c r="AA71" s="794"/>
      <c r="AB71" s="795"/>
      <c r="AC71" s="793"/>
    </row>
    <row r="72" spans="1:29" ht="13.5" customHeight="1" x14ac:dyDescent="0.3">
      <c r="A72" s="785">
        <v>0</v>
      </c>
      <c r="B72" s="789">
        <v>0</v>
      </c>
      <c r="C72" s="789" t="s">
        <v>89</v>
      </c>
      <c r="D72" s="788">
        <f t="shared" ref="D72:D77" si="15">0.5*(MAX(B72:C72)-MIN(B72:C72))</f>
        <v>0</v>
      </c>
      <c r="E72" s="789">
        <v>0</v>
      </c>
      <c r="F72" s="798"/>
      <c r="G72" s="792"/>
      <c r="H72" s="793"/>
      <c r="I72" s="806"/>
      <c r="J72" s="795"/>
      <c r="K72" s="793"/>
      <c r="L72" s="283"/>
      <c r="M72" s="792"/>
      <c r="N72" s="793"/>
      <c r="O72" s="806"/>
      <c r="P72" s="795"/>
      <c r="Q72" s="793"/>
      <c r="S72" s="792"/>
      <c r="T72" s="793"/>
      <c r="U72" s="794"/>
      <c r="V72" s="795"/>
      <c r="W72" s="793"/>
      <c r="X72" s="798"/>
      <c r="Y72" s="792"/>
      <c r="Z72" s="793"/>
      <c r="AA72" s="794"/>
      <c r="AB72" s="795"/>
      <c r="AC72" s="793"/>
    </row>
    <row r="73" spans="1:29" ht="13.5" customHeight="1" x14ac:dyDescent="0.3">
      <c r="A73" s="790">
        <v>60</v>
      </c>
      <c r="B73" s="789">
        <v>0.01</v>
      </c>
      <c r="C73" s="789" t="s">
        <v>89</v>
      </c>
      <c r="D73" s="788">
        <f t="shared" si="15"/>
        <v>0</v>
      </c>
      <c r="E73" s="789">
        <v>0.12</v>
      </c>
      <c r="F73" s="798"/>
      <c r="G73" s="792"/>
      <c r="H73" s="793"/>
      <c r="I73" s="806"/>
      <c r="J73" s="795"/>
      <c r="K73" s="793"/>
      <c r="L73" s="283"/>
      <c r="M73" s="792"/>
      <c r="N73" s="793"/>
      <c r="O73" s="806"/>
      <c r="P73" s="795"/>
      <c r="Q73" s="793"/>
      <c r="S73" s="792"/>
      <c r="T73" s="793"/>
      <c r="U73" s="794"/>
      <c r="V73" s="795"/>
      <c r="W73" s="793"/>
      <c r="X73" s="798"/>
      <c r="Y73" s="792"/>
      <c r="Z73" s="793"/>
      <c r="AA73" s="794"/>
      <c r="AB73" s="795"/>
      <c r="AC73" s="793"/>
    </row>
    <row r="74" spans="1:29" ht="13.5" customHeight="1" x14ac:dyDescent="0.3">
      <c r="A74" s="790">
        <v>300</v>
      </c>
      <c r="B74" s="789">
        <v>0.01</v>
      </c>
      <c r="C74" s="789" t="s">
        <v>89</v>
      </c>
      <c r="D74" s="788">
        <f t="shared" si="15"/>
        <v>0</v>
      </c>
      <c r="E74" s="789">
        <v>0.12</v>
      </c>
      <c r="F74" s="798"/>
      <c r="G74" s="792"/>
      <c r="H74" s="793"/>
      <c r="I74" s="806"/>
      <c r="J74" s="795"/>
      <c r="K74" s="793"/>
      <c r="L74" s="283"/>
      <c r="M74" s="792"/>
      <c r="N74" s="793"/>
      <c r="O74" s="806"/>
      <c r="P74" s="795"/>
      <c r="Q74" s="793"/>
      <c r="S74" s="792"/>
      <c r="T74" s="793"/>
      <c r="U74" s="794"/>
      <c r="V74" s="795"/>
      <c r="W74" s="793"/>
      <c r="X74" s="798"/>
      <c r="Y74" s="792"/>
      <c r="Z74" s="793"/>
      <c r="AA74" s="794"/>
      <c r="AB74" s="795"/>
      <c r="AC74" s="793"/>
    </row>
    <row r="75" spans="1:29" ht="13.5" customHeight="1" x14ac:dyDescent="0.3">
      <c r="A75" s="790">
        <v>600</v>
      </c>
      <c r="B75" s="789">
        <v>0.02</v>
      </c>
      <c r="C75" s="796" t="s">
        <v>89</v>
      </c>
      <c r="D75" s="788">
        <f t="shared" si="15"/>
        <v>0</v>
      </c>
      <c r="E75" s="789">
        <v>0.12</v>
      </c>
      <c r="F75" s="798"/>
      <c r="G75" s="792"/>
      <c r="H75" s="793"/>
      <c r="I75" s="806"/>
      <c r="J75" s="795"/>
      <c r="K75" s="793"/>
      <c r="L75" s="283"/>
      <c r="M75" s="792"/>
      <c r="N75" s="793"/>
      <c r="O75" s="806"/>
      <c r="P75" s="795"/>
      <c r="Q75" s="793"/>
      <c r="S75" s="792"/>
      <c r="T75" s="793"/>
      <c r="U75" s="794"/>
      <c r="V75" s="795"/>
      <c r="W75" s="793"/>
      <c r="X75" s="798"/>
      <c r="Y75" s="792"/>
      <c r="Z75" s="793"/>
      <c r="AA75" s="794"/>
      <c r="AB75" s="795"/>
      <c r="AC75" s="793"/>
    </row>
    <row r="76" spans="1:29" ht="13.5" customHeight="1" x14ac:dyDescent="0.3">
      <c r="A76" s="790">
        <v>900</v>
      </c>
      <c r="B76" s="789">
        <v>0.03</v>
      </c>
      <c r="C76" s="796" t="s">
        <v>89</v>
      </c>
      <c r="D76" s="788">
        <f t="shared" si="15"/>
        <v>0</v>
      </c>
      <c r="E76" s="789">
        <v>0.12</v>
      </c>
      <c r="F76" s="798"/>
      <c r="G76" s="792"/>
      <c r="H76" s="793"/>
      <c r="I76" s="806"/>
      <c r="J76" s="795"/>
      <c r="K76" s="793"/>
      <c r="L76" s="283"/>
      <c r="M76" s="792"/>
      <c r="N76" s="793"/>
      <c r="O76" s="806"/>
      <c r="P76" s="795"/>
      <c r="Q76" s="793"/>
      <c r="S76" s="792"/>
      <c r="T76" s="793"/>
      <c r="U76" s="794"/>
      <c r="V76" s="795"/>
      <c r="W76" s="793"/>
      <c r="X76" s="798"/>
      <c r="Y76" s="792"/>
      <c r="Z76" s="793"/>
      <c r="AA76" s="794"/>
      <c r="AB76" s="795"/>
      <c r="AC76" s="793"/>
    </row>
    <row r="77" spans="1:29" ht="13.5" customHeight="1" x14ac:dyDescent="0.3">
      <c r="A77" s="790">
        <v>1200</v>
      </c>
      <c r="B77" s="789">
        <v>0.03</v>
      </c>
      <c r="C77" s="796" t="s">
        <v>89</v>
      </c>
      <c r="D77" s="788">
        <f t="shared" si="15"/>
        <v>0</v>
      </c>
      <c r="E77" s="789">
        <v>0.12</v>
      </c>
      <c r="F77" s="798"/>
      <c r="G77" s="792"/>
      <c r="H77" s="793"/>
      <c r="I77" s="806"/>
      <c r="J77" s="795"/>
      <c r="K77" s="793"/>
      <c r="L77" s="283"/>
      <c r="M77" s="792"/>
      <c r="N77" s="793"/>
      <c r="O77" s="806"/>
      <c r="P77" s="795"/>
      <c r="Q77" s="793"/>
      <c r="S77" s="792"/>
      <c r="T77" s="793"/>
      <c r="U77" s="794"/>
      <c r="V77" s="795"/>
      <c r="W77" s="793"/>
      <c r="X77" s="798"/>
      <c r="Y77" s="792"/>
      <c r="Z77" s="793"/>
      <c r="AA77" s="794"/>
      <c r="AB77" s="795"/>
      <c r="AC77" s="793"/>
    </row>
    <row r="78" spans="1:29" ht="13.5" customHeight="1" x14ac:dyDescent="0.3">
      <c r="A78" s="785">
        <v>0</v>
      </c>
      <c r="B78" s="789">
        <v>0</v>
      </c>
      <c r="C78" s="796" t="s">
        <v>89</v>
      </c>
      <c r="D78" s="788">
        <f>0.5*(MAX(B78:C78)-MIN(B78:C78))</f>
        <v>0</v>
      </c>
      <c r="E78" s="789">
        <v>0</v>
      </c>
      <c r="F78" s="798"/>
      <c r="G78" s="792"/>
      <c r="H78" s="793"/>
      <c r="I78" s="806"/>
      <c r="J78" s="795"/>
      <c r="K78" s="793"/>
      <c r="L78" s="283"/>
      <c r="M78" s="792"/>
      <c r="N78" s="793"/>
      <c r="O78" s="806"/>
      <c r="P78" s="795"/>
      <c r="Q78" s="793"/>
      <c r="S78" s="792"/>
      <c r="T78" s="793"/>
      <c r="U78" s="794"/>
      <c r="V78" s="795"/>
      <c r="W78" s="793"/>
      <c r="X78" s="798"/>
      <c r="Y78" s="792"/>
      <c r="Z78" s="793"/>
      <c r="AA78" s="794"/>
      <c r="AB78" s="795"/>
      <c r="AC78" s="793"/>
    </row>
    <row r="79" spans="1:29" ht="13.5" customHeight="1" x14ac:dyDescent="0.3">
      <c r="A79" s="785">
        <v>0</v>
      </c>
      <c r="B79" s="789">
        <v>0</v>
      </c>
      <c r="C79" s="796" t="s">
        <v>89</v>
      </c>
      <c r="D79" s="788">
        <f>0.5*(MAX(B79:C79)-MIN(B79:C79))</f>
        <v>0</v>
      </c>
      <c r="E79" s="789">
        <v>0</v>
      </c>
      <c r="F79" s="798"/>
      <c r="G79" s="792"/>
      <c r="H79" s="793"/>
      <c r="I79" s="806"/>
      <c r="J79" s="795"/>
      <c r="K79" s="793"/>
      <c r="L79" s="283"/>
      <c r="M79" s="792"/>
      <c r="N79" s="793"/>
      <c r="O79" s="806"/>
      <c r="P79" s="795"/>
      <c r="Q79" s="793"/>
      <c r="S79" s="792"/>
      <c r="T79" s="793"/>
      <c r="U79" s="794"/>
      <c r="V79" s="795"/>
      <c r="W79" s="793"/>
      <c r="X79" s="798"/>
      <c r="Y79" s="792"/>
      <c r="Z79" s="793"/>
      <c r="AA79" s="794"/>
      <c r="AB79" s="795"/>
      <c r="AC79" s="793"/>
    </row>
    <row r="80" spans="1:29" ht="13.5" customHeight="1" x14ac:dyDescent="0.3">
      <c r="A80" s="785">
        <v>0</v>
      </c>
      <c r="B80" s="789">
        <v>0</v>
      </c>
      <c r="C80" s="796" t="s">
        <v>89</v>
      </c>
      <c r="D80" s="788">
        <f>0.5*(MAX(B80:C80)-MIN(B80:C80))</f>
        <v>0</v>
      </c>
      <c r="E80" s="789">
        <v>0</v>
      </c>
      <c r="F80" s="798"/>
      <c r="G80" s="792"/>
      <c r="H80" s="793"/>
      <c r="I80" s="806"/>
      <c r="J80" s="795"/>
      <c r="K80" s="793"/>
      <c r="L80" s="283"/>
      <c r="M80" s="792"/>
      <c r="N80" s="793"/>
      <c r="O80" s="806"/>
      <c r="P80" s="795"/>
      <c r="Q80" s="793"/>
      <c r="S80" s="792"/>
      <c r="T80" s="793"/>
      <c r="U80" s="794"/>
      <c r="V80" s="795"/>
      <c r="W80" s="793"/>
      <c r="X80" s="798"/>
      <c r="Y80" s="792"/>
      <c r="Z80" s="793"/>
      <c r="AA80" s="794"/>
      <c r="AB80" s="795"/>
      <c r="AC80" s="793"/>
    </row>
    <row r="81" spans="1:29" ht="13.5" customHeight="1" x14ac:dyDescent="0.3">
      <c r="A81" s="805"/>
      <c r="B81" s="793"/>
      <c r="C81" s="794"/>
      <c r="D81" s="795"/>
      <c r="E81" s="793"/>
      <c r="F81" s="798"/>
      <c r="G81" s="792"/>
      <c r="H81" s="793"/>
      <c r="I81" s="806"/>
      <c r="J81" s="795"/>
      <c r="K81" s="793"/>
      <c r="L81" s="283"/>
      <c r="M81" s="792"/>
      <c r="N81" s="793"/>
      <c r="O81" s="806"/>
      <c r="P81" s="795"/>
      <c r="Q81" s="793"/>
      <c r="S81" s="792"/>
      <c r="T81" s="793"/>
      <c r="U81" s="794"/>
      <c r="V81" s="795"/>
      <c r="W81" s="793"/>
      <c r="X81" s="798"/>
      <c r="Y81" s="792"/>
      <c r="Z81" s="793"/>
      <c r="AA81" s="794"/>
      <c r="AB81" s="795"/>
      <c r="AC81" s="793"/>
    </row>
    <row r="82" spans="1:29" ht="13.5" customHeight="1" x14ac:dyDescent="0.3">
      <c r="A82" s="805"/>
      <c r="B82" s="793"/>
      <c r="C82" s="794"/>
      <c r="D82" s="795"/>
      <c r="E82" s="793"/>
      <c r="F82" s="798"/>
      <c r="G82" s="792"/>
      <c r="H82" s="793"/>
      <c r="I82" s="806"/>
      <c r="J82" s="795"/>
      <c r="K82" s="793"/>
      <c r="L82" s="283"/>
      <c r="M82" s="792"/>
      <c r="N82" s="793"/>
      <c r="O82" s="806"/>
      <c r="P82" s="795"/>
      <c r="Q82" s="793"/>
      <c r="S82" s="792"/>
      <c r="T82" s="793"/>
      <c r="U82" s="794"/>
      <c r="V82" s="795"/>
      <c r="W82" s="793"/>
      <c r="X82" s="798"/>
      <c r="Y82" s="792"/>
      <c r="Z82" s="793"/>
      <c r="AA82" s="794"/>
      <c r="AB82" s="795"/>
      <c r="AC82" s="793"/>
    </row>
    <row r="83" spans="1:29" ht="13.5" customHeight="1" x14ac:dyDescent="0.3">
      <c r="A83" s="805"/>
      <c r="B83" s="793"/>
      <c r="C83" s="794"/>
      <c r="D83" s="795"/>
      <c r="E83" s="793"/>
      <c r="F83" s="798"/>
      <c r="G83" s="792"/>
      <c r="H83" s="793"/>
      <c r="I83" s="806"/>
      <c r="J83" s="795"/>
      <c r="K83" s="793"/>
      <c r="L83" s="283"/>
      <c r="M83" s="792"/>
      <c r="N83" s="793"/>
      <c r="O83" s="806"/>
      <c r="P83" s="795"/>
      <c r="Q83" s="793"/>
      <c r="S83" s="792"/>
      <c r="T83" s="793"/>
      <c r="U83" s="794"/>
      <c r="V83" s="795"/>
      <c r="W83" s="793"/>
      <c r="X83" s="798"/>
      <c r="Y83" s="792"/>
      <c r="Z83" s="793"/>
      <c r="AA83" s="794"/>
      <c r="AB83" s="795"/>
      <c r="AC83" s="793"/>
    </row>
    <row r="84" spans="1:29" ht="13.5" customHeight="1" x14ac:dyDescent="0.3">
      <c r="A84" s="805"/>
      <c r="B84" s="793"/>
      <c r="C84" s="794"/>
      <c r="D84" s="795"/>
      <c r="E84" s="793"/>
      <c r="F84" s="798"/>
      <c r="G84" s="792"/>
      <c r="H84" s="793"/>
      <c r="I84" s="806"/>
      <c r="J84" s="795"/>
      <c r="K84" s="793"/>
      <c r="L84" s="283"/>
      <c r="M84" s="792"/>
      <c r="N84" s="793"/>
      <c r="O84" s="806"/>
      <c r="P84" s="795"/>
      <c r="Q84" s="793"/>
      <c r="S84" s="792"/>
      <c r="T84" s="793"/>
      <c r="U84" s="794"/>
      <c r="V84" s="795"/>
      <c r="W84" s="793"/>
      <c r="X84" s="798"/>
      <c r="Y84" s="792"/>
      <c r="Z84" s="793"/>
      <c r="AA84" s="794"/>
      <c r="AB84" s="795"/>
      <c r="AC84" s="793"/>
    </row>
    <row r="85" spans="1:29" ht="13.5" customHeight="1" x14ac:dyDescent="0.3">
      <c r="A85" s="805"/>
      <c r="B85" s="793"/>
      <c r="C85" s="794"/>
      <c r="D85" s="795"/>
      <c r="E85" s="793"/>
      <c r="F85" s="798"/>
      <c r="G85" s="792"/>
      <c r="H85" s="793"/>
      <c r="I85" s="806"/>
      <c r="J85" s="795"/>
      <c r="K85" s="793"/>
      <c r="L85" s="283"/>
      <c r="M85" s="792"/>
      <c r="N85" s="793"/>
      <c r="O85" s="806"/>
      <c r="P85" s="795"/>
      <c r="Q85" s="793"/>
      <c r="S85" s="792"/>
      <c r="T85" s="793"/>
      <c r="U85" s="794"/>
      <c r="V85" s="795"/>
      <c r="W85" s="793"/>
      <c r="X85" s="798"/>
      <c r="Y85" s="792"/>
      <c r="Z85" s="793"/>
      <c r="AA85" s="794"/>
      <c r="AB85" s="795"/>
      <c r="AC85" s="793"/>
    </row>
    <row r="86" spans="1:29" ht="13" thickBot="1" x14ac:dyDescent="0.3">
      <c r="A86" s="1496"/>
      <c r="B86" s="1497"/>
      <c r="C86" s="1497"/>
      <c r="D86" s="1497"/>
      <c r="E86" s="1497"/>
      <c r="F86" s="1497"/>
      <c r="G86" s="1497"/>
      <c r="H86" s="1497"/>
      <c r="I86" s="1497"/>
      <c r="J86" s="1497"/>
      <c r="K86" s="1497"/>
      <c r="L86" s="1497"/>
      <c r="M86" s="1497"/>
      <c r="N86" s="1497"/>
      <c r="O86" s="1497"/>
      <c r="P86" s="1497"/>
      <c r="Q86" s="1498"/>
      <c r="S86" s="800"/>
      <c r="T86" s="800"/>
      <c r="U86" s="800"/>
      <c r="V86" s="800"/>
      <c r="W86" s="800"/>
      <c r="X86" s="800"/>
      <c r="Y86" s="800"/>
      <c r="Z86" s="800"/>
      <c r="AA86" s="800"/>
      <c r="AB86" s="800"/>
      <c r="AC86" s="800"/>
    </row>
    <row r="87" spans="1:29" ht="12.75" customHeight="1" x14ac:dyDescent="0.3">
      <c r="A87" s="799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807"/>
      <c r="M87" s="808"/>
      <c r="N87" s="808"/>
      <c r="O87" s="808"/>
      <c r="P87" s="808"/>
      <c r="Q87" s="808"/>
      <c r="S87" s="793"/>
      <c r="T87" s="793"/>
      <c r="U87" s="793"/>
      <c r="V87" s="793"/>
      <c r="W87" s="793"/>
      <c r="X87" s="793"/>
      <c r="Y87" s="793"/>
      <c r="Z87" s="793"/>
      <c r="AA87" s="793"/>
      <c r="AB87" s="793"/>
      <c r="AC87" s="793"/>
    </row>
    <row r="88" spans="1:29" ht="13.5" thickBot="1" x14ac:dyDescent="0.35">
      <c r="A88" s="809"/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</row>
    <row r="89" spans="1:29" ht="12.75" customHeight="1" x14ac:dyDescent="0.25">
      <c r="A89" s="1483" t="s">
        <v>444</v>
      </c>
      <c r="B89" s="1485"/>
      <c r="C89" s="1487" t="str">
        <f>A70</f>
        <v>Timer</v>
      </c>
      <c r="D89" s="1489" t="s">
        <v>88</v>
      </c>
      <c r="E89" s="1489"/>
      <c r="F89" s="810" t="s">
        <v>86</v>
      </c>
      <c r="G89" s="1487" t="s">
        <v>97</v>
      </c>
      <c r="H89" s="1477"/>
      <c r="I89" s="434"/>
      <c r="J89" s="1483" t="str">
        <f>A89</f>
        <v>No Urut Titik Ukur</v>
      </c>
      <c r="K89" s="1485"/>
      <c r="L89" s="1487" t="str">
        <f>C89</f>
        <v>Timer</v>
      </c>
      <c r="M89" s="1489" t="s">
        <v>88</v>
      </c>
      <c r="N89" s="1489"/>
      <c r="O89" s="810" t="s">
        <v>86</v>
      </c>
      <c r="P89" s="1487" t="s">
        <v>97</v>
      </c>
      <c r="Q89" s="1477"/>
    </row>
    <row r="90" spans="1:29" ht="12.75" customHeight="1" x14ac:dyDescent="0.25">
      <c r="A90" s="1484"/>
      <c r="B90" s="1486"/>
      <c r="C90" s="1488"/>
      <c r="D90" s="1490"/>
      <c r="E90" s="1490"/>
      <c r="F90" s="811"/>
      <c r="G90" s="1488"/>
      <c r="H90" s="1478"/>
      <c r="J90" s="1484"/>
      <c r="K90" s="1486"/>
      <c r="L90" s="1488"/>
      <c r="M90" s="1490"/>
      <c r="N90" s="1490"/>
      <c r="O90" s="811"/>
      <c r="P90" s="1488"/>
      <c r="Q90" s="1478"/>
    </row>
    <row r="91" spans="1:29" ht="14.5" thickBot="1" x14ac:dyDescent="0.3">
      <c r="A91" s="1499"/>
      <c r="B91" s="1500"/>
      <c r="C91" s="812" t="str">
        <f>A71</f>
        <v>s</v>
      </c>
      <c r="D91" s="813"/>
      <c r="E91" s="813"/>
      <c r="F91" s="813"/>
      <c r="G91" s="1501"/>
      <c r="H91" s="1482"/>
      <c r="J91" s="1484"/>
      <c r="K91" s="1486"/>
      <c r="L91" s="814" t="str">
        <f>C91</f>
        <v>s</v>
      </c>
      <c r="M91" s="811"/>
      <c r="N91" s="811"/>
      <c r="O91" s="811"/>
      <c r="P91" s="1488"/>
      <c r="Q91" s="1478"/>
    </row>
    <row r="92" spans="1:29" ht="13" x14ac:dyDescent="0.25">
      <c r="A92" s="1479" t="s">
        <v>51</v>
      </c>
      <c r="B92" s="815">
        <v>1</v>
      </c>
      <c r="C92" s="816">
        <f>A6</f>
        <v>0</v>
      </c>
      <c r="D92" s="816">
        <f t="shared" ref="D92:G92" si="16">B6</f>
        <v>0</v>
      </c>
      <c r="E92" s="816">
        <f t="shared" si="16"/>
        <v>0</v>
      </c>
      <c r="F92" s="816">
        <f t="shared" si="16"/>
        <v>0</v>
      </c>
      <c r="G92" s="816">
        <f t="shared" si="16"/>
        <v>0.04</v>
      </c>
      <c r="H92" s="817"/>
      <c r="J92" s="1467" t="s">
        <v>56</v>
      </c>
      <c r="K92" s="815">
        <v>1</v>
      </c>
      <c r="L92" s="816">
        <f>A11</f>
        <v>0</v>
      </c>
      <c r="M92" s="816">
        <f t="shared" ref="M92:P92" si="17">B11</f>
        <v>0</v>
      </c>
      <c r="N92" s="816">
        <f t="shared" si="17"/>
        <v>0</v>
      </c>
      <c r="O92" s="816">
        <f t="shared" si="17"/>
        <v>0</v>
      </c>
      <c r="P92" s="816">
        <f t="shared" si="17"/>
        <v>0</v>
      </c>
      <c r="Q92" s="818"/>
    </row>
    <row r="93" spans="1:29" ht="13" x14ac:dyDescent="0.25">
      <c r="A93" s="1480"/>
      <c r="B93" s="819">
        <v>2</v>
      </c>
      <c r="C93" s="820">
        <f>G6</f>
        <v>0</v>
      </c>
      <c r="D93" s="820">
        <f t="shared" ref="D93:G93" si="18">H6</f>
        <v>0</v>
      </c>
      <c r="E93" s="820">
        <f t="shared" si="18"/>
        <v>0</v>
      </c>
      <c r="F93" s="820">
        <f t="shared" si="18"/>
        <v>0</v>
      </c>
      <c r="G93" s="820">
        <f t="shared" si="18"/>
        <v>0.12</v>
      </c>
      <c r="H93" s="821"/>
      <c r="J93" s="1468"/>
      <c r="K93" s="819">
        <v>2</v>
      </c>
      <c r="L93" s="820">
        <f>G11</f>
        <v>0</v>
      </c>
      <c r="M93" s="820">
        <f t="shared" ref="M93:P93" si="19">H11</f>
        <v>0</v>
      </c>
      <c r="N93" s="820">
        <f t="shared" si="19"/>
        <v>0</v>
      </c>
      <c r="O93" s="820">
        <f t="shared" si="19"/>
        <v>0</v>
      </c>
      <c r="P93" s="820">
        <f t="shared" si="19"/>
        <v>0</v>
      </c>
      <c r="Q93" s="822"/>
    </row>
    <row r="94" spans="1:29" ht="13" x14ac:dyDescent="0.25">
      <c r="A94" s="1480"/>
      <c r="B94" s="819">
        <v>3</v>
      </c>
      <c r="C94" s="820">
        <f>M6</f>
        <v>0</v>
      </c>
      <c r="D94" s="820">
        <f t="shared" ref="D94:G94" si="20">N6</f>
        <v>0</v>
      </c>
      <c r="E94" s="820">
        <f t="shared" si="20"/>
        <v>0</v>
      </c>
      <c r="F94" s="820">
        <f t="shared" si="20"/>
        <v>0</v>
      </c>
      <c r="G94" s="820">
        <f t="shared" si="20"/>
        <v>0</v>
      </c>
      <c r="H94" s="821"/>
      <c r="J94" s="1468"/>
      <c r="K94" s="819">
        <v>3</v>
      </c>
      <c r="L94" s="820">
        <f>M11</f>
        <v>0</v>
      </c>
      <c r="M94" s="820">
        <f t="shared" ref="M94:P94" si="21">N11</f>
        <v>0</v>
      </c>
      <c r="N94" s="820">
        <f t="shared" si="21"/>
        <v>0</v>
      </c>
      <c r="O94" s="820">
        <f t="shared" si="21"/>
        <v>0</v>
      </c>
      <c r="P94" s="820">
        <f t="shared" si="21"/>
        <v>0</v>
      </c>
      <c r="Q94" s="822"/>
    </row>
    <row r="95" spans="1:29" ht="13" x14ac:dyDescent="0.25">
      <c r="A95" s="1480"/>
      <c r="B95" s="819">
        <v>4</v>
      </c>
      <c r="C95" s="820">
        <f>A19</f>
        <v>0</v>
      </c>
      <c r="D95" s="820">
        <f t="shared" ref="D95:G95" si="22">B19</f>
        <v>0</v>
      </c>
      <c r="E95" s="820">
        <f t="shared" si="22"/>
        <v>0</v>
      </c>
      <c r="F95" s="820">
        <f t="shared" si="22"/>
        <v>0</v>
      </c>
      <c r="G95" s="820">
        <f t="shared" si="22"/>
        <v>0</v>
      </c>
      <c r="H95" s="821"/>
      <c r="J95" s="1468"/>
      <c r="K95" s="819">
        <v>4</v>
      </c>
      <c r="L95" s="820">
        <f>A24</f>
        <v>0</v>
      </c>
      <c r="M95" s="820">
        <f t="shared" ref="M95:P95" si="23">B24</f>
        <v>0</v>
      </c>
      <c r="N95" s="820">
        <f t="shared" si="23"/>
        <v>0</v>
      </c>
      <c r="O95" s="820">
        <f t="shared" si="23"/>
        <v>0</v>
      </c>
      <c r="P95" s="820">
        <f t="shared" si="23"/>
        <v>0</v>
      </c>
      <c r="Q95" s="822"/>
    </row>
    <row r="96" spans="1:29" ht="13" x14ac:dyDescent="0.25">
      <c r="A96" s="1480"/>
      <c r="B96" s="819">
        <v>5</v>
      </c>
      <c r="C96" s="820">
        <f>G19</f>
        <v>0</v>
      </c>
      <c r="D96" s="820">
        <f t="shared" ref="D96:G96" si="24">H19</f>
        <v>0</v>
      </c>
      <c r="E96" s="820" t="str">
        <f t="shared" si="24"/>
        <v>-</v>
      </c>
      <c r="F96" s="820">
        <f t="shared" si="24"/>
        <v>0</v>
      </c>
      <c r="G96" s="820">
        <f t="shared" si="24"/>
        <v>0</v>
      </c>
      <c r="H96" s="823"/>
      <c r="J96" s="1468"/>
      <c r="K96" s="819">
        <v>5</v>
      </c>
      <c r="L96" s="820">
        <f>G24</f>
        <v>1200</v>
      </c>
      <c r="M96" s="820">
        <f t="shared" ref="M96:P96" si="25">H24</f>
        <v>0.02</v>
      </c>
      <c r="N96" s="820" t="str">
        <f t="shared" si="25"/>
        <v>-</v>
      </c>
      <c r="O96" s="820">
        <f t="shared" si="25"/>
        <v>0</v>
      </c>
      <c r="P96" s="820">
        <f t="shared" si="25"/>
        <v>0.12</v>
      </c>
      <c r="Q96" s="823"/>
    </row>
    <row r="97" spans="1:17" ht="13" x14ac:dyDescent="0.25">
      <c r="A97" s="1480"/>
      <c r="B97" s="819">
        <v>6</v>
      </c>
      <c r="C97" s="820">
        <f>M19</f>
        <v>0</v>
      </c>
      <c r="D97" s="820">
        <f t="shared" ref="D97:G97" si="26">N19</f>
        <v>0</v>
      </c>
      <c r="E97" s="820" t="str">
        <f t="shared" si="26"/>
        <v>-</v>
      </c>
      <c r="F97" s="820">
        <f t="shared" si="26"/>
        <v>0</v>
      </c>
      <c r="G97" s="820">
        <f t="shared" si="26"/>
        <v>0</v>
      </c>
      <c r="H97" s="821"/>
      <c r="J97" s="1468"/>
      <c r="K97" s="819">
        <v>6</v>
      </c>
      <c r="L97" s="820">
        <f>M24</f>
        <v>1200</v>
      </c>
      <c r="M97" s="820">
        <f t="shared" ref="M97:P97" si="27">N24</f>
        <v>0.03</v>
      </c>
      <c r="N97" s="820" t="str">
        <f t="shared" si="27"/>
        <v>-</v>
      </c>
      <c r="O97" s="820">
        <f t="shared" si="27"/>
        <v>0</v>
      </c>
      <c r="P97" s="820">
        <f t="shared" si="27"/>
        <v>0.12</v>
      </c>
      <c r="Q97" s="822"/>
    </row>
    <row r="98" spans="1:17" ht="13" x14ac:dyDescent="0.25">
      <c r="A98" s="1480"/>
      <c r="B98" s="819">
        <v>7</v>
      </c>
      <c r="C98" s="820">
        <f>A33</f>
        <v>0</v>
      </c>
      <c r="D98" s="820">
        <f t="shared" ref="D98:G98" si="28">B33</f>
        <v>0</v>
      </c>
      <c r="E98" s="820" t="str">
        <f t="shared" si="28"/>
        <v>-</v>
      </c>
      <c r="F98" s="820">
        <f t="shared" si="28"/>
        <v>0</v>
      </c>
      <c r="G98" s="820">
        <f t="shared" si="28"/>
        <v>0</v>
      </c>
      <c r="H98" s="821"/>
      <c r="J98" s="1468"/>
      <c r="K98" s="819">
        <v>7</v>
      </c>
      <c r="L98" s="820">
        <f>A38</f>
        <v>1200</v>
      </c>
      <c r="M98" s="820">
        <f t="shared" ref="M98:P98" si="29">B38</f>
        <v>0.03</v>
      </c>
      <c r="N98" s="820" t="str">
        <f t="shared" si="29"/>
        <v>-</v>
      </c>
      <c r="O98" s="820">
        <f t="shared" si="29"/>
        <v>0</v>
      </c>
      <c r="P98" s="820">
        <f t="shared" si="29"/>
        <v>0.12</v>
      </c>
      <c r="Q98" s="822"/>
    </row>
    <row r="99" spans="1:17" ht="13" x14ac:dyDescent="0.25">
      <c r="A99" s="1480"/>
      <c r="B99" s="819">
        <v>8</v>
      </c>
      <c r="C99" s="820">
        <f>G33</f>
        <v>0</v>
      </c>
      <c r="D99" s="820">
        <f t="shared" ref="D99:G99" si="30">H33</f>
        <v>0</v>
      </c>
      <c r="E99" s="820" t="str">
        <f t="shared" si="30"/>
        <v>-</v>
      </c>
      <c r="F99" s="820">
        <f t="shared" si="30"/>
        <v>0</v>
      </c>
      <c r="G99" s="820">
        <f t="shared" si="30"/>
        <v>0</v>
      </c>
      <c r="H99" s="821"/>
      <c r="J99" s="1468"/>
      <c r="K99" s="819">
        <v>8</v>
      </c>
      <c r="L99" s="820">
        <f>G38</f>
        <v>1200</v>
      </c>
      <c r="M99" s="820">
        <f t="shared" ref="M99:P99" si="31">H38</f>
        <v>0.02</v>
      </c>
      <c r="N99" s="820" t="str">
        <f t="shared" si="31"/>
        <v>-</v>
      </c>
      <c r="O99" s="820">
        <f t="shared" si="31"/>
        <v>0</v>
      </c>
      <c r="P99" s="820">
        <f t="shared" si="31"/>
        <v>0.12</v>
      </c>
      <c r="Q99" s="822"/>
    </row>
    <row r="100" spans="1:17" ht="13" x14ac:dyDescent="0.25">
      <c r="A100" s="1480"/>
      <c r="B100" s="819">
        <v>9</v>
      </c>
      <c r="C100" s="820">
        <f>M33</f>
        <v>0</v>
      </c>
      <c r="D100" s="820">
        <f>N33</f>
        <v>0</v>
      </c>
      <c r="E100" s="820" t="str">
        <f>O33</f>
        <v>-</v>
      </c>
      <c r="F100" s="820">
        <f>P33</f>
        <v>0</v>
      </c>
      <c r="G100" s="820">
        <f>Q33</f>
        <v>0</v>
      </c>
      <c r="H100" s="821"/>
      <c r="J100" s="1468"/>
      <c r="K100" s="819">
        <v>9</v>
      </c>
      <c r="L100" s="820">
        <f>M38</f>
        <v>1200</v>
      </c>
      <c r="M100" s="820">
        <f t="shared" ref="M100:P100" si="32">B51</f>
        <v>0.02</v>
      </c>
      <c r="N100" s="820" t="str">
        <f t="shared" si="32"/>
        <v>-</v>
      </c>
      <c r="O100" s="820">
        <f t="shared" si="32"/>
        <v>0</v>
      </c>
      <c r="P100" s="820">
        <f t="shared" si="32"/>
        <v>0.12</v>
      </c>
      <c r="Q100" s="822"/>
    </row>
    <row r="101" spans="1:17" ht="13" x14ac:dyDescent="0.25">
      <c r="A101" s="1480"/>
      <c r="B101" s="819">
        <v>10</v>
      </c>
      <c r="C101" s="820">
        <f>A46</f>
        <v>0</v>
      </c>
      <c r="D101" s="820">
        <f>B46</f>
        <v>0</v>
      </c>
      <c r="E101" s="820" t="str">
        <f>C46</f>
        <v>-</v>
      </c>
      <c r="F101" s="820">
        <f>D46</f>
        <v>0</v>
      </c>
      <c r="G101" s="820">
        <f>E46</f>
        <v>0</v>
      </c>
      <c r="H101" s="822"/>
      <c r="J101" s="1468"/>
      <c r="K101" s="819">
        <v>10</v>
      </c>
      <c r="L101" s="820">
        <f>A51</f>
        <v>1200</v>
      </c>
      <c r="M101" s="820">
        <f t="shared" ref="M101:P101" si="33">H51</f>
        <v>-0.04</v>
      </c>
      <c r="N101" s="820" t="str">
        <f t="shared" si="33"/>
        <v>-</v>
      </c>
      <c r="O101" s="820">
        <f t="shared" si="33"/>
        <v>0</v>
      </c>
      <c r="P101" s="820">
        <f t="shared" si="33"/>
        <v>0.12</v>
      </c>
      <c r="Q101" s="822"/>
    </row>
    <row r="102" spans="1:17" ht="13" x14ac:dyDescent="0.25">
      <c r="A102" s="1480"/>
      <c r="B102" s="819">
        <v>11</v>
      </c>
      <c r="C102" s="824">
        <f>G46</f>
        <v>0</v>
      </c>
      <c r="D102" s="824">
        <f>H46</f>
        <v>0</v>
      </c>
      <c r="E102" s="824" t="str">
        <f>I46</f>
        <v>-</v>
      </c>
      <c r="F102" s="824">
        <f>J46</f>
        <v>0</v>
      </c>
      <c r="G102" s="824">
        <f>K46</f>
        <v>0</v>
      </c>
      <c r="H102" s="825"/>
      <c r="J102" s="1468"/>
      <c r="K102" s="826">
        <v>11</v>
      </c>
      <c r="L102" s="824">
        <f>G51</f>
        <v>1200</v>
      </c>
      <c r="M102" s="824">
        <f t="shared" ref="M102:P102" si="34">H51</f>
        <v>-0.04</v>
      </c>
      <c r="N102" s="824" t="str">
        <f t="shared" si="34"/>
        <v>-</v>
      </c>
      <c r="O102" s="824">
        <f t="shared" si="34"/>
        <v>0</v>
      </c>
      <c r="P102" s="824">
        <f t="shared" si="34"/>
        <v>0.12</v>
      </c>
      <c r="Q102" s="825"/>
    </row>
    <row r="103" spans="1:17" ht="13" x14ac:dyDescent="0.25">
      <c r="A103" s="1480"/>
      <c r="B103" s="819">
        <v>12</v>
      </c>
      <c r="C103" s="824">
        <f>M46</f>
        <v>0</v>
      </c>
      <c r="D103" s="824">
        <f t="shared" ref="D103:G103" si="35">N46</f>
        <v>0</v>
      </c>
      <c r="E103" s="824" t="str">
        <f t="shared" si="35"/>
        <v>-</v>
      </c>
      <c r="F103" s="824">
        <f t="shared" si="35"/>
        <v>0</v>
      </c>
      <c r="G103" s="824">
        <f t="shared" si="35"/>
        <v>0</v>
      </c>
      <c r="H103" s="825"/>
      <c r="J103" s="1468"/>
      <c r="K103" s="819">
        <v>12</v>
      </c>
      <c r="L103" s="824">
        <f>M51</f>
        <v>1200</v>
      </c>
      <c r="M103" s="824">
        <f t="shared" ref="M103:P103" si="36">N51</f>
        <v>0.03</v>
      </c>
      <c r="N103" s="824" t="str">
        <f t="shared" si="36"/>
        <v>-</v>
      </c>
      <c r="O103" s="824">
        <f t="shared" si="36"/>
        <v>0</v>
      </c>
      <c r="P103" s="824">
        <f t="shared" si="36"/>
        <v>0.12</v>
      </c>
      <c r="Q103" s="825"/>
    </row>
    <row r="104" spans="1:17" ht="13" x14ac:dyDescent="0.25">
      <c r="A104" s="1480"/>
      <c r="B104" s="819">
        <v>13</v>
      </c>
      <c r="C104" s="824">
        <f>A59</f>
        <v>0</v>
      </c>
      <c r="D104" s="824">
        <f t="shared" ref="D104:G104" si="37">B59</f>
        <v>0</v>
      </c>
      <c r="E104" s="824" t="str">
        <f t="shared" si="37"/>
        <v>-</v>
      </c>
      <c r="F104" s="824">
        <f t="shared" si="37"/>
        <v>0</v>
      </c>
      <c r="G104" s="824">
        <f t="shared" si="37"/>
        <v>0</v>
      </c>
      <c r="H104" s="825"/>
      <c r="J104" s="1468"/>
      <c r="K104" s="819">
        <v>13</v>
      </c>
      <c r="L104" s="824">
        <f>A64</f>
        <v>1200</v>
      </c>
      <c r="M104" s="824">
        <f t="shared" ref="M104:P104" si="38">B64</f>
        <v>0.03</v>
      </c>
      <c r="N104" s="824" t="str">
        <f t="shared" si="38"/>
        <v>-</v>
      </c>
      <c r="O104" s="824">
        <f t="shared" si="38"/>
        <v>0</v>
      </c>
      <c r="P104" s="824">
        <f t="shared" si="38"/>
        <v>0.12</v>
      </c>
      <c r="Q104" s="825"/>
    </row>
    <row r="105" spans="1:17" ht="13" x14ac:dyDescent="0.25">
      <c r="A105" s="1480"/>
      <c r="B105" s="819">
        <v>14</v>
      </c>
      <c r="C105" s="824">
        <f>G59</f>
        <v>0</v>
      </c>
      <c r="D105" s="824">
        <f>H59</f>
        <v>0</v>
      </c>
      <c r="E105" s="824" t="str">
        <f>I59</f>
        <v>-</v>
      </c>
      <c r="F105" s="824">
        <f>J59</f>
        <v>0</v>
      </c>
      <c r="G105" s="824">
        <f>K59</f>
        <v>0</v>
      </c>
      <c r="H105" s="825"/>
      <c r="J105" s="1468"/>
      <c r="K105" s="819">
        <v>14</v>
      </c>
      <c r="L105" s="824">
        <f>G64</f>
        <v>1200</v>
      </c>
      <c r="M105" s="824">
        <f t="shared" ref="M105:P105" si="39">H64</f>
        <v>-0.03</v>
      </c>
      <c r="N105" s="824" t="str">
        <f t="shared" si="39"/>
        <v>-</v>
      </c>
      <c r="O105" s="824">
        <f t="shared" si="39"/>
        <v>0</v>
      </c>
      <c r="P105" s="824">
        <f t="shared" si="39"/>
        <v>0.12</v>
      </c>
      <c r="Q105" s="825"/>
    </row>
    <row r="106" spans="1:17" ht="13" x14ac:dyDescent="0.25">
      <c r="A106" s="1480"/>
      <c r="B106" s="819">
        <v>15</v>
      </c>
      <c r="C106" s="824">
        <f>M59</f>
        <v>0</v>
      </c>
      <c r="D106" s="824">
        <f>N59</f>
        <v>0</v>
      </c>
      <c r="E106" s="824" t="str">
        <f>O59</f>
        <v>-</v>
      </c>
      <c r="F106" s="824">
        <f>P59</f>
        <v>0</v>
      </c>
      <c r="G106" s="824">
        <f>Q59</f>
        <v>0</v>
      </c>
      <c r="H106" s="825"/>
      <c r="J106" s="1468"/>
      <c r="K106" s="819">
        <v>15</v>
      </c>
      <c r="L106" s="824">
        <f>M64</f>
        <v>1200</v>
      </c>
      <c r="M106" s="824">
        <f>N64</f>
        <v>0.04</v>
      </c>
      <c r="N106" s="824" t="str">
        <f>O64</f>
        <v>-</v>
      </c>
      <c r="O106" s="824">
        <f>P64</f>
        <v>0</v>
      </c>
      <c r="P106" s="824">
        <f>Q64</f>
        <v>0.12</v>
      </c>
      <c r="Q106" s="825"/>
    </row>
    <row r="107" spans="1:17" ht="13" thickBot="1" x14ac:dyDescent="0.3">
      <c r="A107" s="1481"/>
      <c r="B107" s="827">
        <v>16</v>
      </c>
      <c r="C107" s="828">
        <f>A72</f>
        <v>0</v>
      </c>
      <c r="D107" s="828">
        <f t="shared" ref="D107:G107" si="40">B72</f>
        <v>0</v>
      </c>
      <c r="E107" s="828" t="str">
        <f t="shared" si="40"/>
        <v>-</v>
      </c>
      <c r="F107" s="828">
        <f t="shared" si="40"/>
        <v>0</v>
      </c>
      <c r="G107" s="828">
        <f t="shared" si="40"/>
        <v>0</v>
      </c>
      <c r="H107" s="829"/>
      <c r="J107" s="1469"/>
      <c r="K107" s="830">
        <v>16</v>
      </c>
      <c r="L107" s="831">
        <f>A77</f>
        <v>1200</v>
      </c>
      <c r="M107" s="831">
        <f t="shared" ref="M107:P107" si="41">B77</f>
        <v>0.03</v>
      </c>
      <c r="N107" s="831" t="str">
        <f t="shared" si="41"/>
        <v>-</v>
      </c>
      <c r="O107" s="831">
        <f t="shared" si="41"/>
        <v>0</v>
      </c>
      <c r="P107" s="831">
        <f t="shared" si="41"/>
        <v>0.12</v>
      </c>
      <c r="Q107" s="829"/>
    </row>
    <row r="108" spans="1:17" ht="13" x14ac:dyDescent="0.25">
      <c r="A108" s="1479" t="s">
        <v>52</v>
      </c>
      <c r="B108" s="815">
        <v>1</v>
      </c>
      <c r="C108" s="816">
        <f>A7</f>
        <v>60</v>
      </c>
      <c r="D108" s="816">
        <f t="shared" ref="D108:G108" si="42">B7</f>
        <v>0</v>
      </c>
      <c r="E108" s="816">
        <f t="shared" si="42"/>
        <v>1E-3</v>
      </c>
      <c r="F108" s="816">
        <f t="shared" si="42"/>
        <v>5.0000000000000001E-4</v>
      </c>
      <c r="G108" s="816">
        <f t="shared" si="42"/>
        <v>0.04</v>
      </c>
      <c r="H108" s="817"/>
      <c r="J108" s="1468" t="s">
        <v>445</v>
      </c>
      <c r="K108" s="826">
        <v>1</v>
      </c>
      <c r="L108" s="824">
        <f>A12</f>
        <v>0</v>
      </c>
      <c r="M108" s="824">
        <f t="shared" ref="M108:P108" si="43">B12</f>
        <v>0</v>
      </c>
      <c r="N108" s="824">
        <f t="shared" si="43"/>
        <v>0</v>
      </c>
      <c r="O108" s="824">
        <f t="shared" si="43"/>
        <v>0</v>
      </c>
      <c r="P108" s="824">
        <f t="shared" si="43"/>
        <v>0</v>
      </c>
      <c r="Q108" s="825"/>
    </row>
    <row r="109" spans="1:17" ht="13" x14ac:dyDescent="0.25">
      <c r="A109" s="1480"/>
      <c r="B109" s="819">
        <v>2</v>
      </c>
      <c r="C109" s="820">
        <f>G7</f>
        <v>60</v>
      </c>
      <c r="D109" s="820">
        <f t="shared" ref="D109:G109" si="44">H7</f>
        <v>0.01</v>
      </c>
      <c r="E109" s="820">
        <f t="shared" si="44"/>
        <v>0</v>
      </c>
      <c r="F109" s="820">
        <f t="shared" si="44"/>
        <v>5.0000000000000001E-3</v>
      </c>
      <c r="G109" s="820">
        <f t="shared" si="44"/>
        <v>0.12</v>
      </c>
      <c r="H109" s="821"/>
      <c r="J109" s="1468"/>
      <c r="K109" s="819">
        <v>2</v>
      </c>
      <c r="L109" s="820">
        <f>G12</f>
        <v>0</v>
      </c>
      <c r="M109" s="820">
        <f t="shared" ref="M109:P109" si="45">H12</f>
        <v>0</v>
      </c>
      <c r="N109" s="820">
        <f t="shared" si="45"/>
        <v>0</v>
      </c>
      <c r="O109" s="820">
        <f t="shared" si="45"/>
        <v>0</v>
      </c>
      <c r="P109" s="820">
        <f t="shared" si="45"/>
        <v>0</v>
      </c>
      <c r="Q109" s="822"/>
    </row>
    <row r="110" spans="1:17" ht="13" x14ac:dyDescent="0.25">
      <c r="A110" s="1480"/>
      <c r="B110" s="819">
        <v>3</v>
      </c>
      <c r="C110" s="820">
        <f>M7</f>
        <v>60</v>
      </c>
      <c r="D110" s="820">
        <f t="shared" ref="D110:G110" si="46">N7</f>
        <v>0.01</v>
      </c>
      <c r="E110" s="820">
        <f t="shared" si="46"/>
        <v>0</v>
      </c>
      <c r="F110" s="820">
        <f t="shared" si="46"/>
        <v>5.0000000000000001E-3</v>
      </c>
      <c r="G110" s="820">
        <f t="shared" si="46"/>
        <v>0.12</v>
      </c>
      <c r="H110" s="821"/>
      <c r="J110" s="1468"/>
      <c r="K110" s="819">
        <v>3</v>
      </c>
      <c r="L110" s="820">
        <f>M12</f>
        <v>0</v>
      </c>
      <c r="M110" s="820">
        <f t="shared" ref="M110:P110" si="47">N12</f>
        <v>0</v>
      </c>
      <c r="N110" s="820">
        <f t="shared" si="47"/>
        <v>0</v>
      </c>
      <c r="O110" s="820">
        <f t="shared" si="47"/>
        <v>0</v>
      </c>
      <c r="P110" s="820">
        <f t="shared" si="47"/>
        <v>0</v>
      </c>
      <c r="Q110" s="822"/>
    </row>
    <row r="111" spans="1:17" ht="13" x14ac:dyDescent="0.25">
      <c r="A111" s="1480"/>
      <c r="B111" s="819">
        <v>4</v>
      </c>
      <c r="C111" s="820">
        <f>A20</f>
        <v>60</v>
      </c>
      <c r="D111" s="820">
        <f t="shared" ref="D111:G111" si="48">B20</f>
        <v>2E-3</v>
      </c>
      <c r="E111" s="820">
        <f t="shared" si="48"/>
        <v>0</v>
      </c>
      <c r="F111" s="820">
        <f t="shared" si="48"/>
        <v>1E-3</v>
      </c>
      <c r="G111" s="820">
        <f t="shared" si="48"/>
        <v>3.7999999999999999E-2</v>
      </c>
      <c r="H111" s="821"/>
      <c r="J111" s="1468"/>
      <c r="K111" s="819">
        <v>4</v>
      </c>
      <c r="L111" s="820">
        <f>A25</f>
        <v>0</v>
      </c>
      <c r="M111" s="820">
        <f t="shared" ref="M111:P111" si="49">B25</f>
        <v>0</v>
      </c>
      <c r="N111" s="820">
        <f t="shared" si="49"/>
        <v>0</v>
      </c>
      <c r="O111" s="820">
        <f t="shared" si="49"/>
        <v>0</v>
      </c>
      <c r="P111" s="820">
        <f t="shared" si="49"/>
        <v>0</v>
      </c>
      <c r="Q111" s="822"/>
    </row>
    <row r="112" spans="1:17" ht="13" x14ac:dyDescent="0.25">
      <c r="A112" s="1480"/>
      <c r="B112" s="819">
        <v>5</v>
      </c>
      <c r="C112" s="820">
        <f>G20</f>
        <v>60</v>
      </c>
      <c r="D112" s="820">
        <f t="shared" ref="D112:G112" si="50">H20</f>
        <v>0</v>
      </c>
      <c r="E112" s="820" t="str">
        <f t="shared" si="50"/>
        <v>-</v>
      </c>
      <c r="F112" s="820">
        <f t="shared" si="50"/>
        <v>0</v>
      </c>
      <c r="G112" s="820">
        <f t="shared" si="50"/>
        <v>0.12</v>
      </c>
      <c r="H112" s="823"/>
      <c r="J112" s="1468"/>
      <c r="K112" s="819">
        <v>5</v>
      </c>
      <c r="L112" s="820">
        <f>G25</f>
        <v>0</v>
      </c>
      <c r="M112" s="820">
        <f t="shared" ref="M112:P112" si="51">H25</f>
        <v>0</v>
      </c>
      <c r="N112" s="820" t="str">
        <f t="shared" si="51"/>
        <v>-</v>
      </c>
      <c r="O112" s="820">
        <f t="shared" si="51"/>
        <v>0</v>
      </c>
      <c r="P112" s="820">
        <f t="shared" si="51"/>
        <v>0</v>
      </c>
      <c r="Q112" s="823"/>
    </row>
    <row r="113" spans="1:17" ht="13" x14ac:dyDescent="0.25">
      <c r="A113" s="1480"/>
      <c r="B113" s="819">
        <v>6</v>
      </c>
      <c r="C113" s="820">
        <f>M20</f>
        <v>60</v>
      </c>
      <c r="D113" s="820">
        <f t="shared" ref="D113:G113" si="52">N20</f>
        <v>0.02</v>
      </c>
      <c r="E113" s="820" t="str">
        <f t="shared" si="52"/>
        <v>-</v>
      </c>
      <c r="F113" s="820">
        <f t="shared" si="52"/>
        <v>0</v>
      </c>
      <c r="G113" s="820">
        <f t="shared" si="52"/>
        <v>0.12</v>
      </c>
      <c r="H113" s="821"/>
      <c r="J113" s="1468"/>
      <c r="K113" s="819">
        <v>6</v>
      </c>
      <c r="L113" s="820">
        <f>M25</f>
        <v>0</v>
      </c>
      <c r="M113" s="820">
        <f t="shared" ref="M113:P113" si="53">N25</f>
        <v>0</v>
      </c>
      <c r="N113" s="820" t="str">
        <f t="shared" si="53"/>
        <v>-</v>
      </c>
      <c r="O113" s="820">
        <f t="shared" si="53"/>
        <v>0</v>
      </c>
      <c r="P113" s="820">
        <f t="shared" si="53"/>
        <v>0</v>
      </c>
      <c r="Q113" s="822"/>
    </row>
    <row r="114" spans="1:17" ht="13" x14ac:dyDescent="0.25">
      <c r="A114" s="1480"/>
      <c r="B114" s="819">
        <v>7</v>
      </c>
      <c r="C114" s="820">
        <f>A34</f>
        <v>60</v>
      </c>
      <c r="D114" s="820">
        <f t="shared" ref="D114:G114" si="54">B34</f>
        <v>0.02</v>
      </c>
      <c r="E114" s="820" t="str">
        <f t="shared" si="54"/>
        <v>-</v>
      </c>
      <c r="F114" s="820">
        <f t="shared" si="54"/>
        <v>0</v>
      </c>
      <c r="G114" s="820">
        <f t="shared" si="54"/>
        <v>0.12</v>
      </c>
      <c r="H114" s="821"/>
      <c r="J114" s="1468"/>
      <c r="K114" s="819">
        <v>7</v>
      </c>
      <c r="L114" s="820">
        <f>A39</f>
        <v>0</v>
      </c>
      <c r="M114" s="820">
        <f t="shared" ref="M114:P114" si="55">B39</f>
        <v>0</v>
      </c>
      <c r="N114" s="820" t="str">
        <f t="shared" si="55"/>
        <v>-</v>
      </c>
      <c r="O114" s="820">
        <f t="shared" si="55"/>
        <v>0</v>
      </c>
      <c r="P114" s="820">
        <f t="shared" si="55"/>
        <v>0</v>
      </c>
      <c r="Q114" s="822"/>
    </row>
    <row r="115" spans="1:17" ht="13" x14ac:dyDescent="0.25">
      <c r="A115" s="1480"/>
      <c r="B115" s="819">
        <v>8</v>
      </c>
      <c r="C115" s="820">
        <f>G34</f>
        <v>60</v>
      </c>
      <c r="D115" s="820">
        <f t="shared" ref="D115:G115" si="56">H34</f>
        <v>0.01</v>
      </c>
      <c r="E115" s="820" t="str">
        <f t="shared" si="56"/>
        <v>-</v>
      </c>
      <c r="F115" s="820">
        <f t="shared" si="56"/>
        <v>0</v>
      </c>
      <c r="G115" s="820">
        <f t="shared" si="56"/>
        <v>0.12</v>
      </c>
      <c r="H115" s="821"/>
      <c r="J115" s="1468"/>
      <c r="K115" s="819">
        <v>8</v>
      </c>
      <c r="L115" s="820">
        <f>G39</f>
        <v>0</v>
      </c>
      <c r="M115" s="820">
        <f t="shared" ref="M115:P115" si="57">H39</f>
        <v>0</v>
      </c>
      <c r="N115" s="820" t="str">
        <f t="shared" si="57"/>
        <v>-</v>
      </c>
      <c r="O115" s="820">
        <f t="shared" si="57"/>
        <v>0</v>
      </c>
      <c r="P115" s="820">
        <f t="shared" si="57"/>
        <v>0</v>
      </c>
      <c r="Q115" s="822"/>
    </row>
    <row r="116" spans="1:17" ht="13" x14ac:dyDescent="0.25">
      <c r="A116" s="1480"/>
      <c r="B116" s="819">
        <v>9</v>
      </c>
      <c r="C116" s="820">
        <f>M34</f>
        <v>60</v>
      </c>
      <c r="D116" s="820">
        <f t="shared" ref="D116:G116" si="58">N34</f>
        <v>0.01</v>
      </c>
      <c r="E116" s="820" t="str">
        <f t="shared" si="58"/>
        <v>-</v>
      </c>
      <c r="F116" s="820">
        <f t="shared" si="58"/>
        <v>0</v>
      </c>
      <c r="G116" s="820">
        <f t="shared" si="58"/>
        <v>0.12</v>
      </c>
      <c r="H116" s="821"/>
      <c r="J116" s="1468"/>
      <c r="K116" s="819">
        <v>9</v>
      </c>
      <c r="L116" s="820">
        <f>A52</f>
        <v>0</v>
      </c>
      <c r="M116" s="820">
        <f t="shared" ref="M116:P116" si="59">B52</f>
        <v>0</v>
      </c>
      <c r="N116" s="820" t="str">
        <f t="shared" si="59"/>
        <v>-</v>
      </c>
      <c r="O116" s="820">
        <f t="shared" si="59"/>
        <v>0</v>
      </c>
      <c r="P116" s="820">
        <f t="shared" si="59"/>
        <v>0</v>
      </c>
      <c r="Q116" s="822"/>
    </row>
    <row r="117" spans="1:17" ht="13" x14ac:dyDescent="0.25">
      <c r="A117" s="1480"/>
      <c r="B117" s="819">
        <v>10</v>
      </c>
      <c r="C117" s="820">
        <f>A47</f>
        <v>60</v>
      </c>
      <c r="D117" s="820">
        <f t="shared" ref="D117:G117" si="60">B47</f>
        <v>0.01</v>
      </c>
      <c r="E117" s="820" t="str">
        <f t="shared" si="60"/>
        <v>-</v>
      </c>
      <c r="F117" s="820">
        <f t="shared" si="60"/>
        <v>0</v>
      </c>
      <c r="G117" s="820">
        <f t="shared" si="60"/>
        <v>0.12</v>
      </c>
      <c r="H117" s="822"/>
      <c r="J117" s="1468"/>
      <c r="K117" s="819">
        <v>10</v>
      </c>
      <c r="L117" s="820">
        <f>G52</f>
        <v>0</v>
      </c>
      <c r="M117" s="820">
        <f t="shared" ref="M117:P117" si="61">H52</f>
        <v>0</v>
      </c>
      <c r="N117" s="820" t="str">
        <f t="shared" si="61"/>
        <v>-</v>
      </c>
      <c r="O117" s="820">
        <f t="shared" si="61"/>
        <v>0</v>
      </c>
      <c r="P117" s="820">
        <f t="shared" si="61"/>
        <v>0</v>
      </c>
      <c r="Q117" s="822"/>
    </row>
    <row r="118" spans="1:17" ht="13" x14ac:dyDescent="0.25">
      <c r="A118" s="1480"/>
      <c r="B118" s="819">
        <v>11</v>
      </c>
      <c r="C118" s="824">
        <f>G47</f>
        <v>60</v>
      </c>
      <c r="D118" s="824">
        <f t="shared" ref="D118:G118" si="62">H47</f>
        <v>-0.01</v>
      </c>
      <c r="E118" s="824" t="str">
        <f t="shared" si="62"/>
        <v>-</v>
      </c>
      <c r="F118" s="824">
        <f t="shared" si="62"/>
        <v>0</v>
      </c>
      <c r="G118" s="824">
        <f t="shared" si="62"/>
        <v>0.12</v>
      </c>
      <c r="H118" s="825"/>
      <c r="J118" s="832"/>
      <c r="K118" s="826"/>
      <c r="L118" s="824"/>
      <c r="M118" s="824"/>
      <c r="N118" s="824"/>
      <c r="O118" s="824"/>
      <c r="P118" s="824"/>
      <c r="Q118" s="825"/>
    </row>
    <row r="119" spans="1:17" ht="13" x14ac:dyDescent="0.25">
      <c r="A119" s="1480"/>
      <c r="B119" s="819">
        <v>12</v>
      </c>
      <c r="C119" s="824">
        <f>M47</f>
        <v>60</v>
      </c>
      <c r="D119" s="824">
        <f t="shared" ref="D119:G119" si="63">N47</f>
        <v>0.02</v>
      </c>
      <c r="E119" s="824" t="str">
        <f t="shared" si="63"/>
        <v>-</v>
      </c>
      <c r="F119" s="824">
        <f t="shared" si="63"/>
        <v>0</v>
      </c>
      <c r="G119" s="824">
        <f t="shared" si="63"/>
        <v>0.12</v>
      </c>
      <c r="H119" s="825"/>
      <c r="J119" s="832"/>
      <c r="K119" s="826"/>
      <c r="L119" s="824"/>
      <c r="M119" s="824"/>
      <c r="N119" s="824"/>
      <c r="O119" s="824"/>
      <c r="P119" s="824"/>
      <c r="Q119" s="825"/>
    </row>
    <row r="120" spans="1:17" ht="13" x14ac:dyDescent="0.25">
      <c r="A120" s="1480"/>
      <c r="B120" s="819">
        <v>13</v>
      </c>
      <c r="C120" s="824">
        <f>A60</f>
        <v>60</v>
      </c>
      <c r="D120" s="824">
        <f t="shared" ref="D120:G120" si="64">B60</f>
        <v>0.02</v>
      </c>
      <c r="E120" s="824" t="str">
        <f t="shared" si="64"/>
        <v>-</v>
      </c>
      <c r="F120" s="824">
        <f t="shared" si="64"/>
        <v>0</v>
      </c>
      <c r="G120" s="824">
        <f t="shared" si="64"/>
        <v>0.12</v>
      </c>
      <c r="H120" s="825"/>
      <c r="J120" s="832"/>
      <c r="K120" s="826"/>
      <c r="L120" s="824"/>
      <c r="M120" s="824"/>
      <c r="N120" s="824"/>
      <c r="O120" s="824"/>
      <c r="P120" s="824"/>
      <c r="Q120" s="825"/>
    </row>
    <row r="121" spans="1:17" ht="13" x14ac:dyDescent="0.25">
      <c r="A121" s="1480"/>
      <c r="B121" s="819">
        <v>14</v>
      </c>
      <c r="C121" s="824">
        <f>G60</f>
        <v>60</v>
      </c>
      <c r="D121" s="824">
        <f t="shared" ref="D121:G121" si="65">H60</f>
        <v>-0.01</v>
      </c>
      <c r="E121" s="824" t="str">
        <f t="shared" si="65"/>
        <v>-</v>
      </c>
      <c r="F121" s="824">
        <f t="shared" si="65"/>
        <v>0</v>
      </c>
      <c r="G121" s="824">
        <f t="shared" si="65"/>
        <v>0.12</v>
      </c>
      <c r="H121" s="825"/>
      <c r="J121" s="832"/>
      <c r="K121" s="826"/>
      <c r="L121" s="824"/>
      <c r="M121" s="824"/>
      <c r="N121" s="824"/>
      <c r="O121" s="824"/>
      <c r="P121" s="824"/>
      <c r="Q121" s="825"/>
    </row>
    <row r="122" spans="1:17" ht="13" x14ac:dyDescent="0.25">
      <c r="A122" s="1480"/>
      <c r="B122" s="819">
        <v>15</v>
      </c>
      <c r="C122" s="824">
        <f>M60</f>
        <v>60</v>
      </c>
      <c r="D122" s="824">
        <f>N60</f>
        <v>0</v>
      </c>
      <c r="E122" s="824" t="str">
        <f>O60</f>
        <v>-</v>
      </c>
      <c r="F122" s="824">
        <f>P60</f>
        <v>0</v>
      </c>
      <c r="G122" s="824">
        <f>Q60</f>
        <v>0.12</v>
      </c>
      <c r="H122" s="825"/>
      <c r="J122" s="832"/>
      <c r="K122" s="826"/>
      <c r="L122" s="824"/>
      <c r="M122" s="824"/>
      <c r="N122" s="824"/>
      <c r="O122" s="824"/>
      <c r="P122" s="824"/>
      <c r="Q122" s="825"/>
    </row>
    <row r="123" spans="1:17" ht="13.5" thickBot="1" x14ac:dyDescent="0.3">
      <c r="A123" s="1481"/>
      <c r="B123" s="827">
        <v>16</v>
      </c>
      <c r="C123" s="833">
        <f>A73</f>
        <v>60</v>
      </c>
      <c r="D123" s="833">
        <f t="shared" ref="D123:G123" si="66">B73</f>
        <v>0.01</v>
      </c>
      <c r="E123" s="833" t="str">
        <f t="shared" si="66"/>
        <v>-</v>
      </c>
      <c r="F123" s="833">
        <f t="shared" si="66"/>
        <v>0</v>
      </c>
      <c r="G123" s="833">
        <f t="shared" si="66"/>
        <v>0.12</v>
      </c>
      <c r="H123" s="829"/>
      <c r="J123" s="832"/>
      <c r="K123" s="826"/>
      <c r="L123" s="824"/>
      <c r="M123" s="824"/>
      <c r="N123" s="824"/>
      <c r="O123" s="824"/>
      <c r="P123" s="824"/>
      <c r="Q123" s="825"/>
    </row>
    <row r="124" spans="1:17" ht="13" x14ac:dyDescent="0.25">
      <c r="A124" s="1479" t="s">
        <v>53</v>
      </c>
      <c r="B124" s="815">
        <v>1</v>
      </c>
      <c r="C124" s="816">
        <f>A8</f>
        <v>300</v>
      </c>
      <c r="D124" s="816">
        <f t="shared" ref="D124:G124" si="67">B8</f>
        <v>0</v>
      </c>
      <c r="E124" s="816">
        <f t="shared" si="67"/>
        <v>2E-3</v>
      </c>
      <c r="F124" s="816">
        <f t="shared" si="67"/>
        <v>1E-3</v>
      </c>
      <c r="G124" s="816">
        <f t="shared" si="67"/>
        <v>0.04</v>
      </c>
      <c r="H124" s="817"/>
      <c r="J124" s="1470" t="s">
        <v>446</v>
      </c>
      <c r="K124" s="815">
        <v>1</v>
      </c>
      <c r="L124" s="816">
        <f>A13</f>
        <v>0</v>
      </c>
      <c r="M124" s="816">
        <f t="shared" ref="M124:P124" si="68">B13</f>
        <v>0</v>
      </c>
      <c r="N124" s="816">
        <f t="shared" si="68"/>
        <v>0</v>
      </c>
      <c r="O124" s="816">
        <f t="shared" si="68"/>
        <v>0</v>
      </c>
      <c r="P124" s="816">
        <f t="shared" si="68"/>
        <v>0</v>
      </c>
      <c r="Q124" s="817"/>
    </row>
    <row r="125" spans="1:17" ht="13" x14ac:dyDescent="0.25">
      <c r="A125" s="1480"/>
      <c r="B125" s="819">
        <v>2</v>
      </c>
      <c r="C125" s="820">
        <f>G8</f>
        <v>300</v>
      </c>
      <c r="D125" s="820">
        <f t="shared" ref="D125:G125" si="69">H8</f>
        <v>0.01</v>
      </c>
      <c r="E125" s="820">
        <f t="shared" si="69"/>
        <v>7.0000000000000001E-3</v>
      </c>
      <c r="F125" s="820">
        <f t="shared" si="69"/>
        <v>1.5E-3</v>
      </c>
      <c r="G125" s="820">
        <f t="shared" si="69"/>
        <v>0.12</v>
      </c>
      <c r="H125" s="821"/>
      <c r="J125" s="1471"/>
      <c r="K125" s="819">
        <v>2</v>
      </c>
      <c r="L125" s="820">
        <f>G13</f>
        <v>0</v>
      </c>
      <c r="M125" s="820">
        <f t="shared" ref="M125:P125" si="70">H13</f>
        <v>0</v>
      </c>
      <c r="N125" s="820">
        <f t="shared" si="70"/>
        <v>0</v>
      </c>
      <c r="O125" s="820">
        <f t="shared" si="70"/>
        <v>0</v>
      </c>
      <c r="P125" s="820">
        <f t="shared" si="70"/>
        <v>0</v>
      </c>
      <c r="Q125" s="821"/>
    </row>
    <row r="126" spans="1:17" ht="13" x14ac:dyDescent="0.25">
      <c r="A126" s="1480"/>
      <c r="B126" s="819">
        <v>3</v>
      </c>
      <c r="C126" s="820">
        <f>M8</f>
        <v>300</v>
      </c>
      <c r="D126" s="820">
        <f t="shared" ref="D126:G126" si="71">N8</f>
        <v>0.01</v>
      </c>
      <c r="E126" s="820">
        <f t="shared" si="71"/>
        <v>2E-3</v>
      </c>
      <c r="F126" s="820">
        <f t="shared" si="71"/>
        <v>4.0000000000000001E-3</v>
      </c>
      <c r="G126" s="820">
        <f t="shared" si="71"/>
        <v>0.12</v>
      </c>
      <c r="H126" s="821"/>
      <c r="J126" s="1471"/>
      <c r="K126" s="819">
        <v>3</v>
      </c>
      <c r="L126" s="820">
        <f>M13</f>
        <v>0</v>
      </c>
      <c r="M126" s="820">
        <f t="shared" ref="M126:P126" si="72">N13</f>
        <v>0</v>
      </c>
      <c r="N126" s="820">
        <f t="shared" si="72"/>
        <v>0</v>
      </c>
      <c r="O126" s="820">
        <f t="shared" si="72"/>
        <v>0</v>
      </c>
      <c r="P126" s="820">
        <f t="shared" si="72"/>
        <v>0</v>
      </c>
      <c r="Q126" s="821"/>
    </row>
    <row r="127" spans="1:17" ht="13" x14ac:dyDescent="0.25">
      <c r="A127" s="1480"/>
      <c r="B127" s="819">
        <v>4</v>
      </c>
      <c r="C127" s="820">
        <f>A21</f>
        <v>300</v>
      </c>
      <c r="D127" s="820">
        <f t="shared" ref="D127:G127" si="73">B21</f>
        <v>1E-3</v>
      </c>
      <c r="E127" s="820">
        <f t="shared" si="73"/>
        <v>0</v>
      </c>
      <c r="F127" s="820">
        <f t="shared" si="73"/>
        <v>5.0000000000000001E-4</v>
      </c>
      <c r="G127" s="820">
        <f t="shared" si="73"/>
        <v>3.7999999999999999E-2</v>
      </c>
      <c r="H127" s="821"/>
      <c r="J127" s="1471"/>
      <c r="K127" s="819">
        <v>4</v>
      </c>
      <c r="L127" s="820">
        <f>A26</f>
        <v>0</v>
      </c>
      <c r="M127" s="820">
        <f t="shared" ref="M127:P127" si="74">B26</f>
        <v>0</v>
      </c>
      <c r="N127" s="820">
        <f t="shared" si="74"/>
        <v>0</v>
      </c>
      <c r="O127" s="820">
        <f t="shared" si="74"/>
        <v>0</v>
      </c>
      <c r="P127" s="820">
        <f t="shared" si="74"/>
        <v>0</v>
      </c>
      <c r="Q127" s="821"/>
    </row>
    <row r="128" spans="1:17" ht="13" x14ac:dyDescent="0.25">
      <c r="A128" s="1480"/>
      <c r="B128" s="819">
        <v>5</v>
      </c>
      <c r="C128" s="820">
        <f>G21</f>
        <v>300</v>
      </c>
      <c r="D128" s="820">
        <f t="shared" ref="D128:G128" si="75">H21</f>
        <v>0.01</v>
      </c>
      <c r="E128" s="820" t="str">
        <f t="shared" si="75"/>
        <v>-</v>
      </c>
      <c r="F128" s="820">
        <f t="shared" si="75"/>
        <v>0</v>
      </c>
      <c r="G128" s="820">
        <f t="shared" si="75"/>
        <v>0.12</v>
      </c>
      <c r="H128" s="823"/>
      <c r="J128" s="1471"/>
      <c r="K128" s="819">
        <v>5</v>
      </c>
      <c r="L128" s="820">
        <f>G26</f>
        <v>0</v>
      </c>
      <c r="M128" s="820">
        <f t="shared" ref="M128:P128" si="76">H26</f>
        <v>0</v>
      </c>
      <c r="N128" s="820" t="str">
        <f t="shared" si="76"/>
        <v>-</v>
      </c>
      <c r="O128" s="820">
        <f t="shared" si="76"/>
        <v>0</v>
      </c>
      <c r="P128" s="820">
        <f t="shared" si="76"/>
        <v>0</v>
      </c>
      <c r="Q128" s="823"/>
    </row>
    <row r="129" spans="1:17" ht="13" x14ac:dyDescent="0.25">
      <c r="A129" s="1480"/>
      <c r="B129" s="819">
        <v>6</v>
      </c>
      <c r="C129" s="820">
        <f>M21</f>
        <v>300</v>
      </c>
      <c r="D129" s="820">
        <f t="shared" ref="D129:G129" si="77">N21</f>
        <v>0.02</v>
      </c>
      <c r="E129" s="820" t="str">
        <f t="shared" si="77"/>
        <v>-</v>
      </c>
      <c r="F129" s="820">
        <f t="shared" si="77"/>
        <v>0</v>
      </c>
      <c r="G129" s="820">
        <f t="shared" si="77"/>
        <v>0.12</v>
      </c>
      <c r="H129" s="821"/>
      <c r="J129" s="1471"/>
      <c r="K129" s="819">
        <v>6</v>
      </c>
      <c r="L129" s="820">
        <f>M26</f>
        <v>0</v>
      </c>
      <c r="M129" s="820">
        <f t="shared" ref="M129:P129" si="78">N26</f>
        <v>0</v>
      </c>
      <c r="N129" s="820" t="str">
        <f t="shared" si="78"/>
        <v>-</v>
      </c>
      <c r="O129" s="820">
        <f t="shared" si="78"/>
        <v>0</v>
      </c>
      <c r="P129" s="820">
        <f t="shared" si="78"/>
        <v>0</v>
      </c>
      <c r="Q129" s="821"/>
    </row>
    <row r="130" spans="1:17" ht="13" x14ac:dyDescent="0.25">
      <c r="A130" s="1480"/>
      <c r="B130" s="819">
        <v>7</v>
      </c>
      <c r="C130" s="820">
        <f>A35</f>
        <v>300</v>
      </c>
      <c r="D130" s="820">
        <f t="shared" ref="D130:G130" si="79">B35</f>
        <v>0.02</v>
      </c>
      <c r="E130" s="820" t="str">
        <f t="shared" si="79"/>
        <v>-</v>
      </c>
      <c r="F130" s="820">
        <f t="shared" si="79"/>
        <v>0</v>
      </c>
      <c r="G130" s="820">
        <f t="shared" si="79"/>
        <v>0.12</v>
      </c>
      <c r="H130" s="821"/>
      <c r="J130" s="1471"/>
      <c r="K130" s="819">
        <v>7</v>
      </c>
      <c r="L130" s="820">
        <f>A40</f>
        <v>0</v>
      </c>
      <c r="M130" s="820">
        <f t="shared" ref="M130:P130" si="80">B40</f>
        <v>0</v>
      </c>
      <c r="N130" s="820" t="str">
        <f t="shared" si="80"/>
        <v>-</v>
      </c>
      <c r="O130" s="820">
        <f t="shared" si="80"/>
        <v>0</v>
      </c>
      <c r="P130" s="820">
        <f t="shared" si="80"/>
        <v>0</v>
      </c>
      <c r="Q130" s="821"/>
    </row>
    <row r="131" spans="1:17" ht="13" x14ac:dyDescent="0.25">
      <c r="A131" s="1480"/>
      <c r="B131" s="819">
        <v>8</v>
      </c>
      <c r="C131" s="820">
        <f>G35</f>
        <v>300</v>
      </c>
      <c r="D131" s="820">
        <f t="shared" ref="D131:G131" si="81">H35</f>
        <v>0.02</v>
      </c>
      <c r="E131" s="820" t="str">
        <f t="shared" si="81"/>
        <v>-</v>
      </c>
      <c r="F131" s="820">
        <f t="shared" si="81"/>
        <v>0</v>
      </c>
      <c r="G131" s="820">
        <f t="shared" si="81"/>
        <v>0.12</v>
      </c>
      <c r="H131" s="821"/>
      <c r="J131" s="1471"/>
      <c r="K131" s="819">
        <v>8</v>
      </c>
      <c r="L131" s="820">
        <f>G40</f>
        <v>0</v>
      </c>
      <c r="M131" s="820">
        <f t="shared" ref="M131:P131" si="82">H40</f>
        <v>0</v>
      </c>
      <c r="N131" s="820" t="str">
        <f t="shared" si="82"/>
        <v>-</v>
      </c>
      <c r="O131" s="820">
        <f t="shared" si="82"/>
        <v>0</v>
      </c>
      <c r="P131" s="820">
        <f t="shared" si="82"/>
        <v>0</v>
      </c>
      <c r="Q131" s="821"/>
    </row>
    <row r="132" spans="1:17" ht="13" x14ac:dyDescent="0.25">
      <c r="A132" s="1480"/>
      <c r="B132" s="819">
        <v>9</v>
      </c>
      <c r="C132" s="820">
        <f>M35</f>
        <v>300</v>
      </c>
      <c r="D132" s="820">
        <f t="shared" ref="D132:G132" si="83">N35</f>
        <v>0.02</v>
      </c>
      <c r="E132" s="820" t="str">
        <f t="shared" si="83"/>
        <v>-</v>
      </c>
      <c r="F132" s="820">
        <f t="shared" si="83"/>
        <v>0</v>
      </c>
      <c r="G132" s="820">
        <f t="shared" si="83"/>
        <v>0.12</v>
      </c>
      <c r="H132" s="821"/>
      <c r="J132" s="1471"/>
      <c r="K132" s="819">
        <v>9</v>
      </c>
      <c r="L132" s="820">
        <f>A53</f>
        <v>0</v>
      </c>
      <c r="M132" s="820">
        <f t="shared" ref="M132:P132" si="84">B53</f>
        <v>0</v>
      </c>
      <c r="N132" s="820" t="str">
        <f t="shared" si="84"/>
        <v>-</v>
      </c>
      <c r="O132" s="820">
        <f t="shared" si="84"/>
        <v>0</v>
      </c>
      <c r="P132" s="820">
        <f t="shared" si="84"/>
        <v>0</v>
      </c>
      <c r="Q132" s="821"/>
    </row>
    <row r="133" spans="1:17" ht="13" x14ac:dyDescent="0.25">
      <c r="A133" s="1480"/>
      <c r="B133" s="819">
        <v>10</v>
      </c>
      <c r="C133" s="820">
        <f>A48</f>
        <v>300</v>
      </c>
      <c r="D133" s="820">
        <f>B48</f>
        <v>0.01</v>
      </c>
      <c r="E133" s="820" t="str">
        <f t="shared" ref="E133:G133" si="85">C48</f>
        <v>-</v>
      </c>
      <c r="F133" s="820">
        <f t="shared" si="85"/>
        <v>0</v>
      </c>
      <c r="G133" s="820">
        <f t="shared" si="85"/>
        <v>0.12</v>
      </c>
      <c r="H133" s="822"/>
      <c r="J133" s="1471"/>
      <c r="K133" s="819">
        <v>10</v>
      </c>
      <c r="L133" s="820">
        <f>G53</f>
        <v>0</v>
      </c>
      <c r="M133" s="820">
        <f t="shared" ref="M133:P133" si="86">H53</f>
        <v>0</v>
      </c>
      <c r="N133" s="820" t="str">
        <f t="shared" si="86"/>
        <v>-</v>
      </c>
      <c r="O133" s="820">
        <f t="shared" si="86"/>
        <v>0</v>
      </c>
      <c r="P133" s="820">
        <f t="shared" si="86"/>
        <v>0</v>
      </c>
      <c r="Q133" s="822"/>
    </row>
    <row r="134" spans="1:17" ht="13" x14ac:dyDescent="0.25">
      <c r="A134" s="1480"/>
      <c r="B134" s="826">
        <v>11</v>
      </c>
      <c r="C134" s="824">
        <f>G48</f>
        <v>300</v>
      </c>
      <c r="D134" s="824">
        <f t="shared" ref="D134:G134" si="87">H48</f>
        <v>-0.02</v>
      </c>
      <c r="E134" s="824" t="str">
        <f t="shared" si="87"/>
        <v>-</v>
      </c>
      <c r="F134" s="824">
        <f t="shared" si="87"/>
        <v>0</v>
      </c>
      <c r="G134" s="824">
        <f t="shared" si="87"/>
        <v>0.12</v>
      </c>
      <c r="H134" s="825"/>
      <c r="J134" s="834"/>
      <c r="K134" s="826"/>
      <c r="L134" s="824"/>
      <c r="M134" s="824"/>
      <c r="N134" s="824"/>
      <c r="O134" s="824"/>
      <c r="P134" s="824"/>
      <c r="Q134" s="825"/>
    </row>
    <row r="135" spans="1:17" ht="13" x14ac:dyDescent="0.25">
      <c r="A135" s="1480"/>
      <c r="B135" s="819">
        <v>12</v>
      </c>
      <c r="C135" s="824">
        <f>M48</f>
        <v>300</v>
      </c>
      <c r="D135" s="824">
        <f t="shared" ref="D135:G135" si="88">N48</f>
        <v>0.02</v>
      </c>
      <c r="E135" s="824" t="str">
        <f t="shared" si="88"/>
        <v>-</v>
      </c>
      <c r="F135" s="824">
        <f t="shared" si="88"/>
        <v>0</v>
      </c>
      <c r="G135" s="824">
        <f t="shared" si="88"/>
        <v>0.12</v>
      </c>
      <c r="H135" s="825"/>
      <c r="J135" s="834"/>
      <c r="K135" s="826"/>
      <c r="L135" s="824"/>
      <c r="M135" s="824"/>
      <c r="N135" s="824"/>
      <c r="O135" s="824"/>
      <c r="P135" s="824"/>
      <c r="Q135" s="825"/>
    </row>
    <row r="136" spans="1:17" ht="13" x14ac:dyDescent="0.25">
      <c r="A136" s="1480"/>
      <c r="B136" s="819">
        <v>13</v>
      </c>
      <c r="C136" s="824">
        <f>A61</f>
        <v>300</v>
      </c>
      <c r="D136" s="824">
        <f t="shared" ref="D136:G136" si="89">B61</f>
        <v>0.02</v>
      </c>
      <c r="E136" s="824" t="str">
        <f t="shared" si="89"/>
        <v>-</v>
      </c>
      <c r="F136" s="824">
        <f t="shared" si="89"/>
        <v>0</v>
      </c>
      <c r="G136" s="824">
        <f t="shared" si="89"/>
        <v>0.12</v>
      </c>
      <c r="H136" s="825"/>
      <c r="J136" s="834"/>
      <c r="K136" s="826"/>
      <c r="L136" s="824"/>
      <c r="M136" s="824"/>
      <c r="N136" s="824"/>
      <c r="O136" s="824"/>
      <c r="P136" s="824"/>
      <c r="Q136" s="825"/>
    </row>
    <row r="137" spans="1:17" ht="13" x14ac:dyDescent="0.25">
      <c r="A137" s="1480"/>
      <c r="B137" s="819">
        <v>14</v>
      </c>
      <c r="C137" s="824">
        <f>G61</f>
        <v>300</v>
      </c>
      <c r="D137" s="824">
        <f t="shared" ref="D137:G137" si="90">H61</f>
        <v>-0.01</v>
      </c>
      <c r="E137" s="824" t="str">
        <f t="shared" si="90"/>
        <v>-</v>
      </c>
      <c r="F137" s="824">
        <f t="shared" si="90"/>
        <v>0</v>
      </c>
      <c r="G137" s="824">
        <f t="shared" si="90"/>
        <v>0.12</v>
      </c>
      <c r="H137" s="825"/>
      <c r="J137" s="834"/>
      <c r="K137" s="826"/>
      <c r="L137" s="824"/>
      <c r="M137" s="824"/>
      <c r="N137" s="824"/>
      <c r="O137" s="824"/>
      <c r="P137" s="824"/>
      <c r="Q137" s="825"/>
    </row>
    <row r="138" spans="1:17" ht="13" x14ac:dyDescent="0.25">
      <c r="A138" s="1480"/>
      <c r="B138" s="819">
        <v>15</v>
      </c>
      <c r="C138" s="824">
        <f>M61</f>
        <v>300</v>
      </c>
      <c r="D138" s="824">
        <f>N61</f>
        <v>0.01</v>
      </c>
      <c r="E138" s="824" t="str">
        <f>O61</f>
        <v>-</v>
      </c>
      <c r="F138" s="824">
        <f>P61</f>
        <v>0</v>
      </c>
      <c r="G138" s="824">
        <f>Q61</f>
        <v>0.12</v>
      </c>
      <c r="H138" s="825"/>
      <c r="J138" s="834"/>
      <c r="K138" s="826"/>
      <c r="L138" s="824"/>
      <c r="M138" s="824"/>
      <c r="N138" s="824"/>
      <c r="O138" s="824"/>
      <c r="P138" s="824"/>
      <c r="Q138" s="825"/>
    </row>
    <row r="139" spans="1:17" ht="13.5" thickBot="1" x14ac:dyDescent="0.3">
      <c r="A139" s="1481"/>
      <c r="B139" s="827">
        <v>16</v>
      </c>
      <c r="C139" s="833">
        <f>A74</f>
        <v>300</v>
      </c>
      <c r="D139" s="833">
        <f t="shared" ref="D139:G139" si="91">B74</f>
        <v>0.01</v>
      </c>
      <c r="E139" s="833" t="str">
        <f t="shared" si="91"/>
        <v>-</v>
      </c>
      <c r="F139" s="833">
        <f t="shared" si="91"/>
        <v>0</v>
      </c>
      <c r="G139" s="833">
        <f t="shared" si="91"/>
        <v>0.12</v>
      </c>
      <c r="H139" s="829"/>
      <c r="J139" s="834"/>
      <c r="K139" s="826"/>
      <c r="L139" s="824"/>
      <c r="M139" s="824"/>
      <c r="N139" s="824"/>
      <c r="O139" s="824"/>
      <c r="P139" s="824"/>
      <c r="Q139" s="825"/>
    </row>
    <row r="140" spans="1:17" ht="13" x14ac:dyDescent="0.25">
      <c r="A140" s="1467" t="s">
        <v>54</v>
      </c>
      <c r="B140" s="815">
        <v>1</v>
      </c>
      <c r="C140" s="816">
        <f>A9</f>
        <v>600</v>
      </c>
      <c r="D140" s="816">
        <f t="shared" ref="D140:G140" si="92">B9</f>
        <v>0.01</v>
      </c>
      <c r="E140" s="816">
        <f t="shared" si="92"/>
        <v>2E-3</v>
      </c>
      <c r="F140" s="816">
        <f t="shared" si="92"/>
        <v>4.0000000000000001E-3</v>
      </c>
      <c r="G140" s="816">
        <f t="shared" si="92"/>
        <v>0.04</v>
      </c>
      <c r="H140" s="817"/>
      <c r="J140" s="1470" t="s">
        <v>447</v>
      </c>
      <c r="K140" s="815">
        <v>1</v>
      </c>
      <c r="L140" s="816">
        <f>A14</f>
        <v>1</v>
      </c>
      <c r="M140" s="816">
        <f t="shared" ref="M140:P140" si="93">B14</f>
        <v>0</v>
      </c>
      <c r="N140" s="816">
        <f t="shared" si="93"/>
        <v>0</v>
      </c>
      <c r="O140" s="816">
        <f t="shared" si="93"/>
        <v>0</v>
      </c>
      <c r="P140" s="816">
        <f t="shared" si="93"/>
        <v>0</v>
      </c>
      <c r="Q140" s="817"/>
    </row>
    <row r="141" spans="1:17" ht="13" x14ac:dyDescent="0.25">
      <c r="A141" s="1468"/>
      <c r="B141" s="819">
        <v>2</v>
      </c>
      <c r="C141" s="820">
        <f>G9</f>
        <v>600</v>
      </c>
      <c r="D141" s="820">
        <f t="shared" ref="D141:G141" si="94">H9</f>
        <v>0.01</v>
      </c>
      <c r="E141" s="820">
        <f t="shared" si="94"/>
        <v>4.0000000000000001E-3</v>
      </c>
      <c r="F141" s="820">
        <f t="shared" si="94"/>
        <v>3.0000000000000001E-3</v>
      </c>
      <c r="G141" s="820">
        <f t="shared" si="94"/>
        <v>0.12</v>
      </c>
      <c r="H141" s="821"/>
      <c r="J141" s="1471"/>
      <c r="K141" s="819">
        <v>2</v>
      </c>
      <c r="L141" s="820">
        <f>G14</f>
        <v>2</v>
      </c>
      <c r="M141" s="820">
        <f t="shared" ref="M141:P141" si="95">H14</f>
        <v>0</v>
      </c>
      <c r="N141" s="820">
        <f t="shared" si="95"/>
        <v>0</v>
      </c>
      <c r="O141" s="820">
        <f t="shared" si="95"/>
        <v>0</v>
      </c>
      <c r="P141" s="820">
        <f t="shared" si="95"/>
        <v>0</v>
      </c>
      <c r="Q141" s="821"/>
    </row>
    <row r="142" spans="1:17" ht="13" x14ac:dyDescent="0.25">
      <c r="A142" s="1468"/>
      <c r="B142" s="819">
        <v>3</v>
      </c>
      <c r="C142" s="820">
        <f>M9</f>
        <v>600</v>
      </c>
      <c r="D142" s="820">
        <f t="shared" ref="D142:G142" si="96">N9</f>
        <v>0.02</v>
      </c>
      <c r="E142" s="820">
        <f t="shared" si="96"/>
        <v>3.0000000000000001E-3</v>
      </c>
      <c r="F142" s="820">
        <f t="shared" si="96"/>
        <v>8.5000000000000006E-3</v>
      </c>
      <c r="G142" s="820">
        <f t="shared" si="96"/>
        <v>0.12</v>
      </c>
      <c r="H142" s="821"/>
      <c r="J142" s="1471"/>
      <c r="K142" s="819">
        <v>3</v>
      </c>
      <c r="L142" s="820">
        <f>M14</f>
        <v>3</v>
      </c>
      <c r="M142" s="820">
        <f t="shared" ref="M142:P142" si="97">N14</f>
        <v>0</v>
      </c>
      <c r="N142" s="820">
        <f t="shared" si="97"/>
        <v>0</v>
      </c>
      <c r="O142" s="820">
        <f t="shared" si="97"/>
        <v>0</v>
      </c>
      <c r="P142" s="820">
        <f t="shared" si="97"/>
        <v>0</v>
      </c>
      <c r="Q142" s="821"/>
    </row>
    <row r="143" spans="1:17" ht="13" x14ac:dyDescent="0.25">
      <c r="A143" s="1468"/>
      <c r="B143" s="819">
        <v>4</v>
      </c>
      <c r="C143" s="820">
        <f>A22</f>
        <v>600</v>
      </c>
      <c r="D143" s="820">
        <f t="shared" ref="D143:G143" si="98">B22</f>
        <v>6.0000000000000001E-3</v>
      </c>
      <c r="E143" s="820">
        <f t="shared" si="98"/>
        <v>0</v>
      </c>
      <c r="F143" s="820">
        <f t="shared" si="98"/>
        <v>3.0000000000000001E-3</v>
      </c>
      <c r="G143" s="820">
        <f t="shared" si="98"/>
        <v>3.7999999999999999E-2</v>
      </c>
      <c r="H143" s="821"/>
      <c r="J143" s="1471"/>
      <c r="K143" s="819">
        <v>4</v>
      </c>
      <c r="L143" s="820">
        <f>A27</f>
        <v>0</v>
      </c>
      <c r="M143" s="820">
        <f t="shared" ref="M143:P143" si="99">B27</f>
        <v>0</v>
      </c>
      <c r="N143" s="820">
        <f t="shared" si="99"/>
        <v>0</v>
      </c>
      <c r="O143" s="820">
        <f t="shared" si="99"/>
        <v>0</v>
      </c>
      <c r="P143" s="820">
        <f t="shared" si="99"/>
        <v>0</v>
      </c>
      <c r="Q143" s="821"/>
    </row>
    <row r="144" spans="1:17" ht="13" x14ac:dyDescent="0.25">
      <c r="A144" s="1468"/>
      <c r="B144" s="819">
        <v>5</v>
      </c>
      <c r="C144" s="820">
        <f>G22</f>
        <v>600</v>
      </c>
      <c r="D144" s="820">
        <f t="shared" ref="D144:G144" si="100">H22</f>
        <v>0.02</v>
      </c>
      <c r="E144" s="820" t="str">
        <f t="shared" si="100"/>
        <v>-</v>
      </c>
      <c r="F144" s="820">
        <f t="shared" si="100"/>
        <v>0</v>
      </c>
      <c r="G144" s="820">
        <f t="shared" si="100"/>
        <v>0.12</v>
      </c>
      <c r="H144" s="823"/>
      <c r="J144" s="1471"/>
      <c r="K144" s="819">
        <v>5</v>
      </c>
      <c r="L144" s="820">
        <f>G27</f>
        <v>0</v>
      </c>
      <c r="M144" s="820">
        <f t="shared" ref="M144:P144" si="101">H27</f>
        <v>0</v>
      </c>
      <c r="N144" s="820" t="str">
        <f t="shared" si="101"/>
        <v>-</v>
      </c>
      <c r="O144" s="820">
        <f t="shared" si="101"/>
        <v>0</v>
      </c>
      <c r="P144" s="820">
        <f t="shared" si="101"/>
        <v>0</v>
      </c>
      <c r="Q144" s="823"/>
    </row>
    <row r="145" spans="1:17" ht="13" x14ac:dyDescent="0.25">
      <c r="A145" s="1468"/>
      <c r="B145" s="819">
        <v>6</v>
      </c>
      <c r="C145" s="820">
        <f>M22</f>
        <v>600</v>
      </c>
      <c r="D145" s="820">
        <f t="shared" ref="D145:G145" si="102">N22</f>
        <v>0.02</v>
      </c>
      <c r="E145" s="820" t="str">
        <f t="shared" si="102"/>
        <v>-</v>
      </c>
      <c r="F145" s="820">
        <f t="shared" si="102"/>
        <v>0</v>
      </c>
      <c r="G145" s="820">
        <f t="shared" si="102"/>
        <v>0.12</v>
      </c>
      <c r="H145" s="821"/>
      <c r="J145" s="1471"/>
      <c r="K145" s="819">
        <v>6</v>
      </c>
      <c r="L145" s="820">
        <f>M27</f>
        <v>0</v>
      </c>
      <c r="M145" s="820">
        <f t="shared" ref="M145:P145" si="103">N27</f>
        <v>0</v>
      </c>
      <c r="N145" s="820" t="str">
        <f t="shared" si="103"/>
        <v>;-</v>
      </c>
      <c r="O145" s="820">
        <f t="shared" si="103"/>
        <v>0</v>
      </c>
      <c r="P145" s="820">
        <f t="shared" si="103"/>
        <v>0</v>
      </c>
      <c r="Q145" s="821"/>
    </row>
    <row r="146" spans="1:17" ht="13" x14ac:dyDescent="0.25">
      <c r="A146" s="1468"/>
      <c r="B146" s="819">
        <v>7</v>
      </c>
      <c r="C146" s="820">
        <f>A36</f>
        <v>600</v>
      </c>
      <c r="D146" s="820">
        <f t="shared" ref="D146:G146" si="104">B36</f>
        <v>0.02</v>
      </c>
      <c r="E146" s="820" t="str">
        <f t="shared" si="104"/>
        <v>-</v>
      </c>
      <c r="F146" s="820">
        <f t="shared" si="104"/>
        <v>0</v>
      </c>
      <c r="G146" s="820">
        <f t="shared" si="104"/>
        <v>0.12</v>
      </c>
      <c r="H146" s="821"/>
      <c r="J146" s="1471"/>
      <c r="K146" s="819">
        <v>7</v>
      </c>
      <c r="L146" s="820">
        <f>A41</f>
        <v>0</v>
      </c>
      <c r="M146" s="820">
        <f t="shared" ref="M146:P146" si="105">B41</f>
        <v>0</v>
      </c>
      <c r="N146" s="820" t="str">
        <f t="shared" si="105"/>
        <v>-</v>
      </c>
      <c r="O146" s="820">
        <f t="shared" si="105"/>
        <v>0</v>
      </c>
      <c r="P146" s="820">
        <f t="shared" si="105"/>
        <v>0</v>
      </c>
      <c r="Q146" s="821"/>
    </row>
    <row r="147" spans="1:17" ht="13" x14ac:dyDescent="0.25">
      <c r="A147" s="1468"/>
      <c r="B147" s="819">
        <v>8</v>
      </c>
      <c r="C147" s="820">
        <f>G36</f>
        <v>600</v>
      </c>
      <c r="D147" s="820">
        <f t="shared" ref="D147:G147" si="106">H36</f>
        <v>0.02</v>
      </c>
      <c r="E147" s="820" t="str">
        <f t="shared" si="106"/>
        <v>-</v>
      </c>
      <c r="F147" s="820">
        <f t="shared" si="106"/>
        <v>0</v>
      </c>
      <c r="G147" s="820">
        <f t="shared" si="106"/>
        <v>0.12</v>
      </c>
      <c r="H147" s="821"/>
      <c r="J147" s="1471"/>
      <c r="K147" s="819">
        <v>8</v>
      </c>
      <c r="L147" s="820">
        <f>G41</f>
        <v>0</v>
      </c>
      <c r="M147" s="820">
        <f t="shared" ref="M147:P147" si="107">H41</f>
        <v>0</v>
      </c>
      <c r="N147" s="820" t="str">
        <f t="shared" si="107"/>
        <v>-</v>
      </c>
      <c r="O147" s="820">
        <f t="shared" si="107"/>
        <v>0</v>
      </c>
      <c r="P147" s="820">
        <f t="shared" si="107"/>
        <v>0</v>
      </c>
      <c r="Q147" s="821"/>
    </row>
    <row r="148" spans="1:17" ht="13" x14ac:dyDescent="0.25">
      <c r="A148" s="1468"/>
      <c r="B148" s="819">
        <v>9</v>
      </c>
      <c r="C148" s="820">
        <f>M36</f>
        <v>600</v>
      </c>
      <c r="D148" s="820">
        <f t="shared" ref="D148:G148" si="108">N36</f>
        <v>0.02</v>
      </c>
      <c r="E148" s="820" t="str">
        <f t="shared" si="108"/>
        <v>-</v>
      </c>
      <c r="F148" s="820">
        <f t="shared" si="108"/>
        <v>0</v>
      </c>
      <c r="G148" s="820">
        <f t="shared" si="108"/>
        <v>0.12</v>
      </c>
      <c r="H148" s="821"/>
      <c r="J148" s="1471"/>
      <c r="K148" s="819">
        <v>9</v>
      </c>
      <c r="L148" s="820">
        <f>A54</f>
        <v>0</v>
      </c>
      <c r="M148" s="820">
        <f t="shared" ref="M148:P148" si="109">B54</f>
        <v>0</v>
      </c>
      <c r="N148" s="820" t="str">
        <f t="shared" si="109"/>
        <v>-</v>
      </c>
      <c r="O148" s="820">
        <f t="shared" si="109"/>
        <v>0</v>
      </c>
      <c r="P148" s="820">
        <f t="shared" si="109"/>
        <v>0</v>
      </c>
      <c r="Q148" s="821"/>
    </row>
    <row r="149" spans="1:17" ht="13" x14ac:dyDescent="0.25">
      <c r="A149" s="1468"/>
      <c r="B149" s="819">
        <v>10</v>
      </c>
      <c r="C149" s="820">
        <f>A49</f>
        <v>600</v>
      </c>
      <c r="D149" s="820">
        <f t="shared" ref="D149:G149" si="110">B49</f>
        <v>0.02</v>
      </c>
      <c r="E149" s="820" t="str">
        <f t="shared" si="110"/>
        <v>-</v>
      </c>
      <c r="F149" s="820">
        <f t="shared" si="110"/>
        <v>0</v>
      </c>
      <c r="G149" s="820">
        <f t="shared" si="110"/>
        <v>0.12</v>
      </c>
      <c r="H149" s="822"/>
      <c r="J149" s="1471"/>
      <c r="K149" s="819">
        <v>10</v>
      </c>
      <c r="L149" s="820">
        <f>G54</f>
        <v>0</v>
      </c>
      <c r="M149" s="820">
        <f t="shared" ref="M149:P149" si="111">H54</f>
        <v>0</v>
      </c>
      <c r="N149" s="820" t="str">
        <f t="shared" si="111"/>
        <v>-</v>
      </c>
      <c r="O149" s="820">
        <f t="shared" si="111"/>
        <v>0</v>
      </c>
      <c r="P149" s="820">
        <f t="shared" si="111"/>
        <v>0</v>
      </c>
      <c r="Q149" s="822"/>
    </row>
    <row r="150" spans="1:17" ht="13" x14ac:dyDescent="0.25">
      <c r="A150" s="1468"/>
      <c r="B150" s="826">
        <v>11</v>
      </c>
      <c r="C150" s="824">
        <f>G49</f>
        <v>600</v>
      </c>
      <c r="D150" s="824">
        <f t="shared" ref="D150:G150" si="112">H49</f>
        <v>-0.02</v>
      </c>
      <c r="E150" s="824" t="str">
        <f t="shared" si="112"/>
        <v>-</v>
      </c>
      <c r="F150" s="824">
        <f t="shared" si="112"/>
        <v>0</v>
      </c>
      <c r="G150" s="824">
        <f t="shared" si="112"/>
        <v>0.12</v>
      </c>
      <c r="H150" s="822"/>
      <c r="J150" s="835"/>
      <c r="K150" s="836"/>
      <c r="L150" s="837"/>
      <c r="M150" s="837"/>
      <c r="N150" s="837"/>
      <c r="O150" s="837"/>
      <c r="P150" s="837"/>
      <c r="Q150" s="838"/>
    </row>
    <row r="151" spans="1:17" ht="13" x14ac:dyDescent="0.25">
      <c r="A151" s="1468"/>
      <c r="B151" s="819">
        <v>12</v>
      </c>
      <c r="C151" s="824">
        <f>M49</f>
        <v>600</v>
      </c>
      <c r="D151" s="824">
        <f t="shared" ref="D151:G151" si="113">N49</f>
        <v>0.03</v>
      </c>
      <c r="E151" s="824" t="str">
        <f t="shared" si="113"/>
        <v>-</v>
      </c>
      <c r="F151" s="824">
        <f t="shared" si="113"/>
        <v>0</v>
      </c>
      <c r="G151" s="824">
        <f t="shared" si="113"/>
        <v>0.12</v>
      </c>
      <c r="H151" s="822"/>
      <c r="J151" s="835"/>
      <c r="K151" s="836"/>
      <c r="L151" s="837"/>
      <c r="M151" s="837"/>
      <c r="N151" s="837"/>
      <c r="O151" s="837"/>
      <c r="P151" s="837"/>
      <c r="Q151" s="838"/>
    </row>
    <row r="152" spans="1:17" ht="13" x14ac:dyDescent="0.25">
      <c r="A152" s="1468"/>
      <c r="B152" s="819">
        <v>13</v>
      </c>
      <c r="C152" s="824">
        <f>A62</f>
        <v>600</v>
      </c>
      <c r="D152" s="824">
        <f t="shared" ref="D152:G152" si="114">B62</f>
        <v>0.03</v>
      </c>
      <c r="E152" s="824" t="str">
        <f t="shared" si="114"/>
        <v>-</v>
      </c>
      <c r="F152" s="824">
        <f t="shared" si="114"/>
        <v>0</v>
      </c>
      <c r="G152" s="824">
        <f t="shared" si="114"/>
        <v>0.12</v>
      </c>
      <c r="H152" s="822"/>
      <c r="J152" s="835"/>
      <c r="K152" s="836"/>
      <c r="L152" s="837"/>
      <c r="M152" s="837"/>
      <c r="N152" s="837"/>
      <c r="O152" s="837"/>
      <c r="P152" s="837"/>
      <c r="Q152" s="838"/>
    </row>
    <row r="153" spans="1:17" ht="13" x14ac:dyDescent="0.25">
      <c r="A153" s="1468"/>
      <c r="B153" s="819">
        <v>14</v>
      </c>
      <c r="C153" s="824">
        <f>G62</f>
        <v>600</v>
      </c>
      <c r="D153" s="824">
        <f t="shared" ref="D153:G153" si="115">H62</f>
        <v>-0.02</v>
      </c>
      <c r="E153" s="824" t="str">
        <f t="shared" si="115"/>
        <v>-</v>
      </c>
      <c r="F153" s="824">
        <f t="shared" si="115"/>
        <v>0</v>
      </c>
      <c r="G153" s="824">
        <f t="shared" si="115"/>
        <v>0.12</v>
      </c>
      <c r="H153" s="822"/>
      <c r="J153" s="835"/>
      <c r="K153" s="836"/>
      <c r="L153" s="837"/>
      <c r="M153" s="837"/>
      <c r="N153" s="837"/>
      <c r="O153" s="837"/>
      <c r="P153" s="837"/>
      <c r="Q153" s="838"/>
    </row>
    <row r="154" spans="1:17" ht="13.5" thickBot="1" x14ac:dyDescent="0.3">
      <c r="A154" s="1468"/>
      <c r="B154" s="830">
        <v>15</v>
      </c>
      <c r="C154" s="824">
        <f>M62</f>
        <v>600</v>
      </c>
      <c r="D154" s="824">
        <f>N62</f>
        <v>0.02</v>
      </c>
      <c r="E154" s="824" t="str">
        <f>O62</f>
        <v>-</v>
      </c>
      <c r="F154" s="824">
        <f>P62</f>
        <v>0</v>
      </c>
      <c r="G154" s="824">
        <f>Q62</f>
        <v>0.12</v>
      </c>
      <c r="H154" s="822"/>
      <c r="J154" s="835"/>
      <c r="K154" s="836"/>
      <c r="L154" s="837"/>
      <c r="M154" s="837"/>
      <c r="N154" s="837"/>
      <c r="O154" s="837"/>
      <c r="P154" s="837"/>
      <c r="Q154" s="838"/>
    </row>
    <row r="155" spans="1:17" ht="13.5" thickBot="1" x14ac:dyDescent="0.3">
      <c r="A155" s="1469"/>
      <c r="B155" s="827">
        <v>16</v>
      </c>
      <c r="C155" s="833">
        <f>A75</f>
        <v>600</v>
      </c>
      <c r="D155" s="833">
        <f t="shared" ref="D155:G155" si="116">B75</f>
        <v>0.02</v>
      </c>
      <c r="E155" s="833" t="str">
        <f t="shared" si="116"/>
        <v>-</v>
      </c>
      <c r="F155" s="833">
        <f t="shared" si="116"/>
        <v>0</v>
      </c>
      <c r="G155" s="833">
        <f t="shared" si="116"/>
        <v>0.12</v>
      </c>
      <c r="H155" s="839"/>
      <c r="J155" s="835"/>
      <c r="K155" s="836"/>
      <c r="L155" s="837"/>
      <c r="M155" s="837"/>
      <c r="N155" s="837"/>
      <c r="O155" s="837"/>
      <c r="P155" s="837"/>
      <c r="Q155" s="838"/>
    </row>
    <row r="156" spans="1:17" ht="13" x14ac:dyDescent="0.25">
      <c r="A156" s="1470" t="s">
        <v>55</v>
      </c>
      <c r="B156" s="815">
        <v>1</v>
      </c>
      <c r="C156" s="816">
        <f>A10</f>
        <v>700</v>
      </c>
      <c r="D156" s="816">
        <f t="shared" ref="D156:G156" si="117">B10</f>
        <v>0</v>
      </c>
      <c r="E156" s="816">
        <f t="shared" si="117"/>
        <v>0</v>
      </c>
      <c r="F156" s="816">
        <f t="shared" si="117"/>
        <v>0</v>
      </c>
      <c r="G156" s="816">
        <f t="shared" si="117"/>
        <v>0.04</v>
      </c>
      <c r="H156" s="817"/>
      <c r="J156" s="840"/>
      <c r="K156" s="841"/>
      <c r="L156" s="793"/>
      <c r="M156" s="793"/>
      <c r="N156" s="793"/>
      <c r="O156" s="793"/>
      <c r="P156" s="793"/>
      <c r="Q156" s="842"/>
    </row>
    <row r="157" spans="1:17" ht="13" x14ac:dyDescent="0.25">
      <c r="A157" s="1471"/>
      <c r="B157" s="819">
        <v>2</v>
      </c>
      <c r="C157" s="820">
        <f>G10</f>
        <v>700</v>
      </c>
      <c r="D157" s="820">
        <f t="shared" ref="D157:G157" si="118">H10</f>
        <v>0</v>
      </c>
      <c r="E157" s="820">
        <f t="shared" si="118"/>
        <v>0</v>
      </c>
      <c r="F157" s="820">
        <f t="shared" si="118"/>
        <v>0</v>
      </c>
      <c r="G157" s="820">
        <f t="shared" si="118"/>
        <v>0.12</v>
      </c>
      <c r="H157" s="821"/>
      <c r="J157" s="840"/>
      <c r="K157" s="841"/>
      <c r="L157" s="793"/>
      <c r="M157" s="793"/>
      <c r="N157" s="793"/>
      <c r="O157" s="793"/>
      <c r="P157" s="793"/>
      <c r="Q157" s="842"/>
    </row>
    <row r="158" spans="1:17" ht="13" x14ac:dyDescent="0.25">
      <c r="A158" s="1471"/>
      <c r="B158" s="819">
        <v>3</v>
      </c>
      <c r="C158" s="820">
        <f>M10</f>
        <v>700</v>
      </c>
      <c r="D158" s="820">
        <f t="shared" ref="D158:G158" si="119">N10</f>
        <v>0</v>
      </c>
      <c r="E158" s="820">
        <f t="shared" si="119"/>
        <v>0</v>
      </c>
      <c r="F158" s="820">
        <f t="shared" si="119"/>
        <v>0</v>
      </c>
      <c r="G158" s="820">
        <f t="shared" si="119"/>
        <v>0</v>
      </c>
      <c r="H158" s="821"/>
      <c r="J158" s="840"/>
      <c r="K158" s="841"/>
      <c r="L158" s="793"/>
      <c r="M158" s="793"/>
      <c r="N158" s="793"/>
      <c r="O158" s="793"/>
      <c r="P158" s="793"/>
      <c r="Q158" s="842"/>
    </row>
    <row r="159" spans="1:17" ht="13" x14ac:dyDescent="0.25">
      <c r="A159" s="1471"/>
      <c r="B159" s="819">
        <v>4</v>
      </c>
      <c r="C159" s="820">
        <f>A23</f>
        <v>700</v>
      </c>
      <c r="D159" s="820">
        <f t="shared" ref="D159:G159" si="120">B23</f>
        <v>0</v>
      </c>
      <c r="E159" s="820">
        <f t="shared" si="120"/>
        <v>0</v>
      </c>
      <c r="F159" s="820">
        <f t="shared" si="120"/>
        <v>0</v>
      </c>
      <c r="G159" s="820">
        <f t="shared" si="120"/>
        <v>0</v>
      </c>
      <c r="H159" s="821"/>
      <c r="J159" s="840"/>
      <c r="K159" s="841"/>
      <c r="L159" s="793"/>
      <c r="M159" s="793"/>
      <c r="N159" s="793"/>
      <c r="O159" s="793"/>
      <c r="P159" s="793"/>
      <c r="Q159" s="842"/>
    </row>
    <row r="160" spans="1:17" ht="13" x14ac:dyDescent="0.25">
      <c r="A160" s="1471"/>
      <c r="B160" s="819">
        <v>5</v>
      </c>
      <c r="C160" s="820">
        <f>G23</f>
        <v>900</v>
      </c>
      <c r="D160" s="820">
        <f t="shared" ref="D160:G160" si="121">H23</f>
        <v>0.02</v>
      </c>
      <c r="E160" s="820" t="str">
        <f t="shared" si="121"/>
        <v>-</v>
      </c>
      <c r="F160" s="820">
        <f t="shared" si="121"/>
        <v>0</v>
      </c>
      <c r="G160" s="820">
        <f t="shared" si="121"/>
        <v>0.12</v>
      </c>
      <c r="H160" s="823"/>
      <c r="J160" s="840"/>
      <c r="K160" s="793"/>
      <c r="L160" s="793"/>
      <c r="M160" s="793"/>
      <c r="N160" s="793"/>
      <c r="O160" s="793"/>
      <c r="P160" s="793"/>
      <c r="Q160" s="842"/>
    </row>
    <row r="161" spans="1:24" ht="13" x14ac:dyDescent="0.25">
      <c r="A161" s="1471"/>
      <c r="B161" s="819">
        <v>6</v>
      </c>
      <c r="C161" s="820">
        <f>M23</f>
        <v>900</v>
      </c>
      <c r="D161" s="820">
        <f t="shared" ref="D161:G161" si="122">N23</f>
        <v>0.03</v>
      </c>
      <c r="E161" s="820" t="str">
        <f t="shared" si="122"/>
        <v>-</v>
      </c>
      <c r="F161" s="820">
        <f t="shared" si="122"/>
        <v>0</v>
      </c>
      <c r="G161" s="820">
        <f t="shared" si="122"/>
        <v>0.12</v>
      </c>
      <c r="H161" s="821"/>
      <c r="J161" s="840"/>
      <c r="K161" s="841"/>
      <c r="L161" s="793"/>
      <c r="M161" s="793"/>
      <c r="N161" s="793"/>
      <c r="O161" s="793"/>
      <c r="P161" s="793"/>
      <c r="Q161" s="842"/>
    </row>
    <row r="162" spans="1:24" ht="13" x14ac:dyDescent="0.25">
      <c r="A162" s="1471"/>
      <c r="B162" s="819">
        <v>7</v>
      </c>
      <c r="C162" s="820">
        <f>A37</f>
        <v>900</v>
      </c>
      <c r="D162" s="820">
        <f t="shared" ref="D162:G162" si="123">B37</f>
        <v>0.03</v>
      </c>
      <c r="E162" s="820" t="str">
        <f t="shared" si="123"/>
        <v>-</v>
      </c>
      <c r="F162" s="820">
        <f t="shared" si="123"/>
        <v>0</v>
      </c>
      <c r="G162" s="820">
        <f t="shared" si="123"/>
        <v>0.12</v>
      </c>
      <c r="H162" s="821"/>
      <c r="J162" s="840"/>
      <c r="K162" s="841"/>
      <c r="L162" s="793"/>
      <c r="M162" s="793"/>
      <c r="N162" s="793"/>
      <c r="O162" s="793"/>
      <c r="P162" s="793"/>
      <c r="Q162" s="842"/>
    </row>
    <row r="163" spans="1:24" ht="13" x14ac:dyDescent="0.25">
      <c r="A163" s="1471"/>
      <c r="B163" s="819">
        <v>8</v>
      </c>
      <c r="C163" s="820">
        <f>G37</f>
        <v>900</v>
      </c>
      <c r="D163" s="820">
        <f t="shared" ref="D163:G163" si="124">H37</f>
        <v>0.02</v>
      </c>
      <c r="E163" s="820" t="str">
        <f t="shared" si="124"/>
        <v>-</v>
      </c>
      <c r="F163" s="820">
        <f t="shared" si="124"/>
        <v>0</v>
      </c>
      <c r="G163" s="820">
        <f t="shared" si="124"/>
        <v>0.12</v>
      </c>
      <c r="H163" s="821"/>
      <c r="J163" s="840"/>
      <c r="K163" s="841"/>
      <c r="L163" s="793"/>
      <c r="M163" s="793"/>
      <c r="N163" s="793"/>
      <c r="O163" s="793"/>
      <c r="P163" s="793"/>
      <c r="Q163" s="842"/>
    </row>
    <row r="164" spans="1:24" ht="13" x14ac:dyDescent="0.25">
      <c r="A164" s="1471"/>
      <c r="B164" s="819">
        <v>9</v>
      </c>
      <c r="C164" s="820">
        <f>M37</f>
        <v>900</v>
      </c>
      <c r="D164" s="820">
        <f t="shared" ref="D164:G164" si="125">N37</f>
        <v>0.02</v>
      </c>
      <c r="E164" s="820" t="str">
        <f t="shared" si="125"/>
        <v>-</v>
      </c>
      <c r="F164" s="820">
        <f t="shared" si="125"/>
        <v>0</v>
      </c>
      <c r="G164" s="820">
        <f t="shared" si="125"/>
        <v>0.12</v>
      </c>
      <c r="H164" s="821"/>
      <c r="J164" s="840"/>
      <c r="K164" s="841"/>
      <c r="L164" s="793"/>
      <c r="M164" s="793"/>
      <c r="N164" s="793"/>
      <c r="O164" s="793"/>
      <c r="P164" s="793"/>
      <c r="Q164" s="842"/>
    </row>
    <row r="165" spans="1:24" ht="13" x14ac:dyDescent="0.25">
      <c r="A165" s="1471"/>
      <c r="B165" s="826">
        <v>10</v>
      </c>
      <c r="C165" s="820">
        <f>A50</f>
        <v>900</v>
      </c>
      <c r="D165" s="820">
        <f t="shared" ref="D165:G165" si="126">B50</f>
        <v>0.02</v>
      </c>
      <c r="E165" s="820" t="str">
        <f t="shared" si="126"/>
        <v>-</v>
      </c>
      <c r="F165" s="820">
        <f t="shared" si="126"/>
        <v>0</v>
      </c>
      <c r="G165" s="820">
        <f t="shared" si="126"/>
        <v>0.12</v>
      </c>
      <c r="H165" s="822"/>
      <c r="J165" s="840"/>
      <c r="K165" s="841"/>
      <c r="L165" s="793"/>
      <c r="M165" s="793"/>
      <c r="N165" s="793"/>
      <c r="O165" s="793"/>
      <c r="P165" s="793"/>
      <c r="Q165" s="842"/>
    </row>
    <row r="166" spans="1:24" ht="13" x14ac:dyDescent="0.25">
      <c r="A166" s="1471"/>
      <c r="B166" s="826">
        <v>11</v>
      </c>
      <c r="C166" s="820">
        <f>G50</f>
        <v>900</v>
      </c>
      <c r="D166" s="820">
        <f t="shared" ref="D166:G166" si="127">H50</f>
        <v>-0.03</v>
      </c>
      <c r="E166" s="820" t="str">
        <f t="shared" si="127"/>
        <v>-</v>
      </c>
      <c r="F166" s="820">
        <f t="shared" si="127"/>
        <v>0</v>
      </c>
      <c r="G166" s="820">
        <f t="shared" si="127"/>
        <v>0.12</v>
      </c>
      <c r="H166" s="822"/>
      <c r="J166" s="840"/>
      <c r="K166" s="841"/>
      <c r="L166" s="793"/>
      <c r="M166" s="793"/>
      <c r="N166" s="793"/>
      <c r="O166" s="793"/>
      <c r="P166" s="793"/>
      <c r="Q166" s="842"/>
    </row>
    <row r="167" spans="1:24" ht="13" x14ac:dyDescent="0.25">
      <c r="A167" s="1471"/>
      <c r="B167" s="819">
        <v>12</v>
      </c>
      <c r="C167" s="820">
        <f>M50</f>
        <v>900</v>
      </c>
      <c r="D167" s="820">
        <f t="shared" ref="D167:G167" si="128">N50</f>
        <v>0.03</v>
      </c>
      <c r="E167" s="820" t="str">
        <f t="shared" si="128"/>
        <v>-</v>
      </c>
      <c r="F167" s="820">
        <f t="shared" si="128"/>
        <v>0</v>
      </c>
      <c r="G167" s="820">
        <f t="shared" si="128"/>
        <v>0.12</v>
      </c>
      <c r="H167" s="822"/>
      <c r="J167" s="840"/>
      <c r="K167" s="841"/>
      <c r="L167" s="793"/>
      <c r="M167" s="793"/>
      <c r="N167" s="793"/>
      <c r="O167" s="793"/>
      <c r="P167" s="793"/>
      <c r="Q167" s="842"/>
    </row>
    <row r="168" spans="1:24" ht="13" x14ac:dyDescent="0.25">
      <c r="A168" s="1471"/>
      <c r="B168" s="819">
        <v>13</v>
      </c>
      <c r="C168" s="820">
        <f>A63</f>
        <v>900</v>
      </c>
      <c r="D168" s="820">
        <f t="shared" ref="D168:G168" si="129">B63</f>
        <v>0.03</v>
      </c>
      <c r="E168" s="820" t="str">
        <f t="shared" si="129"/>
        <v>-</v>
      </c>
      <c r="F168" s="820">
        <f t="shared" si="129"/>
        <v>0</v>
      </c>
      <c r="G168" s="820">
        <f t="shared" si="129"/>
        <v>0.12</v>
      </c>
      <c r="H168" s="822"/>
      <c r="J168" s="840"/>
      <c r="K168" s="841"/>
      <c r="L168" s="793"/>
      <c r="M168" s="793"/>
      <c r="N168" s="793"/>
      <c r="O168" s="793"/>
      <c r="P168" s="793"/>
      <c r="Q168" s="842"/>
    </row>
    <row r="169" spans="1:24" ht="13" x14ac:dyDescent="0.25">
      <c r="A169" s="1471"/>
      <c r="B169" s="819">
        <v>14</v>
      </c>
      <c r="C169" s="820">
        <f>G63</f>
        <v>900</v>
      </c>
      <c r="D169" s="820">
        <f t="shared" ref="D169:G169" si="130">H63</f>
        <v>-0.02</v>
      </c>
      <c r="E169" s="820" t="str">
        <f t="shared" si="130"/>
        <v>-</v>
      </c>
      <c r="F169" s="820">
        <f t="shared" si="130"/>
        <v>0</v>
      </c>
      <c r="G169" s="820">
        <f t="shared" si="130"/>
        <v>0.12</v>
      </c>
      <c r="H169" s="822"/>
      <c r="J169" s="840"/>
      <c r="K169" s="841"/>
      <c r="L169" s="793"/>
      <c r="M169" s="793"/>
      <c r="N169" s="793"/>
      <c r="O169" s="793"/>
      <c r="P169" s="793"/>
      <c r="Q169" s="842"/>
    </row>
    <row r="170" spans="1:24" ht="13" x14ac:dyDescent="0.25">
      <c r="A170" s="1471"/>
      <c r="B170" s="819">
        <v>15</v>
      </c>
      <c r="C170" s="843">
        <f>M63</f>
        <v>900</v>
      </c>
      <c r="D170" s="843">
        <f>N63</f>
        <v>0.03</v>
      </c>
      <c r="E170" s="843" t="str">
        <f>O63</f>
        <v>-</v>
      </c>
      <c r="F170" s="843">
        <f>P63</f>
        <v>0</v>
      </c>
      <c r="G170" s="843">
        <f>Q63</f>
        <v>0.12</v>
      </c>
      <c r="H170" s="822"/>
      <c r="J170" s="840"/>
      <c r="K170" s="841"/>
      <c r="L170" s="793"/>
      <c r="M170" s="793"/>
      <c r="N170" s="793"/>
      <c r="O170" s="793"/>
      <c r="P170" s="793"/>
      <c r="Q170" s="842"/>
    </row>
    <row r="171" spans="1:24" ht="13.5" thickBot="1" x14ac:dyDescent="0.3">
      <c r="A171" s="1472"/>
      <c r="B171" s="830">
        <v>16</v>
      </c>
      <c r="C171" s="831">
        <f>A76</f>
        <v>900</v>
      </c>
      <c r="D171" s="831">
        <f t="shared" ref="D171:G171" si="131">B76</f>
        <v>0.03</v>
      </c>
      <c r="E171" s="831" t="str">
        <f t="shared" si="131"/>
        <v>-</v>
      </c>
      <c r="F171" s="831">
        <f t="shared" si="131"/>
        <v>0</v>
      </c>
      <c r="G171" s="831">
        <f t="shared" si="131"/>
        <v>0.12</v>
      </c>
      <c r="H171" s="839"/>
      <c r="J171" s="840"/>
      <c r="K171" s="841"/>
      <c r="L171" s="793"/>
      <c r="M171" s="793"/>
      <c r="N171" s="793"/>
      <c r="O171" s="793"/>
      <c r="P171" s="793"/>
      <c r="Q171" s="842"/>
    </row>
    <row r="172" spans="1:24" ht="13" x14ac:dyDescent="0.25">
      <c r="A172" s="844"/>
      <c r="B172" s="841"/>
      <c r="C172" s="771"/>
      <c r="D172" s="845"/>
      <c r="E172" s="845"/>
      <c r="F172" s="845"/>
      <c r="G172" s="845"/>
    </row>
    <row r="173" spans="1:24" ht="13.5" thickBot="1" x14ac:dyDescent="0.35">
      <c r="A173" s="809"/>
      <c r="B173" s="807"/>
      <c r="C173" s="807"/>
      <c r="D173" s="807"/>
      <c r="E173" s="807"/>
      <c r="F173" s="807"/>
      <c r="G173" s="807"/>
      <c r="H173" s="807"/>
      <c r="I173" s="807"/>
      <c r="J173" s="170"/>
      <c r="K173" s="435"/>
      <c r="L173" s="170"/>
      <c r="M173" s="846"/>
      <c r="N173" s="283"/>
      <c r="O173" s="170"/>
      <c r="P173" s="435"/>
      <c r="Q173" s="170"/>
    </row>
    <row r="174" spans="1:24" ht="28.5" customHeight="1" x14ac:dyDescent="0.3">
      <c r="A174" s="699">
        <f>A214</f>
        <v>7</v>
      </c>
      <c r="B174" s="1473" t="str">
        <f>A197</f>
        <v>Stopwatch, Merek : EXTECH, Model : 365535, SN :001382</v>
      </c>
      <c r="C174" s="1473"/>
      <c r="D174" s="1473"/>
      <c r="E174" s="1473"/>
      <c r="F174" s="847"/>
      <c r="G174" s="841"/>
      <c r="H174" s="847"/>
      <c r="I174" s="1474" t="s">
        <v>49</v>
      </c>
      <c r="J174" s="1455" t="s">
        <v>393</v>
      </c>
      <c r="K174" s="1455" t="s">
        <v>118</v>
      </c>
      <c r="L174" s="848" t="s">
        <v>394</v>
      </c>
      <c r="M174" s="849" t="s">
        <v>395</v>
      </c>
      <c r="N174" s="283"/>
      <c r="O174" s="435"/>
      <c r="P174" s="170"/>
      <c r="Q174" s="846"/>
      <c r="X174" s="850"/>
    </row>
    <row r="175" spans="1:24" ht="13.5" x14ac:dyDescent="0.3">
      <c r="A175" s="851" t="str">
        <f>C89</f>
        <v>Timer</v>
      </c>
      <c r="B175" s="1457" t="s">
        <v>88</v>
      </c>
      <c r="C175" s="1457"/>
      <c r="D175" s="851" t="s">
        <v>86</v>
      </c>
      <c r="E175" s="1458" t="s">
        <v>97</v>
      </c>
      <c r="F175" s="166"/>
      <c r="G175" s="780"/>
      <c r="H175" s="780"/>
      <c r="I175" s="1475"/>
      <c r="J175" s="1456"/>
      <c r="K175" s="1456"/>
      <c r="L175" s="852"/>
      <c r="M175" s="853"/>
      <c r="N175" s="283"/>
      <c r="O175" s="170"/>
      <c r="P175" s="435"/>
      <c r="Q175" s="170"/>
    </row>
    <row r="176" spans="1:24" ht="14" x14ac:dyDescent="0.3">
      <c r="A176" s="782" t="str">
        <f>C91</f>
        <v>s</v>
      </c>
      <c r="B176" s="851">
        <f>VLOOKUP(B174,A198:K213,9,FALSE)</f>
        <v>2020</v>
      </c>
      <c r="C176" s="851" t="str">
        <f>VLOOKUP(B174,A198:K213,10,FALSE)</f>
        <v>-</v>
      </c>
      <c r="D176" s="851"/>
      <c r="E176" s="1458"/>
      <c r="F176" s="166"/>
      <c r="G176" s="783"/>
      <c r="H176" s="780"/>
      <c r="I176" s="1476"/>
      <c r="J176" s="1456"/>
      <c r="K176" s="1456"/>
      <c r="L176" s="854"/>
      <c r="M176" s="855"/>
      <c r="N176" s="283"/>
      <c r="O176" s="807"/>
      <c r="P176" s="807"/>
      <c r="Q176" s="807"/>
    </row>
    <row r="177" spans="1:17" ht="13" x14ac:dyDescent="0.3">
      <c r="A177" s="856">
        <f>VLOOKUP(A174,B92:G107,2)</f>
        <v>0</v>
      </c>
      <c r="B177" s="856">
        <f>VLOOKUP(A174,B92:G107,3,FALSE)</f>
        <v>0</v>
      </c>
      <c r="C177" s="856" t="str">
        <f>VLOOKUP($A$174,B92:G107,4,FALSE)</f>
        <v>-</v>
      </c>
      <c r="D177" s="856">
        <f>IF(VLOOKUP($A$174,B92:G107,5,FALSE)=0,0.00001,VLOOKUP($A$174,B92:G107,5,FALSE))</f>
        <v>1.0000000000000001E-5</v>
      </c>
      <c r="E177" s="856">
        <f>VLOOKUP($A$174,B92:G107,6,FALSE)</f>
        <v>0</v>
      </c>
      <c r="F177" s="166"/>
      <c r="G177" s="793"/>
      <c r="H177" s="793"/>
      <c r="I177" s="857">
        <f>B194</f>
        <v>300.99</v>
      </c>
      <c r="J177" s="858">
        <f>(FORECAST(I177,$B$177:$B$182,$A$177:$A$182))</f>
        <v>1.615992125984252E-2</v>
      </c>
      <c r="K177" s="859">
        <f>I177+J177</f>
        <v>301.00615992125984</v>
      </c>
      <c r="L177" s="860">
        <f>(FORECAST($D$194,$D$177:$D$182,$A$177:$A$182))</f>
        <v>9.5949759374832102E-6</v>
      </c>
      <c r="M177" s="861">
        <f>(FORECAST(D194,$E$177:$E$182,$A$177:$A$182))</f>
        <v>8.8809778641453271E-2</v>
      </c>
      <c r="N177" s="283"/>
      <c r="O177" s="807"/>
      <c r="P177" s="807"/>
      <c r="Q177" s="807"/>
    </row>
    <row r="178" spans="1:17" ht="13" x14ac:dyDescent="0.3">
      <c r="A178" s="856">
        <f>VLOOKUP(A174,B108:G123,2)</f>
        <v>60</v>
      </c>
      <c r="B178" s="856">
        <f>VLOOKUP(A174,B108:G123,3,FALSE)</f>
        <v>0.02</v>
      </c>
      <c r="C178" s="856" t="str">
        <f>VLOOKUP($A$174,B108:G123,4,FALSE)</f>
        <v>-</v>
      </c>
      <c r="D178" s="856">
        <f>IF(VLOOKUP($A$174,B108:G123,5,FALSE)=0,0.00001,VLOOKUP($A$174,B108:G123,5,FALSE))</f>
        <v>1.0000000000000001E-5</v>
      </c>
      <c r="E178" s="856">
        <f>VLOOKUP($A$174,B108:G123,6,FALSE)</f>
        <v>0.12</v>
      </c>
      <c r="F178" s="166"/>
      <c r="G178" s="793"/>
      <c r="H178" s="793"/>
      <c r="I178" s="857">
        <f>B195</f>
        <v>600</v>
      </c>
      <c r="J178" s="858">
        <f>(FORECAST(I178,$B$177:$B$182,$A$177:$A$182))</f>
        <v>2.1653543307086614E-2</v>
      </c>
      <c r="K178" s="859">
        <f>I178+J178</f>
        <v>600.02165354330714</v>
      </c>
      <c r="L178" s="860">
        <f>(FORECAST($D$194,$D$177:$D$182,$A$177:$A$182))</f>
        <v>9.5949759374832102E-6</v>
      </c>
      <c r="M178" s="861">
        <f>(FORECAST(D195,$E$177:$E$182,$A$177:$A$182))</f>
        <v>0.10482005704011407</v>
      </c>
      <c r="N178" s="283"/>
      <c r="O178" s="807"/>
      <c r="P178" s="807"/>
      <c r="Q178" s="807"/>
    </row>
    <row r="179" spans="1:17" ht="13" x14ac:dyDescent="0.3">
      <c r="A179" s="856">
        <f>VLOOKUP(A174,B124:G139,2)</f>
        <v>300</v>
      </c>
      <c r="B179" s="856">
        <f>VLOOKUP(A174,B124:G139,3,FALSE)</f>
        <v>0.02</v>
      </c>
      <c r="C179" s="856" t="str">
        <f>VLOOKUP($A$174,B124:G139,4,FALSE)</f>
        <v>-</v>
      </c>
      <c r="D179" s="856">
        <f>IF(VLOOKUP($A$174,B124:G139,5,FALSE)=0,0.00001,VLOOKUP($A$174,B124:G139,5,FALSE))</f>
        <v>1.0000000000000001E-5</v>
      </c>
      <c r="E179" s="856">
        <f>VLOOKUP($A$174,B124:G139,6,FALSE)</f>
        <v>0.12</v>
      </c>
      <c r="F179" s="166"/>
      <c r="G179" s="793"/>
      <c r="H179" s="793"/>
      <c r="I179" s="793"/>
      <c r="J179" s="793"/>
      <c r="K179" s="793"/>
      <c r="L179" s="283"/>
      <c r="M179" s="283"/>
      <c r="N179" s="283"/>
      <c r="O179" s="807"/>
      <c r="P179" s="807"/>
      <c r="Q179" s="807"/>
    </row>
    <row r="180" spans="1:17" ht="13" x14ac:dyDescent="0.3">
      <c r="A180" s="856">
        <f>VLOOKUP(A174,B140:G155,2)</f>
        <v>600</v>
      </c>
      <c r="B180" s="856">
        <f>VLOOKUP(A174,B140:G155,3,FALSE)</f>
        <v>0.02</v>
      </c>
      <c r="C180" s="856" t="str">
        <f>VLOOKUP($A$174,B140:G155,4,FALSE)</f>
        <v>-</v>
      </c>
      <c r="D180" s="856">
        <f>IF(VLOOKUP($A$174,B140:G155,5,FALSE)=0,0.00001,VLOOKUP($A$174,B140:G155,5,FALSE))</f>
        <v>1.0000000000000001E-5</v>
      </c>
      <c r="E180" s="856">
        <f>VLOOKUP($A$174,B140:G155,6,FALSE)</f>
        <v>0.12</v>
      </c>
      <c r="F180" s="166"/>
      <c r="G180" s="793"/>
      <c r="H180" s="793"/>
      <c r="I180" s="793"/>
      <c r="J180" s="793"/>
      <c r="K180" s="793"/>
      <c r="L180" s="283"/>
      <c r="M180" s="283"/>
      <c r="N180" s="283"/>
      <c r="O180" s="807"/>
      <c r="P180" s="807"/>
      <c r="Q180" s="807"/>
    </row>
    <row r="181" spans="1:17" ht="13" x14ac:dyDescent="0.3">
      <c r="A181" s="856">
        <f>VLOOKUP(A174,B156:G171,2)</f>
        <v>900</v>
      </c>
      <c r="B181" s="856">
        <f>VLOOKUP(A174,B156:G171,3,FALSE)</f>
        <v>0.03</v>
      </c>
      <c r="C181" s="856" t="str">
        <f>VLOOKUP($A$174,B156:G171,4,FALSE)</f>
        <v>-</v>
      </c>
      <c r="D181" s="856">
        <f>IF(VLOOKUP($A$174,B156:G171,5,FALSE)=0,0.00001,VLOOKUP($A$174,B156:G171,5,FALSE))</f>
        <v>1.0000000000000001E-5</v>
      </c>
      <c r="E181" s="856">
        <f>VLOOKUP($A$174,B156:G171,6,FALSE)</f>
        <v>0.12</v>
      </c>
      <c r="F181" s="166"/>
      <c r="G181" s="793"/>
      <c r="H181" s="793"/>
      <c r="I181" s="793"/>
      <c r="J181" s="793"/>
      <c r="K181" s="793"/>
      <c r="L181" s="283"/>
      <c r="M181" s="283"/>
      <c r="N181" s="283"/>
      <c r="O181" s="807"/>
      <c r="P181" s="807"/>
      <c r="Q181" s="807"/>
    </row>
    <row r="182" spans="1:17" ht="13" x14ac:dyDescent="0.3">
      <c r="A182" s="856">
        <f>VLOOKUP(A174,K92:P107,2)</f>
        <v>1200</v>
      </c>
      <c r="B182" s="856">
        <f>VLOOKUP(A174,K92:P107,3,FALSE)</f>
        <v>0.03</v>
      </c>
      <c r="C182" s="856" t="str">
        <f>VLOOKUP($A$174,K92:P107,4,FALSE)</f>
        <v>-</v>
      </c>
      <c r="D182" s="856">
        <f>IF(VLOOKUP($A$174,K92:P107,5,FALSE)*0,0.00001,VLOOKUP($A$174,K92:P107,5,FALSE))</f>
        <v>0</v>
      </c>
      <c r="E182" s="856">
        <f>VLOOKUP($A$174,K92:P107,6,FALSE)</f>
        <v>0.12</v>
      </c>
      <c r="F182" s="166"/>
      <c r="G182" s="793"/>
      <c r="H182" s="862"/>
      <c r="I182" s="862"/>
      <c r="J182" s="862"/>
      <c r="K182" s="862"/>
      <c r="L182" s="283"/>
      <c r="M182" s="283"/>
      <c r="N182" s="283"/>
      <c r="O182" s="807"/>
      <c r="P182" s="807"/>
      <c r="Q182" s="807"/>
    </row>
    <row r="183" spans="1:17" ht="13" hidden="1" x14ac:dyDescent="0.3">
      <c r="A183" s="856">
        <f>VLOOKUP(A174,K108:P123,2)</f>
        <v>0</v>
      </c>
      <c r="B183" s="856">
        <f>VLOOKUP(A174,K108:P123,3,FALSE)</f>
        <v>0</v>
      </c>
      <c r="C183" s="856" t="str">
        <f>VLOOKUP($A$174,K108:P123,4,FALSE)</f>
        <v>-</v>
      </c>
      <c r="D183" s="856">
        <f>VLOOKUP($A$174,K108:P123,5,FALSE)</f>
        <v>0</v>
      </c>
      <c r="E183" s="856">
        <f>VLOOKUP($A$174,K108:P123,6,FALSE)</f>
        <v>0</v>
      </c>
      <c r="F183" s="166"/>
      <c r="G183" s="793"/>
      <c r="H183" s="862"/>
      <c r="I183" s="862"/>
      <c r="J183" s="862"/>
      <c r="K183" s="862"/>
      <c r="L183" s="283"/>
      <c r="M183" s="283"/>
      <c r="N183" s="283"/>
      <c r="O183" s="807"/>
      <c r="P183" s="807"/>
      <c r="Q183" s="807"/>
    </row>
    <row r="184" spans="1:17" ht="13" hidden="1" x14ac:dyDescent="0.3">
      <c r="A184" s="856">
        <f>VLOOKUP(A174,K124:P139,2)</f>
        <v>0</v>
      </c>
      <c r="B184" s="856">
        <f>VLOOKUP(A174,K124:P139,3,FALSE)</f>
        <v>0</v>
      </c>
      <c r="C184" s="856" t="str">
        <f>VLOOKUP($A$174,K124:P139,4,FALSE)</f>
        <v>-</v>
      </c>
      <c r="D184" s="856">
        <f>VLOOKUP($A$174,K124:P139,5,FALSE)</f>
        <v>0</v>
      </c>
      <c r="E184" s="856">
        <f>VLOOKUP($A$174,K124:P139,6,FALSE)</f>
        <v>0</v>
      </c>
      <c r="F184" s="166"/>
      <c r="G184" s="793"/>
      <c r="H184" s="862"/>
      <c r="I184" s="862"/>
      <c r="J184" s="862"/>
      <c r="K184" s="862"/>
      <c r="L184" s="283"/>
      <c r="M184" s="283"/>
      <c r="N184" s="283"/>
      <c r="O184" s="807"/>
      <c r="P184" s="807"/>
      <c r="Q184" s="807"/>
    </row>
    <row r="185" spans="1:17" ht="13" hidden="1" x14ac:dyDescent="0.3">
      <c r="A185" s="856">
        <f>VLOOKUP(A174,K140:P155,2)</f>
        <v>0</v>
      </c>
      <c r="B185" s="856">
        <f>VLOOKUP(A174,K140:P155,3,FALSE)</f>
        <v>0</v>
      </c>
      <c r="C185" s="856" t="str">
        <f>VLOOKUP($A$174,K140:P155,4,FALSE)</f>
        <v>-</v>
      </c>
      <c r="D185" s="856">
        <f>VLOOKUP($A$174,K140:P155,5,FALSE)</f>
        <v>0</v>
      </c>
      <c r="E185" s="856">
        <f>VLOOKUP($A$174,K140:P155,6,FALSE)</f>
        <v>0</v>
      </c>
      <c r="F185" s="166"/>
      <c r="G185" s="793"/>
      <c r="H185" s="862"/>
      <c r="I185" s="862"/>
      <c r="J185" s="862"/>
      <c r="K185" s="862"/>
      <c r="L185" s="283"/>
      <c r="M185" s="283"/>
      <c r="N185" s="283"/>
      <c r="O185" s="807"/>
      <c r="P185" s="807"/>
      <c r="Q185" s="807"/>
    </row>
    <row r="186" spans="1:17" ht="13.5" thickBot="1" x14ac:dyDescent="0.35">
      <c r="A186" s="863"/>
      <c r="B186" s="845"/>
      <c r="C186" s="845"/>
      <c r="D186" s="845"/>
      <c r="E186" s="845"/>
      <c r="F186" s="166"/>
      <c r="G186" s="793"/>
      <c r="H186" s="862"/>
      <c r="I186" s="862"/>
      <c r="J186" s="862"/>
      <c r="K186" s="862"/>
      <c r="L186" s="283"/>
      <c r="M186" s="283"/>
      <c r="N186" s="283"/>
      <c r="O186" s="807"/>
      <c r="P186" s="807"/>
      <c r="Q186" s="807"/>
    </row>
    <row r="187" spans="1:17" ht="15.5" hidden="1" thickBot="1" x14ac:dyDescent="0.35">
      <c r="A187" s="1459" t="s">
        <v>448</v>
      </c>
      <c r="B187" s="1460"/>
      <c r="C187" s="1460"/>
      <c r="D187" s="1461"/>
      <c r="E187" s="803"/>
      <c r="F187" s="1462" t="s">
        <v>449</v>
      </c>
      <c r="G187" s="1463"/>
      <c r="H187" s="1463"/>
      <c r="I187" s="1464"/>
      <c r="J187" s="283"/>
      <c r="K187" s="170"/>
      <c r="L187" s="864"/>
      <c r="M187" s="864"/>
      <c r="N187" s="865"/>
      <c r="P187" s="807"/>
      <c r="Q187" s="807"/>
    </row>
    <row r="188" spans="1:17" ht="13.5" hidden="1" thickBot="1" x14ac:dyDescent="0.35">
      <c r="A188" s="618"/>
      <c r="B188" s="866">
        <f>IF(A189&lt;=$A$178,$A$177,IF(A189&lt;=$A$179,$A$178,IF(A189&lt;=$A$180,$A$179,IF(A189&lt;=$A$181,$A$180,IF(A189&lt;=$A$182,$A$181,IF(A189&lt;=$A$183,$A$182,IF(A189&lt;=$A$184,$A$183,IF(A189&lt;=$A$185,$A$184))))))))</f>
        <v>300</v>
      </c>
      <c r="C188" s="866"/>
      <c r="D188" s="867">
        <f>IF(A189&lt;=$A$178,$B$177,IF(A189&lt;=$A$179,$B$178,IF(A189&lt;=$A$180,$B$179,IF(A189&lt;=$A$181,$B$180,IF(A189&lt;=$A$182,$B$181,IF(A189&lt;=$A$183,$B$182,IF(A189&lt;=$A$184,$B$183,IF(A189&lt;=$A$185,$B$184))))))))</f>
        <v>0.02</v>
      </c>
      <c r="E188" s="283"/>
      <c r="F188" s="618"/>
      <c r="G188" s="866">
        <f>IF(F189&lt;=$A$178,$A$177,IF(F189&lt;=$A$179,$A$178,IF(F189&lt;=$A$180,$A$179,IF(F189&lt;=$A$181,$A$180,IF(F189&lt;=$A$182,$A$181,IF(F189&lt;=$A$183,$A$182,IF(F189&lt;=$A$184,$A$183,IF(F189&lt;=$A$185,$A$184))))))))</f>
        <v>300</v>
      </c>
      <c r="H188" s="866"/>
      <c r="I188" s="867">
        <f>IF(F189&lt;=$A$178,$D$177,IF(F189&lt;=$A$179,$D$178,IF(F189&lt;=$A$180,$D$179,IF(F189&lt;=$A$181,$D$180,IF(F189&lt;=$A$182,$D$181,IF(F189&lt;=$A$183,$D$182,IF(F189&lt;=$A$184,$D$183,IF(F189&lt;=$A$185,$D$184))))))))</f>
        <v>1.0000000000000001E-5</v>
      </c>
      <c r="J188" s="283"/>
      <c r="K188" s="170"/>
      <c r="L188" s="864"/>
      <c r="M188" s="864"/>
    </row>
    <row r="189" spans="1:17" ht="13.5" hidden="1" thickBot="1" x14ac:dyDescent="0.35">
      <c r="A189" s="621">
        <f>B194</f>
        <v>300.99</v>
      </c>
      <c r="B189" s="866"/>
      <c r="C189" s="868">
        <f>((A189-B188)/(B190-B188)*(D190-D188)+D188)</f>
        <v>0.02</v>
      </c>
      <c r="D189" s="869"/>
      <c r="E189" s="283"/>
      <c r="F189" s="621">
        <f>D194</f>
        <v>301.00615992125984</v>
      </c>
      <c r="G189" s="866"/>
      <c r="H189" s="868">
        <f>((F189-G188)/(G190-G188)*(I190-I188)+I188)</f>
        <v>1.0000000000000001E-5</v>
      </c>
      <c r="I189" s="867"/>
      <c r="J189" s="283"/>
      <c r="K189" s="170"/>
      <c r="L189" s="864"/>
      <c r="M189" s="864"/>
    </row>
    <row r="190" spans="1:17" ht="13.5" hidden="1" thickBot="1" x14ac:dyDescent="0.35">
      <c r="A190" s="870"/>
      <c r="B190" s="871">
        <f>IF(A189&lt;=$A$178,$A$178,IF(A189&lt;=$A$179,$A$179,IF(A189&lt;=$A$180,$A$180,IF(A189&lt;=$A$181,$A$181,IF(A189&lt;=$A$182,$A$182,IF(A189&lt;=$A$183,$A$183,IF(A189&lt;=$A$184,$A$184,IF(A189&lt;=$A$185,$A$185))))))))</f>
        <v>600</v>
      </c>
      <c r="C190" s="871"/>
      <c r="D190" s="872">
        <f>IF(A189&lt;=$A$178,$B$178,IF(A189&lt;=$A$179,$B$179,IF(A189&lt;=$A$180,$B$180,IF(A189&lt;=$A$181,$B$181,IF(A189&lt;=$A$182,$B$182,IF(A189&lt;=$A$183,$B$183,IF(A189&lt;=$A$184,$B$184,IF(A189&lt;=$A$185,$B$185))))))))</f>
        <v>0.02</v>
      </c>
      <c r="E190" s="283"/>
      <c r="F190" s="870"/>
      <c r="G190" s="871">
        <f>IF(F189&lt;=$A$178,$A$178,IF(F189&lt;=$A$179,$A$179,IF(F189&lt;=$A$180,$A$180,IF(F189&lt;=$A$181,$A$181,IF(F189&lt;=$A$182,$A$182,IF(F189&lt;=$A$183,$A$183,IF(F189&lt;=$A$184,$A$184,IF(F189&lt;=$A$185,$A$185))))))))</f>
        <v>600</v>
      </c>
      <c r="H190" s="871"/>
      <c r="I190" s="873">
        <f>IF(F189&lt;=$A$178,$D$178,IF(F189&lt;=$A$179,$D$179,IF(F189&lt;=$A$180,$D$180,IF(F189&lt;=$A$181,$D$181,IF(F189&lt;=$A$182,$D$182,IF(F189&lt;=$A$183,$D$183,IF(F189&lt;=$A$184,$D$184,IF(F189&lt;=$A$185,$D$185))))))))</f>
        <v>1.0000000000000001E-5</v>
      </c>
      <c r="J190" s="283"/>
      <c r="K190" s="170"/>
      <c r="L190" s="864"/>
      <c r="M190" s="864"/>
      <c r="N190" s="865"/>
      <c r="P190" s="807"/>
      <c r="Q190" s="807"/>
    </row>
    <row r="191" spans="1:17" ht="13.5" hidden="1" thickBot="1" x14ac:dyDescent="0.35">
      <c r="A191" s="874"/>
      <c r="B191" s="864"/>
      <c r="C191" s="864"/>
      <c r="D191" s="864"/>
      <c r="E191" s="283"/>
      <c r="F191" s="170"/>
      <c r="G191" s="864"/>
      <c r="H191" s="864"/>
      <c r="I191" s="865"/>
      <c r="J191" s="283"/>
      <c r="K191" s="170"/>
      <c r="L191" s="864"/>
      <c r="M191" s="864"/>
      <c r="N191" s="865"/>
      <c r="P191" s="807"/>
      <c r="Q191" s="807"/>
    </row>
    <row r="192" spans="1:17" ht="13.5" hidden="1" thickBot="1" x14ac:dyDescent="0.35">
      <c r="A192" s="803"/>
      <c r="B192" s="283"/>
      <c r="C192" s="283"/>
      <c r="D192" s="283"/>
      <c r="E192" s="283"/>
      <c r="F192" s="283"/>
      <c r="G192" s="283"/>
      <c r="H192" s="283"/>
      <c r="I192" s="283"/>
      <c r="J192" s="283"/>
      <c r="P192" s="875"/>
      <c r="Q192" s="807"/>
    </row>
    <row r="193" spans="1:24" ht="48.75" customHeight="1" x14ac:dyDescent="0.25">
      <c r="A193" s="876" t="s">
        <v>149</v>
      </c>
      <c r="B193" s="877" t="s">
        <v>396</v>
      </c>
      <c r="C193" s="878" t="s">
        <v>397</v>
      </c>
      <c r="D193" s="877" t="s">
        <v>400</v>
      </c>
      <c r="E193" s="877" t="s">
        <v>94</v>
      </c>
      <c r="F193" s="877" t="s">
        <v>401</v>
      </c>
      <c r="G193" s="877" t="s">
        <v>402</v>
      </c>
      <c r="H193" s="877" t="s">
        <v>95</v>
      </c>
      <c r="I193" s="879" t="s">
        <v>398</v>
      </c>
      <c r="J193" s="880" t="s">
        <v>450</v>
      </c>
      <c r="K193" s="878" t="s">
        <v>451</v>
      </c>
      <c r="L193" s="881"/>
      <c r="M193" s="882"/>
    </row>
    <row r="194" spans="1:24" x14ac:dyDescent="0.25">
      <c r="A194" s="883">
        <v>300</v>
      </c>
      <c r="B194" s="884">
        <f>ID!K72</f>
        <v>300.99</v>
      </c>
      <c r="C194" s="885">
        <f>J177</f>
        <v>1.615992125984252E-2</v>
      </c>
      <c r="D194" s="703">
        <f>B194+C194</f>
        <v>301.00615992125984</v>
      </c>
      <c r="E194" s="884">
        <f>ID!L72</f>
        <v>1.1547005383782014E-2</v>
      </c>
      <c r="F194" s="731">
        <f>A194-D194</f>
        <v>-1.0061599212598367</v>
      </c>
      <c r="G194" s="703">
        <f>(F194/A194)*100</f>
        <v>-0.33538664041994559</v>
      </c>
      <c r="H194" s="706">
        <f>D194-A194</f>
        <v>1.0061599212598367</v>
      </c>
      <c r="I194" s="707">
        <f>(D194-A194)/A194*100</f>
        <v>0.33538664041994559</v>
      </c>
      <c r="J194" s="886">
        <f>0.5*L214</f>
        <v>5.0000000000000001E-3</v>
      </c>
      <c r="K194" s="887">
        <f>Ktps!K75</f>
        <v>2.9970552402014388E-2</v>
      </c>
      <c r="L194" s="888"/>
      <c r="M194" s="889"/>
    </row>
    <row r="195" spans="1:24" ht="13" thickBot="1" x14ac:dyDescent="0.3">
      <c r="A195" s="883">
        <v>600</v>
      </c>
      <c r="B195" s="884">
        <f>ID!K73</f>
        <v>600</v>
      </c>
      <c r="C195" s="885">
        <f>J178</f>
        <v>2.1653543307086614E-2</v>
      </c>
      <c r="D195" s="703">
        <f>B195+C195</f>
        <v>600.02165354330714</v>
      </c>
      <c r="E195" s="884">
        <f>ID!L73</f>
        <v>0</v>
      </c>
      <c r="F195" s="731">
        <f>A195-D195</f>
        <v>-2.1653543307138534E-2</v>
      </c>
      <c r="G195" s="703">
        <f>(F195/A195)*100</f>
        <v>-3.6089238845230893E-3</v>
      </c>
      <c r="H195" s="706">
        <f>D195-A195</f>
        <v>2.1653543307138534E-2</v>
      </c>
      <c r="I195" s="707">
        <f>(D195-A195)/A195*100</f>
        <v>3.6089238845230893E-3</v>
      </c>
      <c r="J195" s="890">
        <f>0.5*L214</f>
        <v>5.0000000000000001E-3</v>
      </c>
      <c r="K195" s="891">
        <f>Ktps!W75</f>
        <v>1.7568917768124793E-2</v>
      </c>
      <c r="L195" s="892">
        <f>L178</f>
        <v>9.5949759374832102E-6</v>
      </c>
      <c r="M195" s="893"/>
      <c r="N195" s="166"/>
    </row>
    <row r="196" spans="1:24" ht="13" thickBot="1" x14ac:dyDescent="0.3"/>
    <row r="197" spans="1:24" ht="15" thickBot="1" x14ac:dyDescent="0.3">
      <c r="A197" s="897" t="str">
        <f>ID!B85</f>
        <v>Stopwatch, Merek : EXTECH, Model : 365535, SN :001382</v>
      </c>
      <c r="B197" s="894"/>
      <c r="C197" s="894"/>
      <c r="D197" s="894"/>
      <c r="E197" s="894"/>
      <c r="F197" s="894"/>
      <c r="G197" s="894"/>
      <c r="H197" s="894"/>
      <c r="I197" s="1465" t="s">
        <v>399</v>
      </c>
      <c r="J197" s="1466"/>
      <c r="K197" s="895"/>
      <c r="L197" s="896" t="s">
        <v>98</v>
      </c>
      <c r="M197" s="897">
        <f>A214</f>
        <v>7</v>
      </c>
      <c r="N197" s="897"/>
      <c r="O197" s="897"/>
      <c r="P197" s="897"/>
      <c r="Q197" s="897"/>
      <c r="R197" s="897"/>
      <c r="S197" s="897"/>
      <c r="T197" s="897"/>
      <c r="U197" s="897"/>
      <c r="V197" s="897"/>
      <c r="W197" s="897"/>
      <c r="X197" s="897"/>
    </row>
    <row r="198" spans="1:24" ht="14" x14ac:dyDescent="0.3">
      <c r="A198" s="897" t="s">
        <v>452</v>
      </c>
      <c r="B198" s="898"/>
      <c r="C198" s="898"/>
      <c r="D198" s="898"/>
      <c r="E198" s="898"/>
      <c r="F198" s="898"/>
      <c r="G198" s="898"/>
      <c r="H198" s="898"/>
      <c r="I198" s="899">
        <f>B5</f>
        <v>2016</v>
      </c>
      <c r="J198" s="899">
        <f>C5</f>
        <v>2015</v>
      </c>
      <c r="K198" s="900">
        <v>1</v>
      </c>
      <c r="L198" s="901">
        <v>0.01</v>
      </c>
      <c r="M198" s="902">
        <v>1</v>
      </c>
      <c r="N198" s="733" t="s">
        <v>453</v>
      </c>
      <c r="O198" s="734"/>
      <c r="P198" s="734"/>
      <c r="Q198" s="734"/>
      <c r="R198" s="734"/>
      <c r="S198" s="734"/>
      <c r="T198" s="734"/>
      <c r="U198" s="734"/>
      <c r="V198" s="734"/>
      <c r="W198" s="734"/>
      <c r="X198" s="735"/>
    </row>
    <row r="199" spans="1:24" ht="14" x14ac:dyDescent="0.3">
      <c r="A199" s="897" t="s">
        <v>454</v>
      </c>
      <c r="B199" s="903"/>
      <c r="C199" s="903"/>
      <c r="D199" s="903"/>
      <c r="E199" s="903"/>
      <c r="F199" s="903"/>
      <c r="G199" s="903"/>
      <c r="H199" s="903"/>
      <c r="I199" s="124">
        <f>H5</f>
        <v>2018</v>
      </c>
      <c r="J199" s="124">
        <f>I5</f>
        <v>2017</v>
      </c>
      <c r="K199" s="904">
        <v>2</v>
      </c>
      <c r="L199" s="901">
        <v>0.01</v>
      </c>
      <c r="M199" s="902">
        <v>2</v>
      </c>
      <c r="N199" s="733" t="s">
        <v>453</v>
      </c>
      <c r="O199" s="734"/>
      <c r="P199" s="734"/>
      <c r="Q199" s="734"/>
      <c r="R199" s="734"/>
      <c r="S199" s="734"/>
      <c r="T199" s="734"/>
      <c r="U199" s="734"/>
      <c r="V199" s="734"/>
      <c r="W199" s="734"/>
      <c r="X199" s="735"/>
    </row>
    <row r="200" spans="1:24" ht="14" x14ac:dyDescent="0.3">
      <c r="A200" s="897"/>
      <c r="B200" s="905"/>
      <c r="C200" s="905"/>
      <c r="D200" s="905"/>
      <c r="E200" s="905"/>
      <c r="F200" s="905"/>
      <c r="G200" s="905"/>
      <c r="H200" s="905"/>
      <c r="I200" s="124">
        <f>N5</f>
        <v>2018</v>
      </c>
      <c r="J200" s="124">
        <f>O5</f>
        <v>2017</v>
      </c>
      <c r="K200" s="900">
        <v>3</v>
      </c>
      <c r="L200" s="901">
        <v>0.01</v>
      </c>
      <c r="M200" s="902">
        <v>3</v>
      </c>
      <c r="N200" s="733" t="s">
        <v>453</v>
      </c>
      <c r="O200" s="734"/>
      <c r="P200" s="734"/>
      <c r="Q200" s="734"/>
      <c r="R200" s="734"/>
      <c r="S200" s="734"/>
      <c r="T200" s="734"/>
      <c r="U200" s="734"/>
      <c r="V200" s="734"/>
      <c r="W200" s="734"/>
      <c r="X200" s="735"/>
    </row>
    <row r="201" spans="1:24" ht="14" x14ac:dyDescent="0.3">
      <c r="A201" s="906" t="s">
        <v>455</v>
      </c>
      <c r="B201" s="905"/>
      <c r="C201" s="905"/>
      <c r="D201" s="905"/>
      <c r="E201" s="905"/>
      <c r="F201" s="905"/>
      <c r="G201" s="905"/>
      <c r="H201" s="905"/>
      <c r="I201" s="124">
        <f>B18</f>
        <v>2019</v>
      </c>
      <c r="J201" s="124">
        <f>C18</f>
        <v>2018</v>
      </c>
      <c r="K201" s="904">
        <v>4</v>
      </c>
      <c r="L201" s="901">
        <v>0.01</v>
      </c>
      <c r="M201" s="902">
        <v>4</v>
      </c>
      <c r="N201" s="733" t="s">
        <v>456</v>
      </c>
      <c r="O201" s="734"/>
      <c r="P201" s="734"/>
      <c r="Q201" s="734"/>
      <c r="R201" s="734"/>
      <c r="S201" s="734"/>
      <c r="T201" s="734"/>
      <c r="U201" s="734"/>
      <c r="V201" s="734"/>
      <c r="W201" s="734"/>
      <c r="X201" s="735"/>
    </row>
    <row r="202" spans="1:24" ht="14" x14ac:dyDescent="0.3">
      <c r="A202" s="906" t="s">
        <v>457</v>
      </c>
      <c r="B202" s="905"/>
      <c r="C202" s="905"/>
      <c r="D202" s="905"/>
      <c r="E202" s="905"/>
      <c r="F202" s="905"/>
      <c r="G202" s="905"/>
      <c r="H202" s="905"/>
      <c r="I202" s="124">
        <f>H18</f>
        <v>2020</v>
      </c>
      <c r="J202" s="124" t="str">
        <f>I18</f>
        <v>-</v>
      </c>
      <c r="K202" s="900">
        <v>5</v>
      </c>
      <c r="L202" s="901">
        <v>0.01</v>
      </c>
      <c r="M202" s="902">
        <v>5</v>
      </c>
      <c r="N202" s="733" t="s">
        <v>458</v>
      </c>
      <c r="O202" s="734"/>
      <c r="P202" s="734"/>
      <c r="Q202" s="734"/>
      <c r="R202" s="734"/>
      <c r="S202" s="734"/>
      <c r="T202" s="734"/>
      <c r="U202" s="734"/>
      <c r="V202" s="734"/>
      <c r="W202" s="734"/>
      <c r="X202" s="735"/>
    </row>
    <row r="203" spans="1:24" ht="14" x14ac:dyDescent="0.3">
      <c r="A203" s="906" t="s">
        <v>459</v>
      </c>
      <c r="B203" s="905"/>
      <c r="C203" s="905"/>
      <c r="D203" s="905"/>
      <c r="E203" s="905"/>
      <c r="F203" s="905"/>
      <c r="G203" s="905"/>
      <c r="H203" s="905"/>
      <c r="I203" s="124">
        <f>N18</f>
        <v>2020</v>
      </c>
      <c r="J203" s="124" t="str">
        <f>O18</f>
        <v>-</v>
      </c>
      <c r="K203" s="904">
        <v>6</v>
      </c>
      <c r="L203" s="901">
        <v>0.01</v>
      </c>
      <c r="M203" s="902">
        <v>6</v>
      </c>
      <c r="N203" s="733" t="s">
        <v>458</v>
      </c>
      <c r="O203" s="734"/>
      <c r="P203" s="734"/>
      <c r="Q203" s="734"/>
      <c r="R203" s="734"/>
      <c r="S203" s="734"/>
      <c r="T203" s="734"/>
      <c r="U203" s="734"/>
      <c r="V203" s="734"/>
      <c r="W203" s="734"/>
      <c r="X203" s="735"/>
    </row>
    <row r="204" spans="1:24" ht="14" x14ac:dyDescent="0.3">
      <c r="A204" s="906" t="s">
        <v>460</v>
      </c>
      <c r="B204" s="905"/>
      <c r="C204" s="905"/>
      <c r="D204" s="905"/>
      <c r="E204" s="905"/>
      <c r="F204" s="905"/>
      <c r="G204" s="905"/>
      <c r="H204" s="905"/>
      <c r="I204" s="124">
        <f>B32</f>
        <v>2020</v>
      </c>
      <c r="J204" s="124" t="str">
        <f>C32</f>
        <v>-</v>
      </c>
      <c r="K204" s="900">
        <v>7</v>
      </c>
      <c r="L204" s="901">
        <v>0.01</v>
      </c>
      <c r="M204" s="902">
        <v>7</v>
      </c>
      <c r="N204" s="733" t="s">
        <v>458</v>
      </c>
      <c r="O204" s="734"/>
      <c r="P204" s="734"/>
      <c r="Q204" s="734"/>
      <c r="R204" s="734"/>
      <c r="S204" s="734"/>
      <c r="T204" s="734"/>
      <c r="U204" s="734"/>
      <c r="V204" s="734"/>
      <c r="W204" s="734"/>
      <c r="X204" s="735"/>
    </row>
    <row r="205" spans="1:24" ht="14" x14ac:dyDescent="0.3">
      <c r="A205" s="906" t="s">
        <v>461</v>
      </c>
      <c r="B205" s="905"/>
      <c r="C205" s="905"/>
      <c r="D205" s="905"/>
      <c r="E205" s="905"/>
      <c r="F205" s="905"/>
      <c r="G205" s="905"/>
      <c r="H205" s="905"/>
      <c r="I205" s="124">
        <f>H32</f>
        <v>2020</v>
      </c>
      <c r="J205" s="124" t="str">
        <f>I32</f>
        <v>-</v>
      </c>
      <c r="K205" s="904">
        <v>8</v>
      </c>
      <c r="L205" s="901">
        <v>0.01</v>
      </c>
      <c r="M205" s="902">
        <v>8</v>
      </c>
      <c r="N205" s="733" t="s">
        <v>458</v>
      </c>
      <c r="O205" s="734"/>
      <c r="P205" s="734"/>
      <c r="Q205" s="734"/>
      <c r="R205" s="734"/>
      <c r="S205" s="734"/>
      <c r="T205" s="734"/>
      <c r="U205" s="734"/>
      <c r="V205" s="734"/>
      <c r="W205" s="734"/>
      <c r="X205" s="735"/>
    </row>
    <row r="206" spans="1:24" ht="14" x14ac:dyDescent="0.3">
      <c r="A206" s="906" t="s">
        <v>462</v>
      </c>
      <c r="B206" s="905"/>
      <c r="C206" s="905"/>
      <c r="D206" s="905"/>
      <c r="E206" s="905"/>
      <c r="F206" s="905"/>
      <c r="G206" s="905"/>
      <c r="H206" s="905"/>
      <c r="I206" s="124">
        <f>B45</f>
        <v>2020</v>
      </c>
      <c r="J206" s="124" t="str">
        <f>O32</f>
        <v>-</v>
      </c>
      <c r="K206" s="900">
        <v>9</v>
      </c>
      <c r="L206" s="901">
        <v>0.01</v>
      </c>
      <c r="M206" s="902">
        <v>9</v>
      </c>
      <c r="N206" s="733" t="s">
        <v>458</v>
      </c>
      <c r="O206" s="734"/>
      <c r="P206" s="734"/>
      <c r="Q206" s="734"/>
      <c r="R206" s="734"/>
      <c r="S206" s="734"/>
      <c r="T206" s="734"/>
      <c r="U206" s="734"/>
      <c r="V206" s="734"/>
      <c r="W206" s="734"/>
      <c r="X206" s="735"/>
    </row>
    <row r="207" spans="1:24" ht="14" x14ac:dyDescent="0.3">
      <c r="A207" s="906" t="s">
        <v>463</v>
      </c>
      <c r="B207" s="905"/>
      <c r="C207" s="905"/>
      <c r="D207" s="905"/>
      <c r="E207" s="905"/>
      <c r="F207" s="905"/>
      <c r="G207" s="905"/>
      <c r="H207" s="905"/>
      <c r="I207" s="124">
        <f>B45</f>
        <v>2020</v>
      </c>
      <c r="J207" s="124" t="str">
        <f>C45</f>
        <v>-</v>
      </c>
      <c r="K207" s="904">
        <v>10</v>
      </c>
      <c r="L207" s="901">
        <v>0.01</v>
      </c>
      <c r="M207" s="902">
        <v>10</v>
      </c>
      <c r="N207" s="733" t="s">
        <v>458</v>
      </c>
      <c r="O207" s="734"/>
      <c r="P207" s="734"/>
      <c r="Q207" s="734"/>
      <c r="R207" s="734"/>
      <c r="S207" s="734"/>
      <c r="T207" s="734"/>
      <c r="U207" s="734"/>
      <c r="V207" s="734"/>
      <c r="W207" s="734"/>
      <c r="X207" s="735"/>
    </row>
    <row r="208" spans="1:24" ht="14" x14ac:dyDescent="0.3">
      <c r="A208" s="906" t="s">
        <v>464</v>
      </c>
      <c r="B208" s="905"/>
      <c r="C208" s="905"/>
      <c r="D208" s="905"/>
      <c r="E208" s="905"/>
      <c r="F208" s="905"/>
      <c r="G208" s="905"/>
      <c r="H208" s="905"/>
      <c r="I208" s="124">
        <f>H45</f>
        <v>2020</v>
      </c>
      <c r="J208" s="907" t="str">
        <f>I45</f>
        <v>-</v>
      </c>
      <c r="K208" s="900">
        <v>11</v>
      </c>
      <c r="L208" s="901">
        <v>0.01</v>
      </c>
      <c r="M208" s="902">
        <v>11</v>
      </c>
      <c r="N208" s="733" t="s">
        <v>458</v>
      </c>
      <c r="O208" s="734"/>
      <c r="P208" s="734"/>
      <c r="Q208" s="734"/>
      <c r="R208" s="734"/>
      <c r="S208" s="734"/>
      <c r="T208" s="734"/>
      <c r="U208" s="734"/>
      <c r="V208" s="734"/>
      <c r="W208" s="734"/>
      <c r="X208" s="735"/>
    </row>
    <row r="209" spans="1:24" ht="14" x14ac:dyDescent="0.3">
      <c r="A209" s="906" t="s">
        <v>465</v>
      </c>
      <c r="B209" s="905"/>
      <c r="C209" s="905"/>
      <c r="D209" s="905"/>
      <c r="E209" s="905"/>
      <c r="F209" s="905"/>
      <c r="G209" s="905"/>
      <c r="H209" s="905"/>
      <c r="I209" s="124">
        <f>N45</f>
        <v>2020</v>
      </c>
      <c r="J209" s="124" t="str">
        <f>O45</f>
        <v>-</v>
      </c>
      <c r="K209" s="900">
        <v>12</v>
      </c>
      <c r="L209" s="901">
        <v>0.01</v>
      </c>
      <c r="M209" s="902">
        <v>12</v>
      </c>
      <c r="N209" s="733" t="s">
        <v>458</v>
      </c>
      <c r="O209" s="734"/>
      <c r="P209" s="734"/>
      <c r="Q209" s="734"/>
      <c r="R209" s="734"/>
      <c r="S209" s="734"/>
      <c r="T209" s="734"/>
      <c r="U209" s="734"/>
      <c r="V209" s="734"/>
      <c r="W209" s="734"/>
      <c r="X209" s="735"/>
    </row>
    <row r="210" spans="1:24" ht="14" x14ac:dyDescent="0.3">
      <c r="A210" s="906" t="s">
        <v>466</v>
      </c>
      <c r="B210" s="905"/>
      <c r="C210" s="905"/>
      <c r="D210" s="905"/>
      <c r="E210" s="905"/>
      <c r="F210" s="905"/>
      <c r="G210" s="905"/>
      <c r="H210" s="905"/>
      <c r="I210" s="124">
        <f>B58</f>
        <v>2020</v>
      </c>
      <c r="J210" s="124" t="str">
        <f>C58</f>
        <v>-</v>
      </c>
      <c r="K210" s="900">
        <v>13</v>
      </c>
      <c r="L210" s="901">
        <v>0.01</v>
      </c>
      <c r="M210" s="902">
        <v>13</v>
      </c>
      <c r="N210" s="733" t="s">
        <v>458</v>
      </c>
      <c r="O210" s="734"/>
      <c r="P210" s="734"/>
      <c r="Q210" s="734"/>
      <c r="R210" s="734"/>
      <c r="S210" s="734"/>
      <c r="T210" s="734"/>
      <c r="U210" s="734"/>
      <c r="V210" s="734"/>
      <c r="W210" s="734"/>
      <c r="X210" s="735"/>
    </row>
    <row r="211" spans="1:24" ht="14" x14ac:dyDescent="0.3">
      <c r="A211" s="906" t="s">
        <v>467</v>
      </c>
      <c r="B211" s="905"/>
      <c r="C211" s="905"/>
      <c r="D211" s="905"/>
      <c r="E211" s="905"/>
      <c r="F211" s="905"/>
      <c r="G211" s="905"/>
      <c r="H211" s="905"/>
      <c r="I211" s="124">
        <f>H58</f>
        <v>2020</v>
      </c>
      <c r="J211" s="124" t="str">
        <f>I58</f>
        <v>-</v>
      </c>
      <c r="K211" s="900">
        <v>14</v>
      </c>
      <c r="L211" s="901">
        <v>0.01</v>
      </c>
      <c r="M211" s="902">
        <v>14</v>
      </c>
      <c r="N211" s="733" t="s">
        <v>458</v>
      </c>
      <c r="O211" s="734"/>
      <c r="P211" s="734"/>
      <c r="Q211" s="734"/>
      <c r="R211" s="734"/>
      <c r="S211" s="734"/>
      <c r="T211" s="734"/>
      <c r="U211" s="734"/>
      <c r="V211" s="734"/>
      <c r="W211" s="734"/>
      <c r="X211" s="735"/>
    </row>
    <row r="212" spans="1:24" ht="14" x14ac:dyDescent="0.3">
      <c r="A212" s="906" t="s">
        <v>468</v>
      </c>
      <c r="B212" s="905"/>
      <c r="C212" s="905"/>
      <c r="D212" s="905"/>
      <c r="E212" s="905"/>
      <c r="F212" s="905"/>
      <c r="G212" s="905"/>
      <c r="H212" s="905"/>
      <c r="I212" s="124">
        <v>2020</v>
      </c>
      <c r="J212" s="124" t="str">
        <f>I59</f>
        <v>-</v>
      </c>
      <c r="K212" s="900">
        <v>15</v>
      </c>
      <c r="L212" s="901">
        <v>0.01</v>
      </c>
      <c r="M212" s="902">
        <v>15</v>
      </c>
      <c r="N212" s="733" t="s">
        <v>458</v>
      </c>
      <c r="W212" s="734"/>
      <c r="X212" s="735"/>
    </row>
    <row r="213" spans="1:24" ht="14.5" thickBot="1" x14ac:dyDescent="0.35">
      <c r="A213" s="906" t="s">
        <v>469</v>
      </c>
      <c r="B213" s="905"/>
      <c r="C213" s="905"/>
      <c r="D213" s="905"/>
      <c r="E213" s="905"/>
      <c r="F213" s="905"/>
      <c r="G213" s="905"/>
      <c r="H213" s="905"/>
      <c r="I213" s="124">
        <v>2020</v>
      </c>
      <c r="J213" s="124" t="str">
        <f>O59</f>
        <v>-</v>
      </c>
      <c r="K213" s="904">
        <v>16</v>
      </c>
      <c r="L213" s="908">
        <v>0.01</v>
      </c>
      <c r="M213" s="909">
        <v>16</v>
      </c>
      <c r="N213" s="801" t="s">
        <v>458</v>
      </c>
      <c r="O213" s="737"/>
      <c r="P213" s="737"/>
      <c r="Q213" s="737"/>
      <c r="R213" s="737"/>
      <c r="S213" s="737"/>
      <c r="T213" s="737"/>
      <c r="U213" s="737"/>
      <c r="V213" s="737"/>
      <c r="W213" s="737"/>
      <c r="X213" s="738"/>
    </row>
    <row r="214" spans="1:24" ht="14.5" thickBot="1" x14ac:dyDescent="0.3">
      <c r="A214" s="906">
        <f>VLOOKUP(A197,A198:K213,11,(FALSE))</f>
        <v>7</v>
      </c>
      <c r="B214" s="906"/>
      <c r="C214" s="906"/>
      <c r="D214" s="906"/>
      <c r="E214" s="906"/>
      <c r="F214" s="906"/>
      <c r="G214" s="906"/>
      <c r="H214" s="906"/>
      <c r="I214" s="906"/>
      <c r="J214" s="906"/>
      <c r="K214" s="906"/>
      <c r="L214" s="910">
        <f>VLOOKUP(A197,A198:L213,12,(FALSE))</f>
        <v>0.01</v>
      </c>
      <c r="M214" s="1452" t="str">
        <f>IF(M197=4,N201,IF(M197=M198,N198,IF(M197=M199,N199,IF(M197=M200,N200,N202))))</f>
        <v>Hasil kalibrasi Waktu Therapy tertelusur ke Satuan Internasional ( SI ) melalui PT KALIMAN (LK-032-IDN)</v>
      </c>
      <c r="N214" s="1453"/>
      <c r="O214" s="1453"/>
      <c r="P214" s="1453"/>
      <c r="Q214" s="1453"/>
      <c r="R214" s="1453"/>
      <c r="S214" s="1453"/>
      <c r="T214" s="1453"/>
      <c r="U214" s="1453"/>
      <c r="V214" s="1453"/>
      <c r="W214" s="1453"/>
      <c r="X214" s="1454"/>
    </row>
    <row r="215" spans="1:24" ht="14.5" x14ac:dyDescent="0.35">
      <c r="A215" s="911"/>
      <c r="B215" s="912"/>
      <c r="C215" s="283"/>
      <c r="D215" s="283"/>
      <c r="E215" s="283"/>
      <c r="F215" s="283"/>
      <c r="G215" s="166"/>
      <c r="H215" s="166"/>
      <c r="I215" s="166"/>
      <c r="J215" s="166"/>
      <c r="K215" s="911"/>
      <c r="L215" s="166"/>
    </row>
    <row r="216" spans="1:24" ht="14" x14ac:dyDescent="0.25">
      <c r="A216" s="906"/>
    </row>
  </sheetData>
  <mergeCells count="104">
    <mergeCell ref="Q3:Q5"/>
    <mergeCell ref="B4:C4"/>
    <mergeCell ref="H4:I4"/>
    <mergeCell ref="N4:O4"/>
    <mergeCell ref="A15:E15"/>
    <mergeCell ref="G15:K15"/>
    <mergeCell ref="M15:Q15"/>
    <mergeCell ref="A2:Q2"/>
    <mergeCell ref="A3:C3"/>
    <mergeCell ref="D3:D5"/>
    <mergeCell ref="E3:E5"/>
    <mergeCell ref="F3:F27"/>
    <mergeCell ref="G3:I3"/>
    <mergeCell ref="J3:J5"/>
    <mergeCell ref="K3:K5"/>
    <mergeCell ref="M3:O3"/>
    <mergeCell ref="P3:P5"/>
    <mergeCell ref="M16:O16"/>
    <mergeCell ref="P16:P18"/>
    <mergeCell ref="Q16:Q18"/>
    <mergeCell ref="B17:C17"/>
    <mergeCell ref="H17:I17"/>
    <mergeCell ref="N17:O17"/>
    <mergeCell ref="A16:C16"/>
    <mergeCell ref="D16:D18"/>
    <mergeCell ref="E16:E18"/>
    <mergeCell ref="G16:I16"/>
    <mergeCell ref="J16:J18"/>
    <mergeCell ref="K16:K18"/>
    <mergeCell ref="K30:K32"/>
    <mergeCell ref="M30:O30"/>
    <mergeCell ref="P30:P32"/>
    <mergeCell ref="Q30:Q32"/>
    <mergeCell ref="B31:C31"/>
    <mergeCell ref="H31:I31"/>
    <mergeCell ref="N31:O31"/>
    <mergeCell ref="A30:C30"/>
    <mergeCell ref="D30:D32"/>
    <mergeCell ref="E30:E32"/>
    <mergeCell ref="F30:F54"/>
    <mergeCell ref="G30:I30"/>
    <mergeCell ref="J30:J32"/>
    <mergeCell ref="A42:E42"/>
    <mergeCell ref="G42:K42"/>
    <mergeCell ref="A43:C43"/>
    <mergeCell ref="D43:D45"/>
    <mergeCell ref="M56:O56"/>
    <mergeCell ref="P56:P58"/>
    <mergeCell ref="Q56:Q58"/>
    <mergeCell ref="B57:C57"/>
    <mergeCell ref="H57:I57"/>
    <mergeCell ref="N57:O57"/>
    <mergeCell ref="Q43:Q45"/>
    <mergeCell ref="B44:C44"/>
    <mergeCell ref="H44:I44"/>
    <mergeCell ref="N44:O44"/>
    <mergeCell ref="A56:C56"/>
    <mergeCell ref="D56:D58"/>
    <mergeCell ref="E56:E58"/>
    <mergeCell ref="G56:I56"/>
    <mergeCell ref="J56:J58"/>
    <mergeCell ref="K56:K58"/>
    <mergeCell ref="E43:E45"/>
    <mergeCell ref="G43:I43"/>
    <mergeCell ref="J43:J45"/>
    <mergeCell ref="K43:K45"/>
    <mergeCell ref="M43:O43"/>
    <mergeCell ref="P43:P45"/>
    <mergeCell ref="A69:C69"/>
    <mergeCell ref="D69:D71"/>
    <mergeCell ref="E69:E71"/>
    <mergeCell ref="B70:C70"/>
    <mergeCell ref="A86:Q86"/>
    <mergeCell ref="A89:A91"/>
    <mergeCell ref="B89:B91"/>
    <mergeCell ref="C89:C90"/>
    <mergeCell ref="D89:E90"/>
    <mergeCell ref="G89:G91"/>
    <mergeCell ref="Q89:Q91"/>
    <mergeCell ref="A92:A107"/>
    <mergeCell ref="J92:J107"/>
    <mergeCell ref="A108:A123"/>
    <mergeCell ref="J108:J117"/>
    <mergeCell ref="A124:A139"/>
    <mergeCell ref="J124:J133"/>
    <mergeCell ref="H89:H91"/>
    <mergeCell ref="J89:J91"/>
    <mergeCell ref="K89:K91"/>
    <mergeCell ref="L89:L90"/>
    <mergeCell ref="M89:N90"/>
    <mergeCell ref="P89:P91"/>
    <mergeCell ref="M214:X214"/>
    <mergeCell ref="K174:K176"/>
    <mergeCell ref="B175:C175"/>
    <mergeCell ref="E175:E176"/>
    <mergeCell ref="A187:D187"/>
    <mergeCell ref="F187:I187"/>
    <mergeCell ref="I197:J197"/>
    <mergeCell ref="A140:A155"/>
    <mergeCell ref="J140:J149"/>
    <mergeCell ref="A156:A171"/>
    <mergeCell ref="B174:E174"/>
    <mergeCell ref="I174:I176"/>
    <mergeCell ref="J174:J176"/>
  </mergeCells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9"/>
  <sheetViews>
    <sheetView showGridLines="0" view="pageBreakPreview" topLeftCell="A74" zoomScaleNormal="100" zoomScaleSheetLayoutView="100" zoomScalePageLayoutView="80" workbookViewId="0">
      <selection activeCell="B87" sqref="B87"/>
    </sheetView>
  </sheetViews>
  <sheetFormatPr defaultColWidth="9.26953125" defaultRowHeight="13" x14ac:dyDescent="0.25"/>
  <cols>
    <col min="1" max="1" width="4.54296875" style="9" customWidth="1"/>
    <col min="2" max="2" width="5" style="9" customWidth="1"/>
    <col min="3" max="3" width="18.54296875" style="9" customWidth="1"/>
    <col min="4" max="4" width="9.7265625" style="9" customWidth="1"/>
    <col min="5" max="5" width="9.26953125" style="9" customWidth="1"/>
    <col min="6" max="7" width="10.81640625" style="9" customWidth="1"/>
    <col min="8" max="8" width="9.54296875" style="9" customWidth="1"/>
    <col min="9" max="9" width="10.1796875" style="9" customWidth="1"/>
    <col min="10" max="10" width="10.453125" style="9" customWidth="1"/>
    <col min="11" max="11" width="11.453125" style="9" customWidth="1"/>
    <col min="12" max="12" width="2.453125" style="9" customWidth="1"/>
    <col min="13" max="13" width="2.7265625" style="9" customWidth="1"/>
    <col min="14" max="14" width="14.54296875" style="9" customWidth="1"/>
    <col min="15" max="15" width="12.7265625" style="9" customWidth="1"/>
    <col min="16" max="16" width="13" style="9" customWidth="1"/>
    <col min="17" max="16384" width="9.26953125" style="9"/>
  </cols>
  <sheetData>
    <row r="1" spans="1:16" ht="18.5" x14ac:dyDescent="0.25">
      <c r="A1" s="1554" t="s">
        <v>499</v>
      </c>
      <c r="B1" s="1554"/>
      <c r="C1" s="1554"/>
      <c r="D1" s="1554"/>
      <c r="E1" s="1554"/>
      <c r="F1" s="1554"/>
      <c r="G1" s="1554"/>
      <c r="H1" s="1554"/>
      <c r="I1" s="1554"/>
      <c r="J1" s="1554"/>
      <c r="K1" s="1554"/>
      <c r="L1" s="1554"/>
      <c r="M1" s="148"/>
      <c r="N1" s="70"/>
      <c r="O1" s="70"/>
      <c r="P1" s="70"/>
    </row>
    <row r="2" spans="1:16" ht="17" x14ac:dyDescent="0.25">
      <c r="A2" s="1559" t="s">
        <v>567</v>
      </c>
      <c r="B2" s="1559"/>
      <c r="C2" s="1559"/>
      <c r="D2" s="1559"/>
      <c r="E2" s="1559"/>
      <c r="F2" s="1559"/>
      <c r="G2" s="1559"/>
      <c r="H2" s="1559"/>
      <c r="I2" s="1559"/>
      <c r="J2" s="1559"/>
      <c r="K2" s="1559"/>
      <c r="L2" s="1559"/>
      <c r="M2" s="149"/>
      <c r="N2" s="71"/>
      <c r="O2" s="71"/>
      <c r="P2" s="71"/>
    </row>
    <row r="3" spans="1:16" ht="15.75" customHeight="1" x14ac:dyDescent="0.25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6" ht="16.149999999999999" customHeight="1" x14ac:dyDescent="0.25">
      <c r="A4" s="12" t="s">
        <v>0</v>
      </c>
      <c r="B4" s="12"/>
      <c r="C4" s="12"/>
      <c r="D4" s="13" t="s">
        <v>1</v>
      </c>
      <c r="E4" s="14"/>
      <c r="F4" s="14"/>
      <c r="G4" s="13"/>
      <c r="H4" s="13"/>
      <c r="I4" s="13"/>
      <c r="J4" s="12"/>
      <c r="K4" s="12"/>
      <c r="L4" s="12"/>
      <c r="M4" s="12"/>
      <c r="N4" s="12"/>
      <c r="O4" s="12"/>
      <c r="P4" s="12"/>
    </row>
    <row r="5" spans="1:16" ht="16.149999999999999" customHeight="1" x14ac:dyDescent="0.25">
      <c r="A5" s="12" t="s">
        <v>2</v>
      </c>
      <c r="B5" s="12"/>
      <c r="C5" s="12"/>
      <c r="D5" s="15" t="s">
        <v>1</v>
      </c>
      <c r="E5" s="14"/>
      <c r="F5" s="16"/>
      <c r="G5" s="15"/>
      <c r="H5" s="15"/>
      <c r="I5" s="15"/>
      <c r="J5" s="12"/>
      <c r="K5" s="12"/>
      <c r="L5" s="12"/>
      <c r="M5" s="12"/>
      <c r="N5" s="12"/>
      <c r="O5" s="12"/>
      <c r="P5" s="12"/>
    </row>
    <row r="6" spans="1:16" ht="16.149999999999999" customHeight="1" x14ac:dyDescent="0.25">
      <c r="A6" s="12" t="s">
        <v>3</v>
      </c>
      <c r="B6" s="12"/>
      <c r="C6" s="12"/>
      <c r="D6" s="15" t="s">
        <v>1</v>
      </c>
      <c r="E6" s="14"/>
      <c r="F6" s="1561"/>
      <c r="G6" s="1561"/>
      <c r="H6" s="15"/>
      <c r="I6" s="15"/>
      <c r="J6" s="12"/>
      <c r="K6" s="12"/>
      <c r="L6" s="12"/>
      <c r="M6" s="12"/>
      <c r="N6" s="12"/>
      <c r="O6" s="12"/>
      <c r="P6" s="12"/>
    </row>
    <row r="7" spans="1:16" ht="16.149999999999999" customHeight="1" x14ac:dyDescent="0.25">
      <c r="A7" s="12" t="s">
        <v>4</v>
      </c>
      <c r="B7" s="12"/>
      <c r="C7" s="12"/>
      <c r="D7" s="15" t="s">
        <v>1</v>
      </c>
      <c r="E7" s="14"/>
      <c r="F7" s="16"/>
      <c r="G7" s="16"/>
      <c r="H7" s="15"/>
      <c r="I7" s="15"/>
      <c r="J7" s="12"/>
      <c r="K7" s="12"/>
      <c r="L7" s="12"/>
      <c r="M7" s="12"/>
      <c r="N7" s="12"/>
      <c r="O7" s="12"/>
      <c r="P7" s="12"/>
    </row>
    <row r="8" spans="1:16" ht="16.149999999999999" customHeight="1" x14ac:dyDescent="0.25">
      <c r="A8" s="12" t="s">
        <v>5</v>
      </c>
      <c r="B8" s="12"/>
      <c r="C8" s="12"/>
      <c r="D8" s="15" t="s">
        <v>1</v>
      </c>
      <c r="E8" s="14"/>
      <c r="F8" s="17"/>
      <c r="G8" s="15"/>
      <c r="H8" s="15"/>
      <c r="I8" s="15"/>
      <c r="J8" s="12"/>
      <c r="K8" s="12"/>
      <c r="L8" s="12"/>
      <c r="M8" s="12"/>
      <c r="N8" s="12"/>
      <c r="O8" s="12"/>
      <c r="P8" s="12"/>
    </row>
    <row r="9" spans="1:16" ht="16.149999999999999" customHeight="1" x14ac:dyDescent="0.25">
      <c r="A9" s="12" t="s">
        <v>6</v>
      </c>
      <c r="B9" s="12"/>
      <c r="C9" s="12"/>
      <c r="D9" s="15" t="s">
        <v>1</v>
      </c>
      <c r="E9" s="14"/>
      <c r="F9" s="16"/>
      <c r="G9" s="15"/>
      <c r="H9" s="15"/>
      <c r="I9" s="15"/>
      <c r="J9" s="12"/>
      <c r="K9" s="12"/>
      <c r="L9" s="12"/>
      <c r="M9" s="12"/>
      <c r="N9" s="12"/>
      <c r="P9" s="12"/>
    </row>
    <row r="10" spans="1:16" ht="16.149999999999999" customHeight="1" x14ac:dyDescent="0.25">
      <c r="A10" s="12" t="s">
        <v>7</v>
      </c>
      <c r="B10" s="12"/>
      <c r="C10" s="12"/>
      <c r="D10" s="15" t="s">
        <v>1</v>
      </c>
      <c r="E10" s="14"/>
      <c r="F10" s="16"/>
      <c r="G10" s="15"/>
      <c r="H10" s="15"/>
      <c r="I10" s="15"/>
      <c r="J10" s="12"/>
      <c r="K10" s="12"/>
      <c r="L10" s="12"/>
      <c r="M10" s="12"/>
      <c r="N10" s="12"/>
      <c r="O10" s="12"/>
      <c r="P10" s="12"/>
    </row>
    <row r="11" spans="1:16" ht="16.149999999999999" customHeight="1" x14ac:dyDescent="0.25">
      <c r="A11" s="12" t="s">
        <v>8</v>
      </c>
      <c r="B11" s="12"/>
      <c r="C11" s="12"/>
      <c r="D11" s="85" t="s">
        <v>550</v>
      </c>
      <c r="F11" s="86"/>
      <c r="G11" s="85"/>
      <c r="H11" s="85"/>
      <c r="I11" s="85"/>
      <c r="J11" s="12"/>
      <c r="K11" s="12"/>
      <c r="L11" s="12"/>
      <c r="M11" s="12"/>
      <c r="N11" s="12"/>
      <c r="O11" s="12"/>
      <c r="P11" s="12"/>
    </row>
    <row r="12" spans="1:16" ht="3.75" customHeight="1" x14ac:dyDescent="0.25">
      <c r="A12" s="12"/>
      <c r="B12" s="12"/>
      <c r="C12" s="12"/>
      <c r="D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5.5" x14ac:dyDescent="0.25">
      <c r="A13" s="18" t="s">
        <v>9</v>
      </c>
      <c r="B13" s="18" t="s">
        <v>10</v>
      </c>
      <c r="C13" s="12"/>
      <c r="D13" s="12"/>
      <c r="E13" s="3"/>
      <c r="F13" s="3"/>
      <c r="H13" s="12"/>
      <c r="I13" s="12"/>
      <c r="J13" s="12"/>
      <c r="K13" s="12"/>
      <c r="L13" s="12"/>
      <c r="M13" s="12"/>
      <c r="N13" s="12"/>
      <c r="O13" s="12"/>
      <c r="P13" s="12"/>
    </row>
    <row r="14" spans="1:16" ht="15.5" x14ac:dyDescent="0.25">
      <c r="A14" s="18"/>
      <c r="B14" s="18"/>
      <c r="C14" s="12"/>
      <c r="D14" s="1" t="s">
        <v>11</v>
      </c>
      <c r="E14" s="1" t="s">
        <v>12</v>
      </c>
      <c r="H14" s="12"/>
      <c r="I14" s="12"/>
      <c r="J14" s="12"/>
      <c r="K14" s="12"/>
      <c r="L14" s="12"/>
      <c r="M14" s="12"/>
      <c r="N14" s="12"/>
      <c r="O14" s="12"/>
      <c r="P14" s="12"/>
    </row>
    <row r="15" spans="1:16" ht="15.5" x14ac:dyDescent="0.25">
      <c r="A15" s="12"/>
      <c r="B15" s="12" t="s">
        <v>13</v>
      </c>
      <c r="C15" s="12"/>
      <c r="D15" s="6"/>
      <c r="E15" s="5"/>
      <c r="F15" s="65" t="s">
        <v>14</v>
      </c>
      <c r="I15" s="12"/>
      <c r="J15" s="12"/>
      <c r="K15" s="12"/>
      <c r="L15" s="12"/>
      <c r="M15" s="12"/>
      <c r="N15" s="12"/>
      <c r="O15" s="12"/>
      <c r="P15" s="12"/>
    </row>
    <row r="16" spans="1:16" ht="15.5" x14ac:dyDescent="0.25">
      <c r="A16" s="12"/>
      <c r="B16" s="28" t="s">
        <v>15</v>
      </c>
      <c r="C16" s="28"/>
      <c r="D16" s="6"/>
      <c r="E16" s="66"/>
      <c r="F16" s="67" t="s">
        <v>16</v>
      </c>
      <c r="I16" s="12"/>
      <c r="J16" s="12"/>
      <c r="K16" s="12"/>
      <c r="L16" s="12"/>
      <c r="M16" s="12"/>
      <c r="N16" s="12"/>
      <c r="O16" s="12"/>
      <c r="P16" s="12"/>
    </row>
    <row r="17" spans="1:16" ht="15.5" x14ac:dyDescent="0.25">
      <c r="A17" s="12"/>
      <c r="B17" s="28" t="s">
        <v>17</v>
      </c>
      <c r="C17" s="28"/>
      <c r="D17" s="68" t="s">
        <v>1</v>
      </c>
      <c r="E17" s="69"/>
      <c r="F17" s="12" t="s">
        <v>18</v>
      </c>
      <c r="H17" s="12"/>
      <c r="I17" s="12"/>
      <c r="J17" s="12"/>
      <c r="K17" s="12"/>
      <c r="L17" s="12"/>
      <c r="M17" s="12"/>
      <c r="N17" s="12"/>
      <c r="O17" s="12"/>
      <c r="P17" s="12"/>
    </row>
    <row r="18" spans="1:16" ht="3.75" customHeight="1" x14ac:dyDescent="0.25">
      <c r="A18" s="12"/>
      <c r="B18" s="12"/>
      <c r="C18" s="12"/>
      <c r="D18" s="12"/>
      <c r="E18" s="12"/>
      <c r="F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7.5" x14ac:dyDescent="0.25">
      <c r="A19" s="18" t="s">
        <v>19</v>
      </c>
      <c r="B19" s="18" t="s">
        <v>20</v>
      </c>
      <c r="C19" s="12"/>
      <c r="D19" s="12"/>
      <c r="E19" s="12"/>
      <c r="F19" s="12"/>
      <c r="H19" s="19"/>
      <c r="I19" s="12"/>
      <c r="J19" s="12"/>
      <c r="K19" s="12"/>
      <c r="L19" s="12"/>
      <c r="M19" s="12"/>
      <c r="N19" s="12"/>
      <c r="O19" s="12"/>
      <c r="P19" s="12"/>
    </row>
    <row r="20" spans="1:16" ht="17.5" x14ac:dyDescent="0.25">
      <c r="A20" s="18"/>
      <c r="B20" s="12" t="s">
        <v>21</v>
      </c>
      <c r="C20" s="12"/>
      <c r="D20" s="20" t="s">
        <v>22</v>
      </c>
      <c r="F20" s="12"/>
      <c r="H20" s="19"/>
      <c r="I20" s="12"/>
      <c r="J20" s="12"/>
      <c r="K20" s="12"/>
      <c r="L20" s="12"/>
      <c r="M20" s="12"/>
      <c r="N20" s="12"/>
      <c r="O20" s="12"/>
      <c r="P20" s="12"/>
    </row>
    <row r="21" spans="1:16" ht="17.5" x14ac:dyDescent="0.25">
      <c r="A21" s="12"/>
      <c r="B21" s="12" t="s">
        <v>23</v>
      </c>
      <c r="C21" s="12"/>
      <c r="D21" s="20" t="s">
        <v>22</v>
      </c>
      <c r="F21" s="12"/>
      <c r="H21" s="19"/>
      <c r="I21" s="12"/>
      <c r="J21" s="12"/>
      <c r="K21" s="12"/>
      <c r="L21" s="12"/>
      <c r="M21" s="12"/>
      <c r="N21" s="12"/>
      <c r="O21" s="12"/>
      <c r="P21" s="12"/>
    </row>
    <row r="22" spans="1:16" ht="3.75" customHeight="1" x14ac:dyDescent="0.25">
      <c r="A22" s="12"/>
      <c r="B22" s="12"/>
      <c r="C22" s="12"/>
      <c r="D22" s="12"/>
      <c r="E22" s="12"/>
      <c r="F22" s="20"/>
      <c r="G22" s="12"/>
      <c r="H22" s="19"/>
      <c r="I22" s="12"/>
      <c r="J22" s="12"/>
      <c r="K22" s="12"/>
      <c r="L22" s="12"/>
      <c r="M22" s="12"/>
      <c r="N22" s="12"/>
      <c r="O22" s="12"/>
      <c r="P22" s="12"/>
    </row>
    <row r="23" spans="1:16" ht="17.5" x14ac:dyDescent="0.25">
      <c r="A23" s="18" t="s">
        <v>24</v>
      </c>
      <c r="B23" s="18" t="s">
        <v>25</v>
      </c>
      <c r="D23" s="12"/>
      <c r="E23" s="12"/>
      <c r="F23" s="20"/>
      <c r="G23" s="12"/>
      <c r="H23" s="19"/>
      <c r="I23" s="12"/>
      <c r="J23" s="12"/>
      <c r="K23" s="12"/>
      <c r="L23" s="12"/>
      <c r="M23" s="12"/>
      <c r="N23" s="12"/>
      <c r="O23" s="12"/>
      <c r="P23" s="12"/>
    </row>
    <row r="24" spans="1:16" ht="3.75" customHeight="1" x14ac:dyDescent="0.25">
      <c r="A24" s="18"/>
      <c r="B24" s="18"/>
      <c r="D24" s="12"/>
      <c r="E24" s="12"/>
      <c r="F24" s="20"/>
      <c r="G24" s="12"/>
      <c r="H24" s="19"/>
      <c r="I24" s="12"/>
      <c r="J24" s="12"/>
      <c r="K24" s="12"/>
      <c r="L24" s="12"/>
      <c r="M24" s="12"/>
      <c r="N24" s="12"/>
      <c r="O24" s="12"/>
      <c r="P24" s="12"/>
    </row>
    <row r="25" spans="1:16" ht="30" customHeight="1" x14ac:dyDescent="0.25">
      <c r="A25" s="12"/>
      <c r="B25" s="1040" t="s">
        <v>26</v>
      </c>
      <c r="C25" s="1557" t="s">
        <v>27</v>
      </c>
      <c r="D25" s="1563"/>
      <c r="E25" s="1563"/>
      <c r="F25" s="1563"/>
      <c r="G25" s="1563"/>
      <c r="H25" s="1557" t="s">
        <v>28</v>
      </c>
      <c r="I25" s="1558"/>
      <c r="J25" s="1555" t="s">
        <v>29</v>
      </c>
      <c r="K25" s="1556"/>
      <c r="M25" s="154"/>
    </row>
    <row r="26" spans="1:16" ht="15.5" x14ac:dyDescent="0.3">
      <c r="A26" s="12"/>
      <c r="B26" s="5">
        <v>1</v>
      </c>
      <c r="C26" s="1564" t="s">
        <v>30</v>
      </c>
      <c r="D26" s="1565"/>
      <c r="E26" s="1565"/>
      <c r="F26" s="1565"/>
      <c r="G26" s="1565"/>
      <c r="H26" s="982"/>
      <c r="I26" s="81" t="s">
        <v>31</v>
      </c>
      <c r="J26" s="82" t="s">
        <v>32</v>
      </c>
      <c r="K26" s="83" t="s">
        <v>33</v>
      </c>
      <c r="M26" s="155"/>
    </row>
    <row r="27" spans="1:16" ht="15.5" x14ac:dyDescent="0.3">
      <c r="A27" s="12"/>
      <c r="B27" s="5">
        <v>2</v>
      </c>
      <c r="C27" s="1564" t="s">
        <v>34</v>
      </c>
      <c r="D27" s="1565"/>
      <c r="E27" s="1565"/>
      <c r="F27" s="1565"/>
      <c r="G27" s="1565"/>
      <c r="H27" s="983"/>
      <c r="I27" s="81" t="s">
        <v>35</v>
      </c>
      <c r="J27" s="82" t="s">
        <v>36</v>
      </c>
      <c r="K27" s="83" t="s">
        <v>35</v>
      </c>
      <c r="M27" s="155"/>
    </row>
    <row r="28" spans="1:16" ht="15.5" x14ac:dyDescent="0.3">
      <c r="A28" s="12"/>
      <c r="B28" s="5">
        <v>3</v>
      </c>
      <c r="C28" s="1564" t="s">
        <v>37</v>
      </c>
      <c r="D28" s="1565"/>
      <c r="E28" s="1565"/>
      <c r="F28" s="1565"/>
      <c r="G28" s="1565"/>
      <c r="H28" s="84"/>
      <c r="I28" s="81" t="s">
        <v>35</v>
      </c>
      <c r="J28" s="82" t="s">
        <v>38</v>
      </c>
      <c r="K28" s="83" t="s">
        <v>35</v>
      </c>
      <c r="M28" s="155"/>
    </row>
    <row r="29" spans="1:16" ht="15.5" x14ac:dyDescent="0.3">
      <c r="A29" s="12"/>
      <c r="B29" s="5">
        <v>4</v>
      </c>
      <c r="C29" s="1564" t="s">
        <v>39</v>
      </c>
      <c r="D29" s="1565"/>
      <c r="E29" s="1565"/>
      <c r="F29" s="1565"/>
      <c r="G29" s="1565"/>
      <c r="H29" s="84"/>
      <c r="I29" s="81" t="s">
        <v>40</v>
      </c>
      <c r="J29" s="82" t="s">
        <v>41</v>
      </c>
      <c r="K29" s="83" t="s">
        <v>40</v>
      </c>
      <c r="M29" s="155"/>
    </row>
    <row r="30" spans="1:16" ht="15.5" x14ac:dyDescent="0.3">
      <c r="A30" s="12"/>
      <c r="B30" s="5">
        <v>5</v>
      </c>
      <c r="C30" s="1564" t="s">
        <v>42</v>
      </c>
      <c r="D30" s="1565"/>
      <c r="E30" s="1565"/>
      <c r="F30" s="1565"/>
      <c r="G30" s="1565"/>
      <c r="H30" s="984"/>
      <c r="I30" s="985" t="s">
        <v>40</v>
      </c>
      <c r="J30" s="82" t="s">
        <v>43</v>
      </c>
      <c r="K30" s="83" t="s">
        <v>40</v>
      </c>
      <c r="M30" s="155"/>
    </row>
    <row r="31" spans="1:16" ht="17.5" hidden="1" x14ac:dyDescent="0.3">
      <c r="A31" s="12"/>
      <c r="B31" s="5">
        <v>6</v>
      </c>
      <c r="C31" s="80" t="s">
        <v>44</v>
      </c>
      <c r="D31" s="21"/>
      <c r="E31" s="21"/>
      <c r="F31" s="21"/>
      <c r="G31" s="21"/>
      <c r="H31" s="980"/>
      <c r="I31" s="981"/>
      <c r="J31" s="81" t="s">
        <v>40</v>
      </c>
      <c r="K31" s="82" t="s">
        <v>45</v>
      </c>
      <c r="L31" s="1038" t="s">
        <v>40</v>
      </c>
      <c r="M31" s="155"/>
      <c r="O31" s="12"/>
      <c r="P31" s="12"/>
    </row>
    <row r="32" spans="1:16" ht="3.75" customHeight="1" x14ac:dyDescent="0.25">
      <c r="A32" s="12"/>
      <c r="B32" s="22"/>
      <c r="C32" s="22"/>
      <c r="D32" s="22"/>
      <c r="E32" s="22"/>
      <c r="F32" s="24"/>
      <c r="G32" s="22"/>
      <c r="H32" s="23"/>
      <c r="I32" s="22"/>
      <c r="J32" s="22"/>
      <c r="K32" s="22"/>
      <c r="L32" s="12"/>
      <c r="M32" s="12"/>
      <c r="N32" s="12"/>
      <c r="O32" s="12"/>
      <c r="P32" s="12"/>
    </row>
    <row r="33" spans="1:16" ht="15.5" x14ac:dyDescent="0.25">
      <c r="A33" s="25" t="s">
        <v>46</v>
      </c>
      <c r="B33" s="25" t="s">
        <v>47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ht="3.75" customHeight="1" x14ac:dyDescent="0.25">
      <c r="A34" s="25"/>
      <c r="B34" s="2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spans="1:16" s="133" customFormat="1" ht="15.5" x14ac:dyDescent="0.25">
      <c r="A35" s="96"/>
      <c r="B35" s="684" t="s">
        <v>372</v>
      </c>
      <c r="C35" s="989" t="s">
        <v>547</v>
      </c>
      <c r="D35" s="90"/>
      <c r="E35" s="90"/>
      <c r="F35" s="90"/>
      <c r="G35" s="90"/>
      <c r="H35" s="90"/>
      <c r="I35" s="90"/>
      <c r="J35" s="90"/>
      <c r="K35" s="90"/>
      <c r="L35" s="90"/>
    </row>
    <row r="36" spans="1:16" s="133" customFormat="1" ht="3.75" customHeight="1" x14ac:dyDescent="0.25">
      <c r="A36" s="96"/>
      <c r="B36" s="96"/>
      <c r="C36" s="92"/>
      <c r="D36" s="90"/>
      <c r="E36" s="90"/>
      <c r="F36" s="90"/>
      <c r="G36" s="90"/>
      <c r="H36" s="90"/>
      <c r="I36" s="90"/>
      <c r="J36" s="90"/>
      <c r="K36" s="90"/>
      <c r="L36" s="90"/>
    </row>
    <row r="37" spans="1:16" s="133" customFormat="1" ht="15.5" x14ac:dyDescent="0.25">
      <c r="A37" s="96"/>
      <c r="B37" s="1567" t="s">
        <v>505</v>
      </c>
      <c r="C37" s="1567"/>
      <c r="D37" s="1567" t="s">
        <v>149</v>
      </c>
      <c r="E37" s="1567"/>
      <c r="F37" s="1567"/>
      <c r="G37" s="1574" t="s">
        <v>504</v>
      </c>
      <c r="H37" s="1575"/>
      <c r="J37" s="90"/>
      <c r="K37" s="90"/>
      <c r="L37" s="90"/>
    </row>
    <row r="38" spans="1:16" s="133" customFormat="1" ht="32.15" customHeight="1" x14ac:dyDescent="0.25">
      <c r="A38" s="96"/>
      <c r="B38" s="1568" t="s">
        <v>545</v>
      </c>
      <c r="C38" s="1568"/>
      <c r="D38" s="1568" t="s">
        <v>553</v>
      </c>
      <c r="E38" s="1568"/>
      <c r="F38" s="1568"/>
      <c r="G38" s="132" t="s">
        <v>507</v>
      </c>
      <c r="H38" s="132" t="s">
        <v>506</v>
      </c>
      <c r="J38" s="90"/>
      <c r="K38" s="90"/>
      <c r="L38" s="90"/>
    </row>
    <row r="39" spans="1:16" s="133" customFormat="1" ht="3.75" customHeight="1" x14ac:dyDescent="0.25">
      <c r="A39" s="96"/>
      <c r="B39" s="990"/>
      <c r="C39" s="990"/>
      <c r="D39" s="991"/>
      <c r="E39" s="991"/>
      <c r="F39" s="93"/>
      <c r="G39" s="93"/>
      <c r="I39" s="90"/>
      <c r="J39" s="90"/>
      <c r="K39" s="90"/>
      <c r="L39" s="90"/>
    </row>
    <row r="40" spans="1:16" s="133" customFormat="1" ht="14.5" customHeight="1" x14ac:dyDescent="0.3">
      <c r="A40" s="96"/>
      <c r="B40" s="663" t="s">
        <v>508</v>
      </c>
      <c r="C40" s="664" t="s">
        <v>533</v>
      </c>
      <c r="D40" s="1045"/>
      <c r="E40" s="1045"/>
      <c r="F40" s="1044"/>
      <c r="G40" s="1044"/>
      <c r="I40" s="90"/>
      <c r="J40" s="90"/>
      <c r="K40" s="90"/>
      <c r="L40" s="90"/>
    </row>
    <row r="41" spans="1:16" s="133" customFormat="1" ht="3.65" customHeight="1" x14ac:dyDescent="0.25">
      <c r="A41" s="96"/>
      <c r="B41" s="1137"/>
      <c r="C41" s="1137"/>
      <c r="D41" s="1045"/>
      <c r="E41" s="1045"/>
      <c r="F41" s="1044"/>
      <c r="G41" s="1044"/>
      <c r="I41" s="90"/>
      <c r="J41" s="90"/>
      <c r="K41" s="90"/>
      <c r="L41" s="90"/>
    </row>
    <row r="42" spans="1:16" s="133" customFormat="1" ht="15" customHeight="1" x14ac:dyDescent="0.25">
      <c r="A42" s="96"/>
      <c r="B42" s="991"/>
      <c r="C42" s="989" t="s">
        <v>534</v>
      </c>
      <c r="D42" s="991"/>
      <c r="E42" s="991"/>
      <c r="F42" s="93"/>
      <c r="G42" s="93"/>
      <c r="I42" s="90"/>
      <c r="J42" s="326" t="s">
        <v>491</v>
      </c>
      <c r="K42" s="90"/>
      <c r="L42" s="90"/>
    </row>
    <row r="43" spans="1:16" s="133" customFormat="1" ht="3.75" customHeight="1" x14ac:dyDescent="0.25">
      <c r="A43" s="96"/>
      <c r="B43" s="991"/>
      <c r="C43" s="989"/>
      <c r="D43" s="991"/>
      <c r="E43" s="991"/>
      <c r="F43" s="93"/>
      <c r="G43" s="93"/>
      <c r="I43" s="90"/>
      <c r="J43" s="90"/>
      <c r="K43" s="90"/>
      <c r="L43" s="90"/>
    </row>
    <row r="44" spans="1:16" s="133" customFormat="1" ht="15" customHeight="1" x14ac:dyDescent="0.3">
      <c r="A44" s="96"/>
      <c r="B44" s="1566" t="s">
        <v>535</v>
      </c>
      <c r="C44" s="1567"/>
      <c r="D44" s="1545" t="s">
        <v>555</v>
      </c>
      <c r="E44" s="1546"/>
      <c r="F44" s="1546"/>
      <c r="G44" s="1546"/>
      <c r="H44" s="1546"/>
      <c r="I44" s="1546"/>
      <c r="J44" s="1578" t="s">
        <v>50</v>
      </c>
      <c r="K44" s="1578"/>
      <c r="L44" s="90"/>
      <c r="N44" s="1572"/>
      <c r="O44" s="1572"/>
      <c r="P44" s="1572"/>
    </row>
    <row r="45" spans="1:16" s="133" customFormat="1" ht="15" customHeight="1" x14ac:dyDescent="0.25">
      <c r="A45" s="96"/>
      <c r="B45" s="1576" t="s">
        <v>554</v>
      </c>
      <c r="C45" s="1577"/>
      <c r="D45" s="665" t="s">
        <v>51</v>
      </c>
      <c r="E45" s="666" t="s">
        <v>52</v>
      </c>
      <c r="F45" s="667" t="s">
        <v>53</v>
      </c>
      <c r="G45" s="666" t="s">
        <v>54</v>
      </c>
      <c r="H45" s="1138" t="s">
        <v>55</v>
      </c>
      <c r="I45" s="1138" t="s">
        <v>56</v>
      </c>
      <c r="J45" s="1578"/>
      <c r="K45" s="1578"/>
      <c r="L45" s="90"/>
      <c r="N45" s="1044"/>
      <c r="O45" s="1044"/>
      <c r="P45" s="1044"/>
    </row>
    <row r="46" spans="1:16" s="133" customFormat="1" ht="30" customHeight="1" x14ac:dyDescent="0.25">
      <c r="A46" s="96"/>
      <c r="B46" s="1568">
        <v>27.12</v>
      </c>
      <c r="C46" s="1568"/>
      <c r="D46" s="1139"/>
      <c r="E46" s="393"/>
      <c r="F46" s="1046"/>
      <c r="G46" s="1046"/>
      <c r="H46" s="1140"/>
      <c r="I46" s="1140"/>
      <c r="J46" s="1579" t="s">
        <v>558</v>
      </c>
      <c r="K46" s="1579"/>
      <c r="L46" s="90"/>
      <c r="N46" s="1573"/>
      <c r="O46" s="1573"/>
      <c r="P46" s="1573"/>
    </row>
    <row r="47" spans="1:16" s="133" customFormat="1" ht="3.75" customHeight="1" x14ac:dyDescent="0.25">
      <c r="A47" s="96"/>
      <c r="B47" s="1571"/>
      <c r="C47" s="1571"/>
      <c r="D47" s="90"/>
      <c r="E47" s="90"/>
      <c r="F47" s="90"/>
      <c r="G47" s="90"/>
      <c r="H47" s="90"/>
      <c r="I47" s="90"/>
      <c r="J47" s="90"/>
      <c r="K47" s="90"/>
      <c r="L47" s="90"/>
    </row>
    <row r="48" spans="1:16" s="133" customFormat="1" ht="3.75" customHeight="1" x14ac:dyDescent="0.25">
      <c r="A48" s="96"/>
      <c r="B48" s="96"/>
      <c r="C48" s="90"/>
      <c r="D48" s="90"/>
      <c r="E48" s="90"/>
      <c r="F48" s="90"/>
      <c r="G48" s="90"/>
      <c r="H48" s="90"/>
      <c r="I48" s="90"/>
      <c r="J48" s="90"/>
      <c r="K48" s="90"/>
      <c r="L48" s="90"/>
    </row>
    <row r="49" spans="1:24" s="326" customFormat="1" ht="14" x14ac:dyDescent="0.3">
      <c r="B49" s="663"/>
      <c r="C49" s="989" t="s">
        <v>538</v>
      </c>
      <c r="L49" s="670"/>
      <c r="M49" s="670"/>
      <c r="N49" s="670"/>
    </row>
    <row r="50" spans="1:24" s="326" customFormat="1" ht="3.75" customHeight="1" x14ac:dyDescent="0.3">
      <c r="C50" s="663"/>
      <c r="L50" s="670"/>
      <c r="M50" s="670"/>
      <c r="N50" s="670"/>
    </row>
    <row r="51" spans="1:24" s="326" customFormat="1" ht="15" customHeight="1" x14ac:dyDescent="0.3">
      <c r="A51" s="1530"/>
      <c r="B51" s="1543" t="s">
        <v>26</v>
      </c>
      <c r="C51" s="669" t="s">
        <v>149</v>
      </c>
      <c r="D51" s="1545" t="s">
        <v>373</v>
      </c>
      <c r="E51" s="1546"/>
      <c r="F51" s="1546"/>
      <c r="G51" s="1546"/>
      <c r="H51" s="1546"/>
      <c r="I51" s="1546"/>
      <c r="J51" s="1550" t="s">
        <v>50</v>
      </c>
      <c r="L51" s="671"/>
      <c r="M51" s="671"/>
      <c r="N51" s="987"/>
      <c r="O51" s="987"/>
      <c r="P51" s="987"/>
      <c r="Q51" s="987"/>
      <c r="R51" s="987"/>
      <c r="S51" s="986"/>
      <c r="U51" s="1527"/>
      <c r="V51" s="1527"/>
      <c r="W51" s="1527"/>
      <c r="X51" s="1527"/>
    </row>
    <row r="52" spans="1:24" s="326" customFormat="1" ht="15" customHeight="1" x14ac:dyDescent="0.25">
      <c r="A52" s="1530"/>
      <c r="B52" s="1544"/>
      <c r="C52" s="669" t="s">
        <v>374</v>
      </c>
      <c r="D52" s="665" t="s">
        <v>51</v>
      </c>
      <c r="E52" s="666" t="s">
        <v>52</v>
      </c>
      <c r="F52" s="667" t="s">
        <v>53</v>
      </c>
      <c r="G52" s="666" t="s">
        <v>54</v>
      </c>
      <c r="H52" s="667" t="s">
        <v>55</v>
      </c>
      <c r="I52" s="1138" t="s">
        <v>56</v>
      </c>
      <c r="J52" s="1551"/>
      <c r="L52" s="671"/>
      <c r="M52" s="671"/>
      <c r="N52" s="667"/>
      <c r="O52" s="667"/>
      <c r="P52" s="667"/>
      <c r="Q52" s="667"/>
      <c r="R52" s="667"/>
      <c r="S52" s="988"/>
      <c r="U52" s="1527"/>
      <c r="V52" s="1527"/>
      <c r="W52" s="1527"/>
      <c r="X52" s="1527"/>
    </row>
    <row r="53" spans="1:24" s="326" customFormat="1" ht="14.25" customHeight="1" x14ac:dyDescent="0.25">
      <c r="A53" s="672"/>
      <c r="B53" s="356">
        <v>1</v>
      </c>
      <c r="C53" s="356">
        <v>10</v>
      </c>
      <c r="D53" s="669"/>
      <c r="E53" s="356"/>
      <c r="F53" s="356"/>
      <c r="G53" s="356"/>
      <c r="H53" s="356"/>
      <c r="I53" s="657"/>
      <c r="J53" s="1547" t="s">
        <v>548</v>
      </c>
      <c r="L53" s="671"/>
      <c r="M53" s="671"/>
      <c r="N53" s="671"/>
      <c r="O53" s="671"/>
      <c r="P53" s="671"/>
      <c r="Q53" s="671"/>
      <c r="R53" s="671"/>
      <c r="S53" s="988"/>
      <c r="U53" s="1528"/>
      <c r="V53" s="1528"/>
      <c r="W53" s="1528"/>
      <c r="X53" s="1528"/>
    </row>
    <row r="54" spans="1:24" s="326" customFormat="1" ht="14" x14ac:dyDescent="0.25">
      <c r="A54" s="672"/>
      <c r="B54" s="356">
        <v>2</v>
      </c>
      <c r="C54" s="356">
        <v>50</v>
      </c>
      <c r="D54" s="669"/>
      <c r="E54" s="356"/>
      <c r="F54" s="356"/>
      <c r="G54" s="356"/>
      <c r="H54" s="356"/>
      <c r="I54" s="657"/>
      <c r="J54" s="1548"/>
      <c r="L54" s="671"/>
      <c r="M54" s="671"/>
      <c r="N54" s="671"/>
      <c r="O54" s="671"/>
      <c r="P54" s="671"/>
      <c r="Q54" s="671"/>
      <c r="R54" s="671"/>
      <c r="S54" s="988"/>
      <c r="U54" s="1528"/>
      <c r="V54" s="1528"/>
      <c r="W54" s="1528"/>
      <c r="X54" s="1528"/>
    </row>
    <row r="55" spans="1:24" s="326" customFormat="1" ht="14" x14ac:dyDescent="0.25">
      <c r="A55" s="672"/>
      <c r="B55" s="356">
        <v>3</v>
      </c>
      <c r="C55" s="356">
        <v>100</v>
      </c>
      <c r="D55" s="669"/>
      <c r="E55" s="356"/>
      <c r="F55" s="356"/>
      <c r="G55" s="356"/>
      <c r="H55" s="356"/>
      <c r="I55" s="657"/>
      <c r="J55" s="1548"/>
      <c r="L55" s="671"/>
      <c r="M55" s="671"/>
      <c r="N55" s="671"/>
      <c r="O55" s="671"/>
      <c r="P55" s="671"/>
      <c r="Q55" s="671"/>
      <c r="R55" s="671"/>
      <c r="S55" s="988"/>
      <c r="U55" s="1528"/>
      <c r="V55" s="1528"/>
      <c r="W55" s="1528"/>
      <c r="X55" s="1528"/>
    </row>
    <row r="56" spans="1:24" s="326" customFormat="1" ht="14" x14ac:dyDescent="0.25">
      <c r="A56" s="672"/>
      <c r="B56" s="356">
        <v>4</v>
      </c>
      <c r="C56" s="356">
        <v>150</v>
      </c>
      <c r="D56" s="669"/>
      <c r="E56" s="356"/>
      <c r="F56" s="356"/>
      <c r="G56" s="356"/>
      <c r="H56" s="356"/>
      <c r="I56" s="657"/>
      <c r="J56" s="1548"/>
      <c r="L56" s="671"/>
      <c r="M56" s="671"/>
      <c r="N56" s="671"/>
      <c r="O56" s="671"/>
      <c r="P56" s="671"/>
      <c r="Q56" s="671"/>
      <c r="R56" s="671"/>
      <c r="S56" s="988"/>
      <c r="U56" s="1528"/>
      <c r="V56" s="1528"/>
      <c r="W56" s="1528"/>
      <c r="X56" s="1528"/>
    </row>
    <row r="57" spans="1:24" s="326" customFormat="1" ht="17.25" customHeight="1" x14ac:dyDescent="0.25">
      <c r="A57" s="672"/>
      <c r="B57" s="356">
        <v>5</v>
      </c>
      <c r="C57" s="356">
        <v>200</v>
      </c>
      <c r="D57" s="669"/>
      <c r="E57" s="356"/>
      <c r="F57" s="356"/>
      <c r="G57" s="356"/>
      <c r="H57" s="356"/>
      <c r="I57" s="657"/>
      <c r="J57" s="1549"/>
      <c r="L57" s="671"/>
      <c r="M57" s="671"/>
      <c r="N57" s="671"/>
      <c r="O57" s="671"/>
      <c r="P57" s="671"/>
      <c r="Q57" s="671"/>
      <c r="R57" s="671"/>
      <c r="S57" s="988"/>
      <c r="U57" s="1528"/>
      <c r="V57" s="1528"/>
      <c r="W57" s="1528"/>
      <c r="X57" s="1528"/>
    </row>
    <row r="58" spans="1:24" s="326" customFormat="1" ht="3.75" customHeight="1" x14ac:dyDescent="0.25">
      <c r="A58" s="673"/>
      <c r="B58" s="668"/>
      <c r="C58" s="668"/>
      <c r="D58" s="668"/>
      <c r="E58" s="668"/>
      <c r="F58" s="668"/>
      <c r="G58" s="668"/>
      <c r="H58" s="668"/>
      <c r="I58" s="668"/>
      <c r="J58" s="668"/>
      <c r="K58" s="668"/>
      <c r="L58" s="668"/>
      <c r="M58" s="668"/>
      <c r="N58" s="668"/>
    </row>
    <row r="59" spans="1:24" s="326" customFormat="1" ht="17.25" customHeight="1" x14ac:dyDescent="0.3">
      <c r="A59" s="674"/>
      <c r="B59" s="675"/>
      <c r="C59" s="979" t="s">
        <v>539</v>
      </c>
      <c r="D59" s="674"/>
      <c r="E59" s="674"/>
      <c r="F59" s="676"/>
      <c r="G59" s="676"/>
      <c r="H59" s="676"/>
      <c r="I59" s="676"/>
      <c r="J59" s="326" t="s">
        <v>491</v>
      </c>
      <c r="K59" s="676"/>
      <c r="L59" s="670"/>
      <c r="M59" s="670"/>
      <c r="N59" s="670"/>
    </row>
    <row r="60" spans="1:24" s="326" customFormat="1" ht="3.75" customHeight="1" x14ac:dyDescent="0.3">
      <c r="N60" s="670"/>
    </row>
    <row r="61" spans="1:24" s="326" customFormat="1" ht="17.25" customHeight="1" x14ac:dyDescent="0.3">
      <c r="A61" s="1530"/>
      <c r="B61" s="1543" t="s">
        <v>26</v>
      </c>
      <c r="C61" s="669" t="s">
        <v>149</v>
      </c>
      <c r="D61" s="1545" t="s">
        <v>373</v>
      </c>
      <c r="E61" s="1546"/>
      <c r="F61" s="1546"/>
      <c r="G61" s="1546"/>
      <c r="H61" s="1546"/>
      <c r="I61" s="1546"/>
      <c r="J61" s="1569" t="s">
        <v>50</v>
      </c>
      <c r="N61" s="1531"/>
    </row>
    <row r="62" spans="1:24" s="326" customFormat="1" ht="17.25" customHeight="1" x14ac:dyDescent="0.25">
      <c r="A62" s="1530"/>
      <c r="B62" s="1544"/>
      <c r="C62" s="669" t="s">
        <v>376</v>
      </c>
      <c r="D62" s="665" t="s">
        <v>51</v>
      </c>
      <c r="E62" s="666" t="s">
        <v>52</v>
      </c>
      <c r="F62" s="667" t="s">
        <v>53</v>
      </c>
      <c r="G62" s="666" t="s">
        <v>54</v>
      </c>
      <c r="H62" s="667" t="s">
        <v>55</v>
      </c>
      <c r="I62" s="667" t="s">
        <v>56</v>
      </c>
      <c r="J62" s="1569"/>
      <c r="N62" s="1531"/>
    </row>
    <row r="63" spans="1:24" s="326" customFormat="1" ht="17.25" customHeight="1" x14ac:dyDescent="0.25">
      <c r="A63" s="672"/>
      <c r="B63" s="356">
        <v>1</v>
      </c>
      <c r="C63" s="356">
        <v>50</v>
      </c>
      <c r="D63" s="669"/>
      <c r="E63" s="356"/>
      <c r="F63" s="356"/>
      <c r="G63" s="356"/>
      <c r="H63" s="356"/>
      <c r="I63" s="657"/>
      <c r="J63" s="1547" t="s">
        <v>548</v>
      </c>
      <c r="N63" s="1532"/>
    </row>
    <row r="64" spans="1:24" s="326" customFormat="1" ht="17.25" customHeight="1" x14ac:dyDescent="0.25">
      <c r="A64" s="672"/>
      <c r="B64" s="356">
        <v>2</v>
      </c>
      <c r="C64" s="356">
        <v>100</v>
      </c>
      <c r="D64" s="669"/>
      <c r="E64" s="356"/>
      <c r="F64" s="356"/>
      <c r="G64" s="356"/>
      <c r="H64" s="356"/>
      <c r="I64" s="657"/>
      <c r="J64" s="1548"/>
      <c r="N64" s="1533"/>
    </row>
    <row r="65" spans="1:32" s="326" customFormat="1" ht="17.25" customHeight="1" x14ac:dyDescent="0.3">
      <c r="A65" s="672"/>
      <c r="B65" s="356">
        <v>3</v>
      </c>
      <c r="C65" s="356">
        <v>200</v>
      </c>
      <c r="D65" s="669"/>
      <c r="E65" s="356"/>
      <c r="F65" s="356"/>
      <c r="G65" s="356"/>
      <c r="H65" s="356"/>
      <c r="I65" s="657"/>
      <c r="J65" s="1548"/>
      <c r="N65" s="670"/>
    </row>
    <row r="66" spans="1:32" s="326" customFormat="1" ht="17.25" customHeight="1" x14ac:dyDescent="0.3">
      <c r="A66" s="672"/>
      <c r="B66" s="356">
        <v>4</v>
      </c>
      <c r="C66" s="356">
        <v>300</v>
      </c>
      <c r="D66" s="669"/>
      <c r="E66" s="356"/>
      <c r="F66" s="356"/>
      <c r="G66" s="356"/>
      <c r="H66" s="356"/>
      <c r="I66" s="657"/>
      <c r="J66" s="1548"/>
      <c r="N66" s="670"/>
    </row>
    <row r="67" spans="1:32" s="326" customFormat="1" ht="17.25" customHeight="1" x14ac:dyDescent="0.3">
      <c r="A67" s="672"/>
      <c r="B67" s="356">
        <v>5</v>
      </c>
      <c r="C67" s="356">
        <v>400</v>
      </c>
      <c r="D67" s="669"/>
      <c r="E67" s="356"/>
      <c r="F67" s="356"/>
      <c r="G67" s="356"/>
      <c r="H67" s="356"/>
      <c r="I67" s="657"/>
      <c r="J67" s="1549"/>
      <c r="N67" s="670"/>
    </row>
    <row r="68" spans="1:32" s="326" customFormat="1" ht="3.75" customHeight="1" x14ac:dyDescent="0.3">
      <c r="A68" s="672"/>
      <c r="B68" s="671"/>
      <c r="C68" s="1035"/>
      <c r="D68" s="1036"/>
      <c r="E68" s="671"/>
      <c r="F68" s="671"/>
      <c r="G68" s="671"/>
      <c r="H68" s="671"/>
      <c r="I68" s="671"/>
      <c r="J68" s="1037"/>
      <c r="N68" s="670"/>
    </row>
    <row r="69" spans="1:32" s="326" customFormat="1" ht="12" customHeight="1" x14ac:dyDescent="0.3">
      <c r="A69" s="677"/>
      <c r="B69" s="1033" t="s">
        <v>516</v>
      </c>
      <c r="C69" s="1034" t="s">
        <v>515</v>
      </c>
      <c r="D69" s="679"/>
      <c r="E69" s="677"/>
      <c r="F69" s="677"/>
      <c r="G69" s="677"/>
      <c r="H69" s="677"/>
      <c r="I69" s="677"/>
      <c r="J69" s="677"/>
      <c r="K69" s="677"/>
      <c r="L69" s="670"/>
      <c r="M69" s="670"/>
      <c r="N69" s="689"/>
    </row>
    <row r="70" spans="1:32" s="326" customFormat="1" ht="12" customHeight="1" x14ac:dyDescent="0.3">
      <c r="A70" s="677"/>
      <c r="B70" s="1033" t="s">
        <v>516</v>
      </c>
      <c r="C70" s="1034" t="s">
        <v>536</v>
      </c>
      <c r="D70" s="679"/>
      <c r="E70" s="677"/>
      <c r="F70" s="677"/>
      <c r="G70" s="677"/>
      <c r="H70" s="677"/>
      <c r="I70" s="677"/>
      <c r="J70" s="677"/>
      <c r="K70" s="677"/>
      <c r="L70" s="670"/>
      <c r="M70" s="670"/>
      <c r="N70" s="689"/>
    </row>
    <row r="71" spans="1:32" s="326" customFormat="1" ht="3.75" customHeight="1" x14ac:dyDescent="0.3">
      <c r="A71" s="677"/>
      <c r="B71" s="1033"/>
      <c r="C71" s="1034"/>
      <c r="D71" s="679"/>
      <c r="E71" s="677"/>
      <c r="F71" s="677"/>
      <c r="G71" s="677"/>
      <c r="H71" s="677"/>
      <c r="I71" s="677"/>
      <c r="J71" s="677"/>
      <c r="K71" s="677"/>
      <c r="L71" s="670"/>
      <c r="M71" s="670"/>
      <c r="N71" s="689"/>
    </row>
    <row r="72" spans="1:32" s="326" customFormat="1" ht="15" customHeight="1" x14ac:dyDescent="0.3">
      <c r="A72" s="672"/>
      <c r="B72" s="680"/>
      <c r="C72" s="1144" t="s">
        <v>540</v>
      </c>
      <c r="D72" s="672"/>
      <c r="E72" s="681"/>
      <c r="F72" s="681"/>
      <c r="G72" s="681"/>
      <c r="H72" s="681"/>
      <c r="I72" s="681"/>
      <c r="J72" s="1562"/>
      <c r="K72" s="1562"/>
      <c r="L72" s="670"/>
      <c r="M72" s="670"/>
      <c r="N72" s="682"/>
    </row>
    <row r="73" spans="1:32" s="326" customFormat="1" ht="4.5" customHeight="1" x14ac:dyDescent="0.3">
      <c r="A73" s="672"/>
      <c r="B73" s="672"/>
      <c r="C73" s="683"/>
      <c r="D73" s="672"/>
      <c r="E73" s="681"/>
      <c r="F73" s="681"/>
      <c r="G73" s="681"/>
      <c r="H73" s="681"/>
      <c r="I73" s="681"/>
      <c r="J73" s="1562"/>
      <c r="K73" s="1562"/>
      <c r="L73" s="670"/>
      <c r="M73" s="670"/>
      <c r="N73" s="684"/>
    </row>
    <row r="74" spans="1:32" s="326" customFormat="1" ht="30" customHeight="1" x14ac:dyDescent="0.25">
      <c r="B74" s="1536" t="s">
        <v>149</v>
      </c>
      <c r="C74" s="1537"/>
      <c r="D74" s="1537"/>
      <c r="E74" s="1538"/>
      <c r="F74" s="1539" t="s">
        <v>378</v>
      </c>
      <c r="G74" s="1539"/>
      <c r="H74" s="1539"/>
      <c r="I74" s="1534" t="s">
        <v>50</v>
      </c>
      <c r="J74" s="1534"/>
      <c r="AF74" s="685"/>
    </row>
    <row r="75" spans="1:32" s="326" customFormat="1" ht="14" x14ac:dyDescent="0.3">
      <c r="A75" s="663"/>
      <c r="B75" s="1540" t="s">
        <v>379</v>
      </c>
      <c r="C75" s="1541"/>
      <c r="D75" s="1541"/>
      <c r="E75" s="1542"/>
      <c r="F75" s="686" t="s">
        <v>51</v>
      </c>
      <c r="G75" s="686" t="s">
        <v>52</v>
      </c>
      <c r="H75" s="686" t="s">
        <v>53</v>
      </c>
      <c r="I75" s="1535" t="s">
        <v>546</v>
      </c>
      <c r="J75" s="1535"/>
      <c r="K75" s="146"/>
      <c r="L75" s="146"/>
      <c r="AF75" s="685"/>
    </row>
    <row r="76" spans="1:32" s="326" customFormat="1" ht="14" x14ac:dyDescent="0.3">
      <c r="A76" s="687"/>
      <c r="B76" s="1529">
        <v>300</v>
      </c>
      <c r="C76" s="1529"/>
      <c r="D76" s="1529"/>
      <c r="E76" s="1529"/>
      <c r="F76" s="678"/>
      <c r="G76" s="678"/>
      <c r="H76" s="678"/>
      <c r="I76" s="1535"/>
      <c r="J76" s="1535"/>
      <c r="K76" s="688"/>
      <c r="L76" s="688"/>
      <c r="N76" s="689"/>
      <c r="AF76" s="685"/>
    </row>
    <row r="77" spans="1:32" s="326" customFormat="1" ht="15" customHeight="1" x14ac:dyDescent="0.3">
      <c r="A77" s="690"/>
      <c r="B77" s="1529">
        <v>600</v>
      </c>
      <c r="C77" s="1529"/>
      <c r="D77" s="1529"/>
      <c r="E77" s="1529"/>
      <c r="F77" s="678"/>
      <c r="G77" s="678"/>
      <c r="H77" s="678"/>
      <c r="I77" s="1535"/>
      <c r="J77" s="1535"/>
      <c r="K77" s="691"/>
      <c r="L77" s="691"/>
      <c r="N77" s="682"/>
      <c r="AF77" s="685"/>
    </row>
    <row r="78" spans="1:32" ht="3.75" customHeight="1" x14ac:dyDescent="0.25">
      <c r="A78" s="12"/>
      <c r="B78" s="658"/>
      <c r="C78" s="12"/>
      <c r="D78" s="659"/>
      <c r="E78" s="660"/>
      <c r="F78" s="661"/>
      <c r="G78" s="661"/>
      <c r="H78" s="661"/>
      <c r="I78" s="661"/>
      <c r="J78" s="660"/>
      <c r="K78" s="662"/>
      <c r="L78" s="18"/>
      <c r="M78" s="18"/>
      <c r="N78" s="27"/>
      <c r="O78" s="12"/>
      <c r="P78" s="12"/>
    </row>
    <row r="79" spans="1:32" ht="15.5" x14ac:dyDescent="0.25">
      <c r="A79" s="25" t="s">
        <v>57</v>
      </c>
      <c r="B79" s="25" t="s">
        <v>58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2" t="s">
        <v>59</v>
      </c>
    </row>
    <row r="80" spans="1:32" ht="3.75" customHeight="1" x14ac:dyDescent="0.25">
      <c r="A80" s="25"/>
      <c r="B80" s="2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2"/>
    </row>
    <row r="81" spans="1:16" ht="15.5" x14ac:dyDescent="0.25">
      <c r="A81" s="25"/>
      <c r="B81" s="424" t="s">
        <v>60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2"/>
    </row>
    <row r="82" spans="1:16" ht="15.5" x14ac:dyDescent="0.25">
      <c r="A82" s="25"/>
      <c r="B82" s="424" t="s">
        <v>61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2"/>
    </row>
    <row r="83" spans="1:16" ht="15.5" x14ac:dyDescent="0.25">
      <c r="A83" s="25"/>
      <c r="B83" s="424" t="s">
        <v>62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2"/>
    </row>
    <row r="84" spans="1:16" ht="15.5" x14ac:dyDescent="0.25">
      <c r="A84" s="25"/>
      <c r="B84" s="424" t="s">
        <v>63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2"/>
    </row>
    <row r="85" spans="1:16" ht="3.75" customHeight="1" x14ac:dyDescent="0.25">
      <c r="A85" s="25"/>
      <c r="B85" s="2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2"/>
    </row>
    <row r="86" spans="1:16" ht="15.5" x14ac:dyDescent="0.25">
      <c r="A86" s="25" t="s">
        <v>64</v>
      </c>
      <c r="B86" s="25" t="s">
        <v>65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ht="3.75" customHeight="1" x14ac:dyDescent="0.25">
      <c r="A87" s="25"/>
      <c r="B87" s="29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1:16" s="326" customFormat="1" ht="14" x14ac:dyDescent="0.3">
      <c r="B88" s="670" t="s">
        <v>403</v>
      </c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</row>
    <row r="89" spans="1:16" s="326" customFormat="1" ht="14" x14ac:dyDescent="0.3">
      <c r="B89" s="670" t="s">
        <v>518</v>
      </c>
      <c r="D89" s="670"/>
      <c r="E89" s="670"/>
      <c r="F89" s="670"/>
      <c r="G89" s="670"/>
      <c r="H89" s="670"/>
      <c r="I89" s="670"/>
      <c r="J89" s="670"/>
      <c r="K89" s="670"/>
      <c r="L89" s="670"/>
      <c r="M89" s="670"/>
      <c r="N89" s="670"/>
    </row>
    <row r="90" spans="1:16" s="326" customFormat="1" ht="14.5" x14ac:dyDescent="0.35">
      <c r="B90" s="692" t="s">
        <v>380</v>
      </c>
      <c r="D90" s="693"/>
      <c r="E90" s="693"/>
      <c r="F90" s="693"/>
      <c r="G90" s="693"/>
      <c r="H90" s="693"/>
      <c r="I90" s="693"/>
      <c r="J90" s="693"/>
      <c r="K90" s="693"/>
      <c r="L90" s="694"/>
      <c r="M90" s="694"/>
      <c r="N90" s="694"/>
      <c r="O90" s="695"/>
    </row>
    <row r="91" spans="1:16" s="326" customFormat="1" ht="14.5" x14ac:dyDescent="0.35">
      <c r="B91" s="692" t="s">
        <v>496</v>
      </c>
      <c r="D91" s="693"/>
      <c r="E91" s="693"/>
      <c r="F91" s="693"/>
      <c r="G91" s="693"/>
      <c r="H91" s="693"/>
      <c r="I91" s="693"/>
      <c r="J91" s="693"/>
      <c r="K91" s="693"/>
      <c r="L91" s="694"/>
      <c r="M91" s="694"/>
      <c r="N91" s="694"/>
      <c r="O91" s="695"/>
      <c r="P91" s="696"/>
    </row>
    <row r="92" spans="1:16" s="326" customFormat="1" ht="14.5" x14ac:dyDescent="0.35">
      <c r="B92" s="692"/>
      <c r="D92" s="693"/>
      <c r="E92" s="693"/>
      <c r="F92" s="693"/>
      <c r="G92" s="693" t="s">
        <v>497</v>
      </c>
      <c r="H92" s="693"/>
      <c r="I92" s="693"/>
      <c r="J92" s="693"/>
      <c r="K92" s="693"/>
      <c r="L92" s="694"/>
      <c r="M92" s="694"/>
      <c r="N92" s="694"/>
      <c r="O92" s="695"/>
      <c r="P92" s="696"/>
    </row>
    <row r="93" spans="1:16" s="326" customFormat="1" ht="14.5" x14ac:dyDescent="0.35">
      <c r="B93" s="697" t="s">
        <v>381</v>
      </c>
      <c r="D93" s="693"/>
      <c r="E93" s="693"/>
      <c r="F93" s="693"/>
      <c r="G93" s="693"/>
      <c r="H93" s="693"/>
      <c r="I93" s="693"/>
      <c r="J93" s="693"/>
      <c r="K93" s="693"/>
      <c r="L93" s="694"/>
      <c r="M93" s="694"/>
      <c r="N93" s="694"/>
      <c r="O93" s="695"/>
    </row>
    <row r="94" spans="1:16" s="326" customFormat="1" ht="14.5" x14ac:dyDescent="0.35">
      <c r="B94" s="670" t="s">
        <v>382</v>
      </c>
      <c r="D94" s="693"/>
      <c r="E94" s="693"/>
      <c r="F94" s="693"/>
      <c r="G94" s="693"/>
      <c r="H94" s="693"/>
      <c r="I94" s="693"/>
      <c r="J94" s="693"/>
      <c r="K94" s="693"/>
      <c r="L94" s="694"/>
      <c r="M94" s="694"/>
      <c r="N94" s="694"/>
      <c r="O94" s="695"/>
    </row>
    <row r="95" spans="1:16" s="326" customFormat="1" ht="14.5" x14ac:dyDescent="0.35">
      <c r="B95" s="670" t="s">
        <v>383</v>
      </c>
      <c r="D95" s="146"/>
      <c r="E95" s="693"/>
      <c r="F95" s="693"/>
      <c r="G95" s="693"/>
      <c r="H95" s="693"/>
      <c r="I95" s="693"/>
      <c r="J95" s="693"/>
      <c r="K95" s="693"/>
      <c r="L95" s="694"/>
      <c r="M95" s="694"/>
      <c r="N95" s="694"/>
      <c r="O95" s="695"/>
    </row>
    <row r="96" spans="1:16" s="326" customFormat="1" ht="14.5" x14ac:dyDescent="0.35">
      <c r="B96" s="670" t="s">
        <v>495</v>
      </c>
      <c r="D96" s="146"/>
      <c r="E96" s="693"/>
      <c r="F96" s="693"/>
      <c r="G96" s="693"/>
      <c r="H96" s="693"/>
      <c r="I96" s="693"/>
      <c r="J96" s="693"/>
      <c r="K96" s="693"/>
      <c r="L96" s="694"/>
      <c r="M96" s="694"/>
      <c r="N96" s="694"/>
      <c r="O96" s="695"/>
    </row>
    <row r="97" spans="1:16" s="326" customFormat="1" ht="14.5" x14ac:dyDescent="0.35">
      <c r="B97" s="670"/>
      <c r="D97" s="146"/>
      <c r="E97" s="693"/>
      <c r="F97" s="693"/>
      <c r="G97" s="693"/>
      <c r="H97" s="693"/>
      <c r="I97" s="693" t="s">
        <v>494</v>
      </c>
      <c r="J97" s="693"/>
      <c r="K97" s="693"/>
      <c r="L97" s="694"/>
      <c r="M97" s="694"/>
      <c r="N97" s="694"/>
      <c r="O97" s="695"/>
    </row>
    <row r="98" spans="1:16" s="326" customFormat="1" ht="14" x14ac:dyDescent="0.3">
      <c r="B98" s="670" t="s">
        <v>384</v>
      </c>
      <c r="D98" s="146"/>
      <c r="E98" s="670"/>
      <c r="F98" s="670"/>
      <c r="G98" s="670"/>
      <c r="H98" s="670"/>
      <c r="I98" s="670"/>
      <c r="J98" s="670"/>
      <c r="K98" s="670"/>
      <c r="L98" s="670"/>
      <c r="M98" s="670"/>
      <c r="N98" s="670"/>
    </row>
    <row r="99" spans="1:16" ht="3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ht="15.5" x14ac:dyDescent="0.25">
      <c r="A100" s="18" t="s">
        <v>66</v>
      </c>
      <c r="B100" s="974" t="s">
        <v>67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ht="3.75" customHeight="1" x14ac:dyDescent="0.25">
      <c r="A101" s="18"/>
      <c r="B101" s="97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ht="15.5" x14ac:dyDescent="0.25">
      <c r="A102" s="18"/>
      <c r="B102" s="975" t="s">
        <v>517</v>
      </c>
      <c r="D102" s="12"/>
      <c r="E102" s="12"/>
      <c r="F102" s="12"/>
      <c r="G102" s="12"/>
      <c r="H102" s="12"/>
      <c r="I102" s="12"/>
      <c r="L102" s="12"/>
      <c r="M102" s="12"/>
      <c r="N102" s="12"/>
      <c r="O102" s="12"/>
      <c r="P102" s="12"/>
    </row>
    <row r="103" spans="1:16" ht="3.75" customHeight="1" x14ac:dyDescent="0.25">
      <c r="A103" s="12"/>
      <c r="B103" s="97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ht="15.5" x14ac:dyDescent="0.25">
      <c r="A104" s="25" t="s">
        <v>68</v>
      </c>
      <c r="B104" s="976" t="s">
        <v>69</v>
      </c>
      <c r="D104" s="12"/>
      <c r="E104" s="12"/>
      <c r="F104" s="12"/>
      <c r="G104" s="12"/>
      <c r="H104" s="12"/>
      <c r="I104" s="12"/>
      <c r="J104" s="12"/>
      <c r="K104" s="31"/>
      <c r="L104" s="12"/>
      <c r="M104" s="12"/>
      <c r="N104" s="31"/>
      <c r="O104" s="31"/>
      <c r="P104" s="18"/>
    </row>
    <row r="105" spans="1:16" ht="15.5" x14ac:dyDescent="0.25">
      <c r="A105" s="12"/>
      <c r="B105" s="32"/>
      <c r="C105" s="32"/>
      <c r="D105" s="12"/>
      <c r="E105" s="12"/>
      <c r="F105" s="12"/>
      <c r="G105" s="12"/>
      <c r="H105" s="12"/>
      <c r="I105" s="12"/>
      <c r="J105" s="12"/>
      <c r="L105" s="12"/>
      <c r="M105" s="12"/>
      <c r="N105" s="12"/>
      <c r="O105" s="12"/>
      <c r="P105" s="12"/>
    </row>
    <row r="106" spans="1:16" ht="15.5" x14ac:dyDescent="0.25">
      <c r="A106" s="12"/>
      <c r="B106" s="12"/>
      <c r="C106" s="3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 ht="15.5" hidden="1" x14ac:dyDescent="0.25">
      <c r="A107" s="12"/>
      <c r="B107" s="12"/>
      <c r="C107" s="28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spans="1:16" ht="15.5" x14ac:dyDescent="0.25">
      <c r="A108" s="12"/>
      <c r="B108" s="12"/>
      <c r="C108" s="3"/>
      <c r="D108" s="3"/>
      <c r="E108" s="1560"/>
      <c r="F108" s="1560"/>
      <c r="G108" s="33"/>
      <c r="H108" s="33"/>
      <c r="I108" s="12"/>
      <c r="J108" s="12"/>
      <c r="K108" s="12"/>
      <c r="L108" s="12"/>
      <c r="M108" s="12"/>
      <c r="N108" s="12"/>
      <c r="O108" s="12"/>
      <c r="P108" s="12"/>
    </row>
    <row r="109" spans="1:16" ht="15.5" x14ac:dyDescent="0.25">
      <c r="A109" s="12"/>
      <c r="B109" s="12"/>
      <c r="C109" s="3"/>
      <c r="D109" s="3"/>
      <c r="E109" s="1560"/>
      <c r="F109" s="1560"/>
      <c r="G109" s="34"/>
      <c r="H109" s="34"/>
      <c r="I109" s="12"/>
      <c r="J109" s="12"/>
      <c r="K109" s="12"/>
      <c r="L109" s="12"/>
      <c r="M109" s="12"/>
      <c r="N109" s="12"/>
      <c r="O109" s="12"/>
      <c r="P109" s="12"/>
    </row>
    <row r="110" spans="1:16" ht="15.5" x14ac:dyDescent="0.25">
      <c r="A110" s="12"/>
      <c r="B110" s="12"/>
      <c r="C110" s="35"/>
      <c r="D110" s="35"/>
      <c r="E110" s="1553"/>
      <c r="F110" s="1553"/>
      <c r="G110" s="36"/>
      <c r="H110" s="36"/>
      <c r="I110" s="12"/>
      <c r="J110" s="12"/>
      <c r="K110" s="12"/>
      <c r="L110" s="12"/>
      <c r="M110" s="12"/>
      <c r="N110" s="12"/>
      <c r="O110" s="12"/>
      <c r="P110" s="12"/>
    </row>
    <row r="111" spans="1:16" ht="15.5" x14ac:dyDescent="0.25">
      <c r="A111" s="12"/>
      <c r="B111" s="12"/>
      <c r="C111" s="35"/>
      <c r="D111" s="35"/>
      <c r="E111" s="1553"/>
      <c r="F111" s="1553"/>
      <c r="G111" s="35"/>
      <c r="H111" s="35"/>
      <c r="I111" s="12"/>
      <c r="J111" s="12"/>
      <c r="K111" s="12"/>
      <c r="L111" s="12"/>
      <c r="M111" s="12"/>
      <c r="N111" s="37"/>
      <c r="O111" s="12"/>
      <c r="P111" s="12"/>
    </row>
    <row r="112" spans="1:16" ht="15.5" x14ac:dyDescent="0.25">
      <c r="A112" s="12"/>
      <c r="B112" s="12"/>
      <c r="C112" s="38"/>
      <c r="D112" s="38"/>
      <c r="E112" s="38"/>
      <c r="F112" s="38"/>
      <c r="G112" s="38"/>
      <c r="H112" s="38"/>
      <c r="I112" s="12"/>
      <c r="J112" s="12"/>
      <c r="K112" s="12"/>
      <c r="L112" s="12"/>
      <c r="M112" s="12"/>
      <c r="N112" s="39"/>
      <c r="O112" s="12"/>
      <c r="P112" s="12"/>
    </row>
    <row r="113" spans="1:16" ht="15.5" x14ac:dyDescent="0.25">
      <c r="A113" s="12"/>
      <c r="B113" s="12"/>
      <c r="C113" s="38"/>
      <c r="D113" s="38"/>
      <c r="E113" s="38"/>
      <c r="F113" s="38"/>
      <c r="G113" s="38"/>
      <c r="H113" s="38"/>
      <c r="I113" s="12"/>
      <c r="J113" s="12"/>
      <c r="K113" s="12"/>
      <c r="L113" s="12"/>
      <c r="M113" s="12"/>
      <c r="N113" s="12"/>
      <c r="O113" s="12"/>
      <c r="P113" s="12"/>
    </row>
    <row r="114" spans="1:16" ht="1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ht="15" customHeight="1" x14ac:dyDescent="0.25">
      <c r="A115" s="12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1:16" ht="15" customHeight="1" x14ac:dyDescent="0.25">
      <c r="A116" s="12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1:16" ht="15.5" x14ac:dyDescent="0.25">
      <c r="A117" s="12"/>
      <c r="B117" s="12"/>
      <c r="C117" s="12"/>
      <c r="D117" s="12"/>
      <c r="E117" s="12"/>
      <c r="F117" s="30"/>
      <c r="G117" s="40"/>
      <c r="H117" s="3"/>
      <c r="I117" s="3"/>
      <c r="J117" s="3"/>
      <c r="K117" s="3"/>
      <c r="L117" s="3"/>
      <c r="M117" s="3"/>
      <c r="N117" s="12"/>
      <c r="O117" s="12"/>
      <c r="P117" s="12"/>
    </row>
    <row r="118" spans="1:16" ht="15.5" x14ac:dyDescent="0.25">
      <c r="A118" s="12"/>
      <c r="B118" s="12"/>
      <c r="C118" s="12"/>
      <c r="D118" s="12"/>
      <c r="E118" s="12"/>
      <c r="F118" s="41"/>
      <c r="G118" s="40"/>
      <c r="H118" s="3"/>
      <c r="I118" s="3"/>
      <c r="J118" s="3"/>
      <c r="K118" s="3"/>
      <c r="L118" s="3"/>
      <c r="M118" s="3"/>
      <c r="N118" s="12"/>
      <c r="O118" s="12"/>
      <c r="P118" s="12"/>
    </row>
    <row r="119" spans="1:16" ht="15.5" x14ac:dyDescent="0.25">
      <c r="A119" s="12"/>
      <c r="B119" s="12"/>
      <c r="C119" s="12"/>
      <c r="D119" s="12"/>
      <c r="E119" s="12"/>
      <c r="F119" s="41"/>
      <c r="G119" s="30"/>
      <c r="H119" s="12"/>
      <c r="I119" s="3"/>
      <c r="J119" s="3"/>
      <c r="K119" s="3"/>
      <c r="L119" s="3"/>
      <c r="M119" s="3"/>
      <c r="N119" s="12"/>
      <c r="O119" s="12"/>
      <c r="P119" s="12"/>
    </row>
    <row r="120" spans="1:16" ht="15.5" x14ac:dyDescent="0.25">
      <c r="A120" s="12"/>
      <c r="B120" s="12"/>
      <c r="C120" s="12"/>
      <c r="D120" s="12"/>
      <c r="E120" s="12"/>
      <c r="F120" s="41"/>
      <c r="G120" s="30"/>
      <c r="H120" s="12"/>
      <c r="I120" s="12"/>
      <c r="J120" s="12"/>
      <c r="K120" s="3"/>
      <c r="L120" s="3"/>
      <c r="M120" s="3"/>
      <c r="N120" s="12"/>
      <c r="O120" s="12"/>
      <c r="P120" s="12"/>
    </row>
    <row r="121" spans="1:16" ht="15.5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3"/>
      <c r="L121" s="3"/>
      <c r="M121" s="3"/>
      <c r="N121" s="12"/>
      <c r="O121" s="12"/>
      <c r="P121" s="12"/>
    </row>
    <row r="122" spans="1:16" ht="15.5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ht="15.5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2"/>
      <c r="O123" s="2"/>
      <c r="P123" s="12"/>
    </row>
    <row r="124" spans="1:16" ht="15.5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1:16" ht="15.5" x14ac:dyDescent="0.25">
      <c r="A125" s="12"/>
      <c r="B125" s="18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ht="15.5" x14ac:dyDescent="0.25">
      <c r="A126" s="12"/>
      <c r="B126" s="18"/>
      <c r="C126" s="12"/>
      <c r="D126" s="12"/>
      <c r="E126" s="12"/>
      <c r="F126" s="12"/>
      <c r="G126" s="12"/>
      <c r="H126" s="12"/>
      <c r="I126" s="12"/>
      <c r="J126" s="12"/>
      <c r="K126" s="42"/>
      <c r="L126" s="42"/>
      <c r="M126" s="42"/>
      <c r="N126" s="12"/>
      <c r="O126" s="12"/>
      <c r="P126" s="12"/>
    </row>
    <row r="127" spans="1:16" ht="15.5" x14ac:dyDescent="0.25">
      <c r="A127" s="12"/>
      <c r="B127" s="18"/>
      <c r="C127" s="43"/>
      <c r="D127" s="43"/>
      <c r="E127" s="43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1:16" ht="15.5" x14ac:dyDescent="0.25">
      <c r="A128" s="12"/>
      <c r="B128" s="43"/>
      <c r="C128" s="44"/>
      <c r="D128" s="44"/>
      <c r="E128" s="44"/>
      <c r="F128" s="12"/>
      <c r="G128" s="12"/>
      <c r="H128" s="12"/>
      <c r="I128" s="12"/>
      <c r="J128" s="12"/>
      <c r="K128" s="12"/>
      <c r="L128" s="12"/>
      <c r="M128" s="12"/>
      <c r="N128" s="44"/>
      <c r="O128" s="44"/>
      <c r="P128" s="12"/>
    </row>
    <row r="129" spans="1:16" ht="15.5" x14ac:dyDescent="0.25">
      <c r="A129" s="12"/>
      <c r="B129" s="4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44"/>
      <c r="O129" s="44"/>
      <c r="P129" s="12"/>
    </row>
    <row r="130" spans="1:16" ht="15.5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1:16" ht="15.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1:16" ht="15.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1:16" ht="15.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1:16" ht="15.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1:16" ht="15.5" x14ac:dyDescent="0.25">
      <c r="A135" s="12"/>
      <c r="B135" s="12"/>
      <c r="C135" s="12"/>
      <c r="D135" s="12"/>
      <c r="E135" s="12"/>
      <c r="F135" s="12"/>
      <c r="G135" s="12"/>
      <c r="H135" s="12"/>
      <c r="I135" s="45"/>
      <c r="J135" s="45"/>
      <c r="K135" s="45"/>
      <c r="L135" s="2"/>
      <c r="M135" s="2"/>
      <c r="N135" s="12"/>
      <c r="O135" s="12"/>
      <c r="P135" s="12"/>
    </row>
    <row r="136" spans="1:16" ht="15.5" x14ac:dyDescent="0.25">
      <c r="A136" s="12"/>
      <c r="B136" s="12"/>
      <c r="C136" s="12"/>
      <c r="D136" s="12"/>
      <c r="E136" s="12"/>
      <c r="F136" s="12"/>
      <c r="G136" s="12"/>
      <c r="H136" s="12"/>
      <c r="I136" s="46"/>
      <c r="J136" s="12"/>
      <c r="K136" s="12"/>
      <c r="L136" s="12"/>
      <c r="M136" s="12"/>
      <c r="N136" s="12"/>
      <c r="O136" s="12"/>
      <c r="P136" s="12"/>
    </row>
    <row r="137" spans="1:16" ht="15.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1:16" ht="15.5" x14ac:dyDescent="0.25">
      <c r="A138" s="12"/>
      <c r="B138" s="12"/>
      <c r="C138" s="18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ht="15.5" x14ac:dyDescent="0.25">
      <c r="A139" s="12"/>
      <c r="B139" s="18"/>
      <c r="C139" s="12"/>
      <c r="D139" s="12"/>
      <c r="E139" s="12"/>
      <c r="F139" s="44"/>
      <c r="G139" s="44"/>
      <c r="H139" s="44"/>
      <c r="I139" s="12"/>
      <c r="J139" s="12"/>
      <c r="K139" s="12"/>
      <c r="L139" s="12"/>
      <c r="M139" s="12"/>
      <c r="N139" s="12"/>
      <c r="O139" s="12"/>
      <c r="P139" s="12"/>
    </row>
    <row r="140" spans="1:16" ht="15.5" x14ac:dyDescent="0.25">
      <c r="A140" s="12"/>
      <c r="B140" s="12"/>
      <c r="C140" s="12"/>
      <c r="D140" s="12"/>
      <c r="E140" s="12"/>
      <c r="F140" s="44"/>
      <c r="G140" s="44"/>
      <c r="H140" s="44"/>
      <c r="I140" s="44"/>
      <c r="J140" s="44"/>
      <c r="K140" s="44"/>
      <c r="L140" s="44"/>
      <c r="M140" s="44"/>
      <c r="N140" s="12"/>
      <c r="O140" s="12"/>
      <c r="P140" s="12"/>
    </row>
    <row r="141" spans="1:16" ht="15.5" x14ac:dyDescent="0.25">
      <c r="A141" s="12"/>
      <c r="B141" s="12"/>
      <c r="C141" s="12"/>
      <c r="D141" s="12"/>
      <c r="E141" s="12"/>
      <c r="F141" s="12"/>
      <c r="G141" s="12"/>
      <c r="H141" s="12"/>
      <c r="I141" s="44"/>
      <c r="J141" s="44"/>
      <c r="K141" s="44"/>
      <c r="L141" s="44"/>
      <c r="M141" s="44"/>
      <c r="N141" s="12"/>
      <c r="O141" s="12"/>
      <c r="P141" s="12"/>
    </row>
    <row r="142" spans="1:16" ht="15.5" x14ac:dyDescent="0.25">
      <c r="A142" s="12"/>
      <c r="B142" s="12"/>
      <c r="C142" s="18"/>
      <c r="D142" s="12"/>
      <c r="E142" s="12"/>
      <c r="F142" s="12"/>
      <c r="G142" s="46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1:16" ht="15.5" x14ac:dyDescent="0.25">
      <c r="A143" s="12"/>
      <c r="B143" s="18"/>
      <c r="C143" s="12"/>
      <c r="D143" s="12"/>
      <c r="E143" s="12"/>
      <c r="F143" s="12"/>
      <c r="G143" s="46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1:16" ht="15.5" x14ac:dyDescent="0.25">
      <c r="A144" s="12"/>
      <c r="B144" s="12"/>
      <c r="C144" s="12"/>
      <c r="D144" s="12"/>
      <c r="E144" s="12"/>
      <c r="F144" s="12"/>
      <c r="G144" s="46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 ht="15.5" x14ac:dyDescent="0.25">
      <c r="A145" s="12"/>
      <c r="B145" s="12"/>
      <c r="C145" s="12"/>
      <c r="D145" s="12"/>
      <c r="E145" s="12"/>
      <c r="F145" s="12"/>
      <c r="G145" s="46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ht="15.5" x14ac:dyDescent="0.25">
      <c r="A146" s="12"/>
      <c r="B146" s="12"/>
      <c r="C146" s="18"/>
      <c r="D146" s="12"/>
      <c r="E146" s="12"/>
      <c r="F146" s="12"/>
      <c r="G146" s="46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 ht="15.5" x14ac:dyDescent="0.25">
      <c r="A147" s="12"/>
      <c r="B147" s="18"/>
      <c r="C147" s="8"/>
      <c r="D147" s="8"/>
      <c r="E147" s="8"/>
      <c r="F147" s="12"/>
      <c r="G147" s="46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1:16" ht="15.5" x14ac:dyDescent="0.25">
      <c r="A148" s="12"/>
      <c r="B148" s="1570"/>
      <c r="C148" s="4"/>
      <c r="D148" s="4"/>
      <c r="E148" s="4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 ht="15.5" x14ac:dyDescent="0.25">
      <c r="A149" s="12"/>
      <c r="B149" s="157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1:16" ht="15.5" x14ac:dyDescent="0.25">
      <c r="A150" s="12"/>
      <c r="B150" s="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 ht="15.5" x14ac:dyDescent="0.25">
      <c r="A151" s="12"/>
      <c r="B151" s="3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6" ht="17.5" x14ac:dyDescent="0.25">
      <c r="A152" s="12"/>
      <c r="B152" s="3"/>
      <c r="C152" s="12"/>
      <c r="D152" s="12"/>
      <c r="E152" s="12"/>
      <c r="F152" s="12"/>
      <c r="G152" s="12"/>
      <c r="H152" s="19"/>
      <c r="I152" s="12"/>
      <c r="J152" s="12"/>
      <c r="K152" s="12"/>
      <c r="L152" s="12"/>
      <c r="M152" s="12"/>
      <c r="N152" s="12"/>
      <c r="O152" s="12"/>
      <c r="P152" s="12"/>
    </row>
    <row r="153" spans="1:16" ht="17.5" x14ac:dyDescent="0.25">
      <c r="A153" s="12"/>
      <c r="B153" s="3"/>
      <c r="C153" s="12"/>
      <c r="D153" s="12"/>
      <c r="E153" s="12"/>
      <c r="F153" s="12"/>
      <c r="G153" s="12"/>
      <c r="H153" s="19"/>
      <c r="I153" s="12"/>
      <c r="J153" s="12"/>
      <c r="K153" s="12"/>
      <c r="L153" s="12"/>
      <c r="M153" s="12"/>
      <c r="N153" s="12"/>
      <c r="O153" s="12"/>
      <c r="P153" s="12"/>
    </row>
    <row r="154" spans="1:16" ht="17.5" x14ac:dyDescent="0.25">
      <c r="A154" s="12"/>
      <c r="B154" s="3"/>
      <c r="C154" s="12"/>
      <c r="D154" s="12"/>
      <c r="E154" s="12"/>
      <c r="F154" s="12"/>
      <c r="G154" s="12"/>
      <c r="H154" s="19"/>
      <c r="I154" s="12"/>
      <c r="J154" s="12"/>
      <c r="K154" s="12"/>
      <c r="L154" s="12"/>
      <c r="M154" s="12"/>
      <c r="N154" s="12"/>
      <c r="O154" s="12"/>
      <c r="P154" s="12"/>
    </row>
    <row r="155" spans="1:16" ht="17.5" x14ac:dyDescent="0.25">
      <c r="A155" s="12"/>
      <c r="B155" s="3"/>
      <c r="C155" s="12"/>
      <c r="D155" s="12"/>
      <c r="E155" s="12"/>
      <c r="F155" s="12"/>
      <c r="G155" s="12"/>
      <c r="H155" s="19"/>
      <c r="I155" s="12"/>
      <c r="J155" s="12"/>
      <c r="K155" s="12"/>
      <c r="L155" s="12"/>
      <c r="M155" s="12"/>
      <c r="N155" s="12"/>
      <c r="O155" s="12"/>
      <c r="P155" s="12"/>
    </row>
    <row r="156" spans="1:16" ht="17.5" x14ac:dyDescent="0.25">
      <c r="A156" s="12"/>
      <c r="B156" s="3"/>
      <c r="C156" s="12"/>
      <c r="D156" s="12"/>
      <c r="E156" s="12"/>
      <c r="F156" s="12"/>
      <c r="G156" s="12"/>
      <c r="H156" s="19"/>
      <c r="I156" s="12"/>
      <c r="J156" s="12"/>
      <c r="K156" s="12"/>
      <c r="L156" s="12"/>
      <c r="M156" s="12"/>
      <c r="N156" s="12"/>
      <c r="O156" s="12"/>
      <c r="P156" s="12"/>
    </row>
    <row r="157" spans="1:16" ht="15.5" x14ac:dyDescent="0.25">
      <c r="A157" s="12"/>
      <c r="B157" s="3"/>
      <c r="C157" s="12"/>
      <c r="D157" s="12"/>
      <c r="E157" s="12"/>
      <c r="F157" s="12"/>
      <c r="G157" s="28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ht="15.5" x14ac:dyDescent="0.25">
      <c r="A158" s="12"/>
      <c r="B158" s="3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ht="15.5" x14ac:dyDescent="0.25">
      <c r="A159" s="12"/>
      <c r="B159" s="3"/>
      <c r="C159" s="12"/>
      <c r="D159" s="12"/>
      <c r="E159" s="12"/>
      <c r="F159" s="8"/>
      <c r="G159" s="8"/>
      <c r="H159" s="8"/>
      <c r="I159" s="12"/>
      <c r="J159" s="12"/>
      <c r="K159" s="12"/>
      <c r="L159" s="12"/>
      <c r="M159" s="12"/>
      <c r="N159" s="12"/>
      <c r="O159" s="12"/>
      <c r="P159" s="12"/>
    </row>
    <row r="160" spans="1:16" ht="15.5" x14ac:dyDescent="0.25">
      <c r="A160" s="12"/>
      <c r="B160" s="12"/>
      <c r="C160" s="25"/>
      <c r="D160" s="12"/>
      <c r="E160" s="12"/>
      <c r="F160" s="4"/>
      <c r="G160" s="4"/>
      <c r="H160" s="4"/>
      <c r="I160" s="3"/>
      <c r="J160" s="12"/>
      <c r="K160" s="12"/>
      <c r="L160" s="12"/>
      <c r="M160" s="12"/>
      <c r="N160" s="12"/>
      <c r="O160" s="12"/>
      <c r="P160" s="12"/>
    </row>
    <row r="161" spans="1:16" ht="15.5" x14ac:dyDescent="0.25">
      <c r="A161" s="12"/>
      <c r="B161" s="25"/>
      <c r="C161" s="3"/>
      <c r="D161" s="3"/>
      <c r="E161" s="3"/>
      <c r="F161" s="12"/>
      <c r="G161" s="12"/>
      <c r="H161" s="12"/>
      <c r="I161" s="3"/>
      <c r="J161" s="12"/>
      <c r="K161" s="12"/>
      <c r="L161" s="12"/>
      <c r="M161" s="12"/>
      <c r="N161" s="12"/>
      <c r="O161" s="12"/>
      <c r="P161" s="12"/>
    </row>
    <row r="162" spans="1:16" ht="15.5" x14ac:dyDescent="0.25">
      <c r="A162" s="12"/>
      <c r="B162" s="3"/>
      <c r="C162" s="3"/>
      <c r="D162" s="3"/>
      <c r="E162" s="3"/>
      <c r="F162" s="12"/>
      <c r="G162" s="12"/>
      <c r="H162" s="12"/>
      <c r="I162" s="3"/>
      <c r="J162" s="12"/>
      <c r="K162" s="12"/>
      <c r="L162" s="12"/>
      <c r="M162" s="12"/>
      <c r="N162" s="3"/>
      <c r="O162" s="3"/>
      <c r="P162" s="12"/>
    </row>
    <row r="163" spans="1:16" ht="15.5" x14ac:dyDescent="0.25">
      <c r="A163" s="12"/>
      <c r="B163" s="26"/>
      <c r="C163" s="26"/>
      <c r="D163" s="3"/>
      <c r="E163" s="3"/>
      <c r="F163" s="12"/>
      <c r="G163" s="12"/>
      <c r="H163" s="12"/>
      <c r="I163" s="3"/>
      <c r="J163" s="12"/>
      <c r="K163" s="12"/>
      <c r="L163" s="3"/>
      <c r="M163" s="3"/>
      <c r="N163" s="3"/>
      <c r="O163" s="3"/>
      <c r="P163" s="12"/>
    </row>
    <row r="164" spans="1:16" ht="15.5" x14ac:dyDescent="0.25">
      <c r="A164" s="12"/>
      <c r="B164" s="26"/>
      <c r="C164" s="3"/>
      <c r="D164" s="3"/>
      <c r="E164" s="3"/>
      <c r="F164" s="12"/>
      <c r="G164" s="12"/>
      <c r="H164" s="12"/>
      <c r="I164" s="42"/>
      <c r="J164" s="12"/>
      <c r="K164" s="12"/>
      <c r="L164" s="3"/>
      <c r="M164" s="3"/>
      <c r="N164" s="3"/>
      <c r="O164" s="3"/>
      <c r="P164" s="12"/>
    </row>
    <row r="165" spans="1:16" ht="15.5" x14ac:dyDescent="0.25">
      <c r="A165" s="12"/>
      <c r="B165" s="26"/>
      <c r="C165" s="3"/>
      <c r="D165" s="26"/>
      <c r="E165" s="26"/>
      <c r="F165" s="12"/>
      <c r="G165" s="12"/>
      <c r="H165" s="12"/>
      <c r="I165" s="42"/>
      <c r="J165" s="12"/>
      <c r="K165" s="12"/>
      <c r="L165" s="3"/>
      <c r="M165" s="3"/>
      <c r="N165" s="35"/>
      <c r="O165" s="35"/>
      <c r="P165" s="12"/>
    </row>
    <row r="166" spans="1:16" ht="15.5" x14ac:dyDescent="0.25">
      <c r="A166" s="12"/>
      <c r="B166" s="26"/>
      <c r="C166" s="3"/>
      <c r="D166" s="3"/>
      <c r="E166" s="3"/>
      <c r="F166" s="12"/>
      <c r="G166" s="12"/>
      <c r="H166" s="12"/>
      <c r="I166" s="42"/>
      <c r="J166" s="12"/>
      <c r="K166" s="12"/>
      <c r="L166" s="26"/>
      <c r="M166" s="26"/>
      <c r="N166" s="35"/>
      <c r="O166" s="35"/>
      <c r="P166" s="12"/>
    </row>
    <row r="167" spans="1:16" ht="15.5" x14ac:dyDescent="0.25">
      <c r="A167" s="12"/>
      <c r="B167" s="26"/>
      <c r="C167" s="3"/>
      <c r="D167" s="3"/>
      <c r="E167" s="3"/>
      <c r="F167" s="12"/>
      <c r="G167" s="12"/>
      <c r="H167" s="12"/>
      <c r="I167" s="42"/>
      <c r="J167" s="12"/>
      <c r="K167" s="12"/>
      <c r="L167" s="26"/>
      <c r="M167" s="26"/>
      <c r="N167" s="35"/>
      <c r="O167" s="35"/>
      <c r="P167" s="12"/>
    </row>
    <row r="168" spans="1:16" ht="15.5" x14ac:dyDescent="0.25">
      <c r="A168" s="12"/>
      <c r="B168" s="26"/>
      <c r="C168" s="3"/>
      <c r="D168" s="3"/>
      <c r="E168" s="3"/>
      <c r="F168" s="12"/>
      <c r="G168" s="12"/>
      <c r="H168" s="12"/>
      <c r="I168" s="42"/>
      <c r="J168" s="12"/>
      <c r="K168" s="12"/>
      <c r="L168" s="26"/>
      <c r="M168" s="26"/>
      <c r="N168" s="35"/>
      <c r="O168" s="35"/>
      <c r="P168" s="12"/>
    </row>
    <row r="169" spans="1:16" ht="15.5" x14ac:dyDescent="0.25">
      <c r="A169" s="12"/>
      <c r="B169" s="26"/>
      <c r="C169" s="3"/>
      <c r="D169" s="3"/>
      <c r="E169" s="3"/>
      <c r="F169" s="12"/>
      <c r="G169" s="12"/>
      <c r="H169" s="12"/>
      <c r="I169" s="42"/>
      <c r="J169" s="12"/>
      <c r="K169" s="12"/>
      <c r="L169" s="26"/>
      <c r="M169" s="26"/>
      <c r="N169" s="35"/>
      <c r="O169" s="35"/>
      <c r="P169" s="12"/>
    </row>
    <row r="170" spans="1:16" ht="15.5" x14ac:dyDescent="0.25">
      <c r="A170" s="12"/>
      <c r="B170" s="26"/>
      <c r="C170" s="3"/>
      <c r="D170" s="3"/>
      <c r="E170" s="3"/>
      <c r="F170" s="12"/>
      <c r="G170" s="12"/>
      <c r="H170" s="12"/>
      <c r="I170" s="42"/>
      <c r="J170" s="12"/>
      <c r="K170" s="12"/>
      <c r="L170" s="26"/>
      <c r="M170" s="26"/>
      <c r="N170" s="35"/>
      <c r="O170" s="35"/>
      <c r="P170" s="12"/>
    </row>
    <row r="171" spans="1:16" ht="15.5" x14ac:dyDescent="0.25">
      <c r="A171" s="12"/>
      <c r="B171" s="26"/>
      <c r="C171" s="3"/>
      <c r="D171" s="3"/>
      <c r="E171" s="3"/>
      <c r="F171" s="12"/>
      <c r="G171" s="12"/>
      <c r="H171" s="12"/>
      <c r="I171" s="42"/>
      <c r="J171" s="12"/>
      <c r="K171" s="12"/>
      <c r="L171" s="3"/>
      <c r="M171" s="3"/>
      <c r="N171" s="35"/>
      <c r="O171" s="35"/>
      <c r="P171" s="12"/>
    </row>
    <row r="172" spans="1:16" ht="15.5" x14ac:dyDescent="0.25">
      <c r="A172" s="12"/>
      <c r="B172" s="26"/>
      <c r="C172" s="3"/>
      <c r="D172" s="3"/>
      <c r="E172" s="3"/>
      <c r="F172" s="12"/>
      <c r="G172" s="12"/>
      <c r="H172" s="12"/>
      <c r="I172" s="12"/>
      <c r="J172" s="12"/>
      <c r="K172" s="12"/>
      <c r="L172" s="3"/>
      <c r="M172" s="3"/>
      <c r="N172" s="35"/>
      <c r="O172" s="35"/>
      <c r="P172" s="12"/>
    </row>
    <row r="173" spans="1:16" ht="15.5" x14ac:dyDescent="0.25">
      <c r="A173" s="12"/>
      <c r="B173" s="26"/>
      <c r="C173" s="3"/>
      <c r="D173" s="47"/>
      <c r="E173" s="47"/>
      <c r="F173" s="1552"/>
      <c r="G173" s="1552"/>
      <c r="H173" s="1552"/>
      <c r="I173" s="12"/>
      <c r="J173" s="12"/>
      <c r="K173" s="12"/>
      <c r="L173" s="12"/>
      <c r="M173" s="12"/>
      <c r="N173" s="35"/>
      <c r="O173" s="35"/>
      <c r="P173" s="12"/>
    </row>
    <row r="174" spans="1:16" ht="15.5" x14ac:dyDescent="0.25">
      <c r="A174" s="12"/>
      <c r="B174" s="26"/>
      <c r="C174" s="3"/>
      <c r="D174" s="47"/>
      <c r="E174" s="47"/>
      <c r="F174" s="3"/>
      <c r="G174" s="3"/>
      <c r="H174" s="3"/>
      <c r="I174" s="3"/>
      <c r="J174" s="3"/>
      <c r="K174" s="3"/>
      <c r="L174" s="3"/>
      <c r="M174" s="3"/>
      <c r="N174" s="35"/>
      <c r="O174" s="35"/>
      <c r="P174" s="12"/>
    </row>
    <row r="175" spans="1:16" ht="15.5" x14ac:dyDescent="0.25">
      <c r="A175" s="12"/>
      <c r="B175" s="26"/>
      <c r="C175" s="3"/>
      <c r="D175" s="47"/>
      <c r="E175" s="47"/>
      <c r="F175" s="3"/>
      <c r="G175" s="26"/>
      <c r="H175" s="3"/>
      <c r="I175" s="3"/>
      <c r="J175" s="3"/>
      <c r="K175" s="3"/>
      <c r="L175" s="3"/>
      <c r="M175" s="3"/>
      <c r="N175" s="35"/>
      <c r="O175" s="35"/>
      <c r="P175" s="12"/>
    </row>
    <row r="176" spans="1:16" ht="15.5" x14ac:dyDescent="0.25">
      <c r="A176" s="12"/>
      <c r="B176" s="26"/>
      <c r="C176" s="3"/>
      <c r="D176" s="3"/>
      <c r="E176" s="3"/>
      <c r="F176" s="48"/>
      <c r="G176" s="48"/>
      <c r="H176" s="48"/>
      <c r="I176" s="3"/>
      <c r="J176" s="3"/>
      <c r="K176" s="3"/>
      <c r="L176" s="3"/>
      <c r="M176" s="3"/>
      <c r="N176" s="35"/>
      <c r="O176" s="35"/>
      <c r="P176" s="12"/>
    </row>
    <row r="177" spans="1:16" ht="15.5" x14ac:dyDescent="0.25">
      <c r="A177" s="12"/>
      <c r="B177" s="26"/>
      <c r="C177" s="3"/>
      <c r="D177" s="3"/>
      <c r="E177" s="3"/>
      <c r="F177" s="48"/>
      <c r="G177" s="48"/>
      <c r="H177" s="48"/>
      <c r="I177" s="35"/>
      <c r="J177" s="48"/>
      <c r="K177" s="48"/>
      <c r="L177" s="26"/>
      <c r="M177" s="26"/>
      <c r="N177" s="35"/>
      <c r="O177" s="35"/>
      <c r="P177" s="12"/>
    </row>
    <row r="178" spans="1:16" ht="15.5" x14ac:dyDescent="0.25">
      <c r="A178" s="12"/>
      <c r="B178" s="26"/>
      <c r="C178" s="3"/>
      <c r="D178" s="3"/>
      <c r="E178" s="3"/>
      <c r="F178" s="48"/>
      <c r="G178" s="48"/>
      <c r="H178" s="48"/>
      <c r="I178" s="35"/>
      <c r="J178" s="48"/>
      <c r="K178" s="48"/>
      <c r="L178" s="26"/>
      <c r="M178" s="26"/>
      <c r="N178" s="35"/>
      <c r="O178" s="35"/>
      <c r="P178" s="12"/>
    </row>
    <row r="179" spans="1:16" ht="15.5" x14ac:dyDescent="0.25">
      <c r="A179" s="12"/>
      <c r="B179" s="26"/>
      <c r="C179" s="3"/>
      <c r="D179" s="3"/>
      <c r="E179" s="3"/>
      <c r="F179" s="49"/>
      <c r="G179" s="49"/>
      <c r="H179" s="49"/>
      <c r="I179" s="35"/>
      <c r="J179" s="48"/>
      <c r="K179" s="48"/>
      <c r="L179" s="3"/>
      <c r="M179" s="3"/>
      <c r="N179" s="35"/>
      <c r="O179" s="35"/>
      <c r="P179" s="12"/>
    </row>
    <row r="180" spans="1:16" ht="15.5" x14ac:dyDescent="0.25">
      <c r="A180" s="12"/>
      <c r="B180" s="26"/>
      <c r="C180" s="3"/>
      <c r="D180" s="3"/>
      <c r="E180" s="3"/>
      <c r="F180" s="49"/>
      <c r="G180" s="49"/>
      <c r="H180" s="49"/>
      <c r="I180" s="35"/>
      <c r="J180" s="35"/>
      <c r="K180" s="35"/>
      <c r="L180" s="3"/>
      <c r="M180" s="3"/>
      <c r="N180" s="35"/>
      <c r="O180" s="35"/>
      <c r="P180" s="12"/>
    </row>
    <row r="181" spans="1:16" ht="15.5" x14ac:dyDescent="0.25">
      <c r="A181" s="12"/>
      <c r="B181" s="26"/>
      <c r="C181" s="3"/>
      <c r="D181" s="3"/>
      <c r="E181" s="3"/>
      <c r="F181" s="49"/>
      <c r="G181" s="49"/>
      <c r="H181" s="49"/>
      <c r="I181" s="35"/>
      <c r="J181" s="35"/>
      <c r="K181" s="35"/>
      <c r="L181" s="26"/>
      <c r="M181" s="26"/>
      <c r="N181" s="35"/>
      <c r="O181" s="35"/>
      <c r="P181" s="12"/>
    </row>
    <row r="182" spans="1:16" ht="15.5" x14ac:dyDescent="0.25">
      <c r="A182" s="12"/>
      <c r="B182" s="26"/>
      <c r="C182" s="3"/>
      <c r="D182" s="3"/>
      <c r="E182" s="3"/>
      <c r="F182" s="48"/>
      <c r="G182" s="48"/>
      <c r="H182" s="48"/>
      <c r="I182" s="35"/>
      <c r="J182" s="35"/>
      <c r="K182" s="35"/>
      <c r="L182" s="3"/>
      <c r="M182" s="3"/>
      <c r="N182" s="35"/>
      <c r="O182" s="35"/>
      <c r="P182" s="12"/>
    </row>
    <row r="183" spans="1:16" ht="15.5" x14ac:dyDescent="0.25">
      <c r="A183" s="12"/>
      <c r="B183" s="26"/>
      <c r="C183" s="3"/>
      <c r="D183" s="3"/>
      <c r="E183" s="3"/>
      <c r="F183" s="48"/>
      <c r="G183" s="48"/>
      <c r="H183" s="48"/>
      <c r="I183" s="35"/>
      <c r="J183" s="48"/>
      <c r="K183" s="48"/>
      <c r="L183" s="3"/>
      <c r="M183" s="3"/>
      <c r="N183" s="35"/>
      <c r="O183" s="35"/>
      <c r="P183" s="12"/>
    </row>
    <row r="184" spans="1:16" ht="15.5" x14ac:dyDescent="0.25">
      <c r="A184" s="12"/>
      <c r="B184" s="26"/>
      <c r="C184" s="3"/>
      <c r="D184" s="3"/>
      <c r="E184" s="3"/>
      <c r="F184" s="48"/>
      <c r="G184" s="48"/>
      <c r="H184" s="48"/>
      <c r="I184" s="35"/>
      <c r="J184" s="48"/>
      <c r="K184" s="48"/>
      <c r="L184" s="26"/>
      <c r="M184" s="26"/>
      <c r="N184" s="35"/>
      <c r="O184" s="35"/>
      <c r="P184" s="12"/>
    </row>
    <row r="185" spans="1:16" x14ac:dyDescent="0.25">
      <c r="B185" s="50"/>
      <c r="C185" s="51"/>
      <c r="D185" s="51"/>
      <c r="E185" s="51"/>
      <c r="F185" s="52"/>
      <c r="G185" s="52"/>
      <c r="H185" s="52"/>
      <c r="I185" s="53"/>
      <c r="J185" s="54"/>
      <c r="K185" s="54"/>
      <c r="L185" s="51"/>
      <c r="M185" s="51"/>
      <c r="N185" s="53"/>
      <c r="O185" s="53"/>
    </row>
    <row r="186" spans="1:16" x14ac:dyDescent="0.25">
      <c r="B186" s="50"/>
      <c r="C186" s="51"/>
      <c r="D186" s="51"/>
      <c r="E186" s="51"/>
      <c r="F186" s="52"/>
      <c r="G186" s="52"/>
      <c r="H186" s="52"/>
      <c r="I186" s="52"/>
      <c r="J186" s="52"/>
      <c r="K186" s="52"/>
      <c r="L186" s="51"/>
      <c r="M186" s="51"/>
      <c r="N186" s="53"/>
      <c r="O186" s="53"/>
    </row>
    <row r="187" spans="1:16" x14ac:dyDescent="0.25">
      <c r="B187" s="50"/>
      <c r="C187" s="51"/>
      <c r="D187" s="51"/>
      <c r="E187" s="51"/>
      <c r="F187" s="52"/>
      <c r="G187" s="52"/>
      <c r="H187" s="52"/>
      <c r="I187" s="52"/>
      <c r="J187" s="52"/>
      <c r="K187" s="52"/>
      <c r="L187" s="50"/>
      <c r="M187" s="50"/>
      <c r="N187" s="53"/>
      <c r="O187" s="53"/>
    </row>
    <row r="188" spans="1:16" x14ac:dyDescent="0.25">
      <c r="B188" s="50"/>
      <c r="C188" s="51"/>
      <c r="D188" s="51"/>
      <c r="E188" s="51"/>
      <c r="F188" s="53"/>
      <c r="G188" s="53"/>
      <c r="H188" s="53"/>
      <c r="I188" s="52"/>
      <c r="J188" s="52"/>
      <c r="K188" s="52"/>
      <c r="L188" s="51"/>
      <c r="M188" s="51"/>
      <c r="N188" s="53"/>
      <c r="O188" s="53"/>
    </row>
    <row r="189" spans="1:16" ht="14.5" x14ac:dyDescent="0.25">
      <c r="B189" s="51"/>
      <c r="C189" s="55"/>
      <c r="D189" s="51"/>
      <c r="E189" s="51"/>
      <c r="F189" s="53"/>
      <c r="G189" s="53"/>
      <c r="H189" s="53"/>
      <c r="I189" s="53"/>
      <c r="J189" s="54"/>
      <c r="K189" s="54"/>
      <c r="L189" s="51"/>
      <c r="M189" s="51"/>
      <c r="N189" s="51"/>
      <c r="O189" s="51"/>
    </row>
    <row r="190" spans="1:16" ht="14.5" x14ac:dyDescent="0.25">
      <c r="B190" s="55"/>
      <c r="C190" s="56"/>
      <c r="D190" s="51"/>
      <c r="E190" s="51"/>
      <c r="F190" s="53"/>
      <c r="G190" s="53"/>
      <c r="H190" s="53"/>
      <c r="I190" s="53"/>
      <c r="J190" s="54"/>
      <c r="K190" s="54"/>
      <c r="L190" s="50"/>
      <c r="M190" s="50"/>
      <c r="N190" s="51"/>
      <c r="O190" s="51"/>
    </row>
    <row r="191" spans="1:16" x14ac:dyDescent="0.25">
      <c r="B191" s="51"/>
      <c r="C191" s="51"/>
      <c r="D191" s="51"/>
      <c r="E191" s="51"/>
      <c r="F191" s="57"/>
      <c r="G191" s="57"/>
      <c r="H191" s="57"/>
      <c r="I191" s="53"/>
      <c r="J191" s="54"/>
      <c r="K191" s="54"/>
      <c r="L191" s="51"/>
      <c r="M191" s="51"/>
      <c r="N191" s="51"/>
      <c r="O191" s="51"/>
    </row>
    <row r="192" spans="1:16" ht="14.5" x14ac:dyDescent="0.25">
      <c r="B192" s="51"/>
      <c r="C192" s="58"/>
      <c r="D192" s="59"/>
      <c r="E192" s="59"/>
      <c r="F192" s="57"/>
      <c r="G192" s="57"/>
      <c r="H192" s="57"/>
      <c r="I192" s="53"/>
      <c r="J192" s="54"/>
      <c r="K192" s="54"/>
      <c r="L192" s="51"/>
      <c r="M192" s="51"/>
      <c r="N192" s="51"/>
      <c r="O192" s="51"/>
    </row>
    <row r="193" spans="2:15" ht="14.5" x14ac:dyDescent="0.25">
      <c r="B193" s="55"/>
      <c r="C193" s="56"/>
      <c r="D193" s="59"/>
      <c r="E193" s="59"/>
      <c r="F193" s="57"/>
      <c r="G193" s="57"/>
      <c r="H193" s="57"/>
      <c r="I193" s="53"/>
      <c r="J193" s="54"/>
      <c r="K193" s="54"/>
      <c r="L193" s="50"/>
      <c r="M193" s="50"/>
      <c r="N193" s="60"/>
      <c r="O193" s="60"/>
    </row>
    <row r="194" spans="2:15" ht="14.5" x14ac:dyDescent="0.25">
      <c r="B194" s="59"/>
      <c r="C194" s="56"/>
      <c r="D194" s="59"/>
      <c r="E194" s="59"/>
      <c r="F194" s="54"/>
      <c r="G194" s="54"/>
      <c r="H194" s="54"/>
      <c r="I194" s="53"/>
      <c r="J194" s="54"/>
      <c r="K194" s="54"/>
      <c r="L194" s="51"/>
      <c r="M194" s="51"/>
      <c r="N194" s="60"/>
      <c r="O194" s="60"/>
    </row>
    <row r="195" spans="2:15" ht="14.5" x14ac:dyDescent="0.25">
      <c r="B195" s="59"/>
      <c r="C195" s="56"/>
      <c r="D195" s="59"/>
      <c r="E195" s="59"/>
      <c r="F195" s="54"/>
      <c r="G195" s="54"/>
      <c r="H195" s="54"/>
      <c r="I195" s="53"/>
      <c r="J195" s="54"/>
      <c r="K195" s="54"/>
      <c r="L195" s="51"/>
      <c r="M195" s="51"/>
      <c r="N195" s="61"/>
      <c r="O195" s="61"/>
    </row>
    <row r="196" spans="2:15" ht="14.5" x14ac:dyDescent="0.25">
      <c r="B196" s="59"/>
      <c r="C196" s="62"/>
      <c r="D196" s="59"/>
      <c r="E196" s="59"/>
      <c r="F196" s="54"/>
      <c r="G196" s="54"/>
      <c r="H196" s="54"/>
      <c r="I196" s="53"/>
      <c r="J196" s="54"/>
      <c r="K196" s="54"/>
      <c r="L196" s="50"/>
      <c r="M196" s="50"/>
      <c r="N196" s="61"/>
      <c r="O196" s="61"/>
    </row>
    <row r="197" spans="2:15" ht="14.5" x14ac:dyDescent="0.25">
      <c r="B197" s="59"/>
      <c r="C197" s="63"/>
      <c r="D197" s="59"/>
      <c r="E197" s="59"/>
      <c r="F197" s="54"/>
      <c r="G197" s="54"/>
      <c r="H197" s="54"/>
      <c r="I197" s="53"/>
      <c r="J197" s="54"/>
      <c r="K197" s="54"/>
      <c r="L197" s="51"/>
      <c r="M197" s="51"/>
      <c r="N197" s="61"/>
      <c r="O197" s="61"/>
    </row>
    <row r="198" spans="2:15" ht="14.5" x14ac:dyDescent="0.25">
      <c r="B198" s="59"/>
      <c r="C198" s="58"/>
      <c r="D198" s="59"/>
      <c r="E198" s="59"/>
      <c r="F198" s="54"/>
      <c r="G198" s="54"/>
      <c r="H198" s="54"/>
      <c r="I198" s="53"/>
      <c r="J198" s="53"/>
      <c r="K198" s="53"/>
      <c r="L198" s="51"/>
      <c r="M198" s="51"/>
      <c r="N198" s="61"/>
      <c r="O198" s="61"/>
    </row>
    <row r="199" spans="2:15" ht="14.5" x14ac:dyDescent="0.25">
      <c r="B199" s="55"/>
      <c r="C199" s="62"/>
      <c r="D199" s="59"/>
      <c r="E199" s="59"/>
      <c r="F199" s="54"/>
      <c r="G199" s="54"/>
      <c r="H199" s="54"/>
      <c r="I199" s="53"/>
      <c r="J199" s="53"/>
      <c r="K199" s="53"/>
      <c r="L199" s="50"/>
      <c r="M199" s="50"/>
      <c r="N199" s="64"/>
      <c r="O199" s="64"/>
    </row>
    <row r="200" spans="2:15" ht="14.5" x14ac:dyDescent="0.25">
      <c r="B200" s="59"/>
      <c r="C200" s="59"/>
      <c r="D200" s="59"/>
      <c r="E200" s="59"/>
      <c r="F200" s="51"/>
      <c r="G200" s="51"/>
      <c r="H200" s="51"/>
      <c r="I200" s="53"/>
      <c r="J200" s="53"/>
      <c r="K200" s="53"/>
      <c r="L200" s="51"/>
      <c r="M200" s="51"/>
      <c r="N200" s="61"/>
      <c r="O200" s="61"/>
    </row>
    <row r="201" spans="2:15" x14ac:dyDescent="0.25">
      <c r="B201" s="59"/>
      <c r="C201" s="59"/>
      <c r="D201" s="59"/>
      <c r="E201" s="59"/>
      <c r="F201" s="51"/>
      <c r="G201" s="51"/>
      <c r="H201" s="51"/>
      <c r="I201" s="51"/>
      <c r="J201" s="51"/>
      <c r="K201" s="51"/>
      <c r="L201" s="51"/>
      <c r="M201" s="51"/>
      <c r="N201" s="59"/>
      <c r="O201" s="59"/>
    </row>
    <row r="202" spans="2:15" x14ac:dyDescent="0.25">
      <c r="B202" s="59"/>
      <c r="C202" s="59"/>
      <c r="D202" s="59"/>
      <c r="E202" s="59"/>
      <c r="F202" s="51"/>
      <c r="G202" s="51"/>
      <c r="H202" s="51"/>
      <c r="I202" s="51"/>
      <c r="J202" s="51"/>
      <c r="K202" s="51"/>
      <c r="L202" s="51"/>
      <c r="M202" s="51"/>
      <c r="N202" s="59"/>
      <c r="O202" s="59"/>
    </row>
    <row r="203" spans="2:15" x14ac:dyDescent="0.25">
      <c r="B203" s="59"/>
      <c r="C203" s="59"/>
      <c r="D203" s="59"/>
      <c r="E203" s="59"/>
      <c r="F203" s="51"/>
      <c r="G203" s="51"/>
      <c r="H203" s="51"/>
      <c r="I203" s="51"/>
      <c r="J203" s="51"/>
      <c r="K203" s="51"/>
      <c r="L203" s="51"/>
      <c r="M203" s="51"/>
      <c r="N203" s="59"/>
      <c r="O203" s="59"/>
    </row>
    <row r="204" spans="2:15" x14ac:dyDescent="0.25">
      <c r="B204" s="59"/>
      <c r="C204" s="59"/>
      <c r="D204" s="59"/>
      <c r="E204" s="59"/>
      <c r="F204" s="59"/>
      <c r="G204" s="59"/>
      <c r="H204" s="59"/>
      <c r="I204" s="51"/>
      <c r="J204" s="51"/>
      <c r="K204" s="51"/>
      <c r="L204" s="51"/>
      <c r="M204" s="51"/>
      <c r="N204" s="59"/>
      <c r="O204" s="59"/>
    </row>
    <row r="205" spans="2:15" ht="14.5" x14ac:dyDescent="0.25">
      <c r="B205" s="59"/>
      <c r="C205" s="59"/>
      <c r="D205" s="59"/>
      <c r="E205" s="59"/>
      <c r="F205" s="59"/>
      <c r="G205" s="59"/>
      <c r="H205" s="59"/>
      <c r="I205" s="59"/>
      <c r="J205" s="59"/>
      <c r="K205" s="60"/>
      <c r="L205" s="60"/>
      <c r="M205" s="60"/>
      <c r="N205" s="59"/>
      <c r="O205" s="59"/>
    </row>
    <row r="206" spans="2:15" ht="14.5" x14ac:dyDescent="0.25">
      <c r="B206" s="59"/>
      <c r="C206" s="59"/>
      <c r="D206" s="59"/>
      <c r="E206" s="59"/>
      <c r="F206" s="59"/>
      <c r="G206" s="59"/>
      <c r="H206" s="59"/>
      <c r="I206" s="59"/>
      <c r="J206" s="59"/>
      <c r="K206" s="60"/>
      <c r="L206" s="60"/>
      <c r="M206" s="60"/>
      <c r="N206" s="59"/>
      <c r="O206" s="59"/>
    </row>
    <row r="207" spans="2:15" ht="14.5" x14ac:dyDescent="0.25">
      <c r="B207" s="59"/>
      <c r="F207" s="59"/>
      <c r="G207" s="59"/>
      <c r="H207" s="59"/>
      <c r="I207" s="59"/>
      <c r="J207" s="59"/>
      <c r="K207" s="61"/>
      <c r="L207" s="61"/>
      <c r="M207" s="61"/>
      <c r="N207" s="59"/>
      <c r="O207" s="59"/>
    </row>
    <row r="208" spans="2:15" ht="14.5" x14ac:dyDescent="0.25">
      <c r="F208" s="59"/>
      <c r="G208" s="59"/>
      <c r="H208" s="59"/>
      <c r="I208" s="59"/>
      <c r="J208" s="59"/>
      <c r="K208" s="61"/>
      <c r="L208" s="61"/>
      <c r="M208" s="61"/>
    </row>
    <row r="209" spans="6:13" ht="14.5" x14ac:dyDescent="0.25">
      <c r="F209" s="59"/>
      <c r="G209" s="59"/>
      <c r="H209" s="59"/>
      <c r="I209" s="59"/>
      <c r="J209" s="59"/>
      <c r="K209" s="61"/>
      <c r="L209" s="61"/>
      <c r="M209" s="61"/>
    </row>
    <row r="210" spans="6:13" ht="14.5" x14ac:dyDescent="0.25">
      <c r="F210" s="59"/>
      <c r="G210" s="59"/>
      <c r="H210" s="59"/>
      <c r="I210" s="59"/>
      <c r="J210" s="59"/>
      <c r="K210" s="61"/>
      <c r="L210" s="61"/>
      <c r="M210" s="61"/>
    </row>
    <row r="211" spans="6:13" ht="14.5" x14ac:dyDescent="0.25">
      <c r="F211" s="59"/>
      <c r="G211" s="59"/>
      <c r="H211" s="59"/>
      <c r="I211" s="59"/>
      <c r="J211" s="59"/>
      <c r="K211" s="64"/>
      <c r="L211" s="64"/>
      <c r="M211" s="64"/>
    </row>
    <row r="212" spans="6:13" ht="14.5" x14ac:dyDescent="0.25">
      <c r="F212" s="59"/>
      <c r="G212" s="59"/>
      <c r="H212" s="59"/>
      <c r="I212" s="59"/>
      <c r="J212" s="59"/>
      <c r="K212" s="61"/>
      <c r="L212" s="61"/>
      <c r="M212" s="61"/>
    </row>
    <row r="213" spans="6:13" x14ac:dyDescent="0.25">
      <c r="F213" s="59"/>
      <c r="G213" s="59"/>
      <c r="H213" s="59"/>
      <c r="I213" s="59"/>
      <c r="J213" s="59"/>
      <c r="K213" s="59"/>
      <c r="L213" s="59"/>
      <c r="M213" s="59"/>
    </row>
    <row r="214" spans="6:13" x14ac:dyDescent="0.25">
      <c r="F214" s="59"/>
      <c r="G214" s="59"/>
      <c r="H214" s="59"/>
      <c r="I214" s="59"/>
      <c r="J214" s="59"/>
      <c r="K214" s="59"/>
      <c r="L214" s="59"/>
      <c r="M214" s="59"/>
    </row>
    <row r="215" spans="6:13" x14ac:dyDescent="0.25">
      <c r="F215" s="59"/>
      <c r="G215" s="59"/>
      <c r="H215" s="59"/>
      <c r="I215" s="59"/>
      <c r="J215" s="59"/>
      <c r="K215" s="59"/>
      <c r="L215" s="59"/>
      <c r="M215" s="59"/>
    </row>
    <row r="216" spans="6:13" x14ac:dyDescent="0.25">
      <c r="F216" s="59"/>
      <c r="G216" s="59"/>
      <c r="H216" s="59"/>
      <c r="I216" s="59"/>
      <c r="J216" s="59"/>
      <c r="K216" s="59"/>
      <c r="L216" s="59"/>
      <c r="M216" s="59"/>
    </row>
    <row r="217" spans="6:13" x14ac:dyDescent="0.25">
      <c r="F217" s="59"/>
      <c r="G217" s="59"/>
      <c r="H217" s="59"/>
      <c r="I217" s="59"/>
      <c r="J217" s="59"/>
      <c r="K217" s="59"/>
      <c r="L217" s="59"/>
      <c r="M217" s="59"/>
    </row>
    <row r="218" spans="6:13" x14ac:dyDescent="0.25">
      <c r="F218" s="59"/>
      <c r="G218" s="59"/>
      <c r="H218" s="59"/>
      <c r="I218" s="59"/>
      <c r="J218" s="59"/>
      <c r="K218" s="59"/>
      <c r="L218" s="59"/>
      <c r="M218" s="59"/>
    </row>
    <row r="219" spans="6:13" x14ac:dyDescent="0.25">
      <c r="I219" s="59"/>
      <c r="J219" s="59"/>
      <c r="K219" s="59"/>
      <c r="L219" s="59"/>
      <c r="M219" s="59"/>
    </row>
  </sheetData>
  <sheetProtection formatCells="0" formatColumns="0" formatRows="0"/>
  <mergeCells count="52">
    <mergeCell ref="N44:P44"/>
    <mergeCell ref="N46:P46"/>
    <mergeCell ref="C28:G28"/>
    <mergeCell ref="C29:G29"/>
    <mergeCell ref="C30:G30"/>
    <mergeCell ref="G37:H37"/>
    <mergeCell ref="B37:C37"/>
    <mergeCell ref="B38:C38"/>
    <mergeCell ref="D37:F37"/>
    <mergeCell ref="D38:F38"/>
    <mergeCell ref="D44:I44"/>
    <mergeCell ref="B45:C45"/>
    <mergeCell ref="J44:K45"/>
    <mergeCell ref="J46:K46"/>
    <mergeCell ref="B51:B52"/>
    <mergeCell ref="B46:C46"/>
    <mergeCell ref="J61:J62"/>
    <mergeCell ref="B148:B149"/>
    <mergeCell ref="J63:J67"/>
    <mergeCell ref="B47:C47"/>
    <mergeCell ref="F173:H173"/>
    <mergeCell ref="E110:F110"/>
    <mergeCell ref="E111:F111"/>
    <mergeCell ref="A1:L1"/>
    <mergeCell ref="J25:K25"/>
    <mergeCell ref="H25:I25"/>
    <mergeCell ref="A2:L2"/>
    <mergeCell ref="E108:F109"/>
    <mergeCell ref="F6:G6"/>
    <mergeCell ref="J72:K73"/>
    <mergeCell ref="A51:A52"/>
    <mergeCell ref="B77:E77"/>
    <mergeCell ref="C25:G25"/>
    <mergeCell ref="C26:G26"/>
    <mergeCell ref="C27:G27"/>
    <mergeCell ref="B44:C44"/>
    <mergeCell ref="U51:X52"/>
    <mergeCell ref="U53:X57"/>
    <mergeCell ref="B76:E76"/>
    <mergeCell ref="A61:A62"/>
    <mergeCell ref="N61:N62"/>
    <mergeCell ref="N63:N64"/>
    <mergeCell ref="I74:J74"/>
    <mergeCell ref="I75:J77"/>
    <mergeCell ref="B74:E74"/>
    <mergeCell ref="F74:H74"/>
    <mergeCell ref="B75:E75"/>
    <mergeCell ref="B61:B62"/>
    <mergeCell ref="D61:I61"/>
    <mergeCell ref="J53:J57"/>
    <mergeCell ref="D51:I51"/>
    <mergeCell ref="J51:J52"/>
  </mergeCells>
  <printOptions horizontalCentered="1"/>
  <pageMargins left="0.28000000000000003" right="0.23622047244094499" top="0.42" bottom="0.19" header="0.23622047244094499" footer="0.23622047244094499"/>
  <pageSetup paperSize="9" scale="84" orientation="portrait" horizontalDpi="300" verticalDpi="300" r:id="rId1"/>
  <headerFooter alignWithMargins="0">
    <oddHeader>&amp;R&amp;8LK.MK. 097 - 19 / Rev. 0</oddHeader>
  </headerFooter>
  <rowBreaks count="1" manualBreakCount="1">
    <brk id="70" max="11" man="1"/>
  </rowBreaks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8194" r:id="rId6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8197" r:id="rId9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8198" r:id="rId10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199" r:id="rId11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8200" r:id="rId12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8201" r:id="rId13">
          <objectPr defaultSize="0" autoPict="0" r:id="rId5">
            <anchor moveWithCells="1" sizeWithCells="1">
              <from>
                <xdr:col>9</xdr:col>
                <xdr:colOff>0</xdr:colOff>
                <xdr:row>30</xdr:row>
                <xdr:rowOff>0</xdr:rowOff>
              </from>
              <to>
                <xdr:col>9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8201" r:id="rId1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3320-8FE0-4F49-9631-A6FE0276551A}">
  <dimension ref="A2:E80"/>
  <sheetViews>
    <sheetView workbookViewId="0">
      <selection activeCell="D12" sqref="D12"/>
    </sheetView>
  </sheetViews>
  <sheetFormatPr defaultColWidth="9.26953125" defaultRowHeight="12.5" x14ac:dyDescent="0.25"/>
  <cols>
    <col min="1" max="1" width="9.26953125" style="326"/>
    <col min="2" max="2" width="24.453125" style="326" customWidth="1"/>
    <col min="3" max="3" width="42.26953125" style="326" bestFit="1" customWidth="1"/>
    <col min="4" max="4" width="59" style="326" customWidth="1"/>
    <col min="5" max="16384" width="9.26953125" style="326"/>
  </cols>
  <sheetData>
    <row r="2" spans="1:5" x14ac:dyDescent="0.25">
      <c r="A2" s="1580" t="s">
        <v>48</v>
      </c>
      <c r="B2" s="1580" t="s">
        <v>70</v>
      </c>
      <c r="C2" s="1580" t="s">
        <v>71</v>
      </c>
      <c r="D2" s="1580"/>
      <c r="E2" s="1581" t="s">
        <v>72</v>
      </c>
    </row>
    <row r="3" spans="1:5" x14ac:dyDescent="0.25">
      <c r="A3" s="1580"/>
      <c r="B3" s="1580"/>
      <c r="C3" s="329" t="s">
        <v>11</v>
      </c>
      <c r="D3" s="329" t="s">
        <v>12</v>
      </c>
      <c r="E3" s="1581"/>
    </row>
    <row r="4" spans="1:5" ht="14" x14ac:dyDescent="0.25">
      <c r="A4" s="329">
        <v>1</v>
      </c>
      <c r="B4" s="334">
        <v>44580</v>
      </c>
      <c r="C4" s="333" t="s">
        <v>73</v>
      </c>
      <c r="D4" s="332" t="s">
        <v>74</v>
      </c>
      <c r="E4" s="328" t="s">
        <v>75</v>
      </c>
    </row>
    <row r="5" spans="1:5" ht="15.5" x14ac:dyDescent="0.25">
      <c r="A5" s="329">
        <v>2</v>
      </c>
      <c r="B5" s="330">
        <v>44594</v>
      </c>
      <c r="C5" s="335" t="s">
        <v>76</v>
      </c>
      <c r="D5" s="331" t="s">
        <v>74</v>
      </c>
      <c r="E5" s="328" t="s">
        <v>75</v>
      </c>
    </row>
    <row r="6" spans="1:5" ht="15.5" x14ac:dyDescent="0.25">
      <c r="A6" s="329">
        <v>3</v>
      </c>
      <c r="B6" s="330">
        <v>44594</v>
      </c>
      <c r="C6" s="335" t="s">
        <v>77</v>
      </c>
      <c r="D6" s="331" t="s">
        <v>78</v>
      </c>
      <c r="E6" s="328" t="s">
        <v>75</v>
      </c>
    </row>
    <row r="7" spans="1:5" ht="15.5" x14ac:dyDescent="0.25">
      <c r="A7" s="329">
        <v>4</v>
      </c>
      <c r="B7" s="330" t="s">
        <v>79</v>
      </c>
      <c r="C7" s="335" t="s">
        <v>80</v>
      </c>
      <c r="D7" s="331" t="s">
        <v>81</v>
      </c>
      <c r="E7" s="328" t="s">
        <v>75</v>
      </c>
    </row>
    <row r="8" spans="1:5" ht="15.5" x14ac:dyDescent="0.25">
      <c r="A8" s="329">
        <v>5</v>
      </c>
      <c r="B8" s="330" t="s">
        <v>82</v>
      </c>
      <c r="C8" s="335" t="s">
        <v>83</v>
      </c>
      <c r="D8" s="331" t="s">
        <v>81</v>
      </c>
      <c r="E8" s="328" t="s">
        <v>75</v>
      </c>
    </row>
    <row r="9" spans="1:5" ht="15.5" x14ac:dyDescent="0.25">
      <c r="A9" s="329">
        <v>6</v>
      </c>
      <c r="B9" s="330" t="s">
        <v>84</v>
      </c>
      <c r="C9" s="335" t="s">
        <v>85</v>
      </c>
      <c r="D9" s="331" t="s">
        <v>81</v>
      </c>
      <c r="E9" s="328" t="s">
        <v>75</v>
      </c>
    </row>
    <row r="10" spans="1:5" ht="15.5" x14ac:dyDescent="0.25">
      <c r="A10" s="329">
        <v>7</v>
      </c>
      <c r="B10" s="330" t="s">
        <v>569</v>
      </c>
      <c r="C10" s="335" t="s">
        <v>570</v>
      </c>
      <c r="D10" s="331" t="s">
        <v>81</v>
      </c>
      <c r="E10" s="328" t="s">
        <v>571</v>
      </c>
    </row>
    <row r="80" spans="1:1" x14ac:dyDescent="0.25">
      <c r="A80" s="327" t="s">
        <v>572</v>
      </c>
    </row>
  </sheetData>
  <sheetProtection algorithmName="SHA-512" hashValue="KG9T9ybMm+kcNzn3FzV5Weh4gpe/fPCO+XrCyG9gHUBGaDjQkwmkXNS0mj9JNZdMsNl8oyg7OUTy9/L5WXgU2A==" saltValue="tIXHoR68CHWSQ6awPb3U3g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93"/>
  <sheetViews>
    <sheetView showGridLines="0" tabSelected="1" view="pageBreakPreview" topLeftCell="A67" zoomScale="83" zoomScaleNormal="100" zoomScaleSheetLayoutView="83" workbookViewId="0">
      <selection activeCell="K86" sqref="K86"/>
    </sheetView>
  </sheetViews>
  <sheetFormatPr defaultColWidth="9.26953125" defaultRowHeight="15.5" x14ac:dyDescent="0.25"/>
  <cols>
    <col min="1" max="1" width="4" style="1243" customWidth="1"/>
    <col min="2" max="2" width="5" style="1243" customWidth="1"/>
    <col min="3" max="3" width="21" style="1243" customWidth="1"/>
    <col min="4" max="4" width="2.1796875" style="1243" customWidth="1"/>
    <col min="5" max="5" width="9.7265625" style="1243" customWidth="1"/>
    <col min="6" max="12" width="12.7265625" style="1243" customWidth="1"/>
    <col min="13" max="13" width="9.453125" style="1243" customWidth="1"/>
    <col min="14" max="16" width="10.7265625" style="1243" customWidth="1"/>
    <col min="17" max="17" width="9.26953125" style="1243"/>
    <col min="18" max="18" width="11.7265625" style="1243" bestFit="1" customWidth="1"/>
    <col min="19" max="19" width="11.453125" style="1243" customWidth="1"/>
    <col min="20" max="20" width="12.26953125" style="1243" customWidth="1"/>
    <col min="21" max="21" width="12.1796875" style="1243" customWidth="1"/>
    <col min="22" max="23" width="9.26953125" style="1243"/>
    <col min="24" max="24" width="9.54296875" style="1243" customWidth="1"/>
    <col min="25" max="26" width="9.26953125" style="1243"/>
    <col min="27" max="27" width="11.453125" style="1243" customWidth="1"/>
    <col min="28" max="16384" width="9.26953125" style="1243"/>
  </cols>
  <sheetData>
    <row r="1" spans="1:28" ht="18" x14ac:dyDescent="0.25">
      <c r="A1" s="1582" t="s">
        <v>500</v>
      </c>
      <c r="B1" s="1582"/>
      <c r="C1" s="1582"/>
      <c r="D1" s="1582"/>
      <c r="E1" s="1582"/>
      <c r="F1" s="1582"/>
      <c r="G1" s="1582"/>
      <c r="H1" s="1582"/>
      <c r="I1" s="1582"/>
      <c r="J1" s="1582"/>
      <c r="K1" s="1582"/>
      <c r="L1" s="1582"/>
      <c r="M1" s="1242"/>
      <c r="N1" s="1242"/>
      <c r="Q1" s="1243" t="s">
        <v>59</v>
      </c>
    </row>
    <row r="2" spans="1:28" ht="16.5" x14ac:dyDescent="0.25">
      <c r="A2" s="1244"/>
      <c r="B2" s="1244"/>
      <c r="C2" s="1244"/>
      <c r="D2" s="1244"/>
      <c r="E2" s="1244"/>
      <c r="F2" s="1245" t="str">
        <f>IF('kata-kata'!X10&gt;=70,'kata-kata'!C4,'kata-kata'!C5)</f>
        <v>Nomor Sertifikat : 43 /</v>
      </c>
      <c r="I2" s="150" t="s">
        <v>140</v>
      </c>
      <c r="K2" s="1244"/>
      <c r="L2" s="1244"/>
      <c r="M2" s="1246"/>
      <c r="N2" s="1247"/>
    </row>
    <row r="3" spans="1:28" x14ac:dyDescent="0.25">
      <c r="A3" s="1244"/>
      <c r="B3" s="1248"/>
      <c r="C3" s="1248"/>
      <c r="D3" s="1248"/>
      <c r="E3" s="1248"/>
      <c r="F3" s="1248"/>
      <c r="G3" s="1248"/>
      <c r="H3" s="1248"/>
      <c r="I3" s="1248"/>
      <c r="J3" s="1248"/>
      <c r="K3" s="1248"/>
      <c r="L3" s="1248"/>
      <c r="M3" s="1249"/>
    </row>
    <row r="4" spans="1:28" ht="14.15" customHeight="1" x14ac:dyDescent="0.25">
      <c r="A4" s="1250" t="s">
        <v>0</v>
      </c>
      <c r="B4" s="1250"/>
      <c r="C4" s="1244"/>
      <c r="D4" s="1251" t="s">
        <v>1</v>
      </c>
      <c r="E4" s="1252" t="s">
        <v>541</v>
      </c>
      <c r="F4" s="1253"/>
      <c r="G4" s="1250"/>
      <c r="H4" s="1250"/>
      <c r="I4" s="1250"/>
      <c r="J4" s="1250"/>
      <c r="K4" s="1250"/>
      <c r="L4" s="1250"/>
      <c r="M4" s="1254"/>
    </row>
    <row r="5" spans="1:28" ht="14.15" customHeight="1" x14ac:dyDescent="0.25">
      <c r="A5" s="1250" t="s">
        <v>2</v>
      </c>
      <c r="B5" s="1250"/>
      <c r="C5" s="1244"/>
      <c r="D5" s="1251" t="s">
        <v>1</v>
      </c>
      <c r="E5" s="1252" t="s">
        <v>429</v>
      </c>
      <c r="F5" s="1253"/>
      <c r="G5" s="1250"/>
      <c r="H5" s="1250"/>
      <c r="I5" s="1250"/>
      <c r="J5" s="1250"/>
      <c r="K5" s="1250"/>
      <c r="L5" s="1250"/>
      <c r="M5" s="1254"/>
    </row>
    <row r="6" spans="1:28" ht="14.15" customHeight="1" x14ac:dyDescent="0.25">
      <c r="A6" s="1250" t="s">
        <v>3</v>
      </c>
      <c r="B6" s="1250"/>
      <c r="C6" s="1244"/>
      <c r="D6" s="1251" t="s">
        <v>1</v>
      </c>
      <c r="E6" s="1255" t="s">
        <v>542</v>
      </c>
      <c r="F6" s="1253"/>
      <c r="G6" s="1256"/>
      <c r="H6" s="1250"/>
      <c r="I6" s="1250"/>
      <c r="J6" s="1250"/>
      <c r="K6" s="1250"/>
      <c r="L6" s="1250"/>
      <c r="M6" s="1254"/>
    </row>
    <row r="7" spans="1:28" ht="14.15" customHeight="1" x14ac:dyDescent="0.25">
      <c r="A7" s="1250" t="s">
        <v>4</v>
      </c>
      <c r="B7" s="1250"/>
      <c r="C7" s="1244"/>
      <c r="D7" s="1251" t="s">
        <v>1</v>
      </c>
      <c r="E7" s="1257" t="s">
        <v>429</v>
      </c>
      <c r="F7" s="1253"/>
      <c r="G7" s="1250"/>
      <c r="H7" s="1250"/>
      <c r="I7" s="1244"/>
      <c r="J7" s="1250"/>
      <c r="K7" s="1250"/>
      <c r="L7" s="1250"/>
      <c r="M7" s="1254"/>
      <c r="O7" s="1258"/>
    </row>
    <row r="8" spans="1:28" ht="14.15" customHeight="1" x14ac:dyDescent="0.25">
      <c r="A8" s="1250" t="s">
        <v>5</v>
      </c>
      <c r="B8" s="1250"/>
      <c r="C8" s="1244"/>
      <c r="D8" s="1251" t="s">
        <v>1</v>
      </c>
      <c r="E8" s="1257" t="s">
        <v>542</v>
      </c>
      <c r="F8" s="1253"/>
      <c r="G8" s="1250"/>
      <c r="H8" s="1250"/>
      <c r="I8" s="1250"/>
      <c r="J8" s="1250"/>
      <c r="K8" s="1250"/>
      <c r="L8" s="1250"/>
      <c r="M8" s="1254"/>
      <c r="O8" s="1258"/>
    </row>
    <row r="9" spans="1:28" ht="14.15" customHeight="1" x14ac:dyDescent="0.25">
      <c r="A9" s="1250" t="s">
        <v>6</v>
      </c>
      <c r="B9" s="1250"/>
      <c r="C9" s="1244"/>
      <c r="D9" s="1251" t="s">
        <v>1</v>
      </c>
      <c r="E9" s="1252" t="s">
        <v>543</v>
      </c>
      <c r="F9" s="1253"/>
      <c r="G9" s="1250"/>
      <c r="H9" s="1250"/>
      <c r="I9" s="1250"/>
      <c r="J9" s="1250"/>
      <c r="K9" s="1250"/>
      <c r="L9" s="1250"/>
      <c r="M9" s="1254"/>
    </row>
    <row r="10" spans="1:28" ht="14.15" customHeight="1" x14ac:dyDescent="0.25">
      <c r="A10" s="1250" t="s">
        <v>7</v>
      </c>
      <c r="B10" s="1250"/>
      <c r="C10" s="1244"/>
      <c r="D10" s="1251" t="s">
        <v>1</v>
      </c>
      <c r="E10" s="1252" t="s">
        <v>544</v>
      </c>
      <c r="F10" s="1253"/>
      <c r="G10" s="1250"/>
      <c r="H10" s="1250"/>
      <c r="I10" s="1250"/>
      <c r="J10" s="1250"/>
      <c r="K10" s="1250"/>
      <c r="L10" s="1250"/>
      <c r="M10" s="1254"/>
    </row>
    <row r="11" spans="1:28" ht="14.15" customHeight="1" x14ac:dyDescent="0.25">
      <c r="A11" s="1250" t="s">
        <v>8</v>
      </c>
      <c r="B11" s="1250"/>
      <c r="C11" s="1244"/>
      <c r="D11" s="1251" t="s">
        <v>1</v>
      </c>
      <c r="E11" s="1259" t="s">
        <v>549</v>
      </c>
      <c r="F11" s="1250"/>
      <c r="G11" s="1250"/>
      <c r="H11" s="1250"/>
      <c r="I11" s="1250"/>
      <c r="J11" s="1250"/>
      <c r="K11" s="1250"/>
      <c r="L11" s="1250"/>
      <c r="M11" s="1254"/>
    </row>
    <row r="12" spans="1:28" ht="3.75" customHeight="1" x14ac:dyDescent="0.25">
      <c r="A12" s="1250"/>
      <c r="B12" s="1250"/>
      <c r="C12" s="1244"/>
      <c r="D12" s="1250"/>
      <c r="E12" s="1250"/>
      <c r="F12" s="1250"/>
      <c r="G12" s="1250"/>
      <c r="H12" s="1250"/>
      <c r="I12" s="1250"/>
      <c r="J12" s="1250"/>
      <c r="K12" s="1250"/>
      <c r="L12" s="1250"/>
      <c r="M12" s="1254"/>
    </row>
    <row r="13" spans="1:28" x14ac:dyDescent="0.3">
      <c r="A13" s="1260" t="s">
        <v>9</v>
      </c>
      <c r="B13" s="1260" t="s">
        <v>10</v>
      </c>
      <c r="C13" s="1244"/>
      <c r="D13" s="1250"/>
      <c r="E13" s="1250"/>
      <c r="F13" s="1250"/>
      <c r="G13" s="1250"/>
      <c r="H13" s="1261"/>
      <c r="I13" s="1250"/>
      <c r="J13" s="1250"/>
      <c r="K13" s="1250"/>
      <c r="L13" s="1250"/>
      <c r="M13" s="1254"/>
      <c r="W13" s="1262"/>
      <c r="X13" s="1262"/>
      <c r="Y13" s="1262"/>
      <c r="Z13" s="1262"/>
      <c r="AA13" s="1262"/>
      <c r="AB13" s="1262"/>
    </row>
    <row r="14" spans="1:28" ht="3.75" customHeight="1" x14ac:dyDescent="0.3">
      <c r="A14" s="1260"/>
      <c r="B14" s="1260"/>
      <c r="C14" s="1244"/>
      <c r="D14" s="1250"/>
      <c r="E14" s="1250"/>
      <c r="F14" s="1250"/>
      <c r="G14" s="1250"/>
      <c r="H14" s="1261"/>
      <c r="I14" s="1250"/>
      <c r="J14" s="1250"/>
      <c r="K14" s="1250"/>
      <c r="L14" s="1250"/>
      <c r="M14" s="1254"/>
      <c r="W14" s="1262"/>
      <c r="X14" s="1262"/>
      <c r="Y14" s="1262"/>
      <c r="Z14" s="1262"/>
      <c r="AA14" s="1262"/>
      <c r="AB14" s="1262"/>
    </row>
    <row r="15" spans="1:28" ht="14.25" customHeight="1" x14ac:dyDescent="0.3">
      <c r="A15" s="1260"/>
      <c r="B15" s="1260"/>
      <c r="C15" s="1244"/>
      <c r="D15" s="1250"/>
      <c r="E15" s="1263" t="s">
        <v>11</v>
      </c>
      <c r="F15" s="1263" t="s">
        <v>12</v>
      </c>
      <c r="G15" s="1615" t="s">
        <v>141</v>
      </c>
      <c r="H15" s="1615"/>
      <c r="I15" s="1264"/>
      <c r="J15" s="1250"/>
      <c r="K15" s="1250"/>
      <c r="L15" s="1250"/>
      <c r="M15" s="1254"/>
      <c r="AA15" s="1262"/>
      <c r="AB15" s="1262"/>
    </row>
    <row r="16" spans="1:28" x14ac:dyDescent="0.3">
      <c r="A16" s="1250"/>
      <c r="B16" s="1250" t="s">
        <v>13</v>
      </c>
      <c r="C16" s="1244"/>
      <c r="D16" s="1251" t="s">
        <v>1</v>
      </c>
      <c r="E16" s="152">
        <v>23.5</v>
      </c>
      <c r="F16" s="153">
        <v>23.4</v>
      </c>
      <c r="G16" s="1616">
        <f>'DB Thermohygro '!M341</f>
        <v>23.198962552538845</v>
      </c>
      <c r="H16" s="1616"/>
      <c r="I16" s="1250" t="str">
        <f>LK!F15</f>
        <v>°C</v>
      </c>
      <c r="J16" s="1244"/>
      <c r="K16" s="1250"/>
      <c r="L16" s="1250"/>
      <c r="M16" s="1254"/>
      <c r="AA16" s="1262"/>
      <c r="AB16" s="1262"/>
    </row>
    <row r="17" spans="1:35" x14ac:dyDescent="0.3">
      <c r="A17" s="1250"/>
      <c r="B17" s="1250" t="s">
        <v>15</v>
      </c>
      <c r="C17" s="1244"/>
      <c r="D17" s="1251" t="s">
        <v>1</v>
      </c>
      <c r="E17" s="152">
        <v>57.4</v>
      </c>
      <c r="F17" s="153">
        <v>23.4</v>
      </c>
      <c r="G17" s="1616">
        <f>'DB Thermohygro '!M342</f>
        <v>39.15042857142857</v>
      </c>
      <c r="H17" s="1616"/>
      <c r="I17" s="1250" t="str">
        <f>LK!F16</f>
        <v>%RH</v>
      </c>
      <c r="J17" s="1244"/>
      <c r="K17" s="1250"/>
      <c r="L17" s="1250"/>
      <c r="M17" s="1254"/>
      <c r="AA17" s="1262"/>
      <c r="AB17" s="1262"/>
    </row>
    <row r="18" spans="1:35" x14ac:dyDescent="0.3">
      <c r="A18" s="1250"/>
      <c r="B18" s="1250" t="s">
        <v>17</v>
      </c>
      <c r="C18" s="1244"/>
      <c r="D18" s="1251" t="s">
        <v>1</v>
      </c>
      <c r="E18" s="1598">
        <v>220</v>
      </c>
      <c r="F18" s="1599"/>
      <c r="G18" s="1265"/>
      <c r="H18" s="1266"/>
      <c r="I18" s="1250" t="s">
        <v>18</v>
      </c>
      <c r="J18" s="1244"/>
      <c r="K18" s="1250"/>
      <c r="L18" s="1250"/>
      <c r="M18" s="1254"/>
      <c r="AA18" s="1262"/>
      <c r="AB18" s="1262"/>
    </row>
    <row r="19" spans="1:35" ht="3.75" customHeight="1" x14ac:dyDescent="0.3">
      <c r="A19" s="1250"/>
      <c r="B19" s="1250"/>
      <c r="C19" s="1244"/>
      <c r="D19" s="1251"/>
      <c r="E19" s="1267"/>
      <c r="F19" s="1250"/>
      <c r="G19" s="1250"/>
      <c r="H19" s="1250"/>
      <c r="I19" s="1250"/>
      <c r="J19" s="1250"/>
      <c r="K19" s="1250"/>
      <c r="L19" s="1250"/>
      <c r="M19" s="1254"/>
      <c r="AA19" s="1262"/>
      <c r="AB19" s="1262"/>
    </row>
    <row r="20" spans="1:35" ht="16.5" x14ac:dyDescent="0.3">
      <c r="A20" s="1260" t="s">
        <v>19</v>
      </c>
      <c r="B20" s="1260" t="str">
        <f>LK!B19</f>
        <v>Pemeriksaan Kondisi Fisik dan Fungsi Alat</v>
      </c>
      <c r="C20" s="1244"/>
      <c r="D20" s="1250"/>
      <c r="E20" s="1250"/>
      <c r="F20" s="1250"/>
      <c r="G20" s="1250"/>
      <c r="H20" s="1268"/>
      <c r="I20" s="1250"/>
      <c r="J20" s="1250"/>
      <c r="K20" s="1250"/>
      <c r="L20" s="1250"/>
      <c r="M20" s="1254"/>
      <c r="Q20" s="1249"/>
      <c r="R20" s="1249"/>
      <c r="U20" s="1249"/>
      <c r="AA20" s="1262"/>
      <c r="AB20" s="1262"/>
    </row>
    <row r="21" spans="1:35" ht="3.75" customHeight="1" x14ac:dyDescent="0.3">
      <c r="A21" s="1260"/>
      <c r="B21" s="1260"/>
      <c r="C21" s="1244"/>
      <c r="D21" s="1250"/>
      <c r="E21" s="1254"/>
      <c r="F21" s="1250"/>
      <c r="G21" s="1250"/>
      <c r="H21" s="1268"/>
      <c r="I21" s="1250"/>
      <c r="J21" s="1250"/>
      <c r="K21" s="1250"/>
      <c r="L21" s="1250"/>
      <c r="M21" s="1254"/>
      <c r="Q21" s="1249"/>
      <c r="R21" s="1249"/>
      <c r="U21" s="1249"/>
      <c r="AA21" s="1262"/>
      <c r="AB21" s="1262"/>
    </row>
    <row r="22" spans="1:35" ht="16.5" x14ac:dyDescent="0.3">
      <c r="A22" s="1260"/>
      <c r="B22" s="1250" t="s">
        <v>21</v>
      </c>
      <c r="C22" s="1244"/>
      <c r="D22" s="1251" t="s">
        <v>1</v>
      </c>
      <c r="E22" s="151" t="s">
        <v>142</v>
      </c>
      <c r="F22" s="1250"/>
      <c r="G22" s="1250"/>
      <c r="H22" s="1268"/>
      <c r="I22" s="1250"/>
      <c r="J22" s="1250"/>
      <c r="K22" s="1250"/>
      <c r="L22" s="1250"/>
      <c r="M22" s="1254"/>
      <c r="Q22" s="1269"/>
      <c r="R22" s="1269"/>
      <c r="U22" s="1269"/>
      <c r="AD22" s="1270"/>
      <c r="AE22" s="1271"/>
      <c r="AF22" s="1271"/>
      <c r="AG22" s="1272"/>
      <c r="AH22" s="1262"/>
      <c r="AI22" s="1262"/>
    </row>
    <row r="23" spans="1:35" ht="17" thickBot="1" x14ac:dyDescent="0.35">
      <c r="A23" s="1250"/>
      <c r="B23" s="1250" t="s">
        <v>23</v>
      </c>
      <c r="C23" s="1244"/>
      <c r="D23" s="1251" t="s">
        <v>1</v>
      </c>
      <c r="E23" s="151" t="s">
        <v>142</v>
      </c>
      <c r="F23" s="1250"/>
      <c r="G23" s="1250"/>
      <c r="H23" s="1268"/>
      <c r="I23" s="1250"/>
      <c r="J23" s="1250"/>
      <c r="K23" s="1250"/>
      <c r="L23" s="1250"/>
      <c r="M23" s="1254"/>
      <c r="Q23" s="1269"/>
      <c r="R23" s="1269"/>
      <c r="S23" s="1270"/>
      <c r="T23" s="1270"/>
      <c r="U23" s="1269"/>
      <c r="AD23" s="1270"/>
      <c r="AE23" s="1273"/>
      <c r="AF23" s="1273"/>
      <c r="AG23" s="1272"/>
      <c r="AH23" s="1262"/>
      <c r="AI23" s="1262"/>
    </row>
    <row r="24" spans="1:35" ht="3.75" customHeight="1" x14ac:dyDescent="0.3">
      <c r="A24" s="1244"/>
      <c r="B24" s="1250"/>
      <c r="C24" s="1250"/>
      <c r="D24" s="1250"/>
      <c r="E24" s="1250"/>
      <c r="F24" s="1274"/>
      <c r="G24" s="1250"/>
      <c r="H24" s="1268"/>
      <c r="I24" s="1250"/>
      <c r="J24" s="1250"/>
      <c r="K24" s="1250"/>
      <c r="L24" s="1250"/>
      <c r="M24" s="1254"/>
      <c r="Q24" s="1269"/>
      <c r="R24" s="1269"/>
      <c r="S24" s="1275"/>
      <c r="T24" s="1270"/>
      <c r="U24" s="1269"/>
      <c r="AD24" s="1270"/>
      <c r="AE24" s="1276"/>
      <c r="AF24" s="1417"/>
      <c r="AG24" s="1272"/>
      <c r="AH24" s="1262"/>
      <c r="AI24" s="1262"/>
    </row>
    <row r="25" spans="1:35" ht="19" thickBot="1" x14ac:dyDescent="0.35">
      <c r="A25" s="1260" t="s">
        <v>24</v>
      </c>
      <c r="B25" s="1600" t="s">
        <v>144</v>
      </c>
      <c r="C25" s="1600"/>
      <c r="D25" s="1600"/>
      <c r="E25" s="1600"/>
      <c r="F25" s="1600"/>
      <c r="G25" s="1250"/>
      <c r="H25" s="1278"/>
      <c r="I25" s="1244"/>
      <c r="J25" s="1250"/>
      <c r="K25" s="1250"/>
      <c r="L25" s="1250"/>
      <c r="M25" s="1254"/>
      <c r="Q25" s="1269"/>
      <c r="R25" s="1269"/>
      <c r="S25" s="1279"/>
      <c r="T25" s="1279"/>
      <c r="U25" s="1269"/>
      <c r="AD25" s="1270"/>
      <c r="AE25" s="1280"/>
      <c r="AF25" s="1418"/>
      <c r="AG25" s="1272"/>
    </row>
    <row r="26" spans="1:35" ht="3.75" customHeight="1" x14ac:dyDescent="0.3">
      <c r="A26" s="1260"/>
      <c r="B26" s="1281"/>
      <c r="C26" s="1281"/>
      <c r="D26" s="1281"/>
      <c r="E26" s="1281"/>
      <c r="F26" s="1281"/>
      <c r="G26" s="1250"/>
      <c r="H26" s="1278"/>
      <c r="I26" s="1244"/>
      <c r="J26" s="1250"/>
      <c r="K26" s="1250"/>
      <c r="L26" s="1250"/>
      <c r="M26" s="1254"/>
      <c r="Q26" s="1269"/>
      <c r="R26" s="1269"/>
      <c r="S26" s="1279"/>
      <c r="T26" s="1279"/>
      <c r="U26" s="1269"/>
      <c r="AD26" s="1270"/>
      <c r="AE26" s="1282"/>
      <c r="AF26" s="1283"/>
      <c r="AG26" s="1272"/>
    </row>
    <row r="27" spans="1:35" ht="31.5" customHeight="1" x14ac:dyDescent="0.25">
      <c r="A27" s="1244"/>
      <c r="B27" s="1284" t="s">
        <v>26</v>
      </c>
      <c r="C27" s="1617" t="s">
        <v>27</v>
      </c>
      <c r="D27" s="1618"/>
      <c r="E27" s="1618"/>
      <c r="F27" s="1618"/>
      <c r="G27" s="1619"/>
      <c r="H27" s="1617" t="s">
        <v>28</v>
      </c>
      <c r="I27" s="1619"/>
      <c r="J27" s="1623" t="s">
        <v>29</v>
      </c>
      <c r="K27" s="1624"/>
      <c r="L27" s="1250"/>
      <c r="M27" s="1285"/>
      <c r="AD27" s="1271"/>
      <c r="AE27" s="1416"/>
      <c r="AF27" s="1419"/>
      <c r="AG27" s="1270"/>
    </row>
    <row r="28" spans="1:35" ht="14.15" customHeight="1" thickBot="1" x14ac:dyDescent="0.3">
      <c r="A28" s="1244"/>
      <c r="B28" s="1286">
        <v>1</v>
      </c>
      <c r="C28" s="1287" t="s">
        <v>30</v>
      </c>
      <c r="D28" s="1288"/>
      <c r="E28" s="1289"/>
      <c r="F28" s="1289"/>
      <c r="G28" s="1289"/>
      <c r="H28" s="324" t="s">
        <v>89</v>
      </c>
      <c r="I28" s="1290" t="str">
        <f>LK!I26</f>
        <v>MΩ</v>
      </c>
      <c r="J28" s="1291">
        <v>2</v>
      </c>
      <c r="K28" s="1292" t="s">
        <v>33</v>
      </c>
      <c r="L28" s="1244"/>
      <c r="M28" s="1611"/>
      <c r="N28" s="1293"/>
      <c r="P28" s="1294" t="s">
        <v>116</v>
      </c>
      <c r="Q28" s="1295"/>
      <c r="R28" s="1609" t="s">
        <v>40</v>
      </c>
      <c r="S28" s="1601" t="s">
        <v>50</v>
      </c>
      <c r="AD28" s="1270"/>
      <c r="AE28" s="1273"/>
      <c r="AF28" s="1420"/>
      <c r="AG28" s="1270"/>
    </row>
    <row r="29" spans="1:35" ht="14.15" customHeight="1" x14ac:dyDescent="0.3">
      <c r="A29" s="1244"/>
      <c r="B29" s="1286">
        <v>2</v>
      </c>
      <c r="C29" s="1612" t="s">
        <v>200</v>
      </c>
      <c r="D29" s="1613"/>
      <c r="E29" s="1613"/>
      <c r="F29" s="1613"/>
      <c r="G29" s="1614"/>
      <c r="H29" s="325" t="s">
        <v>89</v>
      </c>
      <c r="I29" s="1290" t="str">
        <f>LK!I27</f>
        <v>Ω</v>
      </c>
      <c r="J29" s="1296">
        <v>0.2</v>
      </c>
      <c r="K29" s="1292" t="s">
        <v>35</v>
      </c>
      <c r="L29" s="1244"/>
      <c r="M29" s="1611"/>
      <c r="N29" s="1297"/>
      <c r="O29" s="1262"/>
      <c r="P29" s="1298"/>
      <c r="Q29" s="1299"/>
      <c r="R29" s="1610"/>
      <c r="S29" s="1601"/>
      <c r="AD29" s="1270"/>
      <c r="AE29" s="1300"/>
      <c r="AF29" s="1301"/>
      <c r="AG29" s="1277"/>
    </row>
    <row r="30" spans="1:35" ht="14.15" customHeight="1" thickBot="1" x14ac:dyDescent="0.3">
      <c r="A30" s="1244"/>
      <c r="B30" s="1286">
        <v>3</v>
      </c>
      <c r="C30" s="1602" t="s">
        <v>146</v>
      </c>
      <c r="D30" s="1603"/>
      <c r="E30" s="1603"/>
      <c r="F30" s="1603"/>
      <c r="G30" s="1604"/>
      <c r="H30" s="324" t="s">
        <v>89</v>
      </c>
      <c r="I30" s="1290" t="str">
        <f>LK!I29</f>
        <v>µA</v>
      </c>
      <c r="J30" s="1302">
        <f>IF(C30='kata-kata'!C14,'kata-kata'!B14,'kata-kata'!B15)</f>
        <v>500</v>
      </c>
      <c r="K30" s="1292" t="s">
        <v>40</v>
      </c>
      <c r="L30" s="1244"/>
      <c r="M30" s="1303"/>
      <c r="N30" s="1297"/>
      <c r="O30" s="1304"/>
      <c r="P30" s="1305" t="s">
        <v>147</v>
      </c>
      <c r="Q30" s="1306" t="s">
        <v>148</v>
      </c>
      <c r="R30" s="440">
        <v>10</v>
      </c>
      <c r="S30" s="1307">
        <v>100</v>
      </c>
      <c r="AD30" s="1270"/>
      <c r="AE30" s="1280"/>
      <c r="AF30" s="1308"/>
      <c r="AG30" s="1309"/>
    </row>
    <row r="31" spans="1:35" ht="14.15" customHeight="1" x14ac:dyDescent="0.25">
      <c r="A31" s="1244"/>
      <c r="B31" s="1286">
        <v>4</v>
      </c>
      <c r="C31" s="971" t="s">
        <v>44</v>
      </c>
      <c r="D31" s="1310"/>
      <c r="E31" s="1310"/>
      <c r="F31" s="1310"/>
      <c r="G31" s="1311"/>
      <c r="H31" s="324" t="s">
        <v>89</v>
      </c>
      <c r="I31" s="1290" t="str">
        <f>LK!I30</f>
        <v>µA</v>
      </c>
      <c r="J31" s="1312" t="s">
        <v>45</v>
      </c>
      <c r="K31" s="1292" t="s">
        <v>40</v>
      </c>
      <c r="L31" s="1244"/>
      <c r="M31" s="1303"/>
      <c r="N31" s="1293"/>
      <c r="O31" s="1304"/>
      <c r="P31" s="1313"/>
      <c r="Q31" s="1314"/>
      <c r="R31" s="1315"/>
      <c r="S31" s="1316"/>
      <c r="AD31" s="1270"/>
      <c r="AE31" s="1270"/>
      <c r="AF31" s="1270"/>
      <c r="AG31" s="1270"/>
    </row>
    <row r="32" spans="1:35" ht="3.75" customHeight="1" x14ac:dyDescent="0.25">
      <c r="A32" s="1244"/>
      <c r="B32" s="1317"/>
      <c r="C32" s="1317"/>
      <c r="D32" s="1317"/>
      <c r="E32" s="1317"/>
      <c r="F32" s="1318"/>
      <c r="G32" s="1317"/>
      <c r="H32" s="1319"/>
      <c r="I32" s="1317"/>
      <c r="J32" s="1250"/>
      <c r="K32" s="1250"/>
      <c r="L32" s="1250"/>
      <c r="M32" s="1254"/>
      <c r="N32" s="1293"/>
      <c r="Q32" s="1269"/>
    </row>
    <row r="33" spans="1:20" x14ac:dyDescent="0.25">
      <c r="A33" s="1320" t="s">
        <v>46</v>
      </c>
      <c r="B33" s="1320" t="str">
        <f>LK!B33</f>
        <v>Pengujian Kinerja</v>
      </c>
      <c r="C33" s="1244"/>
      <c r="D33" s="1250"/>
      <c r="E33" s="1250"/>
      <c r="F33" s="1250"/>
      <c r="G33" s="1250"/>
      <c r="H33" s="1250"/>
      <c r="I33" s="1250"/>
      <c r="J33" s="1250"/>
      <c r="K33" s="1250"/>
      <c r="L33" s="1250"/>
    </row>
    <row r="34" spans="1:20" ht="3.75" customHeight="1" x14ac:dyDescent="0.25">
      <c r="A34" s="1320"/>
      <c r="B34" s="1320"/>
      <c r="C34" s="1244"/>
      <c r="D34" s="1250"/>
      <c r="E34" s="1250"/>
      <c r="F34" s="1250"/>
      <c r="G34" s="1250"/>
      <c r="H34" s="1250"/>
      <c r="I34" s="1250"/>
      <c r="J34" s="1250"/>
      <c r="K34" s="1250"/>
      <c r="L34" s="1250"/>
    </row>
    <row r="35" spans="1:20" x14ac:dyDescent="0.25">
      <c r="A35" s="1320"/>
      <c r="B35" s="1320" t="str">
        <f>LK!B35</f>
        <v xml:space="preserve">a. </v>
      </c>
      <c r="C35" s="1320" t="s">
        <v>547</v>
      </c>
      <c r="D35" s="1250"/>
      <c r="E35" s="1250"/>
      <c r="F35" s="1250"/>
      <c r="G35" s="1250"/>
      <c r="H35" s="1250"/>
      <c r="I35" s="1250"/>
      <c r="J35" s="1250"/>
      <c r="K35" s="1250"/>
      <c r="L35" s="1250"/>
    </row>
    <row r="36" spans="1:20" ht="3.75" customHeight="1" x14ac:dyDescent="0.25">
      <c r="A36" s="1320"/>
      <c r="B36" s="1320"/>
      <c r="C36" s="1320"/>
      <c r="D36" s="1250"/>
      <c r="E36" s="1250"/>
      <c r="F36" s="1250"/>
      <c r="G36" s="1250"/>
      <c r="H36" s="1250"/>
      <c r="I36" s="1250"/>
      <c r="J36" s="1250"/>
      <c r="K36" s="1250"/>
      <c r="L36" s="1250"/>
    </row>
    <row r="37" spans="1:20" x14ac:dyDescent="0.25">
      <c r="A37" s="1320"/>
      <c r="B37" s="1605" t="str">
        <f>LK!B37</f>
        <v>Pengamatan</v>
      </c>
      <c r="C37" s="1605"/>
      <c r="D37" s="1605" t="str">
        <f>LK!D37</f>
        <v>Setting Alat</v>
      </c>
      <c r="E37" s="1605"/>
      <c r="F37" s="1605"/>
      <c r="G37" s="1605" t="str">
        <f>LK!G37</f>
        <v>Penunjukan</v>
      </c>
      <c r="H37" s="1605"/>
      <c r="I37" s="1605" t="s">
        <v>96</v>
      </c>
      <c r="J37" s="1605"/>
      <c r="K37" s="1250"/>
      <c r="L37" s="1250"/>
    </row>
    <row r="38" spans="1:20" ht="30.65" customHeight="1" x14ac:dyDescent="0.25">
      <c r="A38" s="1320"/>
      <c r="B38" s="1606" t="str">
        <f>LK!B38</f>
        <v>Lampu / Tabung Flourosen</v>
      </c>
      <c r="C38" s="1606"/>
      <c r="D38" s="1606" t="str">
        <f>LK!D38</f>
        <v>0 - 50 Watt / 0.5 dari nilai lampu / tabung flourosen</v>
      </c>
      <c r="E38" s="1606"/>
      <c r="F38" s="1606"/>
      <c r="G38" s="1607" t="s">
        <v>507</v>
      </c>
      <c r="H38" s="1607"/>
      <c r="I38" s="1590" t="str">
        <f>IF(G38=LK!G38,"Baik","Tidak Baik")</f>
        <v>Baik</v>
      </c>
      <c r="J38" s="1608"/>
      <c r="K38" s="1250"/>
      <c r="L38" s="1250"/>
    </row>
    <row r="39" spans="1:20" ht="3.65" customHeight="1" x14ac:dyDescent="0.25">
      <c r="A39" s="1320"/>
      <c r="B39" s="1321"/>
      <c r="C39" s="1321"/>
      <c r="D39" s="1321"/>
      <c r="E39" s="1321"/>
      <c r="F39" s="1321"/>
      <c r="G39" s="1234"/>
      <c r="H39" s="1234"/>
      <c r="I39" s="1234"/>
      <c r="J39" s="1234"/>
      <c r="K39" s="1250"/>
      <c r="L39" s="1250"/>
    </row>
    <row r="40" spans="1:20" ht="15" customHeight="1" x14ac:dyDescent="0.25">
      <c r="A40" s="1320"/>
      <c r="B40" s="1322" t="str">
        <f>LK!B40</f>
        <v xml:space="preserve">b. </v>
      </c>
      <c r="C40" s="1322" t="str">
        <f>LK!C40</f>
        <v>Kalibrasi</v>
      </c>
      <c r="D40" s="1645"/>
      <c r="E40" s="1645"/>
      <c r="F40" s="1645"/>
      <c r="G40" s="1234"/>
      <c r="H40" s="1234"/>
      <c r="I40" s="1234"/>
      <c r="J40" s="1234"/>
      <c r="K40" s="1250"/>
      <c r="L40" s="1250"/>
    </row>
    <row r="41" spans="1:20" ht="3.75" customHeight="1" x14ac:dyDescent="0.25">
      <c r="A41" s="1320"/>
      <c r="B41" s="1320"/>
      <c r="C41" s="1320"/>
      <c r="D41" s="1250"/>
      <c r="E41" s="1250"/>
      <c r="F41" s="1250"/>
      <c r="G41" s="1250"/>
      <c r="H41" s="1250"/>
      <c r="I41" s="1250"/>
      <c r="J41" s="1250"/>
      <c r="K41" s="1250"/>
      <c r="L41" s="1250"/>
    </row>
    <row r="42" spans="1:20" x14ac:dyDescent="0.2">
      <c r="A42" s="1320"/>
      <c r="B42" s="1320"/>
      <c r="C42" s="1260" t="str">
        <f>LK!C42</f>
        <v>- Frekuensi Output</v>
      </c>
      <c r="D42" s="1250"/>
      <c r="E42" s="1250"/>
      <c r="F42" s="1250"/>
      <c r="G42" s="1250"/>
      <c r="H42" s="1250"/>
      <c r="I42" s="1250"/>
      <c r="J42" s="1250"/>
      <c r="K42" s="1323" t="s">
        <v>491</v>
      </c>
      <c r="L42" s="1390">
        <v>1E-3</v>
      </c>
    </row>
    <row r="43" spans="1:20" ht="3.75" customHeight="1" x14ac:dyDescent="0.25">
      <c r="A43" s="1320"/>
      <c r="B43" s="1320"/>
      <c r="C43" s="1260"/>
      <c r="D43" s="1250"/>
      <c r="E43" s="1250"/>
      <c r="F43" s="1250"/>
      <c r="G43" s="1250"/>
      <c r="H43" s="1250"/>
      <c r="I43" s="1250"/>
      <c r="J43" s="1250"/>
      <c r="K43" s="1250"/>
      <c r="L43" s="1250"/>
    </row>
    <row r="44" spans="1:20" x14ac:dyDescent="0.3">
      <c r="A44" s="1320"/>
      <c r="B44" s="1605" t="str">
        <f>LK!B44</f>
        <v>Nilai Pengenal</v>
      </c>
      <c r="C44" s="1605"/>
      <c r="D44" s="1631" t="s">
        <v>373</v>
      </c>
      <c r="E44" s="1632"/>
      <c r="F44" s="1632"/>
      <c r="G44" s="1632"/>
      <c r="H44" s="1632"/>
      <c r="I44" s="1632"/>
      <c r="J44" s="1633"/>
      <c r="K44" s="1586" t="s">
        <v>480</v>
      </c>
      <c r="L44" s="1588" t="s">
        <v>481</v>
      </c>
    </row>
    <row r="45" spans="1:20" x14ac:dyDescent="0.25">
      <c r="A45" s="1320"/>
      <c r="B45" s="1629" t="str">
        <f>LK!B45</f>
        <v>(MHz)</v>
      </c>
      <c r="C45" s="1630"/>
      <c r="D45" s="1590" t="s">
        <v>51</v>
      </c>
      <c r="E45" s="1608"/>
      <c r="F45" s="1324" t="s">
        <v>52</v>
      </c>
      <c r="G45" s="1325" t="s">
        <v>53</v>
      </c>
      <c r="H45" s="1324" t="s">
        <v>54</v>
      </c>
      <c r="I45" s="1325" t="s">
        <v>55</v>
      </c>
      <c r="J45" s="1326" t="s">
        <v>56</v>
      </c>
      <c r="K45" s="1587"/>
      <c r="L45" s="1589"/>
    </row>
    <row r="46" spans="1:20" ht="15" customHeight="1" x14ac:dyDescent="0.25">
      <c r="A46" s="1320"/>
      <c r="B46" s="1629">
        <f>LK!B46</f>
        <v>27.12</v>
      </c>
      <c r="C46" s="1630"/>
      <c r="D46" s="1646">
        <v>27.12</v>
      </c>
      <c r="E46" s="1647"/>
      <c r="F46" s="1235">
        <v>27.12</v>
      </c>
      <c r="G46" s="1235">
        <v>27.12</v>
      </c>
      <c r="H46" s="1235">
        <v>27.12</v>
      </c>
      <c r="I46" s="1235">
        <v>27.12</v>
      </c>
      <c r="J46" s="1235">
        <v>27.12</v>
      </c>
      <c r="K46" s="1327">
        <f>AVERAGE(D46:J46)</f>
        <v>27.12</v>
      </c>
      <c r="L46" s="1328">
        <f>STDEV(D46:J46)</f>
        <v>0</v>
      </c>
    </row>
    <row r="47" spans="1:20" ht="3.75" customHeight="1" x14ac:dyDescent="0.25">
      <c r="A47" s="1320"/>
      <c r="B47" s="1320"/>
      <c r="C47" s="1244"/>
      <c r="D47" s="1250"/>
      <c r="E47" s="1250"/>
      <c r="F47" s="1250"/>
      <c r="G47" s="1250"/>
      <c r="H47" s="1250"/>
      <c r="I47" s="1250"/>
      <c r="J47" s="1250"/>
      <c r="K47" s="1250"/>
      <c r="L47" s="1250"/>
    </row>
    <row r="48" spans="1:20" ht="15" customHeight="1" x14ac:dyDescent="0.3">
      <c r="A48" s="1244"/>
      <c r="B48" s="1329"/>
      <c r="C48" s="1260" t="str">
        <f>LK!C49</f>
        <v>- Pulse Frekuensi (Hz)</v>
      </c>
      <c r="D48" s="1260"/>
      <c r="E48" s="1260"/>
      <c r="F48" s="1260"/>
      <c r="G48" s="1260"/>
      <c r="H48" s="1329"/>
      <c r="I48" s="1329"/>
      <c r="J48" s="1331"/>
      <c r="K48" s="1323" t="s">
        <v>491</v>
      </c>
      <c r="L48" s="1390">
        <v>1E-3</v>
      </c>
      <c r="M48" s="1644"/>
      <c r="R48" s="157"/>
      <c r="T48" s="158"/>
    </row>
    <row r="49" spans="1:20" ht="3.75" customHeight="1" x14ac:dyDescent="0.3">
      <c r="A49" s="1244"/>
      <c r="B49" s="1329"/>
      <c r="C49" s="1332"/>
      <c r="D49" s="1330"/>
      <c r="E49" s="1330"/>
      <c r="F49" s="1330"/>
      <c r="G49" s="1330"/>
      <c r="H49" s="1329"/>
      <c r="I49" s="1329"/>
      <c r="J49" s="1331"/>
      <c r="K49" s="1331"/>
      <c r="L49" s="1333"/>
      <c r="M49" s="1644"/>
      <c r="R49" s="157"/>
      <c r="T49" s="157"/>
    </row>
    <row r="50" spans="1:20" ht="15" customHeight="1" x14ac:dyDescent="0.3">
      <c r="A50" s="1244"/>
      <c r="B50" s="1627" t="str">
        <f>LK!B51</f>
        <v>No</v>
      </c>
      <c r="C50" s="1241" t="str">
        <f>LK!C51</f>
        <v>Setting Alat</v>
      </c>
      <c r="D50" s="1631" t="s">
        <v>373</v>
      </c>
      <c r="E50" s="1632"/>
      <c r="F50" s="1632"/>
      <c r="G50" s="1632"/>
      <c r="H50" s="1632"/>
      <c r="I50" s="1632"/>
      <c r="J50" s="1633"/>
      <c r="K50" s="1586" t="s">
        <v>480</v>
      </c>
      <c r="L50" s="1588" t="s">
        <v>481</v>
      </c>
      <c r="M50" s="1644"/>
      <c r="R50" s="157"/>
      <c r="T50" s="158"/>
    </row>
    <row r="51" spans="1:20" ht="15" customHeight="1" x14ac:dyDescent="0.25">
      <c r="A51" s="1244"/>
      <c r="B51" s="1628"/>
      <c r="C51" s="1241" t="str">
        <f>LK!C52</f>
        <v>(Hz)</v>
      </c>
      <c r="D51" s="1590" t="s">
        <v>51</v>
      </c>
      <c r="E51" s="1608"/>
      <c r="F51" s="1324" t="s">
        <v>52</v>
      </c>
      <c r="G51" s="1325" t="s">
        <v>53</v>
      </c>
      <c r="H51" s="1324" t="s">
        <v>54</v>
      </c>
      <c r="I51" s="1325" t="s">
        <v>55</v>
      </c>
      <c r="J51" s="1326" t="s">
        <v>56</v>
      </c>
      <c r="K51" s="1587"/>
      <c r="L51" s="1589"/>
      <c r="M51" s="1644"/>
      <c r="N51" s="1334"/>
      <c r="R51" s="157"/>
      <c r="T51" s="158"/>
    </row>
    <row r="52" spans="1:20" ht="15" customHeight="1" x14ac:dyDescent="0.25">
      <c r="A52" s="1244"/>
      <c r="B52" s="1335">
        <v>1</v>
      </c>
      <c r="C52" s="1239">
        <v>1</v>
      </c>
      <c r="D52" s="1625">
        <v>1</v>
      </c>
      <c r="E52" s="1626"/>
      <c r="F52" s="1236">
        <v>1.008</v>
      </c>
      <c r="G52" s="1236">
        <v>1</v>
      </c>
      <c r="H52" s="1236">
        <v>1</v>
      </c>
      <c r="I52" s="1236">
        <v>1</v>
      </c>
      <c r="J52" s="1236">
        <v>1</v>
      </c>
      <c r="K52" s="1327">
        <f>AVERAGE(D52:J52)</f>
        <v>1.0013333333333334</v>
      </c>
      <c r="L52" s="1328">
        <f>STDEV(D52:J52)</f>
        <v>3.2659863237109073E-3</v>
      </c>
      <c r="M52" s="1644"/>
      <c r="N52" s="1334"/>
      <c r="R52" s="157"/>
      <c r="T52" s="158"/>
    </row>
    <row r="53" spans="1:20" ht="15" customHeight="1" x14ac:dyDescent="0.25">
      <c r="A53" s="1244"/>
      <c r="B53" s="1335">
        <v>2</v>
      </c>
      <c r="C53" s="1239">
        <v>2</v>
      </c>
      <c r="D53" s="1625">
        <v>2</v>
      </c>
      <c r="E53" s="1626"/>
      <c r="F53" s="1236">
        <v>2</v>
      </c>
      <c r="G53" s="1236">
        <v>2</v>
      </c>
      <c r="H53" s="1236">
        <v>2</v>
      </c>
      <c r="I53" s="1236">
        <v>2</v>
      </c>
      <c r="J53" s="1236">
        <v>2</v>
      </c>
      <c r="K53" s="1327">
        <f>AVERAGE(D53:J53)</f>
        <v>2</v>
      </c>
      <c r="L53" s="1328">
        <f t="shared" ref="L53:L56" si="0">STDEV(D53:J53)</f>
        <v>0</v>
      </c>
      <c r="M53" s="1644"/>
      <c r="N53" s="1334"/>
      <c r="R53" s="157"/>
      <c r="T53" s="158"/>
    </row>
    <row r="54" spans="1:20" ht="15" customHeight="1" x14ac:dyDescent="0.25">
      <c r="A54" s="1244"/>
      <c r="B54" s="1335">
        <v>3</v>
      </c>
      <c r="C54" s="1239">
        <v>3</v>
      </c>
      <c r="D54" s="1625">
        <v>3</v>
      </c>
      <c r="E54" s="1626"/>
      <c r="F54" s="1236">
        <v>3</v>
      </c>
      <c r="G54" s="1236">
        <v>3</v>
      </c>
      <c r="H54" s="1236">
        <v>3</v>
      </c>
      <c r="I54" s="1236">
        <v>3</v>
      </c>
      <c r="J54" s="1236">
        <v>3</v>
      </c>
      <c r="K54" s="1327">
        <f t="shared" ref="K54:K56" si="1">AVERAGE(D54:J54)</f>
        <v>3</v>
      </c>
      <c r="L54" s="1328">
        <f t="shared" si="0"/>
        <v>0</v>
      </c>
      <c r="M54" s="1644"/>
      <c r="N54" s="1334"/>
      <c r="R54" s="157"/>
      <c r="T54" s="158"/>
    </row>
    <row r="55" spans="1:20" ht="15" customHeight="1" x14ac:dyDescent="0.25">
      <c r="A55" s="1244"/>
      <c r="B55" s="1335">
        <v>4</v>
      </c>
      <c r="C55" s="1239">
        <v>4</v>
      </c>
      <c r="D55" s="1625">
        <v>4</v>
      </c>
      <c r="E55" s="1626"/>
      <c r="F55" s="1236">
        <v>4</v>
      </c>
      <c r="G55" s="1236">
        <v>4</v>
      </c>
      <c r="H55" s="1236">
        <v>4</v>
      </c>
      <c r="I55" s="1236">
        <v>4</v>
      </c>
      <c r="J55" s="1236">
        <v>4</v>
      </c>
      <c r="K55" s="1327">
        <f t="shared" si="1"/>
        <v>4</v>
      </c>
      <c r="L55" s="1328">
        <f t="shared" si="0"/>
        <v>0</v>
      </c>
      <c r="M55" s="1644"/>
      <c r="N55" s="1334"/>
      <c r="R55" s="157"/>
      <c r="T55" s="158"/>
    </row>
    <row r="56" spans="1:20" ht="15" customHeight="1" x14ac:dyDescent="0.25">
      <c r="A56" s="1244"/>
      <c r="B56" s="1335">
        <v>5</v>
      </c>
      <c r="C56" s="1239">
        <v>5</v>
      </c>
      <c r="D56" s="1625">
        <v>5</v>
      </c>
      <c r="E56" s="1626"/>
      <c r="F56" s="1236">
        <v>5</v>
      </c>
      <c r="G56" s="1236">
        <v>5</v>
      </c>
      <c r="H56" s="1236">
        <v>5</v>
      </c>
      <c r="I56" s="1236">
        <v>5</v>
      </c>
      <c r="J56" s="1236">
        <v>5</v>
      </c>
      <c r="K56" s="1327">
        <f t="shared" si="1"/>
        <v>5</v>
      </c>
      <c r="L56" s="1328">
        <f t="shared" si="0"/>
        <v>0</v>
      </c>
      <c r="M56" s="1644"/>
      <c r="N56" s="1334"/>
      <c r="R56" s="157"/>
      <c r="T56" s="158"/>
    </row>
    <row r="57" spans="1:20" ht="3.75" customHeight="1" x14ac:dyDescent="0.3">
      <c r="A57" s="1244"/>
      <c r="B57" s="1196"/>
      <c r="C57" s="1197"/>
      <c r="D57" s="1198"/>
      <c r="E57" s="1199"/>
      <c r="F57" s="1199"/>
      <c r="G57" s="1199"/>
      <c r="H57" s="1200"/>
      <c r="I57" s="1201"/>
      <c r="J57" s="1230"/>
      <c r="K57" s="1336"/>
      <c r="L57" s="1337"/>
      <c r="M57" s="1644"/>
      <c r="R57" s="157"/>
      <c r="T57" s="158"/>
    </row>
    <row r="58" spans="1:20" s="1338" customFormat="1" ht="15" customHeight="1" x14ac:dyDescent="0.35">
      <c r="A58" s="1336"/>
      <c r="B58" s="1202"/>
      <c r="C58" s="1202" t="str">
        <f>LK!C59</f>
        <v xml:space="preserve">- Pulse Width (µs) </v>
      </c>
      <c r="D58" s="1203"/>
      <c r="E58" s="1203"/>
      <c r="F58" s="1203"/>
      <c r="G58" s="1203"/>
      <c r="H58" s="1203"/>
      <c r="I58" s="1203"/>
      <c r="J58" s="1203"/>
      <c r="K58" s="1323" t="s">
        <v>491</v>
      </c>
      <c r="L58" s="1390">
        <v>0.1</v>
      </c>
      <c r="O58" s="1339"/>
    </row>
    <row r="59" spans="1:20" s="1338" customFormat="1" ht="3.75" customHeight="1" x14ac:dyDescent="0.35">
      <c r="A59" s="1336"/>
      <c r="B59" s="1204"/>
      <c r="C59" s="1204"/>
      <c r="D59" s="1204"/>
      <c r="E59" s="1204"/>
      <c r="F59" s="1204"/>
      <c r="G59" s="1204"/>
      <c r="H59" s="1204"/>
      <c r="I59" s="1204"/>
      <c r="J59" s="1204"/>
      <c r="K59" s="1340"/>
      <c r="L59" s="1333"/>
      <c r="O59" s="1339"/>
    </row>
    <row r="60" spans="1:20" s="1338" customFormat="1" ht="15" customHeight="1" x14ac:dyDescent="0.35">
      <c r="A60" s="1336"/>
      <c r="B60" s="1627" t="str">
        <f>LK!B61</f>
        <v>No</v>
      </c>
      <c r="C60" s="1241" t="s">
        <v>149</v>
      </c>
      <c r="D60" s="1631" t="s">
        <v>485</v>
      </c>
      <c r="E60" s="1632"/>
      <c r="F60" s="1632"/>
      <c r="G60" s="1632"/>
      <c r="H60" s="1632"/>
      <c r="I60" s="1632"/>
      <c r="J60" s="1633"/>
      <c r="K60" s="1586" t="s">
        <v>480</v>
      </c>
      <c r="L60" s="1588" t="s">
        <v>481</v>
      </c>
      <c r="O60" s="1339"/>
    </row>
    <row r="61" spans="1:20" s="1338" customFormat="1" ht="15" customHeight="1" x14ac:dyDescent="0.35">
      <c r="A61" s="1336"/>
      <c r="B61" s="1628"/>
      <c r="C61" s="1241" t="s">
        <v>376</v>
      </c>
      <c r="D61" s="1590" t="s">
        <v>51</v>
      </c>
      <c r="E61" s="1608"/>
      <c r="F61" s="1324" t="s">
        <v>52</v>
      </c>
      <c r="G61" s="1325" t="s">
        <v>53</v>
      </c>
      <c r="H61" s="1324" t="s">
        <v>54</v>
      </c>
      <c r="I61" s="1325" t="s">
        <v>55</v>
      </c>
      <c r="J61" s="1326" t="s">
        <v>56</v>
      </c>
      <c r="K61" s="1587"/>
      <c r="L61" s="1589"/>
      <c r="O61" s="1339"/>
    </row>
    <row r="62" spans="1:20" s="1338" customFormat="1" ht="15" customHeight="1" x14ac:dyDescent="0.35">
      <c r="A62" s="1336"/>
      <c r="B62" s="1335">
        <v>1</v>
      </c>
      <c r="C62" s="1239">
        <v>10</v>
      </c>
      <c r="D62" s="1621">
        <v>10</v>
      </c>
      <c r="E62" s="1622"/>
      <c r="F62" s="1237">
        <v>10</v>
      </c>
      <c r="G62" s="1237">
        <v>10</v>
      </c>
      <c r="H62" s="1237">
        <v>10</v>
      </c>
      <c r="I62" s="1237">
        <v>10</v>
      </c>
      <c r="J62" s="1237">
        <v>10</v>
      </c>
      <c r="K62" s="1341">
        <f>AVERAGE(D62:J62)</f>
        <v>10</v>
      </c>
      <c r="L62" s="1327">
        <f>STDEV(D62:J62)</f>
        <v>0</v>
      </c>
      <c r="O62" s="1339"/>
    </row>
    <row r="63" spans="1:20" s="1338" customFormat="1" ht="15" customHeight="1" x14ac:dyDescent="0.35">
      <c r="A63" s="1336"/>
      <c r="B63" s="1335">
        <v>2</v>
      </c>
      <c r="C63" s="1239">
        <v>50</v>
      </c>
      <c r="D63" s="1621">
        <v>50</v>
      </c>
      <c r="E63" s="1622"/>
      <c r="F63" s="1237">
        <v>50</v>
      </c>
      <c r="G63" s="1237">
        <v>50</v>
      </c>
      <c r="H63" s="1237">
        <v>50</v>
      </c>
      <c r="I63" s="1237">
        <v>50</v>
      </c>
      <c r="J63" s="1237">
        <v>50</v>
      </c>
      <c r="K63" s="1341">
        <f t="shared" ref="K63:K65" si="2">AVERAGE(D63:J63)</f>
        <v>50</v>
      </c>
      <c r="L63" s="1327">
        <f t="shared" ref="L63:L66" si="3">STDEV(D63:J63)</f>
        <v>0</v>
      </c>
      <c r="O63" s="1339"/>
    </row>
    <row r="64" spans="1:20" s="1338" customFormat="1" ht="15" customHeight="1" x14ac:dyDescent="0.35">
      <c r="A64" s="1336"/>
      <c r="B64" s="1335">
        <v>3</v>
      </c>
      <c r="C64" s="1239">
        <v>100</v>
      </c>
      <c r="D64" s="1621">
        <v>100</v>
      </c>
      <c r="E64" s="1622"/>
      <c r="F64" s="1237">
        <v>100</v>
      </c>
      <c r="G64" s="1237">
        <v>100</v>
      </c>
      <c r="H64" s="1237">
        <v>100</v>
      </c>
      <c r="I64" s="1237">
        <v>100</v>
      </c>
      <c r="J64" s="1237">
        <v>100</v>
      </c>
      <c r="K64" s="1341">
        <f t="shared" si="2"/>
        <v>100</v>
      </c>
      <c r="L64" s="1327">
        <f t="shared" si="3"/>
        <v>0</v>
      </c>
      <c r="O64" s="1339"/>
    </row>
    <row r="65" spans="1:17" s="1338" customFormat="1" ht="15" customHeight="1" x14ac:dyDescent="0.35">
      <c r="A65" s="1336"/>
      <c r="B65" s="1335">
        <v>4</v>
      </c>
      <c r="C65" s="1239">
        <v>300</v>
      </c>
      <c r="D65" s="1621">
        <v>300</v>
      </c>
      <c r="E65" s="1643"/>
      <c r="F65" s="1237">
        <v>300</v>
      </c>
      <c r="G65" s="1237">
        <v>300</v>
      </c>
      <c r="H65" s="1237">
        <v>300</v>
      </c>
      <c r="I65" s="1237">
        <v>300</v>
      </c>
      <c r="J65" s="1237">
        <v>300</v>
      </c>
      <c r="K65" s="1341">
        <f t="shared" si="2"/>
        <v>300</v>
      </c>
      <c r="L65" s="1327">
        <f t="shared" si="3"/>
        <v>0</v>
      </c>
      <c r="O65" s="1339"/>
    </row>
    <row r="66" spans="1:17" s="1338" customFormat="1" ht="15" customHeight="1" x14ac:dyDescent="0.35">
      <c r="A66" s="1336"/>
      <c r="B66" s="1335">
        <v>5</v>
      </c>
      <c r="C66" s="1239">
        <v>500</v>
      </c>
      <c r="D66" s="1642">
        <v>500</v>
      </c>
      <c r="E66" s="1642"/>
      <c r="F66" s="1237">
        <v>500</v>
      </c>
      <c r="G66" s="1237">
        <v>500</v>
      </c>
      <c r="H66" s="1237">
        <v>500</v>
      </c>
      <c r="I66" s="1237">
        <v>500</v>
      </c>
      <c r="J66" s="1237">
        <v>500</v>
      </c>
      <c r="K66" s="1341">
        <f>AVERAGE(D66:J66)</f>
        <v>500</v>
      </c>
      <c r="L66" s="1327">
        <f t="shared" si="3"/>
        <v>0</v>
      </c>
      <c r="O66" s="1339"/>
    </row>
    <row r="67" spans="1:17" s="1338" customFormat="1" ht="3.75" customHeight="1" x14ac:dyDescent="0.35">
      <c r="A67" s="1336"/>
      <c r="B67" s="1340"/>
      <c r="C67" s="1340"/>
      <c r="D67" s="1340"/>
      <c r="E67" s="1340"/>
      <c r="F67" s="1340"/>
      <c r="G67" s="1340"/>
      <c r="H67" s="1340"/>
      <c r="I67" s="1340"/>
      <c r="J67" s="1340"/>
      <c r="K67" s="1340"/>
      <c r="L67" s="1333"/>
      <c r="O67" s="1339"/>
    </row>
    <row r="68" spans="1:17" s="1338" customFormat="1" ht="15" customHeight="1" x14ac:dyDescent="0.3">
      <c r="A68" s="1336"/>
      <c r="B68" s="1342"/>
      <c r="C68" s="1343" t="s">
        <v>540</v>
      </c>
      <c r="D68" s="1344"/>
      <c r="E68" s="1345"/>
      <c r="F68" s="1345"/>
      <c r="G68" s="1345"/>
      <c r="H68" s="1345"/>
      <c r="I68" s="1333"/>
      <c r="J68" s="1333"/>
      <c r="K68" s="1333"/>
      <c r="L68" s="1333"/>
    </row>
    <row r="69" spans="1:17" s="1338" customFormat="1" ht="3.75" customHeight="1" x14ac:dyDescent="0.3">
      <c r="A69" s="1336"/>
      <c r="B69" s="1344"/>
      <c r="C69" s="1346"/>
      <c r="D69" s="1344"/>
      <c r="E69" s="1345"/>
      <c r="F69" s="1345"/>
      <c r="G69" s="1345"/>
      <c r="H69" s="1345"/>
      <c r="I69" s="1333"/>
      <c r="J69" s="1333"/>
      <c r="K69" s="1333"/>
      <c r="L69" s="1333"/>
    </row>
    <row r="70" spans="1:17" s="1338" customFormat="1" ht="15" customHeight="1" x14ac:dyDescent="0.3">
      <c r="A70" s="1336"/>
      <c r="B70" s="1590" t="s">
        <v>149</v>
      </c>
      <c r="C70" s="1591"/>
      <c r="D70" s="1594" t="s">
        <v>378</v>
      </c>
      <c r="E70" s="1594"/>
      <c r="F70" s="1594"/>
      <c r="G70" s="1594"/>
      <c r="H70" s="1594"/>
      <c r="I70" s="1594"/>
      <c r="J70" s="1594"/>
      <c r="K70" s="1586" t="s">
        <v>480</v>
      </c>
      <c r="L70" s="1588" t="s">
        <v>481</v>
      </c>
    </row>
    <row r="71" spans="1:17" s="1338" customFormat="1" ht="15" customHeight="1" x14ac:dyDescent="0.3">
      <c r="A71" s="1336"/>
      <c r="B71" s="1590" t="s">
        <v>379</v>
      </c>
      <c r="C71" s="1591"/>
      <c r="D71" s="1592" t="s">
        <v>51</v>
      </c>
      <c r="E71" s="1592"/>
      <c r="F71" s="1592"/>
      <c r="G71" s="1592" t="s">
        <v>52</v>
      </c>
      <c r="H71" s="1592"/>
      <c r="I71" s="1593" t="s">
        <v>53</v>
      </c>
      <c r="J71" s="1593"/>
      <c r="K71" s="1587"/>
      <c r="L71" s="1589"/>
    </row>
    <row r="72" spans="1:17" s="1338" customFormat="1" ht="15" customHeight="1" x14ac:dyDescent="0.3">
      <c r="A72" s="1336"/>
      <c r="B72" s="1595">
        <v>300</v>
      </c>
      <c r="C72" s="1596"/>
      <c r="D72" s="1597">
        <v>301</v>
      </c>
      <c r="E72" s="1597"/>
      <c r="F72" s="1597"/>
      <c r="G72" s="1597">
        <v>301</v>
      </c>
      <c r="H72" s="1597"/>
      <c r="I72" s="1641">
        <v>300.98</v>
      </c>
      <c r="J72" s="1641"/>
      <c r="K72" s="1347">
        <f>AVERAGE(F72:J72)</f>
        <v>300.99</v>
      </c>
      <c r="L72" s="1347">
        <f>STDEV(D72:J72)</f>
        <v>1.1547005383782014E-2</v>
      </c>
    </row>
    <row r="73" spans="1:17" s="1338" customFormat="1" ht="15" customHeight="1" x14ac:dyDescent="0.3">
      <c r="A73" s="1336"/>
      <c r="B73" s="1595">
        <v>600</v>
      </c>
      <c r="C73" s="1596"/>
      <c r="D73" s="1597">
        <v>600</v>
      </c>
      <c r="E73" s="1597"/>
      <c r="F73" s="1597"/>
      <c r="G73" s="1597">
        <v>600</v>
      </c>
      <c r="H73" s="1597"/>
      <c r="I73" s="1634">
        <v>600</v>
      </c>
      <c r="J73" s="1634"/>
      <c r="K73" s="1347">
        <f>AVERAGE(F73:J73)</f>
        <v>600</v>
      </c>
      <c r="L73" s="1347">
        <f>STDEV(D73:J73)</f>
        <v>0</v>
      </c>
    </row>
    <row r="74" spans="1:17" ht="3.75" customHeight="1" x14ac:dyDescent="0.25">
      <c r="A74" s="1244"/>
      <c r="B74" s="1348"/>
      <c r="C74" s="1261"/>
      <c r="D74" s="1261"/>
      <c r="E74" s="1349"/>
      <c r="F74" s="1349"/>
      <c r="G74" s="1349"/>
      <c r="H74" s="1349"/>
      <c r="I74" s="1349"/>
      <c r="J74" s="1349"/>
      <c r="K74" s="1350"/>
      <c r="L74" s="1351"/>
      <c r="M74" s="1352"/>
      <c r="N74" s="1353"/>
      <c r="O74" s="1249"/>
    </row>
    <row r="75" spans="1:17" x14ac:dyDescent="0.25">
      <c r="A75" s="1354" t="s">
        <v>57</v>
      </c>
      <c r="B75" s="1354" t="s">
        <v>58</v>
      </c>
      <c r="D75" s="1285"/>
      <c r="E75" s="1285"/>
      <c r="F75" s="1285"/>
      <c r="G75" s="1285"/>
      <c r="H75" s="1285"/>
      <c r="I75" s="1285"/>
      <c r="J75" s="1285"/>
      <c r="K75" s="1285"/>
      <c r="L75" s="1285"/>
      <c r="M75" s="1285"/>
      <c r="O75" s="1355"/>
    </row>
    <row r="76" spans="1:17" x14ac:dyDescent="0.25">
      <c r="B76" s="1356" t="s">
        <v>493</v>
      </c>
      <c r="C76" s="1285"/>
      <c r="D76" s="1285"/>
      <c r="E76" s="1285"/>
      <c r="F76" s="1285"/>
      <c r="G76" s="1285"/>
      <c r="H76" s="1285"/>
      <c r="I76" s="1285"/>
      <c r="J76" s="1285"/>
      <c r="K76" s="1285"/>
      <c r="L76" s="1285"/>
      <c r="O76" s="1355"/>
    </row>
    <row r="77" spans="1:17" ht="15" customHeight="1" x14ac:dyDescent="0.3">
      <c r="B77" s="1357" t="s">
        <v>492</v>
      </c>
      <c r="C77" s="1285"/>
      <c r="D77" s="1285"/>
      <c r="E77" s="1285"/>
      <c r="F77" s="1285"/>
      <c r="G77" s="1285"/>
      <c r="H77" s="1285"/>
      <c r="I77" s="1285"/>
      <c r="J77" s="1285"/>
      <c r="K77" s="1285"/>
      <c r="L77" s="1285"/>
      <c r="O77" s="1355"/>
    </row>
    <row r="78" spans="1:17" x14ac:dyDescent="0.25">
      <c r="B78" s="1356" t="str">
        <f>SCOPE!Y174</f>
        <v>Hasil kalibrasi Pulse Frekuensi dan Pulse Width tertelusur ke Satuan Internasional melalui PT. KALIMAN (LK-032-IDN)</v>
      </c>
      <c r="C78" s="1356"/>
      <c r="D78" s="1356"/>
      <c r="E78" s="1356"/>
      <c r="F78" s="1356"/>
      <c r="G78" s="1356"/>
      <c r="H78" s="1356"/>
      <c r="I78" s="1356"/>
      <c r="J78" s="1356"/>
      <c r="K78" s="1356"/>
      <c r="L78" s="1356"/>
      <c r="O78" s="1355"/>
      <c r="Q78" s="1358"/>
    </row>
    <row r="79" spans="1:17" ht="15.75" customHeight="1" x14ac:dyDescent="0.25">
      <c r="B79" s="1620" t="str">
        <f>'Sert Stopwatch'!M214</f>
        <v>Hasil kalibrasi Waktu Therapy tertelusur ke Satuan Internasional ( SI ) melalui PT KALIMAN (LK-032-IDN)</v>
      </c>
      <c r="C79" s="1620"/>
      <c r="D79" s="1620"/>
      <c r="E79" s="1620"/>
      <c r="F79" s="1620"/>
      <c r="G79" s="1620"/>
      <c r="H79" s="1620"/>
      <c r="I79" s="1620"/>
      <c r="J79" s="1620"/>
      <c r="K79" s="1620"/>
      <c r="L79" s="1620"/>
      <c r="O79" s="1355"/>
    </row>
    <row r="80" spans="1:17" ht="18" customHeight="1" x14ac:dyDescent="0.25">
      <c r="B80" s="1359" t="str">
        <f>PENYELIA!T7</f>
        <v>Tidak dilakukan pengujian keselamatan listrik</v>
      </c>
      <c r="C80" s="1359"/>
      <c r="D80" s="1359"/>
      <c r="E80" s="1359"/>
      <c r="F80" s="1359"/>
      <c r="G80" s="1359"/>
      <c r="H80" s="1359"/>
      <c r="I80" s="1359"/>
      <c r="J80" s="1359"/>
      <c r="K80" s="1359"/>
      <c r="L80" s="1285"/>
      <c r="M80" s="1285"/>
      <c r="O80" s="1355"/>
    </row>
    <row r="81" spans="1:20" ht="3.75" customHeight="1" x14ac:dyDescent="0.25">
      <c r="B81" s="1354"/>
      <c r="C81" s="1356"/>
      <c r="D81" s="1285"/>
      <c r="E81" s="1285"/>
      <c r="F81" s="1285"/>
      <c r="G81" s="1285"/>
      <c r="H81" s="1285"/>
      <c r="I81" s="1285"/>
      <c r="J81" s="1285"/>
      <c r="K81" s="1285"/>
      <c r="L81" s="1285"/>
      <c r="M81" s="1285"/>
      <c r="O81" s="1355"/>
    </row>
    <row r="82" spans="1:20" x14ac:dyDescent="0.25">
      <c r="A82" s="1354" t="s">
        <v>64</v>
      </c>
      <c r="B82" s="1320" t="str">
        <f>LK!B86</f>
        <v>Alat Ukur Yang Digunakan</v>
      </c>
      <c r="D82" s="1254"/>
      <c r="E82" s="1254"/>
      <c r="F82" s="1254"/>
      <c r="G82" s="1254"/>
      <c r="H82" s="1254"/>
      <c r="I82" s="1254"/>
      <c r="J82" s="1254"/>
      <c r="K82" s="1254"/>
      <c r="L82" s="1254"/>
      <c r="M82" s="1254"/>
      <c r="O82" s="1355"/>
    </row>
    <row r="83" spans="1:20" x14ac:dyDescent="0.25">
      <c r="B83" s="1640" t="s">
        <v>522</v>
      </c>
      <c r="C83" s="1640"/>
      <c r="D83" s="1640"/>
      <c r="E83" s="1640"/>
      <c r="F83" s="1640"/>
      <c r="G83" s="1640"/>
      <c r="H83" s="1640"/>
      <c r="I83" s="1640"/>
      <c r="J83" s="1640"/>
      <c r="K83" s="1254"/>
      <c r="L83" s="1254"/>
      <c r="M83" s="1254"/>
      <c r="O83" s="1355"/>
    </row>
    <row r="84" spans="1:20" x14ac:dyDescent="0.25">
      <c r="B84" s="1640" t="s">
        <v>133</v>
      </c>
      <c r="C84" s="1640"/>
      <c r="D84" s="1640"/>
      <c r="E84" s="1640"/>
      <c r="F84" s="1640"/>
      <c r="G84" s="1640"/>
      <c r="H84" s="1640"/>
      <c r="I84" s="1640"/>
      <c r="J84" s="1640"/>
      <c r="K84" s="1254"/>
      <c r="L84" s="1254"/>
      <c r="M84" s="1254"/>
      <c r="O84" s="1355"/>
    </row>
    <row r="85" spans="1:20" ht="14.25" customHeight="1" x14ac:dyDescent="0.25">
      <c r="A85" s="1361"/>
      <c r="B85" s="1640" t="s">
        <v>460</v>
      </c>
      <c r="C85" s="1640"/>
      <c r="D85" s="1640"/>
      <c r="E85" s="1640"/>
      <c r="F85" s="1640"/>
      <c r="G85" s="1640"/>
      <c r="H85" s="1640"/>
      <c r="I85" s="1640"/>
      <c r="J85" s="1640"/>
      <c r="K85" s="1254"/>
      <c r="L85" s="1254"/>
      <c r="M85" s="1254"/>
      <c r="O85" s="1355"/>
      <c r="R85" s="1362"/>
      <c r="S85" s="1363"/>
      <c r="T85" s="1363"/>
    </row>
    <row r="86" spans="1:20" x14ac:dyDescent="0.25">
      <c r="B86" s="1640" t="s">
        <v>150</v>
      </c>
      <c r="C86" s="1640"/>
      <c r="D86" s="1640"/>
      <c r="E86" s="1640"/>
      <c r="F86" s="1640"/>
      <c r="G86" s="1640"/>
      <c r="H86" s="1640"/>
      <c r="I86" s="1640"/>
      <c r="J86" s="1640"/>
      <c r="K86" s="1259"/>
      <c r="L86" s="1254"/>
      <c r="M86" s="1254"/>
    </row>
    <row r="87" spans="1:20" ht="3.75" customHeight="1" x14ac:dyDescent="0.25">
      <c r="B87" s="1254"/>
      <c r="C87" s="1364"/>
      <c r="D87" s="1364"/>
      <c r="E87" s="1364"/>
      <c r="F87" s="1364"/>
      <c r="G87" s="1364"/>
      <c r="H87" s="1364"/>
      <c r="I87" s="1364"/>
      <c r="J87" s="1364"/>
      <c r="K87" s="1364"/>
      <c r="L87" s="1254"/>
      <c r="M87" s="1254"/>
    </row>
    <row r="88" spans="1:20" ht="14.25" customHeight="1" x14ac:dyDescent="0.25">
      <c r="A88" s="140" t="s">
        <v>66</v>
      </c>
      <c r="B88" s="1365" t="s">
        <v>67</v>
      </c>
      <c r="D88" s="1254"/>
      <c r="E88" s="1254"/>
      <c r="F88" s="1254"/>
      <c r="G88" s="1254"/>
      <c r="H88" s="1254"/>
      <c r="I88" s="1254"/>
      <c r="J88" s="1254"/>
      <c r="K88" s="1254"/>
      <c r="L88" s="1254"/>
      <c r="M88" s="1254"/>
    </row>
    <row r="89" spans="1:20" ht="3.75" customHeight="1" x14ac:dyDescent="0.25">
      <c r="A89" s="140"/>
      <c r="B89" s="1365"/>
      <c r="D89" s="1254"/>
      <c r="E89" s="1254"/>
      <c r="F89" s="1254"/>
      <c r="G89" s="1254"/>
      <c r="H89" s="1254"/>
      <c r="I89" s="1254"/>
      <c r="J89" s="1254"/>
      <c r="K89" s="1254"/>
      <c r="L89" s="1254"/>
      <c r="M89" s="1254"/>
    </row>
    <row r="90" spans="1:20" ht="15" customHeight="1" x14ac:dyDescent="0.25">
      <c r="B90" s="1639" t="str">
        <f>LOOKUP(F2,'kata-kata'!C4:C5,'kata-kata'!D4:D5)</f>
        <v>Alat yang dikalibrasi dalam batas toleransi dan dinyatakan LAIK PAKAI</v>
      </c>
      <c r="C90" s="1639"/>
      <c r="D90" s="1639"/>
      <c r="E90" s="1639"/>
      <c r="F90" s="1639"/>
      <c r="G90" s="1639"/>
      <c r="H90" s="1639"/>
      <c r="I90" s="1639"/>
      <c r="J90" s="1639"/>
      <c r="K90" s="1639"/>
      <c r="L90" s="1366"/>
      <c r="M90" s="1367"/>
    </row>
    <row r="91" spans="1:20" ht="15" customHeight="1" x14ac:dyDescent="0.25">
      <c r="B91" s="1639"/>
      <c r="C91" s="1639"/>
      <c r="D91" s="1639"/>
      <c r="E91" s="1639"/>
      <c r="F91" s="1639"/>
      <c r="G91" s="1639"/>
      <c r="H91" s="1639"/>
      <c r="I91" s="1639"/>
      <c r="J91" s="1639"/>
      <c r="K91" s="1639"/>
      <c r="L91" s="1366"/>
      <c r="M91" s="1367"/>
    </row>
    <row r="92" spans="1:20" ht="4.5" customHeight="1" x14ac:dyDescent="0.25">
      <c r="B92" s="1254"/>
      <c r="C92" s="1259"/>
      <c r="D92" s="1254"/>
      <c r="E92" s="1254"/>
      <c r="F92" s="1254"/>
      <c r="G92" s="1254"/>
      <c r="H92" s="1254"/>
      <c r="I92" s="1254"/>
      <c r="J92" s="1254"/>
      <c r="K92" s="1254"/>
      <c r="L92" s="1254"/>
      <c r="M92" s="1254"/>
    </row>
    <row r="93" spans="1:20" x14ac:dyDescent="0.25">
      <c r="A93" s="1354" t="s">
        <v>68</v>
      </c>
      <c r="B93" s="1360" t="s">
        <v>69</v>
      </c>
      <c r="D93" s="1254"/>
      <c r="E93" s="1254"/>
      <c r="F93" s="1254"/>
      <c r="G93" s="1254"/>
      <c r="H93" s="1254"/>
      <c r="I93" s="1254"/>
      <c r="J93" s="1254"/>
      <c r="K93" s="1368"/>
      <c r="L93" s="1368"/>
      <c r="M93" s="1368"/>
      <c r="N93" s="1369"/>
    </row>
    <row r="94" spans="1:20" ht="3.75" customHeight="1" x14ac:dyDescent="0.25">
      <c r="A94" s="1354"/>
      <c r="B94" s="1360"/>
      <c r="D94" s="1254"/>
      <c r="E94" s="1254"/>
      <c r="F94" s="1254"/>
      <c r="G94" s="1254"/>
      <c r="H94" s="1254"/>
      <c r="I94" s="1254"/>
      <c r="J94" s="1254"/>
      <c r="K94" s="1368"/>
      <c r="L94" s="1368"/>
      <c r="M94" s="1368"/>
      <c r="N94" s="1369"/>
    </row>
    <row r="95" spans="1:20" x14ac:dyDescent="0.25">
      <c r="B95" s="1638" t="s">
        <v>244</v>
      </c>
      <c r="C95" s="1638"/>
      <c r="D95" s="1638"/>
      <c r="E95" s="1638"/>
      <c r="F95" s="1254"/>
      <c r="G95" s="1254"/>
      <c r="H95" s="1254"/>
      <c r="I95" s="1254"/>
      <c r="J95" s="1254"/>
      <c r="K95" s="1368"/>
      <c r="L95" s="1368"/>
      <c r="M95" s="1368"/>
      <c r="N95" s="1369"/>
    </row>
    <row r="96" spans="1:20" ht="10.15" customHeight="1" x14ac:dyDescent="0.25">
      <c r="B96" s="1254"/>
      <c r="C96" s="1254"/>
      <c r="D96" s="1254"/>
      <c r="E96" s="1254"/>
      <c r="F96" s="1254"/>
      <c r="G96" s="1254"/>
      <c r="H96" s="1254"/>
      <c r="I96" s="1254"/>
      <c r="J96" s="1254"/>
      <c r="K96" s="1254"/>
      <c r="L96" s="1254"/>
      <c r="M96" s="1254"/>
      <c r="N96" s="1370"/>
    </row>
    <row r="97" spans="2:14" x14ac:dyDescent="0.25">
      <c r="B97" s="1636" t="s">
        <v>70</v>
      </c>
      <c r="C97" s="1637"/>
      <c r="D97" s="1583" t="s">
        <v>498</v>
      </c>
      <c r="E97" s="1584"/>
      <c r="F97" s="1585"/>
      <c r="G97" s="1259"/>
      <c r="H97" s="1259"/>
      <c r="I97" s="1259"/>
      <c r="J97" s="1259"/>
      <c r="K97" s="1259"/>
      <c r="L97" s="1259"/>
      <c r="M97" s="1259"/>
      <c r="N97" s="1371"/>
    </row>
    <row r="98" spans="2:14" ht="11.25" customHeight="1" x14ac:dyDescent="0.25">
      <c r="B98" s="1371"/>
      <c r="C98" s="1371"/>
      <c r="D98" s="1371"/>
      <c r="E98" s="1371"/>
      <c r="F98" s="1371"/>
      <c r="G98" s="1371"/>
      <c r="H98" s="1371"/>
      <c r="I98" s="1371"/>
      <c r="J98" s="1371"/>
      <c r="K98" s="1371"/>
      <c r="L98" s="1371"/>
      <c r="M98" s="1371"/>
      <c r="N98" s="1371"/>
    </row>
    <row r="99" spans="2:14" x14ac:dyDescent="0.25">
      <c r="F99" s="1372"/>
      <c r="G99" s="1373"/>
      <c r="H99" s="1249"/>
      <c r="I99" s="1249"/>
      <c r="J99" s="1249"/>
      <c r="K99" s="1249"/>
    </row>
    <row r="100" spans="2:14" x14ac:dyDescent="0.25">
      <c r="F100" s="1374"/>
      <c r="G100" s="1373"/>
      <c r="H100" s="1249"/>
      <c r="I100" s="1249"/>
      <c r="J100" s="1249"/>
      <c r="K100" s="1249"/>
    </row>
    <row r="101" spans="2:14" x14ac:dyDescent="0.25">
      <c r="F101" s="1374"/>
      <c r="G101" s="1372"/>
      <c r="I101" s="1249"/>
      <c r="J101" s="1249"/>
      <c r="K101" s="1249"/>
    </row>
    <row r="102" spans="2:14" x14ac:dyDescent="0.25">
      <c r="F102" s="1374"/>
      <c r="G102" s="1372"/>
      <c r="K102" s="1249"/>
    </row>
    <row r="103" spans="2:14" ht="15" customHeight="1" x14ac:dyDescent="0.25">
      <c r="K103" s="1249"/>
    </row>
    <row r="104" spans="2:14" ht="15" customHeight="1" x14ac:dyDescent="0.25"/>
    <row r="105" spans="2:14" ht="15" customHeight="1" x14ac:dyDescent="0.25">
      <c r="L105" s="1315"/>
      <c r="M105" s="1315"/>
    </row>
    <row r="107" spans="2:14" x14ac:dyDescent="0.25">
      <c r="B107" s="1369"/>
      <c r="K107" s="1375"/>
    </row>
    <row r="108" spans="2:14" x14ac:dyDescent="0.25">
      <c r="B108" s="1369"/>
      <c r="C108" s="1376"/>
      <c r="D108" s="1376"/>
      <c r="E108" s="1376"/>
    </row>
    <row r="109" spans="2:14" x14ac:dyDescent="0.25">
      <c r="B109" s="1376"/>
      <c r="L109" s="1249"/>
      <c r="M109" s="1249"/>
    </row>
    <row r="110" spans="2:14" x14ac:dyDescent="0.25">
      <c r="B110" s="1249"/>
      <c r="L110" s="1249"/>
      <c r="M110" s="1249"/>
    </row>
    <row r="120" spans="2:14" x14ac:dyDescent="0.25">
      <c r="B120" s="1369"/>
    </row>
    <row r="124" spans="2:14" x14ac:dyDescent="0.25">
      <c r="B124" s="1369"/>
      <c r="N124" s="1377" t="s">
        <v>59</v>
      </c>
    </row>
    <row r="127" spans="2:14" x14ac:dyDescent="0.25">
      <c r="C127" s="1369"/>
      <c r="G127" s="1378"/>
    </row>
    <row r="128" spans="2:14" x14ac:dyDescent="0.25">
      <c r="B128" s="1369"/>
      <c r="C128" s="1379"/>
      <c r="D128" s="1379"/>
      <c r="E128" s="1379"/>
      <c r="G128" s="1378"/>
    </row>
    <row r="129" spans="2:13" x14ac:dyDescent="0.25">
      <c r="B129" s="1635"/>
      <c r="D129" s="1380"/>
      <c r="E129" s="1380"/>
    </row>
    <row r="130" spans="2:13" x14ac:dyDescent="0.25">
      <c r="B130" s="1635"/>
    </row>
    <row r="131" spans="2:13" x14ac:dyDescent="0.25">
      <c r="B131" s="1381"/>
    </row>
    <row r="132" spans="2:13" x14ac:dyDescent="0.25">
      <c r="B132" s="1249"/>
    </row>
    <row r="133" spans="2:13" ht="18.5" x14ac:dyDescent="0.25">
      <c r="B133" s="1249"/>
      <c r="H133" s="1382"/>
    </row>
    <row r="134" spans="2:13" ht="18.5" x14ac:dyDescent="0.25">
      <c r="B134" s="1249"/>
      <c r="H134" s="1382"/>
    </row>
    <row r="135" spans="2:13" ht="18.5" x14ac:dyDescent="0.25">
      <c r="B135" s="1249"/>
      <c r="H135" s="1382"/>
    </row>
    <row r="136" spans="2:13" ht="18.5" x14ac:dyDescent="0.25">
      <c r="B136" s="1249"/>
      <c r="H136" s="1382"/>
    </row>
    <row r="137" spans="2:13" ht="18.5" x14ac:dyDescent="0.25">
      <c r="B137" s="1249"/>
      <c r="H137" s="1382"/>
    </row>
    <row r="138" spans="2:13" x14ac:dyDescent="0.25">
      <c r="B138" s="1249"/>
      <c r="G138" s="1383"/>
    </row>
    <row r="139" spans="2:13" x14ac:dyDescent="0.25">
      <c r="B139" s="1249"/>
    </row>
    <row r="140" spans="2:13" x14ac:dyDescent="0.25">
      <c r="B140" s="1249"/>
      <c r="F140" s="1379"/>
      <c r="G140" s="1379"/>
      <c r="H140" s="1379"/>
    </row>
    <row r="141" spans="2:13" x14ac:dyDescent="0.25">
      <c r="C141" s="1383"/>
      <c r="F141" s="1380"/>
      <c r="G141" s="1380"/>
      <c r="H141" s="1380"/>
      <c r="I141" s="1249"/>
    </row>
    <row r="142" spans="2:13" x14ac:dyDescent="0.25">
      <c r="B142" s="1384"/>
      <c r="C142" s="1383"/>
      <c r="D142" s="1249"/>
      <c r="E142" s="1249"/>
      <c r="I142" s="1249"/>
    </row>
    <row r="143" spans="2:13" x14ac:dyDescent="0.25">
      <c r="B143" s="1249"/>
      <c r="C143" s="1383"/>
      <c r="D143" s="1249"/>
      <c r="E143" s="1249"/>
      <c r="I143" s="1249"/>
      <c r="L143" s="1249"/>
      <c r="M143" s="1249"/>
    </row>
    <row r="144" spans="2:13" x14ac:dyDescent="0.25">
      <c r="B144" s="1385"/>
      <c r="C144" s="1378"/>
      <c r="D144" s="1249"/>
      <c r="E144" s="1249"/>
      <c r="I144" s="1249"/>
      <c r="L144" s="1249"/>
      <c r="M144" s="1249"/>
    </row>
    <row r="145" spans="2:13" x14ac:dyDescent="0.25">
      <c r="B145" s="1385"/>
      <c r="C145" s="1383"/>
      <c r="D145" s="1249"/>
      <c r="E145" s="1249"/>
      <c r="I145" s="1375"/>
      <c r="L145" s="1249"/>
      <c r="M145" s="1249"/>
    </row>
    <row r="146" spans="2:13" x14ac:dyDescent="0.25">
      <c r="B146" s="1385"/>
      <c r="C146" s="1383"/>
      <c r="D146" s="1385"/>
      <c r="E146" s="1385"/>
      <c r="I146" s="1375"/>
      <c r="L146" s="1361"/>
      <c r="M146" s="1361"/>
    </row>
    <row r="147" spans="2:13" x14ac:dyDescent="0.25">
      <c r="B147" s="1385"/>
      <c r="C147" s="1383"/>
      <c r="D147" s="1249"/>
      <c r="E147" s="1249"/>
      <c r="I147" s="1375"/>
      <c r="L147" s="1361"/>
      <c r="M147" s="1361"/>
    </row>
    <row r="148" spans="2:13" x14ac:dyDescent="0.25">
      <c r="B148" s="1385"/>
      <c r="C148" s="1383"/>
      <c r="D148" s="1249"/>
      <c r="E148" s="1249"/>
      <c r="I148" s="1375"/>
      <c r="L148" s="1361"/>
      <c r="M148" s="1361"/>
    </row>
    <row r="149" spans="2:13" x14ac:dyDescent="0.25">
      <c r="B149" s="1385"/>
      <c r="C149" s="1383"/>
      <c r="D149" s="1249"/>
      <c r="E149" s="1249"/>
      <c r="I149" s="1375"/>
      <c r="L149" s="1361"/>
      <c r="M149" s="1361"/>
    </row>
    <row r="150" spans="2:13" x14ac:dyDescent="0.25">
      <c r="B150" s="1385"/>
      <c r="C150" s="1249"/>
      <c r="D150" s="1249"/>
      <c r="E150" s="1249"/>
      <c r="I150" s="1375"/>
      <c r="L150" s="1361"/>
      <c r="M150" s="1361"/>
    </row>
    <row r="151" spans="2:13" x14ac:dyDescent="0.25">
      <c r="B151" s="1385"/>
      <c r="C151" s="1249"/>
      <c r="D151" s="1249"/>
      <c r="E151" s="1249"/>
      <c r="I151" s="1375"/>
      <c r="L151" s="1361"/>
      <c r="M151" s="1361"/>
    </row>
    <row r="152" spans="2:13" x14ac:dyDescent="0.25">
      <c r="B152" s="1385"/>
      <c r="D152" s="1249"/>
      <c r="E152" s="1249"/>
      <c r="I152" s="1375"/>
      <c r="L152" s="1361"/>
      <c r="M152" s="1361"/>
    </row>
    <row r="153" spans="2:13" x14ac:dyDescent="0.25">
      <c r="B153" s="1385"/>
      <c r="D153" s="1249"/>
      <c r="E153" s="1249"/>
      <c r="L153" s="1361"/>
      <c r="M153" s="1361"/>
    </row>
    <row r="154" spans="2:13" x14ac:dyDescent="0.25">
      <c r="B154" s="1385"/>
      <c r="D154" s="1386"/>
      <c r="E154" s="1386"/>
      <c r="L154" s="1361"/>
      <c r="M154" s="1361"/>
    </row>
    <row r="155" spans="2:13" x14ac:dyDescent="0.25">
      <c r="B155" s="1385"/>
      <c r="D155" s="1386"/>
      <c r="E155" s="1386"/>
      <c r="F155" s="1249"/>
      <c r="G155" s="1249"/>
      <c r="H155" s="1249"/>
      <c r="I155" s="1249"/>
      <c r="J155" s="1249"/>
      <c r="K155" s="1249"/>
      <c r="L155" s="1361"/>
      <c r="M155" s="1361"/>
    </row>
    <row r="156" spans="2:13" x14ac:dyDescent="0.25">
      <c r="B156" s="1385"/>
      <c r="D156" s="1386"/>
      <c r="E156" s="1386"/>
      <c r="F156" s="1249"/>
      <c r="G156" s="1385"/>
      <c r="H156" s="1249"/>
      <c r="I156" s="1249"/>
      <c r="J156" s="1249"/>
      <c r="K156" s="1249"/>
      <c r="L156" s="1361"/>
      <c r="M156" s="1361"/>
    </row>
    <row r="157" spans="2:13" x14ac:dyDescent="0.25">
      <c r="B157" s="1385"/>
      <c r="D157" s="1249"/>
      <c r="E157" s="1249"/>
      <c r="F157" s="1387"/>
      <c r="G157" s="1387"/>
      <c r="H157" s="1387"/>
      <c r="I157" s="1249"/>
      <c r="J157" s="1249"/>
      <c r="K157" s="1249"/>
      <c r="L157" s="1361"/>
      <c r="M157" s="1361"/>
    </row>
    <row r="158" spans="2:13" x14ac:dyDescent="0.25">
      <c r="B158" s="1385"/>
      <c r="D158" s="1249"/>
      <c r="E158" s="1249"/>
      <c r="F158" s="1387"/>
      <c r="G158" s="1387"/>
      <c r="H158" s="1387"/>
      <c r="I158" s="1361"/>
      <c r="J158" s="1387"/>
      <c r="K158" s="1387"/>
      <c r="L158" s="1361"/>
      <c r="M158" s="1361"/>
    </row>
    <row r="159" spans="2:13" x14ac:dyDescent="0.25">
      <c r="B159" s="1385"/>
      <c r="D159" s="1249"/>
      <c r="E159" s="1249"/>
      <c r="F159" s="1387"/>
      <c r="G159" s="1387"/>
      <c r="H159" s="1387"/>
      <c r="I159" s="1361"/>
      <c r="J159" s="1387"/>
      <c r="K159" s="1387"/>
      <c r="L159" s="1361"/>
      <c r="M159" s="1361"/>
    </row>
    <row r="160" spans="2:13" x14ac:dyDescent="0.25">
      <c r="B160" s="1385"/>
      <c r="D160" s="1249"/>
      <c r="E160" s="1249"/>
      <c r="F160" s="1388"/>
      <c r="G160" s="1388"/>
      <c r="H160" s="1388"/>
      <c r="I160" s="1361"/>
      <c r="J160" s="1387"/>
      <c r="K160" s="1387"/>
      <c r="L160" s="1361"/>
      <c r="M160" s="1361"/>
    </row>
    <row r="161" spans="2:13" x14ac:dyDescent="0.25">
      <c r="B161" s="1385"/>
      <c r="D161" s="1249"/>
      <c r="E161" s="1249"/>
      <c r="F161" s="1388"/>
      <c r="G161" s="1388"/>
      <c r="H161" s="1388"/>
      <c r="I161" s="1361"/>
      <c r="J161" s="1361"/>
      <c r="K161" s="1361"/>
      <c r="L161" s="1361"/>
      <c r="M161" s="1361"/>
    </row>
    <row r="162" spans="2:13" x14ac:dyDescent="0.25">
      <c r="B162" s="1385"/>
      <c r="D162" s="1249"/>
      <c r="E162" s="1249"/>
      <c r="F162" s="1388"/>
      <c r="G162" s="1388"/>
      <c r="H162" s="1388"/>
      <c r="I162" s="1361"/>
      <c r="J162" s="1361"/>
      <c r="K162" s="1361"/>
      <c r="L162" s="1361"/>
      <c r="M162" s="1361"/>
    </row>
    <row r="163" spans="2:13" x14ac:dyDescent="0.25">
      <c r="B163" s="1385"/>
      <c r="D163" s="1249"/>
      <c r="E163" s="1249"/>
      <c r="F163" s="1387"/>
      <c r="G163" s="1387"/>
      <c r="H163" s="1387"/>
      <c r="I163" s="1361"/>
      <c r="J163" s="1361"/>
      <c r="K163" s="1361"/>
      <c r="L163" s="1361"/>
      <c r="M163" s="1361"/>
    </row>
    <row r="165" spans="2:13" x14ac:dyDescent="0.25">
      <c r="B165" s="1385"/>
      <c r="D165" s="1249"/>
      <c r="E165" s="1249"/>
      <c r="F165" s="1387"/>
      <c r="G165" s="1387"/>
      <c r="H165" s="1387"/>
      <c r="I165" s="1361"/>
      <c r="J165" s="1387"/>
      <c r="K165" s="1387"/>
      <c r="L165" s="1361"/>
      <c r="M165" s="1361"/>
    </row>
    <row r="166" spans="2:13" x14ac:dyDescent="0.25">
      <c r="B166" s="1385"/>
      <c r="D166" s="1249"/>
      <c r="E166" s="1249"/>
      <c r="F166" s="1387"/>
      <c r="G166" s="1387"/>
      <c r="H166" s="1387"/>
      <c r="I166" s="1361"/>
      <c r="J166" s="1387"/>
      <c r="K166" s="1387"/>
      <c r="L166" s="1361"/>
      <c r="M166" s="1361"/>
    </row>
    <row r="167" spans="2:13" x14ac:dyDescent="0.25">
      <c r="B167" s="1385"/>
      <c r="D167" s="1249"/>
      <c r="E167" s="1249"/>
      <c r="F167" s="1386"/>
      <c r="G167" s="1386"/>
      <c r="H167" s="1386"/>
      <c r="I167" s="1361"/>
      <c r="J167" s="1387"/>
      <c r="K167" s="1387"/>
      <c r="L167" s="1361"/>
      <c r="M167" s="1361"/>
    </row>
    <row r="168" spans="2:13" x14ac:dyDescent="0.25">
      <c r="B168" s="1385"/>
      <c r="D168" s="1249"/>
      <c r="E168" s="1249"/>
      <c r="F168" s="1386"/>
      <c r="G168" s="1386"/>
      <c r="H168" s="1386"/>
      <c r="I168" s="1386"/>
      <c r="J168" s="1386"/>
      <c r="K168" s="1386"/>
      <c r="L168" s="1361"/>
      <c r="M168" s="1361"/>
    </row>
    <row r="169" spans="2:13" x14ac:dyDescent="0.25">
      <c r="B169" s="1385"/>
      <c r="D169" s="1249"/>
      <c r="E169" s="1249"/>
      <c r="F169" s="1386"/>
      <c r="G169" s="1386"/>
      <c r="H169" s="1386"/>
      <c r="I169" s="1386"/>
      <c r="J169" s="1386"/>
      <c r="K169" s="1386"/>
      <c r="L169" s="1361"/>
      <c r="M169" s="1361"/>
    </row>
    <row r="170" spans="2:13" x14ac:dyDescent="0.25">
      <c r="B170" s="1385"/>
      <c r="D170" s="1249"/>
      <c r="E170" s="1249"/>
      <c r="F170" s="1361"/>
      <c r="G170" s="1361"/>
      <c r="H170" s="1361"/>
      <c r="I170" s="1386"/>
      <c r="J170" s="1386"/>
      <c r="K170" s="1386"/>
      <c r="L170" s="1361"/>
      <c r="M170" s="1361"/>
    </row>
    <row r="171" spans="2:13" x14ac:dyDescent="0.25">
      <c r="B171" s="1249"/>
      <c r="D171" s="1249"/>
      <c r="E171" s="1249"/>
      <c r="F171" s="1361"/>
      <c r="G171" s="1361"/>
      <c r="H171" s="1361"/>
      <c r="I171" s="1361"/>
      <c r="J171" s="1387"/>
      <c r="K171" s="1387"/>
      <c r="L171" s="1249"/>
      <c r="M171" s="1249"/>
    </row>
    <row r="172" spans="2:13" x14ac:dyDescent="0.25">
      <c r="B172" s="1384"/>
      <c r="D172" s="1249"/>
      <c r="E172" s="1249"/>
      <c r="F172" s="1361"/>
      <c r="G172" s="1361"/>
      <c r="H172" s="1361"/>
      <c r="I172" s="1361"/>
      <c r="J172" s="1387"/>
      <c r="K172" s="1387"/>
      <c r="L172" s="1249"/>
      <c r="M172" s="1249"/>
    </row>
    <row r="173" spans="2:13" x14ac:dyDescent="0.25">
      <c r="B173" s="1249"/>
      <c r="D173" s="1249"/>
      <c r="E173" s="1249"/>
      <c r="F173" s="1388"/>
      <c r="G173" s="1388"/>
      <c r="H173" s="1388"/>
      <c r="I173" s="1361"/>
      <c r="J173" s="1387"/>
      <c r="K173" s="1387"/>
      <c r="L173" s="1249"/>
      <c r="M173" s="1249"/>
    </row>
    <row r="174" spans="2:13" x14ac:dyDescent="0.25">
      <c r="B174" s="1249"/>
      <c r="F174" s="1388"/>
      <c r="G174" s="1388"/>
      <c r="H174" s="1388"/>
      <c r="I174" s="1361"/>
      <c r="J174" s="1387"/>
      <c r="K174" s="1387"/>
      <c r="L174" s="1249"/>
      <c r="M174" s="1249"/>
    </row>
    <row r="175" spans="2:13" x14ac:dyDescent="0.25">
      <c r="B175" s="1389"/>
      <c r="F175" s="1388"/>
      <c r="G175" s="1388"/>
      <c r="H175" s="1388"/>
      <c r="I175" s="1361"/>
      <c r="J175" s="1387"/>
      <c r="K175" s="1387"/>
      <c r="L175" s="1249"/>
      <c r="M175" s="1249"/>
    </row>
    <row r="176" spans="2:13" x14ac:dyDescent="0.25">
      <c r="F176" s="1387"/>
      <c r="G176" s="1387"/>
      <c r="H176" s="1387"/>
      <c r="I176" s="1361"/>
      <c r="J176" s="1387"/>
      <c r="K176" s="1387"/>
      <c r="L176" s="1249"/>
    </row>
    <row r="177" spans="2:12" x14ac:dyDescent="0.25">
      <c r="F177" s="1387"/>
      <c r="G177" s="1387"/>
      <c r="H177" s="1387"/>
      <c r="I177" s="1361"/>
      <c r="J177" s="1387"/>
      <c r="K177" s="1387"/>
    </row>
    <row r="178" spans="2:12" x14ac:dyDescent="0.25">
      <c r="F178" s="1387"/>
      <c r="G178" s="1387"/>
      <c r="H178" s="1387"/>
      <c r="I178" s="1361"/>
      <c r="J178" s="1387"/>
      <c r="K178" s="1387"/>
    </row>
    <row r="179" spans="2:12" x14ac:dyDescent="0.25">
      <c r="F179" s="1387"/>
      <c r="G179" s="1387"/>
      <c r="H179" s="1387"/>
      <c r="I179" s="1361"/>
      <c r="J179" s="1387"/>
      <c r="K179" s="1387"/>
    </row>
    <row r="180" spans="2:12" x14ac:dyDescent="0.25">
      <c r="F180" s="1387"/>
      <c r="G180" s="1387"/>
      <c r="H180" s="1387"/>
      <c r="I180" s="1361"/>
      <c r="J180" s="1361"/>
      <c r="K180" s="1361"/>
    </row>
    <row r="181" spans="2:12" x14ac:dyDescent="0.25">
      <c r="B181" s="1384"/>
      <c r="F181" s="1387"/>
      <c r="G181" s="1387"/>
      <c r="H181" s="1387"/>
      <c r="I181" s="1361"/>
      <c r="J181" s="1361"/>
      <c r="K181" s="1361"/>
      <c r="L181" s="1375"/>
    </row>
    <row r="182" spans="2:12" x14ac:dyDescent="0.25">
      <c r="F182" s="1249"/>
      <c r="G182" s="1249"/>
      <c r="H182" s="1249"/>
      <c r="I182" s="1361"/>
      <c r="J182" s="1361"/>
      <c r="K182" s="1361"/>
    </row>
    <row r="183" spans="2:12" x14ac:dyDescent="0.25">
      <c r="F183" s="1249"/>
      <c r="G183" s="1249"/>
      <c r="H183" s="1249"/>
      <c r="I183" s="1249"/>
      <c r="J183" s="1249"/>
      <c r="K183" s="1249"/>
    </row>
    <row r="184" spans="2:12" x14ac:dyDescent="0.25">
      <c r="F184" s="1249"/>
      <c r="G184" s="1249"/>
      <c r="H184" s="1249"/>
      <c r="I184" s="1249"/>
      <c r="J184" s="1249"/>
      <c r="K184" s="1249"/>
    </row>
    <row r="185" spans="2:12" x14ac:dyDescent="0.25">
      <c r="F185" s="1249"/>
      <c r="G185" s="1249"/>
      <c r="H185" s="1249"/>
      <c r="I185" s="1249"/>
      <c r="J185" s="1249"/>
      <c r="K185" s="1249"/>
    </row>
    <row r="186" spans="2:12" x14ac:dyDescent="0.25">
      <c r="I186" s="1249"/>
      <c r="J186" s="1249"/>
      <c r="K186" s="1249"/>
    </row>
    <row r="187" spans="2:12" x14ac:dyDescent="0.25">
      <c r="K187" s="1249"/>
    </row>
    <row r="188" spans="2:12" x14ac:dyDescent="0.25">
      <c r="K188" s="1249"/>
    </row>
    <row r="193" spans="11:11" x14ac:dyDescent="0.25">
      <c r="K193" s="1375"/>
    </row>
  </sheetData>
  <sheetProtection formatCells="0" formatColumns="0" formatRows="0" insertColumns="0" insertRows="0" deleteColumns="0" deleteRows="0" selectLockedCells="1"/>
  <mergeCells count="78">
    <mergeCell ref="D40:F40"/>
    <mergeCell ref="L44:L45"/>
    <mergeCell ref="D44:J44"/>
    <mergeCell ref="D45:E45"/>
    <mergeCell ref="D46:E46"/>
    <mergeCell ref="B45:C45"/>
    <mergeCell ref="K44:K45"/>
    <mergeCell ref="M48:M57"/>
    <mergeCell ref="L50:L51"/>
    <mergeCell ref="K50:K51"/>
    <mergeCell ref="D55:E55"/>
    <mergeCell ref="D56:E56"/>
    <mergeCell ref="D51:E51"/>
    <mergeCell ref="I72:J72"/>
    <mergeCell ref="L60:L61"/>
    <mergeCell ref="D60:J60"/>
    <mergeCell ref="D61:E61"/>
    <mergeCell ref="D64:E64"/>
    <mergeCell ref="D66:E66"/>
    <mergeCell ref="D65:E65"/>
    <mergeCell ref="B129:B130"/>
    <mergeCell ref="B97:C97"/>
    <mergeCell ref="B95:E95"/>
    <mergeCell ref="B90:K91"/>
    <mergeCell ref="B83:J83"/>
    <mergeCell ref="B84:J84"/>
    <mergeCell ref="B85:J85"/>
    <mergeCell ref="B86:J86"/>
    <mergeCell ref="B79:L79"/>
    <mergeCell ref="D62:E62"/>
    <mergeCell ref="D63:E63"/>
    <mergeCell ref="J27:K27"/>
    <mergeCell ref="D53:E53"/>
    <mergeCell ref="D54:E54"/>
    <mergeCell ref="B50:B51"/>
    <mergeCell ref="B46:C46"/>
    <mergeCell ref="D73:F73"/>
    <mergeCell ref="G73:H73"/>
    <mergeCell ref="B44:C44"/>
    <mergeCell ref="K60:K61"/>
    <mergeCell ref="D52:E52"/>
    <mergeCell ref="B60:B61"/>
    <mergeCell ref="D50:J50"/>
    <mergeCell ref="I73:J73"/>
    <mergeCell ref="G15:H15"/>
    <mergeCell ref="G16:H16"/>
    <mergeCell ref="G17:H17"/>
    <mergeCell ref="C27:G27"/>
    <mergeCell ref="H27:I27"/>
    <mergeCell ref="S28:S29"/>
    <mergeCell ref="C30:G30"/>
    <mergeCell ref="B37:C37"/>
    <mergeCell ref="B38:C38"/>
    <mergeCell ref="D37:F37"/>
    <mergeCell ref="D38:F38"/>
    <mergeCell ref="G37:H37"/>
    <mergeCell ref="G38:H38"/>
    <mergeCell ref="I37:J37"/>
    <mergeCell ref="I38:J38"/>
    <mergeCell ref="R28:R29"/>
    <mergeCell ref="M28:M29"/>
    <mergeCell ref="C29:G29"/>
    <mergeCell ref="A1:L1"/>
    <mergeCell ref="D97:F97"/>
    <mergeCell ref="K70:K71"/>
    <mergeCell ref="L70:L71"/>
    <mergeCell ref="B71:C71"/>
    <mergeCell ref="D71:F71"/>
    <mergeCell ref="G71:H71"/>
    <mergeCell ref="I71:J71"/>
    <mergeCell ref="B70:C70"/>
    <mergeCell ref="D70:J70"/>
    <mergeCell ref="B72:C72"/>
    <mergeCell ref="D72:F72"/>
    <mergeCell ref="G72:H72"/>
    <mergeCell ref="B73:C73"/>
    <mergeCell ref="E18:F18"/>
    <mergeCell ref="B25:F25"/>
  </mergeCells>
  <phoneticPr fontId="0" type="noConversion"/>
  <dataValidations count="3">
    <dataValidation type="list" allowBlank="1" showInputMessage="1" sqref="N2 C87" xr:uid="{00000000-0002-0000-0100-000000000000}">
      <formula1>#REF!</formula1>
    </dataValidation>
    <dataValidation allowBlank="1" showInputMessage="1" sqref="F2" xr:uid="{00000000-0002-0000-0100-000002000000}"/>
    <dataValidation type="list" allowBlank="1" showInputMessage="1" showErrorMessage="1" sqref="K83:L83" xr:uid="{00000000-0002-0000-0100-000001000000}">
      <formula1>#REF!</formula1>
    </dataValidation>
  </dataValidations>
  <printOptions horizontalCentered="1"/>
  <pageMargins left="0.511811023622047" right="0.23622047244094499" top="0.39370078740157499" bottom="0.23622047244094499" header="0.23622047244094499" footer="0.23622047244094499"/>
  <pageSetup paperSize="9" scale="64" orientation="portrait" horizontalDpi="4294967294" verticalDpi="360" r:id="rId1"/>
  <headerFooter>
    <oddHeader>&amp;R&amp;"-,Regular"&amp;8ID.KL.MK.13 / Rev. 0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1112" r:id="rId4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2" r:id="rId4"/>
      </mc:Fallback>
    </mc:AlternateContent>
    <mc:AlternateContent xmlns:mc="http://schemas.openxmlformats.org/markup-compatibility/2006">
      <mc:Choice Requires="x14">
        <oleObject progId="Equation.3" shapeId="1113" r:id="rId6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3" r:id="rId6"/>
      </mc:Fallback>
    </mc:AlternateContent>
    <mc:AlternateContent xmlns:mc="http://schemas.openxmlformats.org/markup-compatibility/2006">
      <mc:Choice Requires="x14">
        <oleObject progId="Equation.3" shapeId="1114" r:id="rId7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4" r:id="rId7"/>
      </mc:Fallback>
    </mc:AlternateContent>
    <mc:AlternateContent xmlns:mc="http://schemas.openxmlformats.org/markup-compatibility/2006">
      <mc:Choice Requires="x14">
        <oleObject progId="Equation.3" shapeId="1115" r:id="rId8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5" r:id="rId8"/>
      </mc:Fallback>
    </mc:AlternateContent>
    <mc:AlternateContent xmlns:mc="http://schemas.openxmlformats.org/markup-compatibility/2006">
      <mc:Choice Requires="x14">
        <oleObject progId="Equation.3" shapeId="1116" r:id="rId9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6" r:id="rId9"/>
      </mc:Fallback>
    </mc:AlternateContent>
    <mc:AlternateContent xmlns:mc="http://schemas.openxmlformats.org/markup-compatibility/2006">
      <mc:Choice Requires="x14">
        <oleObject progId="Equation.3" shapeId="1117" r:id="rId10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7" r:id="rId10"/>
      </mc:Fallback>
    </mc:AlternateContent>
    <mc:AlternateContent xmlns:mc="http://schemas.openxmlformats.org/markup-compatibility/2006">
      <mc:Choice Requires="x14">
        <oleObject progId="Equation.3" shapeId="1118" r:id="rId11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8" r:id="rId11"/>
      </mc:Fallback>
    </mc:AlternateContent>
    <mc:AlternateContent xmlns:mc="http://schemas.openxmlformats.org/markup-compatibility/2006">
      <mc:Choice Requires="x14">
        <oleObject progId="Equation.3" shapeId="1119" r:id="rId12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19" r:id="rId12"/>
      </mc:Fallback>
    </mc:AlternateContent>
    <mc:AlternateContent xmlns:mc="http://schemas.openxmlformats.org/markup-compatibility/2006">
      <mc:Choice Requires="x14">
        <oleObject progId="Equation.3" shapeId="1120" r:id="rId13">
          <objectPr defaultSize="0" autoPict="0" r:id="rId5">
            <anchor moveWithCells="1" sizeWithCells="1">
              <from>
                <xdr:col>8</xdr:col>
                <xdr:colOff>0</xdr:colOff>
                <xdr:row>30</xdr:row>
                <xdr:rowOff>0</xdr:rowOff>
              </from>
              <to>
                <xdr:col>8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120" r:id="rId13"/>
      </mc:Fallback>
    </mc:AlternateContent>
    <mc:AlternateContent xmlns:mc="http://schemas.openxmlformats.org/markup-compatibility/2006">
      <mc:Choice Requires="x14">
        <oleObject progId="Equation.3" shapeId="1128" r:id="rId14">
          <objectPr defaultSize="0" autoPict="0" r:id="rId5">
            <anchor moveWithCells="1" sizeWithCells="1">
              <from>
                <xdr:col>12</xdr:col>
                <xdr:colOff>95250</xdr:colOff>
                <xdr:row>30</xdr:row>
                <xdr:rowOff>0</xdr:rowOff>
              </from>
              <to>
                <xdr:col>12</xdr:col>
                <xdr:colOff>438150</xdr:colOff>
                <xdr:row>30</xdr:row>
                <xdr:rowOff>0</xdr:rowOff>
              </to>
            </anchor>
          </objectPr>
        </oleObject>
      </mc:Choice>
      <mc:Fallback>
        <oleObject progId="Equation.3" shapeId="1128" r:id="rId1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xr:uid="{00000000-0002-0000-0100-000005000000}">
          <x14:formula1>
            <xm:f>'DB Thermohygro '!$A$357:$A$374</xm:f>
          </x14:formula1>
          <xm:sqref>B86:J86</xm:sqref>
        </x14:dataValidation>
        <x14:dataValidation type="list" allowBlank="1" showInputMessage="1" showErrorMessage="1" xr:uid="{1AA0CC3F-EAAC-4B6B-9C03-497FBA172541}">
          <x14:formula1>
            <xm:f>'kata-kata'!$C$12:$C$13</xm:f>
          </x14:formula1>
          <xm:sqref>C29</xm:sqref>
        </x14:dataValidation>
        <x14:dataValidation type="list" allowBlank="1" showInputMessage="1" showErrorMessage="1" xr:uid="{00000000-0002-0000-0100-000007000000}">
          <x14:formula1>
            <xm:f>'kata-kata'!$C$14:$C$15</xm:f>
          </x14:formula1>
          <xm:sqref>C30 D31:G31</xm:sqref>
        </x14:dataValidation>
        <x14:dataValidation type="list" allowBlank="1" showInputMessage="1" showErrorMessage="1" xr:uid="{00000000-0002-0000-0100-000008000000}">
          <x14:formula1>
            <xm:f>'kata-kata'!$B$4:$B$5</xm:f>
          </x14:formula1>
          <xm:sqref>E22:E23</xm:sqref>
        </x14:dataValidation>
        <x14:dataValidation type="list" allowBlank="1" showInputMessage="1" showErrorMessage="1" xr:uid="{00000000-0002-0000-0100-00000C000000}">
          <x14:formula1>
            <xm:f>'Sert Stopwatch'!$A$198:$A$213</xm:f>
          </x14:formula1>
          <xm:sqref>B85:J85</xm:sqref>
        </x14:dataValidation>
        <x14:dataValidation type="list" allowBlank="1" showInputMessage="1" showErrorMessage="1" xr:uid="{4853DA25-14BD-43A0-9199-61C73E1BE822}">
          <x14:formula1>
            <xm:f>ESA!$A$166:$A$177</xm:f>
          </x14:formula1>
          <xm:sqref>B84:J84</xm:sqref>
        </x14:dataValidation>
        <x14:dataValidation type="list" allowBlank="1" showInputMessage="1" xr:uid="{00000000-0002-0000-0100-000009000000}">
          <x14:formula1>
            <xm:f>'kata-kata'!$P$11:$P$31</xm:f>
          </x14:formula1>
          <xm:sqref>B95:E95</xm:sqref>
        </x14:dataValidation>
        <x14:dataValidation type="list" allowBlank="1" showInputMessage="1" showErrorMessage="1" xr:uid="{00000000-0002-0000-0100-00000A000000}">
          <x14:formula1>
            <xm:f>SCOPE!$L$162:$L$173</xm:f>
          </x14:formula1>
          <xm:sqref>B83:J83</xm:sqref>
        </x14:dataValidation>
        <x14:dataValidation type="list" allowBlank="1" showInputMessage="1" showErrorMessage="1" xr:uid="{D8C70D6D-BD5E-4E30-8678-0E312DEE0A14}">
          <x14:formula1>
            <xm:f>LK!$G$38:$H$38</xm:f>
          </x14:formula1>
          <xm:sqref>G38:H40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798-CEE0-45E8-AA4A-6E35E259CE2B}">
  <dimension ref="B1:X120"/>
  <sheetViews>
    <sheetView view="pageBreakPreview" topLeftCell="A46" zoomScale="62" zoomScaleNormal="57" zoomScaleSheetLayoutView="62" workbookViewId="0">
      <selection activeCell="S66" sqref="S66"/>
    </sheetView>
  </sheetViews>
  <sheetFormatPr defaultColWidth="9.1796875" defaultRowHeight="14.5" x14ac:dyDescent="0.35"/>
  <cols>
    <col min="1" max="1" width="9.1796875" style="739"/>
    <col min="2" max="2" width="20.26953125" style="739" customWidth="1"/>
    <col min="3" max="3" width="9.26953125" style="739" bestFit="1" customWidth="1"/>
    <col min="4" max="4" width="9.1796875" style="739"/>
    <col min="5" max="7" width="9.26953125" style="739" bestFit="1" customWidth="1"/>
    <col min="8" max="8" width="11" style="739" customWidth="1"/>
    <col min="9" max="9" width="13" style="739" customWidth="1"/>
    <col min="10" max="10" width="9.26953125" style="739" bestFit="1" customWidth="1"/>
    <col min="11" max="11" width="20" style="739" bestFit="1" customWidth="1"/>
    <col min="12" max="12" width="10.81640625" style="739" customWidth="1"/>
    <col min="13" max="13" width="2.453125" style="739" customWidth="1"/>
    <col min="14" max="14" width="28.453125" style="739" customWidth="1"/>
    <col min="15" max="16" width="9.1796875" style="739"/>
    <col min="17" max="17" width="9.81640625" style="739" bestFit="1" customWidth="1"/>
    <col min="18" max="19" width="9.1796875" style="739"/>
    <col min="20" max="20" width="10.81640625" style="739" bestFit="1" customWidth="1"/>
    <col min="21" max="21" width="13" style="739" bestFit="1" customWidth="1"/>
    <col min="22" max="22" width="9.1796875" style="739"/>
    <col min="23" max="23" width="14.54296875" style="739" customWidth="1"/>
    <col min="24" max="16384" width="9.1796875" style="739"/>
  </cols>
  <sheetData>
    <row r="1" spans="2:24" x14ac:dyDescent="0.35">
      <c r="X1" s="1010" t="s">
        <v>564</v>
      </c>
    </row>
    <row r="2" spans="2:24" x14ac:dyDescent="0.35">
      <c r="B2" s="740" t="str">
        <f>ID!C48</f>
        <v>- Pulse Frekuensi (Hz)</v>
      </c>
      <c r="N2" s="740" t="str">
        <f>ID!C58</f>
        <v xml:space="preserve">- Pulse Width (µs) </v>
      </c>
    </row>
    <row r="3" spans="2:24" x14ac:dyDescent="0.35">
      <c r="B3" s="739" t="s">
        <v>404</v>
      </c>
      <c r="C3" s="741">
        <f>ID!C52</f>
        <v>1</v>
      </c>
      <c r="D3" s="742" t="s">
        <v>392</v>
      </c>
      <c r="N3" s="739" t="s">
        <v>404</v>
      </c>
      <c r="O3" s="741">
        <f>ID!C62</f>
        <v>10</v>
      </c>
      <c r="P3" s="742" t="s">
        <v>423</v>
      </c>
    </row>
    <row r="4" spans="2:24" x14ac:dyDescent="0.35">
      <c r="B4" s="743" t="s">
        <v>184</v>
      </c>
      <c r="C4" s="744" t="s">
        <v>185</v>
      </c>
      <c r="D4" s="745" t="s">
        <v>186</v>
      </c>
      <c r="E4" s="743" t="s">
        <v>187</v>
      </c>
      <c r="F4" s="743" t="s">
        <v>188</v>
      </c>
      <c r="G4" s="743" t="s">
        <v>405</v>
      </c>
      <c r="H4" s="743" t="s">
        <v>406</v>
      </c>
      <c r="I4" s="743" t="s">
        <v>407</v>
      </c>
      <c r="J4" s="743" t="s">
        <v>408</v>
      </c>
      <c r="K4" s="743" t="s">
        <v>409</v>
      </c>
      <c r="L4" s="744" t="s">
        <v>410</v>
      </c>
      <c r="N4" s="743" t="s">
        <v>184</v>
      </c>
      <c r="O4" s="744" t="s">
        <v>185</v>
      </c>
      <c r="P4" s="745" t="s">
        <v>186</v>
      </c>
      <c r="Q4" s="743" t="s">
        <v>187</v>
      </c>
      <c r="R4" s="743" t="s">
        <v>188</v>
      </c>
      <c r="S4" s="743" t="s">
        <v>405</v>
      </c>
      <c r="T4" s="743" t="s">
        <v>406</v>
      </c>
      <c r="U4" s="743" t="s">
        <v>407</v>
      </c>
      <c r="V4" s="743" t="s">
        <v>408</v>
      </c>
      <c r="W4" s="743" t="s">
        <v>409</v>
      </c>
      <c r="X4" s="744" t="s">
        <v>410</v>
      </c>
    </row>
    <row r="5" spans="2:24" x14ac:dyDescent="0.35">
      <c r="B5" s="746" t="s">
        <v>411</v>
      </c>
      <c r="C5" s="747" t="str">
        <f>$D$3</f>
        <v>Hz</v>
      </c>
      <c r="D5" s="748" t="s">
        <v>189</v>
      </c>
      <c r="E5" s="749">
        <f>ID!L52</f>
        <v>3.2659863237109073E-3</v>
      </c>
      <c r="F5" s="750">
        <f>SQRT(6)</f>
        <v>2.4494897427831779</v>
      </c>
      <c r="G5" s="748">
        <v>5</v>
      </c>
      <c r="H5" s="750">
        <f>E5/F5</f>
        <v>1.3333333333333348E-3</v>
      </c>
      <c r="I5" s="748">
        <v>1</v>
      </c>
      <c r="J5" s="750">
        <f>H5*I5</f>
        <v>1.3333333333333348E-3</v>
      </c>
      <c r="K5" s="751">
        <f>J5^2</f>
        <v>1.7777777777777818E-6</v>
      </c>
      <c r="L5" s="752">
        <f>K5^2/G5</f>
        <v>6.3209876543210162E-13</v>
      </c>
      <c r="N5" s="746" t="s">
        <v>411</v>
      </c>
      <c r="O5" s="747" t="str">
        <f>$P$3</f>
        <v>µs</v>
      </c>
      <c r="P5" s="748" t="s">
        <v>189</v>
      </c>
      <c r="Q5" s="749">
        <f>SCOPE!G210</f>
        <v>0</v>
      </c>
      <c r="R5" s="750">
        <f>SQRT(6)</f>
        <v>2.4494897427831779</v>
      </c>
      <c r="S5" s="748">
        <v>5</v>
      </c>
      <c r="T5" s="750">
        <f>Q5/R5</f>
        <v>0</v>
      </c>
      <c r="U5" s="748">
        <v>1</v>
      </c>
      <c r="V5" s="750">
        <f>T5*U5</f>
        <v>0</v>
      </c>
      <c r="W5" s="751">
        <f>V5^2</f>
        <v>0</v>
      </c>
      <c r="X5" s="752">
        <f>W5^2/S5</f>
        <v>0</v>
      </c>
    </row>
    <row r="6" spans="2:24" x14ac:dyDescent="0.35">
      <c r="B6" s="753" t="s">
        <v>412</v>
      </c>
      <c r="C6" s="747" t="str">
        <f t="shared" ref="C6:C8" si="0">$D$3</f>
        <v>Hz</v>
      </c>
      <c r="D6" s="748" t="s">
        <v>189</v>
      </c>
      <c r="E6" s="749">
        <f>SCOPE!P181</f>
        <v>2.9038956666667774E-3</v>
      </c>
      <c r="F6" s="750">
        <v>2</v>
      </c>
      <c r="G6" s="748">
        <f>0.5*(100/10)^2</f>
        <v>50</v>
      </c>
      <c r="H6" s="750">
        <f>E6/F6</f>
        <v>1.4519478333333887E-3</v>
      </c>
      <c r="I6" s="748">
        <v>1</v>
      </c>
      <c r="J6" s="750">
        <f>H6*I6</f>
        <v>1.4519478333333887E-3</v>
      </c>
      <c r="K6" s="751">
        <f>J6^2</f>
        <v>2.108152510721522E-6</v>
      </c>
      <c r="L6" s="752">
        <f>K6^2/G6</f>
        <v>8.8886140169229144E-14</v>
      </c>
      <c r="N6" s="753" t="s">
        <v>412</v>
      </c>
      <c r="O6" s="747" t="str">
        <f>O5</f>
        <v>µs</v>
      </c>
      <c r="P6" s="748" t="s">
        <v>189</v>
      </c>
      <c r="Q6" s="749">
        <f>SCOPE!P202</f>
        <v>2.5720113188478808E-2</v>
      </c>
      <c r="R6" s="750">
        <v>2</v>
      </c>
      <c r="S6" s="748">
        <f>0.5*(100/10)^2</f>
        <v>50</v>
      </c>
      <c r="T6" s="750">
        <f>Q6/R6</f>
        <v>1.2860056594239404E-2</v>
      </c>
      <c r="U6" s="748">
        <v>1</v>
      </c>
      <c r="V6" s="750">
        <f>T6*U6</f>
        <v>1.2860056594239404E-2</v>
      </c>
      <c r="W6" s="751">
        <f>V6^2</f>
        <v>1.6538105560704038E-4</v>
      </c>
      <c r="X6" s="752">
        <f>W6^2/S6</f>
        <v>5.4701787107397963E-10</v>
      </c>
    </row>
    <row r="7" spans="2:24" x14ac:dyDescent="0.35">
      <c r="B7" s="753" t="s">
        <v>413</v>
      </c>
      <c r="C7" s="747" t="str">
        <f t="shared" si="0"/>
        <v>Hz</v>
      </c>
      <c r="D7" s="748" t="s">
        <v>414</v>
      </c>
      <c r="E7" s="754">
        <f>SCOPE!O181</f>
        <v>1.0000000000000001E-5</v>
      </c>
      <c r="F7" s="750">
        <f>SQRT(3)</f>
        <v>1.7320508075688772</v>
      </c>
      <c r="G7" s="748">
        <v>50</v>
      </c>
      <c r="H7" s="750">
        <f>E7/F7</f>
        <v>5.7735026918962587E-6</v>
      </c>
      <c r="I7" s="748">
        <v>1</v>
      </c>
      <c r="J7" s="750">
        <f>H7*I7</f>
        <v>5.7735026918962587E-6</v>
      </c>
      <c r="K7" s="751">
        <f t="shared" ref="K7:K8" si="1">J7^2</f>
        <v>3.3333333333333347E-11</v>
      </c>
      <c r="L7" s="752">
        <f>K7^2/G7</f>
        <v>2.2222222222222241E-23</v>
      </c>
      <c r="N7" s="753" t="s">
        <v>413</v>
      </c>
      <c r="O7" s="747" t="str">
        <f>O5</f>
        <v>µs</v>
      </c>
      <c r="P7" s="748" t="s">
        <v>414</v>
      </c>
      <c r="Q7" s="754">
        <f>SCOPE!O202</f>
        <v>1.0000000000000001E-5</v>
      </c>
      <c r="R7" s="750">
        <f>SQRT(3)</f>
        <v>1.7320508075688772</v>
      </c>
      <c r="S7" s="748">
        <v>50</v>
      </c>
      <c r="T7" s="750">
        <f>Q7/R7</f>
        <v>5.7735026918962587E-6</v>
      </c>
      <c r="U7" s="748">
        <v>1</v>
      </c>
      <c r="V7" s="750">
        <f>T7*U7</f>
        <v>5.7735026918962587E-6</v>
      </c>
      <c r="W7" s="751">
        <f t="shared" ref="W7:W8" si="2">V7^2</f>
        <v>3.3333333333333347E-11</v>
      </c>
      <c r="X7" s="752">
        <f>W7^2/S7</f>
        <v>2.2222222222222241E-23</v>
      </c>
    </row>
    <row r="8" spans="2:24" x14ac:dyDescent="0.35">
      <c r="B8" s="753" t="s">
        <v>415</v>
      </c>
      <c r="C8" s="747" t="str">
        <f t="shared" si="0"/>
        <v>Hz</v>
      </c>
      <c r="D8" s="748" t="s">
        <v>414</v>
      </c>
      <c r="E8" s="755">
        <f>SCOPE!H190</f>
        <v>5.0000000000000001E-4</v>
      </c>
      <c r="F8" s="750">
        <f>SQRT(3)</f>
        <v>1.7320508075688772</v>
      </c>
      <c r="G8" s="748">
        <v>50</v>
      </c>
      <c r="H8" s="750">
        <f>E8/F8</f>
        <v>2.886751345948129E-4</v>
      </c>
      <c r="I8" s="748">
        <v>1</v>
      </c>
      <c r="J8" s="750">
        <f>H8*I8</f>
        <v>2.886751345948129E-4</v>
      </c>
      <c r="K8" s="751">
        <f t="shared" si="1"/>
        <v>8.3333333333333338E-8</v>
      </c>
      <c r="L8" s="752">
        <f>K8^2/G8</f>
        <v>1.388888888888889E-16</v>
      </c>
      <c r="N8" s="753" t="s">
        <v>415</v>
      </c>
      <c r="O8" s="747" t="str">
        <f>O5</f>
        <v>µs</v>
      </c>
      <c r="P8" s="748" t="s">
        <v>414</v>
      </c>
      <c r="Q8" s="755">
        <f>SCOPE!H210</f>
        <v>0.05</v>
      </c>
      <c r="R8" s="750">
        <f>SQRT(3)</f>
        <v>1.7320508075688772</v>
      </c>
      <c r="S8" s="748">
        <v>50</v>
      </c>
      <c r="T8" s="750">
        <f>Q8/R8</f>
        <v>2.8867513459481291E-2</v>
      </c>
      <c r="U8" s="748">
        <v>1</v>
      </c>
      <c r="V8" s="750">
        <f>T8*U8</f>
        <v>2.8867513459481291E-2</v>
      </c>
      <c r="W8" s="751">
        <f t="shared" si="2"/>
        <v>8.333333333333335E-4</v>
      </c>
      <c r="X8" s="752">
        <f>W8^2/S8</f>
        <v>1.3888888888888894E-8</v>
      </c>
    </row>
    <row r="9" spans="2:24" x14ac:dyDescent="0.35">
      <c r="B9" s="746" t="s">
        <v>190</v>
      </c>
      <c r="C9" s="756"/>
      <c r="D9" s="756"/>
      <c r="E9" s="756"/>
      <c r="F9" s="756"/>
      <c r="G9" s="756"/>
      <c r="H9" s="756"/>
      <c r="I9" s="756"/>
      <c r="J9" s="756"/>
      <c r="K9" s="751">
        <f>SUM(K5:K8)</f>
        <v>3.9692969551659705E-6</v>
      </c>
      <c r="L9" s="752">
        <f>SUM(L5:L8)</f>
        <v>7.2112379451244184E-13</v>
      </c>
      <c r="N9" s="746" t="s">
        <v>190</v>
      </c>
      <c r="O9" s="756"/>
      <c r="P9" s="756"/>
      <c r="Q9" s="756"/>
      <c r="R9" s="756"/>
      <c r="S9" s="756"/>
      <c r="T9" s="756"/>
      <c r="U9" s="756"/>
      <c r="V9" s="756"/>
      <c r="W9" s="751">
        <f>SUM(W5:W8)</f>
        <v>9.9871442227370726E-4</v>
      </c>
      <c r="X9" s="752">
        <f>SUM(X5:X8)</f>
        <v>1.4435906759962896E-8</v>
      </c>
    </row>
    <row r="10" spans="2:24" x14ac:dyDescent="0.35">
      <c r="B10" s="746" t="s">
        <v>191</v>
      </c>
      <c r="C10" s="756"/>
      <c r="D10" s="756"/>
      <c r="E10" s="756"/>
      <c r="F10" s="756"/>
      <c r="G10" s="756"/>
      <c r="H10" s="756"/>
      <c r="I10" s="757" t="s">
        <v>416</v>
      </c>
      <c r="J10" s="756"/>
      <c r="K10" s="758">
        <f>SQRT(K9)</f>
        <v>1.9923094526619026E-3</v>
      </c>
      <c r="L10" s="759"/>
      <c r="N10" s="746" t="s">
        <v>191</v>
      </c>
      <c r="O10" s="756"/>
      <c r="P10" s="756"/>
      <c r="Q10" s="756"/>
      <c r="R10" s="756"/>
      <c r="S10" s="756"/>
      <c r="T10" s="756"/>
      <c r="U10" s="760" t="s">
        <v>417</v>
      </c>
      <c r="V10" s="756"/>
      <c r="W10" s="758">
        <f>SQRT(W9)</f>
        <v>3.1602443295949557E-2</v>
      </c>
      <c r="X10" s="759"/>
    </row>
    <row r="11" spans="2:24" ht="15" x14ac:dyDescent="0.35">
      <c r="B11" s="746" t="s">
        <v>418</v>
      </c>
      <c r="C11" s="756"/>
      <c r="D11" s="756"/>
      <c r="E11" s="756"/>
      <c r="F11" s="756"/>
      <c r="G11" s="756"/>
      <c r="H11" s="756"/>
      <c r="I11" s="761" t="s">
        <v>419</v>
      </c>
      <c r="J11" s="756"/>
      <c r="K11" s="750">
        <f>K10^4/L9</f>
        <v>21.848285187901954</v>
      </c>
      <c r="L11" s="759"/>
      <c r="N11" s="746" t="s">
        <v>418</v>
      </c>
      <c r="O11" s="756"/>
      <c r="P11" s="756"/>
      <c r="Q11" s="756"/>
      <c r="R11" s="756"/>
      <c r="S11" s="756"/>
      <c r="T11" s="756"/>
      <c r="U11" s="762" t="s">
        <v>420</v>
      </c>
      <c r="V11" s="756"/>
      <c r="W11" s="750">
        <f>W10^4/X9</f>
        <v>69.093719836416284</v>
      </c>
      <c r="X11" s="759"/>
    </row>
    <row r="12" spans="2:24" x14ac:dyDescent="0.35">
      <c r="B12" s="746" t="s">
        <v>421</v>
      </c>
      <c r="C12" s="756"/>
      <c r="D12" s="756"/>
      <c r="E12" s="756"/>
      <c r="F12" s="756"/>
      <c r="G12" s="756"/>
      <c r="H12" s="756"/>
      <c r="I12" s="763" t="s">
        <v>192</v>
      </c>
      <c r="J12" s="756"/>
      <c r="K12" s="750">
        <f>1.95996+(2.37356/K11)+(2.818745/K11^2)+(2.546662/K11^3)+(1.761829/K11^4)+(0.245458/K11^5)+(1.000764/K11^6)</f>
        <v>2.074755266003526</v>
      </c>
      <c r="L12" s="759">
        <f>TINV(0.05,K11)</f>
        <v>2.07961384472768</v>
      </c>
      <c r="N12" s="746" t="s">
        <v>421</v>
      </c>
      <c r="O12" s="756"/>
      <c r="P12" s="756"/>
      <c r="Q12" s="756"/>
      <c r="R12" s="756"/>
      <c r="S12" s="756"/>
      <c r="T12" s="756"/>
      <c r="U12" s="763" t="s">
        <v>192</v>
      </c>
      <c r="V12" s="756"/>
      <c r="W12" s="750">
        <f>1.95996+(2.37356/W11)+(2.818745/W11^2)+(2.546662/W11^3)+(1.761829/W11^4)+(0.245458/W11^5)+(1.000764/W11^6)</f>
        <v>1.9949110024112267</v>
      </c>
      <c r="X12" s="759">
        <f>TINV(0.05,W11)</f>
        <v>1.9949454151072357</v>
      </c>
    </row>
    <row r="13" spans="2:24" x14ac:dyDescent="0.35">
      <c r="B13" s="746" t="s">
        <v>422</v>
      </c>
      <c r="C13" s="756"/>
      <c r="D13" s="756"/>
      <c r="E13" s="756"/>
      <c r="F13" s="756"/>
      <c r="G13" s="756"/>
      <c r="H13" s="756"/>
      <c r="I13" s="764" t="s">
        <v>193</v>
      </c>
      <c r="J13" s="756"/>
      <c r="K13" s="765">
        <f>K12*K10</f>
        <v>4.1335545284188853E-3</v>
      </c>
      <c r="L13" s="747" t="s">
        <v>392</v>
      </c>
      <c r="N13" s="746" t="s">
        <v>422</v>
      </c>
      <c r="O13" s="756"/>
      <c r="P13" s="756"/>
      <c r="Q13" s="756"/>
      <c r="R13" s="756"/>
      <c r="S13" s="756"/>
      <c r="T13" s="756"/>
      <c r="U13" s="764" t="s">
        <v>193</v>
      </c>
      <c r="V13" s="756"/>
      <c r="W13" s="765">
        <f>W12*W10</f>
        <v>6.3044061834166679E-2</v>
      </c>
      <c r="X13" s="747" t="str">
        <f>O5</f>
        <v>µs</v>
      </c>
    </row>
    <row r="14" spans="2:24" x14ac:dyDescent="0.35">
      <c r="K14" s="766">
        <f>(K13/C3)*100</f>
        <v>0.41335545284188852</v>
      </c>
      <c r="L14" s="747" t="s">
        <v>194</v>
      </c>
      <c r="W14" s="766">
        <f>(W13/O3)*100</f>
        <v>0.63044061834166676</v>
      </c>
      <c r="X14" s="747" t="s">
        <v>194</v>
      </c>
    </row>
    <row r="15" spans="2:24" x14ac:dyDescent="0.35">
      <c r="B15" s="739" t="s">
        <v>404</v>
      </c>
      <c r="C15" s="741">
        <f>ID!C53</f>
        <v>2</v>
      </c>
      <c r="D15" s="742" t="s">
        <v>392</v>
      </c>
      <c r="N15" s="739" t="s">
        <v>404</v>
      </c>
      <c r="O15" s="741">
        <f>ID!C63</f>
        <v>50</v>
      </c>
      <c r="P15" s="742" t="s">
        <v>423</v>
      </c>
    </row>
    <row r="16" spans="2:24" x14ac:dyDescent="0.35">
      <c r="B16" s="743" t="s">
        <v>184</v>
      </c>
      <c r="C16" s="744" t="s">
        <v>185</v>
      </c>
      <c r="D16" s="745" t="s">
        <v>186</v>
      </c>
      <c r="E16" s="743" t="s">
        <v>187</v>
      </c>
      <c r="F16" s="743" t="s">
        <v>188</v>
      </c>
      <c r="G16" s="743" t="s">
        <v>405</v>
      </c>
      <c r="H16" s="743" t="s">
        <v>406</v>
      </c>
      <c r="I16" s="743" t="s">
        <v>407</v>
      </c>
      <c r="J16" s="743" t="s">
        <v>408</v>
      </c>
      <c r="K16" s="743" t="s">
        <v>409</v>
      </c>
      <c r="L16" s="744" t="s">
        <v>410</v>
      </c>
      <c r="N16" s="743" t="s">
        <v>184</v>
      </c>
      <c r="O16" s="744" t="s">
        <v>185</v>
      </c>
      <c r="P16" s="745" t="s">
        <v>186</v>
      </c>
      <c r="Q16" s="743" t="s">
        <v>187</v>
      </c>
      <c r="R16" s="743" t="s">
        <v>188</v>
      </c>
      <c r="S16" s="743" t="s">
        <v>405</v>
      </c>
      <c r="T16" s="743" t="s">
        <v>406</v>
      </c>
      <c r="U16" s="743" t="s">
        <v>407</v>
      </c>
      <c r="V16" s="743" t="s">
        <v>408</v>
      </c>
      <c r="W16" s="743" t="s">
        <v>409</v>
      </c>
      <c r="X16" s="744" t="s">
        <v>410</v>
      </c>
    </row>
    <row r="17" spans="2:24" x14ac:dyDescent="0.35">
      <c r="B17" s="746" t="s">
        <v>411</v>
      </c>
      <c r="C17" s="747" t="str">
        <f>$D$3</f>
        <v>Hz</v>
      </c>
      <c r="D17" s="748" t="s">
        <v>189</v>
      </c>
      <c r="E17" s="749">
        <f>ID!L53</f>
        <v>0</v>
      </c>
      <c r="F17" s="750">
        <f>SQRT(6)</f>
        <v>2.4494897427831779</v>
      </c>
      <c r="G17" s="748">
        <v>5</v>
      </c>
      <c r="H17" s="750">
        <f>E17/F17</f>
        <v>0</v>
      </c>
      <c r="I17" s="748">
        <v>1</v>
      </c>
      <c r="J17" s="750">
        <f>H17*I17</f>
        <v>0</v>
      </c>
      <c r="K17" s="751">
        <f>J17^2</f>
        <v>0</v>
      </c>
      <c r="L17" s="752">
        <f>K17^2/G17</f>
        <v>0</v>
      </c>
      <c r="N17" s="746" t="s">
        <v>411</v>
      </c>
      <c r="O17" s="747" t="str">
        <f>$P$3</f>
        <v>µs</v>
      </c>
      <c r="P17" s="748" t="s">
        <v>189</v>
      </c>
      <c r="Q17" s="749">
        <f>SCOPE!G211</f>
        <v>0</v>
      </c>
      <c r="R17" s="750">
        <f>SQRT(6)</f>
        <v>2.4494897427831779</v>
      </c>
      <c r="S17" s="748">
        <v>5</v>
      </c>
      <c r="T17" s="750">
        <f>Q17/R17</f>
        <v>0</v>
      </c>
      <c r="U17" s="748">
        <v>1</v>
      </c>
      <c r="V17" s="750">
        <f>T17*U17</f>
        <v>0</v>
      </c>
      <c r="W17" s="751">
        <f>V17^2</f>
        <v>0</v>
      </c>
      <c r="X17" s="752">
        <f>W17^2/S17</f>
        <v>0</v>
      </c>
    </row>
    <row r="18" spans="2:24" x14ac:dyDescent="0.35">
      <c r="B18" s="753" t="s">
        <v>412</v>
      </c>
      <c r="C18" s="747" t="str">
        <f t="shared" ref="C18:C20" si="3">$D$3</f>
        <v>Hz</v>
      </c>
      <c r="D18" s="748" t="s">
        <v>189</v>
      </c>
      <c r="E18" s="749">
        <f>SCOPE!P182</f>
        <v>5.8000290000001101E-3</v>
      </c>
      <c r="F18" s="750">
        <v>2</v>
      </c>
      <c r="G18" s="748">
        <f>0.5*(100/10)^2</f>
        <v>50</v>
      </c>
      <c r="H18" s="750">
        <f>E18/F18</f>
        <v>2.9000145000000551E-3</v>
      </c>
      <c r="I18" s="748">
        <v>1</v>
      </c>
      <c r="J18" s="750">
        <f>H18*I18</f>
        <v>2.9000145000000551E-3</v>
      </c>
      <c r="K18" s="751">
        <f>J18^2</f>
        <v>8.4100841002105695E-6</v>
      </c>
      <c r="L18" s="752">
        <f>K18^2/G18</f>
        <v>1.4145902914522927E-12</v>
      </c>
      <c r="N18" s="753" t="s">
        <v>412</v>
      </c>
      <c r="O18" s="747" t="str">
        <f>O17</f>
        <v>µs</v>
      </c>
      <c r="P18" s="748" t="s">
        <v>189</v>
      </c>
      <c r="Q18" s="749">
        <f>SCOPE!P203</f>
        <v>0.11791527033855459</v>
      </c>
      <c r="R18" s="750">
        <v>2</v>
      </c>
      <c r="S18" s="748">
        <f>0.5*(100/10)^2</f>
        <v>50</v>
      </c>
      <c r="T18" s="750">
        <f>Q18/R18</f>
        <v>5.8957635169277295E-2</v>
      </c>
      <c r="U18" s="748">
        <v>1</v>
      </c>
      <c r="V18" s="750">
        <f>T18*U18</f>
        <v>5.8957635169277295E-2</v>
      </c>
      <c r="W18" s="751">
        <f>V18^2</f>
        <v>3.4760027447536031E-3</v>
      </c>
      <c r="X18" s="752">
        <f>W18^2/S18</f>
        <v>2.4165190163069169E-7</v>
      </c>
    </row>
    <row r="19" spans="2:24" x14ac:dyDescent="0.35">
      <c r="B19" s="753" t="s">
        <v>413</v>
      </c>
      <c r="C19" s="747" t="str">
        <f t="shared" si="3"/>
        <v>Hz</v>
      </c>
      <c r="D19" s="748" t="s">
        <v>414</v>
      </c>
      <c r="E19" s="754">
        <f>SCOPE!O182</f>
        <v>1.0000000000000001E-5</v>
      </c>
      <c r="F19" s="750">
        <f>SQRT(3)</f>
        <v>1.7320508075688772</v>
      </c>
      <c r="G19" s="748">
        <v>50</v>
      </c>
      <c r="H19" s="750">
        <f>E19/F19</f>
        <v>5.7735026918962587E-6</v>
      </c>
      <c r="I19" s="748">
        <v>1</v>
      </c>
      <c r="J19" s="750">
        <f>H19*I19</f>
        <v>5.7735026918962587E-6</v>
      </c>
      <c r="K19" s="751">
        <f t="shared" ref="K19:K20" si="4">J19^2</f>
        <v>3.3333333333333347E-11</v>
      </c>
      <c r="L19" s="752">
        <f>K19^2/G19</f>
        <v>2.2222222222222241E-23</v>
      </c>
      <c r="N19" s="753" t="s">
        <v>413</v>
      </c>
      <c r="O19" s="747" t="str">
        <f>O17</f>
        <v>µs</v>
      </c>
      <c r="P19" s="748" t="s">
        <v>414</v>
      </c>
      <c r="Q19" s="754">
        <f>SCOPE!O203</f>
        <v>1.0000000000000001E-5</v>
      </c>
      <c r="R19" s="750">
        <f>SQRT(3)</f>
        <v>1.7320508075688772</v>
      </c>
      <c r="S19" s="748">
        <v>50</v>
      </c>
      <c r="T19" s="750">
        <f>Q19/R19</f>
        <v>5.7735026918962587E-6</v>
      </c>
      <c r="U19" s="748">
        <v>1</v>
      </c>
      <c r="V19" s="750">
        <f>T19*U19</f>
        <v>5.7735026918962587E-6</v>
      </c>
      <c r="W19" s="751">
        <f t="shared" ref="W19:W20" si="5">V19^2</f>
        <v>3.3333333333333347E-11</v>
      </c>
      <c r="X19" s="752">
        <f>W19^2/S19</f>
        <v>2.2222222222222241E-23</v>
      </c>
    </row>
    <row r="20" spans="2:24" x14ac:dyDescent="0.35">
      <c r="B20" s="753" t="s">
        <v>415</v>
      </c>
      <c r="C20" s="747" t="str">
        <f t="shared" si="3"/>
        <v>Hz</v>
      </c>
      <c r="D20" s="748" t="s">
        <v>414</v>
      </c>
      <c r="E20" s="755">
        <f>SCOPE!H191</f>
        <v>5.0000000000000001E-4</v>
      </c>
      <c r="F20" s="750">
        <f>SQRT(3)</f>
        <v>1.7320508075688772</v>
      </c>
      <c r="G20" s="748">
        <v>50</v>
      </c>
      <c r="H20" s="750">
        <f>E20/F20</f>
        <v>2.886751345948129E-4</v>
      </c>
      <c r="I20" s="748">
        <v>1</v>
      </c>
      <c r="J20" s="750">
        <f>H20*I20</f>
        <v>2.886751345948129E-4</v>
      </c>
      <c r="K20" s="751">
        <f t="shared" si="4"/>
        <v>8.3333333333333338E-8</v>
      </c>
      <c r="L20" s="752">
        <f>K20^2/G20</f>
        <v>1.388888888888889E-16</v>
      </c>
      <c r="N20" s="753" t="s">
        <v>415</v>
      </c>
      <c r="O20" s="747" t="str">
        <f>O17</f>
        <v>µs</v>
      </c>
      <c r="P20" s="748" t="s">
        <v>414</v>
      </c>
      <c r="Q20" s="755">
        <f>SCOPE!H211</f>
        <v>0.05</v>
      </c>
      <c r="R20" s="750">
        <f>SQRT(3)</f>
        <v>1.7320508075688772</v>
      </c>
      <c r="S20" s="748">
        <v>50</v>
      </c>
      <c r="T20" s="750">
        <f>Q20/R20</f>
        <v>2.8867513459481291E-2</v>
      </c>
      <c r="U20" s="748">
        <v>1</v>
      </c>
      <c r="V20" s="750">
        <f>T20*U20</f>
        <v>2.8867513459481291E-2</v>
      </c>
      <c r="W20" s="751">
        <f t="shared" si="5"/>
        <v>8.333333333333335E-4</v>
      </c>
      <c r="X20" s="752">
        <f>W20^2/S20</f>
        <v>1.3888888888888894E-8</v>
      </c>
    </row>
    <row r="21" spans="2:24" x14ac:dyDescent="0.35">
      <c r="B21" s="746" t="s">
        <v>190</v>
      </c>
      <c r="C21" s="756"/>
      <c r="D21" s="756"/>
      <c r="E21" s="756"/>
      <c r="F21" s="756"/>
      <c r="G21" s="756"/>
      <c r="H21" s="756"/>
      <c r="I21" s="756"/>
      <c r="J21" s="756"/>
      <c r="K21" s="751">
        <f>SUM(K17:K20)</f>
        <v>8.493450766877236E-6</v>
      </c>
      <c r="L21" s="752">
        <f>SUM(L17:L20)</f>
        <v>1.4147291803634039E-12</v>
      </c>
      <c r="N21" s="746" t="s">
        <v>190</v>
      </c>
      <c r="O21" s="756"/>
      <c r="P21" s="756"/>
      <c r="Q21" s="756"/>
      <c r="R21" s="756"/>
      <c r="S21" s="756"/>
      <c r="T21" s="756"/>
      <c r="U21" s="756"/>
      <c r="V21" s="756"/>
      <c r="W21" s="751">
        <f>SUM(W17:W20)</f>
        <v>4.3093361114202701E-3</v>
      </c>
      <c r="X21" s="752">
        <f>SUM(X17:X20)</f>
        <v>2.5554079051958058E-7</v>
      </c>
    </row>
    <row r="22" spans="2:24" x14ac:dyDescent="0.35">
      <c r="B22" s="746" t="s">
        <v>191</v>
      </c>
      <c r="C22" s="756"/>
      <c r="D22" s="756"/>
      <c r="E22" s="756"/>
      <c r="F22" s="756"/>
      <c r="G22" s="756"/>
      <c r="H22" s="756"/>
      <c r="I22" s="760" t="s">
        <v>417</v>
      </c>
      <c r="J22" s="756"/>
      <c r="K22" s="758">
        <f>SQRT(K21)</f>
        <v>2.9143525467721361E-3</v>
      </c>
      <c r="L22" s="759"/>
      <c r="N22" s="746" t="s">
        <v>191</v>
      </c>
      <c r="O22" s="756"/>
      <c r="P22" s="756"/>
      <c r="Q22" s="756"/>
      <c r="R22" s="756"/>
      <c r="S22" s="756"/>
      <c r="T22" s="756"/>
      <c r="U22" s="760" t="s">
        <v>417</v>
      </c>
      <c r="V22" s="756"/>
      <c r="W22" s="758">
        <f>SQRT(W21)</f>
        <v>6.564553382691217E-2</v>
      </c>
      <c r="X22" s="759"/>
    </row>
    <row r="23" spans="2:24" x14ac:dyDescent="0.35">
      <c r="B23" s="746" t="s">
        <v>418</v>
      </c>
      <c r="C23" s="756"/>
      <c r="D23" s="756"/>
      <c r="E23" s="756"/>
      <c r="F23" s="756"/>
      <c r="G23" s="756"/>
      <c r="H23" s="756"/>
      <c r="I23" s="762" t="s">
        <v>420</v>
      </c>
      <c r="J23" s="756"/>
      <c r="K23" s="750">
        <f>K22^4/L21</f>
        <v>50.991176919696478</v>
      </c>
      <c r="L23" s="759"/>
      <c r="N23" s="746" t="s">
        <v>418</v>
      </c>
      <c r="O23" s="756"/>
      <c r="P23" s="756"/>
      <c r="Q23" s="756"/>
      <c r="R23" s="756"/>
      <c r="S23" s="756"/>
      <c r="T23" s="756"/>
      <c r="U23" s="762" t="s">
        <v>420</v>
      </c>
      <c r="V23" s="756"/>
      <c r="W23" s="750">
        <f>W22^4/X21</f>
        <v>72.670894080872131</v>
      </c>
      <c r="X23" s="759"/>
    </row>
    <row r="24" spans="2:24" x14ac:dyDescent="0.35">
      <c r="B24" s="746" t="s">
        <v>421</v>
      </c>
      <c r="C24" s="756"/>
      <c r="D24" s="756"/>
      <c r="E24" s="756"/>
      <c r="F24" s="756"/>
      <c r="G24" s="756"/>
      <c r="H24" s="756"/>
      <c r="I24" s="763" t="s">
        <v>192</v>
      </c>
      <c r="J24" s="756"/>
      <c r="K24" s="750">
        <f>1.95996+(2.37356/K23)+(2.818745/K23^2)+(2.546662/K23^3)+(1.761829/K23^4)+(0.245458/K23^5)+(1.000764/K23^6)</f>
        <v>2.007612005609853</v>
      </c>
      <c r="L24" s="759">
        <f>TINV(0.05,K23)</f>
        <v>2.0085591121007611</v>
      </c>
      <c r="N24" s="746" t="s">
        <v>421</v>
      </c>
      <c r="O24" s="756"/>
      <c r="P24" s="756"/>
      <c r="Q24" s="756"/>
      <c r="R24" s="756"/>
      <c r="S24" s="756"/>
      <c r="T24" s="756"/>
      <c r="U24" s="763" t="s">
        <v>192</v>
      </c>
      <c r="V24" s="756"/>
      <c r="W24" s="750">
        <f>1.95996+(2.37356/W23)+(2.818745/W23^2)+(2.546662/W23^3)+(1.761829/W23^4)+(0.245458/W23^5)+(1.000764/W23^6)</f>
        <v>1.9931622148413113</v>
      </c>
      <c r="X24" s="759">
        <f>TINV(0.05,W23)</f>
        <v>1.9934635666618719</v>
      </c>
    </row>
    <row r="25" spans="2:24" x14ac:dyDescent="0.35">
      <c r="B25" s="746" t="s">
        <v>422</v>
      </c>
      <c r="C25" s="756"/>
      <c r="D25" s="756"/>
      <c r="E25" s="756"/>
      <c r="F25" s="756"/>
      <c r="G25" s="756"/>
      <c r="H25" s="756"/>
      <c r="I25" s="764" t="s">
        <v>193</v>
      </c>
      <c r="J25" s="756"/>
      <c r="K25" s="765">
        <f>K24*K22</f>
        <v>5.8508891614793912E-3</v>
      </c>
      <c r="L25" s="747" t="s">
        <v>392</v>
      </c>
      <c r="N25" s="746" t="s">
        <v>422</v>
      </c>
      <c r="O25" s="756"/>
      <c r="P25" s="756"/>
      <c r="Q25" s="756"/>
      <c r="R25" s="756"/>
      <c r="S25" s="756"/>
      <c r="T25" s="756"/>
      <c r="U25" s="764" t="s">
        <v>193</v>
      </c>
      <c r="V25" s="756"/>
      <c r="W25" s="765">
        <f>W24*W22</f>
        <v>0.13084219759688848</v>
      </c>
      <c r="X25" s="747" t="str">
        <f>O17</f>
        <v>µs</v>
      </c>
    </row>
    <row r="26" spans="2:24" x14ac:dyDescent="0.35">
      <c r="K26" s="766">
        <f>(K25/C15)*100</f>
        <v>0.29254445807396956</v>
      </c>
      <c r="L26" s="747" t="s">
        <v>194</v>
      </c>
      <c r="W26" s="766">
        <f>(W25/O15)*100</f>
        <v>0.26168439519377695</v>
      </c>
      <c r="X26" s="747" t="s">
        <v>194</v>
      </c>
    </row>
    <row r="27" spans="2:24" x14ac:dyDescent="0.35">
      <c r="B27" s="739" t="s">
        <v>404</v>
      </c>
      <c r="C27" s="741">
        <f>ID!C54</f>
        <v>3</v>
      </c>
      <c r="D27" s="742" t="s">
        <v>392</v>
      </c>
      <c r="N27" s="739" t="s">
        <v>404</v>
      </c>
      <c r="O27" s="741">
        <f>ID!C64</f>
        <v>100</v>
      </c>
      <c r="P27" s="742" t="s">
        <v>423</v>
      </c>
    </row>
    <row r="28" spans="2:24" x14ac:dyDescent="0.35">
      <c r="B28" s="743" t="s">
        <v>184</v>
      </c>
      <c r="C28" s="744" t="s">
        <v>185</v>
      </c>
      <c r="D28" s="745" t="s">
        <v>186</v>
      </c>
      <c r="E28" s="743" t="s">
        <v>187</v>
      </c>
      <c r="F28" s="743" t="s">
        <v>188</v>
      </c>
      <c r="G28" s="743" t="s">
        <v>405</v>
      </c>
      <c r="H28" s="743" t="s">
        <v>406</v>
      </c>
      <c r="I28" s="743" t="s">
        <v>407</v>
      </c>
      <c r="J28" s="743" t="s">
        <v>408</v>
      </c>
      <c r="K28" s="743" t="s">
        <v>409</v>
      </c>
      <c r="L28" s="744" t="s">
        <v>410</v>
      </c>
      <c r="N28" s="743" t="s">
        <v>184</v>
      </c>
      <c r="O28" s="744" t="s">
        <v>185</v>
      </c>
      <c r="P28" s="745" t="s">
        <v>186</v>
      </c>
      <c r="Q28" s="743" t="s">
        <v>187</v>
      </c>
      <c r="R28" s="743" t="s">
        <v>188</v>
      </c>
      <c r="S28" s="743" t="s">
        <v>405</v>
      </c>
      <c r="T28" s="743" t="s">
        <v>406</v>
      </c>
      <c r="U28" s="743" t="s">
        <v>407</v>
      </c>
      <c r="V28" s="743" t="s">
        <v>408</v>
      </c>
      <c r="W28" s="743" t="s">
        <v>409</v>
      </c>
      <c r="X28" s="744" t="s">
        <v>410</v>
      </c>
    </row>
    <row r="29" spans="2:24" x14ac:dyDescent="0.35">
      <c r="B29" s="746" t="s">
        <v>411</v>
      </c>
      <c r="C29" s="747" t="str">
        <f>$D$3</f>
        <v>Hz</v>
      </c>
      <c r="D29" s="748" t="s">
        <v>189</v>
      </c>
      <c r="E29" s="749">
        <f>ID!L54</f>
        <v>0</v>
      </c>
      <c r="F29" s="750">
        <f>SQRT(6)</f>
        <v>2.4494897427831779</v>
      </c>
      <c r="G29" s="748">
        <v>5</v>
      </c>
      <c r="H29" s="750">
        <f>E29/F29</f>
        <v>0</v>
      </c>
      <c r="I29" s="748">
        <v>1</v>
      </c>
      <c r="J29" s="750">
        <f>H29*I29</f>
        <v>0</v>
      </c>
      <c r="K29" s="751">
        <f>J29^2</f>
        <v>0</v>
      </c>
      <c r="L29" s="752">
        <f>K29^2/G29</f>
        <v>0</v>
      </c>
      <c r="N29" s="746" t="s">
        <v>411</v>
      </c>
      <c r="O29" s="747" t="str">
        <f>$P$3</f>
        <v>µs</v>
      </c>
      <c r="P29" s="748" t="s">
        <v>189</v>
      </c>
      <c r="Q29" s="749">
        <f>SCOPE!G212</f>
        <v>0</v>
      </c>
      <c r="R29" s="750">
        <f>SQRT(6)</f>
        <v>2.4494897427831779</v>
      </c>
      <c r="S29" s="748">
        <v>5</v>
      </c>
      <c r="T29" s="750">
        <f>Q29/R29</f>
        <v>0</v>
      </c>
      <c r="U29" s="748">
        <v>1</v>
      </c>
      <c r="V29" s="750">
        <f>T29*U29</f>
        <v>0</v>
      </c>
      <c r="W29" s="751">
        <f>V29^2</f>
        <v>0</v>
      </c>
      <c r="X29" s="752">
        <f>W29^2/S29</f>
        <v>0</v>
      </c>
    </row>
    <row r="30" spans="2:24" x14ac:dyDescent="0.35">
      <c r="B30" s="753" t="s">
        <v>412</v>
      </c>
      <c r="C30" s="747" t="str">
        <f t="shared" ref="C30:C32" si="6">$D$3</f>
        <v>Hz</v>
      </c>
      <c r="D30" s="748" t="s">
        <v>189</v>
      </c>
      <c r="E30" s="749">
        <f>SCOPE!P183</f>
        <v>8.700029000000109E-3</v>
      </c>
      <c r="F30" s="750">
        <v>2</v>
      </c>
      <c r="G30" s="748">
        <f>0.5*(100/10)^2</f>
        <v>50</v>
      </c>
      <c r="H30" s="750">
        <f>E30/F30</f>
        <v>4.3500145000000545E-3</v>
      </c>
      <c r="I30" s="748">
        <v>1</v>
      </c>
      <c r="J30" s="750">
        <f>H30*I30</f>
        <v>4.3500145000000545E-3</v>
      </c>
      <c r="K30" s="751">
        <f>J30^2</f>
        <v>1.8922626150210724E-5</v>
      </c>
      <c r="L30" s="752">
        <f>K30^2/G30</f>
        <v>7.1613156084127745E-12</v>
      </c>
      <c r="N30" s="753" t="s">
        <v>412</v>
      </c>
      <c r="O30" s="747" t="str">
        <f>O29</f>
        <v>µs</v>
      </c>
      <c r="P30" s="748" t="s">
        <v>189</v>
      </c>
      <c r="Q30" s="749">
        <f>SCOPE!P204</f>
        <v>0.23315921677614934</v>
      </c>
      <c r="R30" s="750">
        <v>2</v>
      </c>
      <c r="S30" s="748">
        <f>0.5*(100/10)^2</f>
        <v>50</v>
      </c>
      <c r="T30" s="750">
        <f>Q30/R30</f>
        <v>0.11657960838807467</v>
      </c>
      <c r="U30" s="748">
        <v>1</v>
      </c>
      <c r="V30" s="750">
        <f>T30*U30</f>
        <v>0.11657960838807467</v>
      </c>
      <c r="W30" s="751">
        <f>V30^2</f>
        <v>1.359080509191685E-2</v>
      </c>
      <c r="X30" s="752">
        <f>W30^2/S30</f>
        <v>3.6941996609294596E-6</v>
      </c>
    </row>
    <row r="31" spans="2:24" x14ac:dyDescent="0.35">
      <c r="B31" s="753" t="s">
        <v>413</v>
      </c>
      <c r="C31" s="747" t="str">
        <f t="shared" si="6"/>
        <v>Hz</v>
      </c>
      <c r="D31" s="748" t="s">
        <v>414</v>
      </c>
      <c r="E31" s="754">
        <f>SCOPE!O183</f>
        <v>1.0000000000000001E-5</v>
      </c>
      <c r="F31" s="750">
        <f>SQRT(3)</f>
        <v>1.7320508075688772</v>
      </c>
      <c r="G31" s="748">
        <v>50</v>
      </c>
      <c r="H31" s="750">
        <f>E31/F31</f>
        <v>5.7735026918962587E-6</v>
      </c>
      <c r="I31" s="748">
        <v>1</v>
      </c>
      <c r="J31" s="750">
        <f>H31*I31</f>
        <v>5.7735026918962587E-6</v>
      </c>
      <c r="K31" s="751">
        <f t="shared" ref="K31:K32" si="7">J31^2</f>
        <v>3.3333333333333347E-11</v>
      </c>
      <c r="L31" s="752">
        <f>K31^2/G31</f>
        <v>2.2222222222222241E-23</v>
      </c>
      <c r="N31" s="753" t="s">
        <v>413</v>
      </c>
      <c r="O31" s="747" t="str">
        <f>O29</f>
        <v>µs</v>
      </c>
      <c r="P31" s="748" t="s">
        <v>414</v>
      </c>
      <c r="Q31" s="754">
        <f>SCOPE!O204</f>
        <v>1.0000000000000001E-5</v>
      </c>
      <c r="R31" s="750">
        <f>SQRT(3)</f>
        <v>1.7320508075688772</v>
      </c>
      <c r="S31" s="748">
        <v>50</v>
      </c>
      <c r="T31" s="750">
        <f>Q31/R31</f>
        <v>5.7735026918962587E-6</v>
      </c>
      <c r="U31" s="748">
        <v>1</v>
      </c>
      <c r="V31" s="750">
        <f>T31*U31</f>
        <v>5.7735026918962587E-6</v>
      </c>
      <c r="W31" s="751">
        <f t="shared" ref="W31:W32" si="8">V31^2</f>
        <v>3.3333333333333347E-11</v>
      </c>
      <c r="X31" s="752">
        <f>W31^2/S31</f>
        <v>2.2222222222222241E-23</v>
      </c>
    </row>
    <row r="32" spans="2:24" x14ac:dyDescent="0.35">
      <c r="B32" s="753" t="s">
        <v>415</v>
      </c>
      <c r="C32" s="747" t="str">
        <f t="shared" si="6"/>
        <v>Hz</v>
      </c>
      <c r="D32" s="748" t="s">
        <v>414</v>
      </c>
      <c r="E32" s="755">
        <f>SCOPE!H192</f>
        <v>5.0000000000000001E-4</v>
      </c>
      <c r="F32" s="750">
        <f>SQRT(3)</f>
        <v>1.7320508075688772</v>
      </c>
      <c r="G32" s="748">
        <v>50</v>
      </c>
      <c r="H32" s="750">
        <f>E32/F32</f>
        <v>2.886751345948129E-4</v>
      </c>
      <c r="I32" s="748">
        <v>1</v>
      </c>
      <c r="J32" s="750">
        <f>H32*I32</f>
        <v>2.886751345948129E-4</v>
      </c>
      <c r="K32" s="751">
        <f t="shared" si="7"/>
        <v>8.3333333333333338E-8</v>
      </c>
      <c r="L32" s="752">
        <f>K32^2/G32</f>
        <v>1.388888888888889E-16</v>
      </c>
      <c r="N32" s="753" t="s">
        <v>415</v>
      </c>
      <c r="O32" s="747" t="str">
        <f>O29</f>
        <v>µs</v>
      </c>
      <c r="P32" s="748" t="s">
        <v>414</v>
      </c>
      <c r="Q32" s="755">
        <f>SCOPE!H212</f>
        <v>0.05</v>
      </c>
      <c r="R32" s="750">
        <f>SQRT(3)</f>
        <v>1.7320508075688772</v>
      </c>
      <c r="S32" s="748">
        <v>50</v>
      </c>
      <c r="T32" s="750">
        <f>Q32/R32</f>
        <v>2.8867513459481291E-2</v>
      </c>
      <c r="U32" s="748">
        <v>1</v>
      </c>
      <c r="V32" s="750">
        <f>T32*U32</f>
        <v>2.8867513459481291E-2</v>
      </c>
      <c r="W32" s="751">
        <f t="shared" si="8"/>
        <v>8.333333333333335E-4</v>
      </c>
      <c r="X32" s="752">
        <f>W32^2/S32</f>
        <v>1.3888888888888894E-8</v>
      </c>
    </row>
    <row r="33" spans="2:24" x14ac:dyDescent="0.35">
      <c r="B33" s="746" t="s">
        <v>190</v>
      </c>
      <c r="C33" s="756"/>
      <c r="D33" s="756"/>
      <c r="E33" s="756"/>
      <c r="F33" s="756"/>
      <c r="G33" s="756"/>
      <c r="H33" s="756"/>
      <c r="I33" s="756"/>
      <c r="J33" s="756"/>
      <c r="K33" s="751">
        <f>SUM(K29:K32)</f>
        <v>1.9005992816877391E-5</v>
      </c>
      <c r="L33" s="752">
        <f>SUM(L29:L32)</f>
        <v>7.1614544973238854E-12</v>
      </c>
      <c r="N33" s="746" t="s">
        <v>190</v>
      </c>
      <c r="O33" s="756"/>
      <c r="P33" s="756"/>
      <c r="Q33" s="756"/>
      <c r="R33" s="756"/>
      <c r="S33" s="756"/>
      <c r="T33" s="756"/>
      <c r="U33" s="756"/>
      <c r="V33" s="756"/>
      <c r="W33" s="751">
        <f>SUM(W29:W32)</f>
        <v>1.4424138458583516E-2</v>
      </c>
      <c r="X33" s="752">
        <f>SUM(X29:X32)</f>
        <v>3.7080885498183486E-6</v>
      </c>
    </row>
    <row r="34" spans="2:24" x14ac:dyDescent="0.35">
      <c r="B34" s="746" t="s">
        <v>191</v>
      </c>
      <c r="C34" s="756"/>
      <c r="D34" s="756"/>
      <c r="E34" s="756"/>
      <c r="F34" s="756"/>
      <c r="G34" s="756"/>
      <c r="H34" s="756"/>
      <c r="I34" s="760" t="s">
        <v>417</v>
      </c>
      <c r="J34" s="756"/>
      <c r="K34" s="758">
        <f>SQRT(K33)</f>
        <v>4.359586312584875E-3</v>
      </c>
      <c r="L34" s="759"/>
      <c r="N34" s="746" t="s">
        <v>191</v>
      </c>
      <c r="O34" s="756"/>
      <c r="P34" s="756"/>
      <c r="Q34" s="756"/>
      <c r="R34" s="756"/>
      <c r="S34" s="756"/>
      <c r="T34" s="756"/>
      <c r="U34" s="760" t="s">
        <v>417</v>
      </c>
      <c r="V34" s="756"/>
      <c r="W34" s="758">
        <f>SQRT(W33)</f>
        <v>0.12010053479724192</v>
      </c>
      <c r="X34" s="759"/>
    </row>
    <row r="35" spans="2:24" x14ac:dyDescent="0.35">
      <c r="B35" s="746" t="s">
        <v>418</v>
      </c>
      <c r="C35" s="756"/>
      <c r="D35" s="756"/>
      <c r="E35" s="756"/>
      <c r="F35" s="756"/>
      <c r="G35" s="756"/>
      <c r="H35" s="756"/>
      <c r="I35" s="762" t="s">
        <v>420</v>
      </c>
      <c r="J35" s="756"/>
      <c r="K35" s="750">
        <f>K34^4/L33</f>
        <v>50.440558281865719</v>
      </c>
      <c r="L35" s="759"/>
      <c r="N35" s="746" t="s">
        <v>418</v>
      </c>
      <c r="O35" s="756"/>
      <c r="P35" s="756"/>
      <c r="Q35" s="756"/>
      <c r="R35" s="756"/>
      <c r="S35" s="756"/>
      <c r="T35" s="756"/>
      <c r="U35" s="762" t="s">
        <v>420</v>
      </c>
      <c r="V35" s="756"/>
      <c r="W35" s="750">
        <f>W34^4/X33</f>
        <v>56.108630491734161</v>
      </c>
      <c r="X35" s="759"/>
    </row>
    <row r="36" spans="2:24" x14ac:dyDescent="0.35">
      <c r="B36" s="746" t="s">
        <v>421</v>
      </c>
      <c r="C36" s="756"/>
      <c r="D36" s="756"/>
      <c r="E36" s="756"/>
      <c r="F36" s="756"/>
      <c r="G36" s="756"/>
      <c r="H36" s="756"/>
      <c r="I36" s="763" t="s">
        <v>192</v>
      </c>
      <c r="J36" s="756"/>
      <c r="K36" s="750">
        <f>1.95996+(2.37356/K35)+(2.818745/K35^2)+(2.546662/K35^3)+(1.761829/K35^4)+(0.245458/K35^5)+(1.000764/K35^6)</f>
        <v>2.0081445822152615</v>
      </c>
      <c r="L36" s="759">
        <f>TINV(0.05,K35)</f>
        <v>2.0085591121007611</v>
      </c>
      <c r="N36" s="746" t="s">
        <v>421</v>
      </c>
      <c r="O36" s="756"/>
      <c r="P36" s="756"/>
      <c r="Q36" s="756"/>
      <c r="R36" s="756"/>
      <c r="S36" s="756"/>
      <c r="T36" s="756"/>
      <c r="U36" s="763" t="s">
        <v>192</v>
      </c>
      <c r="V36" s="756"/>
      <c r="W36" s="750">
        <f>1.95996+(2.37356/W35)+(2.818745/W35^2)+(2.546662/W35^3)+(1.761829/W35^4)+(0.245458/W35^5)+(1.000764/W35^6)</f>
        <v>2.0031728924143346</v>
      </c>
      <c r="X36" s="759">
        <f>TINV(0.05,W35)</f>
        <v>2.0032407188478727</v>
      </c>
    </row>
    <row r="37" spans="2:24" x14ac:dyDescent="0.35">
      <c r="B37" s="746" t="s">
        <v>422</v>
      </c>
      <c r="C37" s="756"/>
      <c r="D37" s="756"/>
      <c r="E37" s="756"/>
      <c r="F37" s="756"/>
      <c r="G37" s="756"/>
      <c r="H37" s="756"/>
      <c r="I37" s="764" t="s">
        <v>193</v>
      </c>
      <c r="J37" s="756"/>
      <c r="K37" s="765">
        <f>K36*K34</f>
        <v>8.7546796343171262E-3</v>
      </c>
      <c r="L37" s="747" t="s">
        <v>392</v>
      </c>
      <c r="N37" s="746" t="s">
        <v>422</v>
      </c>
      <c r="O37" s="756"/>
      <c r="P37" s="756"/>
      <c r="Q37" s="756"/>
      <c r="R37" s="756"/>
      <c r="S37" s="756"/>
      <c r="T37" s="756"/>
      <c r="U37" s="764" t="s">
        <v>193</v>
      </c>
      <c r="V37" s="756"/>
      <c r="W37" s="765">
        <f>W36*W34</f>
        <v>0.24058213567029954</v>
      </c>
      <c r="X37" s="747" t="str">
        <f>O29</f>
        <v>µs</v>
      </c>
    </row>
    <row r="38" spans="2:24" x14ac:dyDescent="0.35">
      <c r="K38" s="766">
        <f>(K37/C27)*100</f>
        <v>0.29182265447723754</v>
      </c>
      <c r="L38" s="747" t="s">
        <v>194</v>
      </c>
      <c r="W38" s="766">
        <f>(W37/O27)*100</f>
        <v>0.24058213567029954</v>
      </c>
      <c r="X38" s="747" t="s">
        <v>194</v>
      </c>
    </row>
    <row r="39" spans="2:24" x14ac:dyDescent="0.35">
      <c r="B39" s="739" t="s">
        <v>404</v>
      </c>
      <c r="C39" s="741">
        <f>ID!C55</f>
        <v>4</v>
      </c>
      <c r="D39" s="742" t="s">
        <v>392</v>
      </c>
      <c r="N39" s="739" t="s">
        <v>404</v>
      </c>
      <c r="O39" s="741">
        <f>ID!C66</f>
        <v>500</v>
      </c>
      <c r="P39" s="742" t="s">
        <v>423</v>
      </c>
    </row>
    <row r="40" spans="2:24" x14ac:dyDescent="0.35">
      <c r="B40" s="743" t="s">
        <v>184</v>
      </c>
      <c r="C40" s="744" t="s">
        <v>185</v>
      </c>
      <c r="D40" s="745" t="s">
        <v>186</v>
      </c>
      <c r="E40" s="743" t="s">
        <v>187</v>
      </c>
      <c r="F40" s="743" t="s">
        <v>188</v>
      </c>
      <c r="G40" s="743" t="s">
        <v>405</v>
      </c>
      <c r="H40" s="743" t="s">
        <v>406</v>
      </c>
      <c r="I40" s="743" t="s">
        <v>407</v>
      </c>
      <c r="J40" s="743" t="s">
        <v>408</v>
      </c>
      <c r="K40" s="743" t="s">
        <v>409</v>
      </c>
      <c r="L40" s="744" t="s">
        <v>410</v>
      </c>
      <c r="N40" s="743" t="s">
        <v>184</v>
      </c>
      <c r="O40" s="744" t="s">
        <v>185</v>
      </c>
      <c r="P40" s="745" t="s">
        <v>186</v>
      </c>
      <c r="Q40" s="743" t="s">
        <v>187</v>
      </c>
      <c r="R40" s="743" t="s">
        <v>188</v>
      </c>
      <c r="S40" s="743" t="s">
        <v>405</v>
      </c>
      <c r="T40" s="743" t="s">
        <v>406</v>
      </c>
      <c r="U40" s="743" t="s">
        <v>407</v>
      </c>
      <c r="V40" s="743" t="s">
        <v>408</v>
      </c>
      <c r="W40" s="743" t="s">
        <v>409</v>
      </c>
      <c r="X40" s="744" t="s">
        <v>410</v>
      </c>
    </row>
    <row r="41" spans="2:24" x14ac:dyDescent="0.35">
      <c r="B41" s="746" t="s">
        <v>411</v>
      </c>
      <c r="C41" s="747" t="str">
        <f>$D$3</f>
        <v>Hz</v>
      </c>
      <c r="D41" s="748" t="s">
        <v>189</v>
      </c>
      <c r="E41" s="749">
        <f>ID!L55</f>
        <v>0</v>
      </c>
      <c r="F41" s="750">
        <f>SQRT(6)</f>
        <v>2.4494897427831779</v>
      </c>
      <c r="G41" s="748">
        <v>5</v>
      </c>
      <c r="H41" s="750">
        <f>E41/F41</f>
        <v>0</v>
      </c>
      <c r="I41" s="748">
        <v>1</v>
      </c>
      <c r="J41" s="750">
        <f>H41*I41</f>
        <v>0</v>
      </c>
      <c r="K41" s="751">
        <f>J41^2</f>
        <v>0</v>
      </c>
      <c r="L41" s="752">
        <f>K41^2/G41</f>
        <v>0</v>
      </c>
      <c r="N41" s="746" t="s">
        <v>411</v>
      </c>
      <c r="O41" s="747" t="str">
        <f>$P$3</f>
        <v>µs</v>
      </c>
      <c r="P41" s="748" t="s">
        <v>189</v>
      </c>
      <c r="Q41" s="749">
        <f>SCOPE!G214</f>
        <v>0</v>
      </c>
      <c r="R41" s="750">
        <f>SQRT(6)</f>
        <v>2.4494897427831779</v>
      </c>
      <c r="S41" s="748">
        <v>5</v>
      </c>
      <c r="T41" s="750">
        <f>Q41/R41</f>
        <v>0</v>
      </c>
      <c r="U41" s="748">
        <v>1</v>
      </c>
      <c r="V41" s="750">
        <f>T41*U41</f>
        <v>0</v>
      </c>
      <c r="W41" s="751">
        <f>V41^2</f>
        <v>0</v>
      </c>
      <c r="X41" s="752">
        <f>W41^2/S41</f>
        <v>0</v>
      </c>
    </row>
    <row r="42" spans="2:24" x14ac:dyDescent="0.35">
      <c r="B42" s="753" t="s">
        <v>412</v>
      </c>
      <c r="C42" s="747" t="str">
        <f t="shared" ref="C42:C44" si="9">$D$3</f>
        <v>Hz</v>
      </c>
      <c r="D42" s="748" t="s">
        <v>189</v>
      </c>
      <c r="E42" s="749">
        <f>SCOPE!P184</f>
        <v>1.1600029000000107E-2</v>
      </c>
      <c r="F42" s="750">
        <v>2</v>
      </c>
      <c r="G42" s="748">
        <f>0.5*(100/10)^2</f>
        <v>50</v>
      </c>
      <c r="H42" s="750">
        <f>E42/F42</f>
        <v>5.8000145000000536E-3</v>
      </c>
      <c r="I42" s="748">
        <v>1</v>
      </c>
      <c r="J42" s="750">
        <f>H42*I42</f>
        <v>5.8000145000000536E-3</v>
      </c>
      <c r="K42" s="751">
        <f>J42^2</f>
        <v>3.364016820021087E-5</v>
      </c>
      <c r="L42" s="752">
        <f>K42^2/G42</f>
        <v>2.2633218330769571E-11</v>
      </c>
      <c r="N42" s="753" t="s">
        <v>412</v>
      </c>
      <c r="O42" s="747" t="str">
        <f>O41</f>
        <v>µs</v>
      </c>
      <c r="P42" s="748" t="s">
        <v>189</v>
      </c>
      <c r="Q42" s="749">
        <f>SCOPE!P206</f>
        <v>1.1551107882769074</v>
      </c>
      <c r="R42" s="750">
        <v>2</v>
      </c>
      <c r="S42" s="748">
        <f>0.5*(100/10)^2</f>
        <v>50</v>
      </c>
      <c r="T42" s="750">
        <f>Q42/R42</f>
        <v>0.57755539413845369</v>
      </c>
      <c r="U42" s="748">
        <v>1</v>
      </c>
      <c r="V42" s="750">
        <f>T42*U42</f>
        <v>0.57755539413845369</v>
      </c>
      <c r="W42" s="751">
        <f>V42^2</f>
        <v>0.33357023329842461</v>
      </c>
      <c r="X42" s="752">
        <f>W42^2/S42</f>
        <v>2.2253820108553085E-3</v>
      </c>
    </row>
    <row r="43" spans="2:24" x14ac:dyDescent="0.35">
      <c r="B43" s="753" t="s">
        <v>413</v>
      </c>
      <c r="C43" s="747" t="str">
        <f t="shared" si="9"/>
        <v>Hz</v>
      </c>
      <c r="D43" s="748" t="s">
        <v>414</v>
      </c>
      <c r="E43" s="754">
        <f>SCOPE!O184</f>
        <v>1.0000000000000001E-5</v>
      </c>
      <c r="F43" s="750">
        <f>SQRT(3)</f>
        <v>1.7320508075688772</v>
      </c>
      <c r="G43" s="748">
        <v>50</v>
      </c>
      <c r="H43" s="750">
        <f>E43/F43</f>
        <v>5.7735026918962587E-6</v>
      </c>
      <c r="I43" s="748">
        <v>1</v>
      </c>
      <c r="J43" s="750">
        <f>H43*I43</f>
        <v>5.7735026918962587E-6</v>
      </c>
      <c r="K43" s="751">
        <f t="shared" ref="K43:K44" si="10">J43^2</f>
        <v>3.3333333333333347E-11</v>
      </c>
      <c r="L43" s="752">
        <f>K43^2/G43</f>
        <v>2.2222222222222241E-23</v>
      </c>
      <c r="N43" s="753" t="s">
        <v>413</v>
      </c>
      <c r="O43" s="747" t="str">
        <f>O41</f>
        <v>µs</v>
      </c>
      <c r="P43" s="748" t="s">
        <v>414</v>
      </c>
      <c r="Q43" s="754">
        <f>SCOPE!O206</f>
        <v>1.0000000000000001E-5</v>
      </c>
      <c r="R43" s="750">
        <f>SQRT(3)</f>
        <v>1.7320508075688772</v>
      </c>
      <c r="S43" s="748">
        <v>50</v>
      </c>
      <c r="T43" s="750">
        <f>Q43/R43</f>
        <v>5.7735026918962587E-6</v>
      </c>
      <c r="U43" s="748">
        <v>1</v>
      </c>
      <c r="V43" s="750">
        <f>T43*U43</f>
        <v>5.7735026918962587E-6</v>
      </c>
      <c r="W43" s="751">
        <f t="shared" ref="W43:W44" si="11">V43^2</f>
        <v>3.3333333333333347E-11</v>
      </c>
      <c r="X43" s="752">
        <f>W43^2/S43</f>
        <v>2.2222222222222241E-23</v>
      </c>
    </row>
    <row r="44" spans="2:24" x14ac:dyDescent="0.35">
      <c r="B44" s="753" t="s">
        <v>415</v>
      </c>
      <c r="C44" s="747" t="str">
        <f t="shared" si="9"/>
        <v>Hz</v>
      </c>
      <c r="D44" s="748" t="s">
        <v>414</v>
      </c>
      <c r="E44" s="755">
        <f>SCOPE!H193</f>
        <v>5.0000000000000001E-4</v>
      </c>
      <c r="F44" s="750">
        <f>SQRT(3)</f>
        <v>1.7320508075688772</v>
      </c>
      <c r="G44" s="748">
        <v>50</v>
      </c>
      <c r="H44" s="750">
        <f>E44/F44</f>
        <v>2.886751345948129E-4</v>
      </c>
      <c r="I44" s="748">
        <v>1</v>
      </c>
      <c r="J44" s="750">
        <f>H44*I44</f>
        <v>2.886751345948129E-4</v>
      </c>
      <c r="K44" s="751">
        <f t="shared" si="10"/>
        <v>8.3333333333333338E-8</v>
      </c>
      <c r="L44" s="752">
        <f>K44^2/G44</f>
        <v>1.388888888888889E-16</v>
      </c>
      <c r="N44" s="753" t="s">
        <v>415</v>
      </c>
      <c r="O44" s="747" t="str">
        <f>O41</f>
        <v>µs</v>
      </c>
      <c r="P44" s="748" t="s">
        <v>414</v>
      </c>
      <c r="Q44" s="755">
        <f>SCOPE!H214</f>
        <v>0.05</v>
      </c>
      <c r="R44" s="750">
        <f>SQRT(3)</f>
        <v>1.7320508075688772</v>
      </c>
      <c r="S44" s="748">
        <v>50</v>
      </c>
      <c r="T44" s="750">
        <f>Q44/R44</f>
        <v>2.8867513459481291E-2</v>
      </c>
      <c r="U44" s="748">
        <v>1</v>
      </c>
      <c r="V44" s="750">
        <f>T44*U44</f>
        <v>2.8867513459481291E-2</v>
      </c>
      <c r="W44" s="751">
        <f t="shared" si="11"/>
        <v>8.333333333333335E-4</v>
      </c>
      <c r="X44" s="752">
        <f>W44^2/S44</f>
        <v>1.3888888888888894E-8</v>
      </c>
    </row>
    <row r="45" spans="2:24" x14ac:dyDescent="0.35">
      <c r="B45" s="746" t="s">
        <v>190</v>
      </c>
      <c r="C45" s="756"/>
      <c r="D45" s="756"/>
      <c r="E45" s="756"/>
      <c r="F45" s="756"/>
      <c r="G45" s="756"/>
      <c r="H45" s="756"/>
      <c r="I45" s="756"/>
      <c r="J45" s="756"/>
      <c r="K45" s="751">
        <f>SUM(K41:K44)</f>
        <v>3.3723534866877536E-5</v>
      </c>
      <c r="L45" s="752">
        <f>SUM(L41:L44)</f>
        <v>2.2633357219680681E-11</v>
      </c>
      <c r="N45" s="746" t="s">
        <v>190</v>
      </c>
      <c r="O45" s="756"/>
      <c r="P45" s="756"/>
      <c r="Q45" s="756"/>
      <c r="R45" s="756"/>
      <c r="S45" s="756"/>
      <c r="T45" s="756"/>
      <c r="U45" s="756"/>
      <c r="V45" s="756"/>
      <c r="W45" s="751">
        <f>SUM(W41:W44)</f>
        <v>0.3344035666650913</v>
      </c>
      <c r="X45" s="752">
        <f>SUM(X41:X44)</f>
        <v>2.2253958997441974E-3</v>
      </c>
    </row>
    <row r="46" spans="2:24" x14ac:dyDescent="0.35">
      <c r="B46" s="746" t="s">
        <v>191</v>
      </c>
      <c r="C46" s="756"/>
      <c r="D46" s="756"/>
      <c r="E46" s="756"/>
      <c r="F46" s="756"/>
      <c r="G46" s="756"/>
      <c r="H46" s="756"/>
      <c r="I46" s="760" t="s">
        <v>417</v>
      </c>
      <c r="J46" s="756"/>
      <c r="K46" s="758">
        <f>SQRT(K45)</f>
        <v>5.8071968166127736E-3</v>
      </c>
      <c r="L46" s="759"/>
      <c r="N46" s="746" t="s">
        <v>191</v>
      </c>
      <c r="O46" s="756"/>
      <c r="P46" s="756"/>
      <c r="Q46" s="756"/>
      <c r="R46" s="756"/>
      <c r="S46" s="756"/>
      <c r="T46" s="756"/>
      <c r="U46" s="760" t="s">
        <v>417</v>
      </c>
      <c r="V46" s="756"/>
      <c r="W46" s="758">
        <f>SQRT(W45)</f>
        <v>0.57827637567610468</v>
      </c>
      <c r="X46" s="759"/>
    </row>
    <row r="47" spans="2:24" x14ac:dyDescent="0.35">
      <c r="B47" s="746" t="s">
        <v>418</v>
      </c>
      <c r="C47" s="756"/>
      <c r="D47" s="756"/>
      <c r="E47" s="756"/>
      <c r="F47" s="756"/>
      <c r="G47" s="756"/>
      <c r="H47" s="756"/>
      <c r="I47" s="762" t="s">
        <v>420</v>
      </c>
      <c r="J47" s="756"/>
      <c r="K47" s="750">
        <f>K46^4/L45</f>
        <v>50.247817541119936</v>
      </c>
      <c r="L47" s="759"/>
      <c r="N47" s="746" t="s">
        <v>418</v>
      </c>
      <c r="O47" s="756"/>
      <c r="P47" s="756"/>
      <c r="Q47" s="756"/>
      <c r="R47" s="756"/>
      <c r="S47" s="756"/>
      <c r="T47" s="756"/>
      <c r="U47" s="762" t="s">
        <v>420</v>
      </c>
      <c r="V47" s="756"/>
      <c r="W47" s="750">
        <f>W46^4/X45</f>
        <v>50.249820902064322</v>
      </c>
      <c r="X47" s="759"/>
    </row>
    <row r="48" spans="2:24" x14ac:dyDescent="0.35">
      <c r="B48" s="746" t="s">
        <v>421</v>
      </c>
      <c r="C48" s="756"/>
      <c r="D48" s="756"/>
      <c r="E48" s="756"/>
      <c r="F48" s="756"/>
      <c r="G48" s="756"/>
      <c r="H48" s="756"/>
      <c r="I48" s="763" t="s">
        <v>192</v>
      </c>
      <c r="J48" s="756"/>
      <c r="K48" s="750">
        <f>1.95996+(2.37356/K47)+(2.818745/K47^2)+(2.546662/K47^3)+(1.761829/K47^4)+(0.245458/K47^5)+(1.000764/K47^6)</f>
        <v>2.0083338310161847</v>
      </c>
      <c r="L48" s="759">
        <f>TINV(0.05,K47)</f>
        <v>2.0085591121007611</v>
      </c>
      <c r="N48" s="746" t="s">
        <v>421</v>
      </c>
      <c r="O48" s="756"/>
      <c r="P48" s="756"/>
      <c r="Q48" s="756"/>
      <c r="R48" s="756"/>
      <c r="S48" s="756"/>
      <c r="T48" s="756"/>
      <c r="U48" s="763" t="s">
        <v>192</v>
      </c>
      <c r="V48" s="756"/>
      <c r="W48" s="750">
        <f>1.95996+(2.37356/W47)+(2.818745/W47^2)+(2.546662/W47^3)+(1.761829/W47^4)+(0.245458/W47^5)+(1.000764/W47^6)</f>
        <v>2.0083318563065413</v>
      </c>
      <c r="X48" s="759">
        <f>TINV(0.05,W47)</f>
        <v>2.0085591121007611</v>
      </c>
    </row>
    <row r="49" spans="2:24" x14ac:dyDescent="0.35">
      <c r="B49" s="746" t="s">
        <v>422</v>
      </c>
      <c r="C49" s="756"/>
      <c r="D49" s="756"/>
      <c r="E49" s="756"/>
      <c r="F49" s="756"/>
      <c r="G49" s="756"/>
      <c r="H49" s="756"/>
      <c r="I49" s="764" t="s">
        <v>193</v>
      </c>
      <c r="J49" s="756"/>
      <c r="K49" s="765">
        <f>K48*K46</f>
        <v>1.1662789830172923E-2</v>
      </c>
      <c r="L49" s="747" t="s">
        <v>392</v>
      </c>
      <c r="N49" s="746" t="s">
        <v>422</v>
      </c>
      <c r="O49" s="756"/>
      <c r="P49" s="756"/>
      <c r="Q49" s="756"/>
      <c r="R49" s="756"/>
      <c r="S49" s="756"/>
      <c r="T49" s="756"/>
      <c r="U49" s="764" t="s">
        <v>193</v>
      </c>
      <c r="V49" s="756"/>
      <c r="W49" s="765">
        <f>W48*W46</f>
        <v>1.1613708670198102</v>
      </c>
      <c r="X49" s="747" t="str">
        <f>O41</f>
        <v>µs</v>
      </c>
    </row>
    <row r="50" spans="2:24" x14ac:dyDescent="0.35">
      <c r="K50" s="766">
        <f>(K49/C39)*100</f>
        <v>0.2915697457543231</v>
      </c>
      <c r="L50" s="747" t="s">
        <v>194</v>
      </c>
      <c r="W50" s="766">
        <f>(W49/O39)*100</f>
        <v>0.23227417340396206</v>
      </c>
      <c r="X50" s="747" t="s">
        <v>194</v>
      </c>
    </row>
    <row r="51" spans="2:24" x14ac:dyDescent="0.35">
      <c r="B51" s="739" t="s">
        <v>404</v>
      </c>
      <c r="C51" s="741">
        <f>ID!C56</f>
        <v>5</v>
      </c>
      <c r="D51" s="742" t="s">
        <v>392</v>
      </c>
      <c r="N51" s="739" t="s">
        <v>404</v>
      </c>
      <c r="O51" s="993">
        <f>ID!C65</f>
        <v>300</v>
      </c>
      <c r="P51" s="742" t="s">
        <v>423</v>
      </c>
    </row>
    <row r="52" spans="2:24" x14ac:dyDescent="0.35">
      <c r="B52" s="743" t="s">
        <v>184</v>
      </c>
      <c r="C52" s="744" t="s">
        <v>185</v>
      </c>
      <c r="D52" s="745" t="s">
        <v>186</v>
      </c>
      <c r="E52" s="743" t="s">
        <v>187</v>
      </c>
      <c r="F52" s="743" t="s">
        <v>188</v>
      </c>
      <c r="G52" s="743" t="s">
        <v>405</v>
      </c>
      <c r="H52" s="743" t="s">
        <v>406</v>
      </c>
      <c r="I52" s="743" t="s">
        <v>407</v>
      </c>
      <c r="J52" s="743" t="s">
        <v>408</v>
      </c>
      <c r="K52" s="743" t="s">
        <v>409</v>
      </c>
      <c r="L52" s="744" t="s">
        <v>410</v>
      </c>
      <c r="N52" s="743" t="s">
        <v>184</v>
      </c>
      <c r="O52" s="744" t="s">
        <v>185</v>
      </c>
      <c r="P52" s="745" t="s">
        <v>186</v>
      </c>
      <c r="Q52" s="743" t="s">
        <v>187</v>
      </c>
      <c r="R52" s="743" t="s">
        <v>188</v>
      </c>
      <c r="S52" s="743" t="s">
        <v>405</v>
      </c>
      <c r="T52" s="743" t="s">
        <v>406</v>
      </c>
      <c r="U52" s="743" t="s">
        <v>407</v>
      </c>
      <c r="V52" s="743" t="s">
        <v>408</v>
      </c>
      <c r="W52" s="743" t="s">
        <v>409</v>
      </c>
      <c r="X52" s="744" t="s">
        <v>410</v>
      </c>
    </row>
    <row r="53" spans="2:24" x14ac:dyDescent="0.35">
      <c r="B53" s="746" t="s">
        <v>411</v>
      </c>
      <c r="C53" s="747" t="str">
        <f>$D$3</f>
        <v>Hz</v>
      </c>
      <c r="D53" s="748" t="s">
        <v>189</v>
      </c>
      <c r="E53" s="749">
        <f>ID!L56</f>
        <v>0</v>
      </c>
      <c r="F53" s="750">
        <f>SQRT(6)</f>
        <v>2.4494897427831779</v>
      </c>
      <c r="G53" s="748">
        <v>5</v>
      </c>
      <c r="H53" s="750">
        <f>E53/F53</f>
        <v>0</v>
      </c>
      <c r="I53" s="748">
        <v>1</v>
      </c>
      <c r="J53" s="750">
        <f>H53*I53</f>
        <v>0</v>
      </c>
      <c r="K53" s="751">
        <f>J53^2</f>
        <v>0</v>
      </c>
      <c r="L53" s="752">
        <f>K53^2/G53</f>
        <v>0</v>
      </c>
      <c r="N53" s="746" t="s">
        <v>411</v>
      </c>
      <c r="O53" s="747" t="str">
        <f>$P$3</f>
        <v>µs</v>
      </c>
      <c r="P53" s="748" t="s">
        <v>189</v>
      </c>
      <c r="Q53" s="749">
        <f>SCOPE!G213</f>
        <v>0</v>
      </c>
      <c r="R53" s="750">
        <f>SQRT(6)</f>
        <v>2.4494897427831779</v>
      </c>
      <c r="S53" s="748">
        <v>5</v>
      </c>
      <c r="T53" s="750">
        <f>Q53/R53</f>
        <v>0</v>
      </c>
      <c r="U53" s="748">
        <v>1</v>
      </c>
      <c r="V53" s="750">
        <f>T53*U53</f>
        <v>0</v>
      </c>
      <c r="W53" s="751">
        <f>V53^2</f>
        <v>0</v>
      </c>
      <c r="X53" s="752">
        <f>W53^2/S53</f>
        <v>0</v>
      </c>
    </row>
    <row r="54" spans="2:24" x14ac:dyDescent="0.35">
      <c r="B54" s="753" t="s">
        <v>412</v>
      </c>
      <c r="C54" s="747" t="str">
        <f t="shared" ref="C54:C56" si="12">$D$3</f>
        <v>Hz</v>
      </c>
      <c r="D54" s="748" t="s">
        <v>189</v>
      </c>
      <c r="E54" s="749">
        <f>SCOPE!P185</f>
        <v>1.4500029000000107E-2</v>
      </c>
      <c r="F54" s="750">
        <v>2</v>
      </c>
      <c r="G54" s="748">
        <f>0.5*(100/10)^2</f>
        <v>50</v>
      </c>
      <c r="H54" s="750">
        <f>E54/F54</f>
        <v>7.2500145000000535E-3</v>
      </c>
      <c r="I54" s="748">
        <v>1</v>
      </c>
      <c r="J54" s="750">
        <f>H54*I54</f>
        <v>7.2500145000000535E-3</v>
      </c>
      <c r="K54" s="751">
        <f>J54^2</f>
        <v>5.2562710250211023E-5</v>
      </c>
      <c r="L54" s="752">
        <f>K54^2/G54</f>
        <v>5.5256770176952785E-11</v>
      </c>
      <c r="N54" s="753" t="s">
        <v>412</v>
      </c>
      <c r="O54" s="747" t="str">
        <f>O53</f>
        <v>µs</v>
      </c>
      <c r="P54" s="748" t="s">
        <v>189</v>
      </c>
      <c r="Q54" s="749">
        <f>SCOPE!P205</f>
        <v>0.69413500252652838</v>
      </c>
      <c r="R54" s="750">
        <v>2</v>
      </c>
      <c r="S54" s="748">
        <f>0.5*(100/10)^2</f>
        <v>50</v>
      </c>
      <c r="T54" s="750">
        <f>Q54/R54</f>
        <v>0.34706750126326419</v>
      </c>
      <c r="U54" s="748">
        <v>1</v>
      </c>
      <c r="V54" s="750">
        <f>T54*U54</f>
        <v>0.34706750126326419</v>
      </c>
      <c r="W54" s="751">
        <f>V54^2</f>
        <v>0.12045585043312589</v>
      </c>
      <c r="X54" s="752">
        <f>W54^2/S54</f>
        <v>2.901922380713519E-4</v>
      </c>
    </row>
    <row r="55" spans="2:24" x14ac:dyDescent="0.35">
      <c r="B55" s="753" t="s">
        <v>413</v>
      </c>
      <c r="C55" s="747" t="str">
        <f t="shared" si="12"/>
        <v>Hz</v>
      </c>
      <c r="D55" s="748" t="s">
        <v>414</v>
      </c>
      <c r="E55" s="754">
        <f>SCOPE!O185</f>
        <v>1.0000000000000001E-5</v>
      </c>
      <c r="F55" s="750">
        <f>SQRT(3)</f>
        <v>1.7320508075688772</v>
      </c>
      <c r="G55" s="748">
        <v>50</v>
      </c>
      <c r="H55" s="750">
        <f>E55/F55</f>
        <v>5.7735026918962587E-6</v>
      </c>
      <c r="I55" s="748">
        <v>1</v>
      </c>
      <c r="J55" s="750">
        <f>H55*I55</f>
        <v>5.7735026918962587E-6</v>
      </c>
      <c r="K55" s="751">
        <f t="shared" ref="K55:K56" si="13">J55^2</f>
        <v>3.3333333333333347E-11</v>
      </c>
      <c r="L55" s="752">
        <f>K55^2/G55</f>
        <v>2.2222222222222241E-23</v>
      </c>
      <c r="N55" s="753" t="s">
        <v>413</v>
      </c>
      <c r="O55" s="747" t="str">
        <f>O53</f>
        <v>µs</v>
      </c>
      <c r="P55" s="748" t="s">
        <v>414</v>
      </c>
      <c r="Q55" s="754">
        <f>SCOPE!O205</f>
        <v>1.0000000000000001E-5</v>
      </c>
      <c r="R55" s="750">
        <f>SQRT(3)</f>
        <v>1.7320508075688772</v>
      </c>
      <c r="S55" s="748">
        <v>50</v>
      </c>
      <c r="T55" s="750">
        <f>Q55/R55</f>
        <v>5.7735026918962587E-6</v>
      </c>
      <c r="U55" s="748">
        <v>1</v>
      </c>
      <c r="V55" s="750">
        <f>T55*U55</f>
        <v>5.7735026918962587E-6</v>
      </c>
      <c r="W55" s="751">
        <f t="shared" ref="W55:W56" si="14">V55^2</f>
        <v>3.3333333333333347E-11</v>
      </c>
      <c r="X55" s="752">
        <f>W55^2/S55</f>
        <v>2.2222222222222241E-23</v>
      </c>
    </row>
    <row r="56" spans="2:24" x14ac:dyDescent="0.35">
      <c r="B56" s="753" t="s">
        <v>415</v>
      </c>
      <c r="C56" s="747" t="str">
        <f t="shared" si="12"/>
        <v>Hz</v>
      </c>
      <c r="D56" s="748" t="s">
        <v>414</v>
      </c>
      <c r="E56" s="755">
        <f>SCOPE!H194</f>
        <v>5.0000000000000001E-4</v>
      </c>
      <c r="F56" s="750">
        <f>SQRT(3)</f>
        <v>1.7320508075688772</v>
      </c>
      <c r="G56" s="748">
        <v>50</v>
      </c>
      <c r="H56" s="750">
        <f>E56/F56</f>
        <v>2.886751345948129E-4</v>
      </c>
      <c r="I56" s="748">
        <v>1</v>
      </c>
      <c r="J56" s="750">
        <f>H56*I56</f>
        <v>2.886751345948129E-4</v>
      </c>
      <c r="K56" s="751">
        <f t="shared" si="13"/>
        <v>8.3333333333333338E-8</v>
      </c>
      <c r="L56" s="752">
        <f>K56^2/G56</f>
        <v>1.388888888888889E-16</v>
      </c>
      <c r="N56" s="753" t="s">
        <v>415</v>
      </c>
      <c r="O56" s="747" t="str">
        <f>O53</f>
        <v>µs</v>
      </c>
      <c r="P56" s="748" t="s">
        <v>414</v>
      </c>
      <c r="Q56" s="755">
        <f>SCOPE!H213</f>
        <v>0.05</v>
      </c>
      <c r="R56" s="750">
        <f>SQRT(3)</f>
        <v>1.7320508075688772</v>
      </c>
      <c r="S56" s="748">
        <v>50</v>
      </c>
      <c r="T56" s="750">
        <f>Q56/R56</f>
        <v>2.8867513459481291E-2</v>
      </c>
      <c r="U56" s="748">
        <v>1</v>
      </c>
      <c r="V56" s="750">
        <f>T56*U56</f>
        <v>2.8867513459481291E-2</v>
      </c>
      <c r="W56" s="751">
        <f t="shared" si="14"/>
        <v>8.333333333333335E-4</v>
      </c>
      <c r="X56" s="752">
        <f>W56^2/S56</f>
        <v>1.3888888888888894E-8</v>
      </c>
    </row>
    <row r="57" spans="2:24" x14ac:dyDescent="0.35">
      <c r="B57" s="746" t="s">
        <v>190</v>
      </c>
      <c r="C57" s="756"/>
      <c r="D57" s="756"/>
      <c r="E57" s="756"/>
      <c r="F57" s="756"/>
      <c r="G57" s="756"/>
      <c r="H57" s="756"/>
      <c r="I57" s="756"/>
      <c r="J57" s="756"/>
      <c r="K57" s="751">
        <f>SUM(K53:K56)</f>
        <v>5.264607691687769E-5</v>
      </c>
      <c r="L57" s="752">
        <f>SUM(L53:L56)</f>
        <v>5.5256909065863899E-11</v>
      </c>
      <c r="N57" s="746" t="s">
        <v>190</v>
      </c>
      <c r="O57" s="756"/>
      <c r="P57" s="756"/>
      <c r="Q57" s="756"/>
      <c r="R57" s="756"/>
      <c r="S57" s="756"/>
      <c r="T57" s="756"/>
      <c r="U57" s="756"/>
      <c r="V57" s="756"/>
      <c r="W57" s="751">
        <f>SUM(W53:W56)</f>
        <v>0.12128918379979256</v>
      </c>
      <c r="X57" s="752">
        <f>SUM(X53:X56)</f>
        <v>2.9020612696024082E-4</v>
      </c>
    </row>
    <row r="58" spans="2:24" x14ac:dyDescent="0.35">
      <c r="B58" s="746" t="s">
        <v>191</v>
      </c>
      <c r="C58" s="756"/>
      <c r="D58" s="756"/>
      <c r="E58" s="756"/>
      <c r="F58" s="756"/>
      <c r="G58" s="756"/>
      <c r="H58" s="756"/>
      <c r="I58" s="760" t="s">
        <v>417</v>
      </c>
      <c r="J58" s="756"/>
      <c r="K58" s="758">
        <f>SQRT(K57)</f>
        <v>7.2557616358916929E-3</v>
      </c>
      <c r="L58" s="759"/>
      <c r="N58" s="746" t="s">
        <v>191</v>
      </c>
      <c r="O58" s="756"/>
      <c r="P58" s="756"/>
      <c r="Q58" s="756"/>
      <c r="R58" s="756"/>
      <c r="S58" s="756"/>
      <c r="T58" s="756"/>
      <c r="U58" s="760" t="s">
        <v>417</v>
      </c>
      <c r="V58" s="756"/>
      <c r="W58" s="758">
        <f>SQRT(W57)</f>
        <v>0.3482659670421337</v>
      </c>
      <c r="X58" s="759"/>
    </row>
    <row r="59" spans="2:24" x14ac:dyDescent="0.35">
      <c r="B59" s="746" t="s">
        <v>418</v>
      </c>
      <c r="C59" s="756"/>
      <c r="D59" s="756"/>
      <c r="E59" s="756"/>
      <c r="F59" s="756"/>
      <c r="G59" s="756"/>
      <c r="H59" s="756"/>
      <c r="I59" s="762" t="s">
        <v>420</v>
      </c>
      <c r="J59" s="756"/>
      <c r="K59" s="750">
        <f>K58^4/L57</f>
        <v>50.158603902982726</v>
      </c>
      <c r="L59" s="759"/>
      <c r="N59" s="746" t="s">
        <v>418</v>
      </c>
      <c r="O59" s="756"/>
      <c r="P59" s="756"/>
      <c r="Q59" s="756"/>
      <c r="R59" s="756"/>
      <c r="S59" s="756"/>
      <c r="T59" s="756"/>
      <c r="U59" s="762" t="s">
        <v>420</v>
      </c>
      <c r="V59" s="756"/>
      <c r="W59" s="750">
        <f>W58^4/X57</f>
        <v>50.691783322808078</v>
      </c>
      <c r="X59" s="759"/>
    </row>
    <row r="60" spans="2:24" x14ac:dyDescent="0.35">
      <c r="B60" s="746" t="s">
        <v>421</v>
      </c>
      <c r="C60" s="756"/>
      <c r="D60" s="756"/>
      <c r="E60" s="756"/>
      <c r="F60" s="756"/>
      <c r="G60" s="756"/>
      <c r="H60" s="756"/>
      <c r="I60" s="763" t="s">
        <v>192</v>
      </c>
      <c r="J60" s="756"/>
      <c r="K60" s="750">
        <f>1.95996+(2.37356/K59)+(2.818745/K59^2)+(2.546662/K59^3)+(1.761829/K59^4)+(0.245458/K59^5)+(1.000764/K59^6)</f>
        <v>2.0084219324873267</v>
      </c>
      <c r="L60" s="759">
        <f>TINV(0.05,K59)</f>
        <v>2.0085591121007611</v>
      </c>
      <c r="N60" s="746" t="s">
        <v>421</v>
      </c>
      <c r="O60" s="756"/>
      <c r="P60" s="756"/>
      <c r="Q60" s="756"/>
      <c r="R60" s="756"/>
      <c r="S60" s="756"/>
      <c r="T60" s="756"/>
      <c r="U60" s="763" t="s">
        <v>192</v>
      </c>
      <c r="V60" s="756"/>
      <c r="W60" s="750">
        <f>1.95996+(2.37356/W59)+(2.818745/W59^2)+(2.546662/W59^3)+(1.761829/W59^4)+(0.245458/W59^5)+(1.000764/W59^6)</f>
        <v>2.0079001200291073</v>
      </c>
      <c r="X60" s="759">
        <f>TINV(0.05,W59)</f>
        <v>2.0085591121007611</v>
      </c>
    </row>
    <row r="61" spans="2:24" x14ac:dyDescent="0.35">
      <c r="B61" s="746" t="s">
        <v>422</v>
      </c>
      <c r="C61" s="756"/>
      <c r="D61" s="756"/>
      <c r="E61" s="756"/>
      <c r="F61" s="756"/>
      <c r="G61" s="756"/>
      <c r="H61" s="756"/>
      <c r="I61" s="764" t="s">
        <v>193</v>
      </c>
      <c r="J61" s="756"/>
      <c r="K61" s="765">
        <f>K60*K58</f>
        <v>1.4572630806425001E-2</v>
      </c>
      <c r="L61" s="747" t="s">
        <v>392</v>
      </c>
      <c r="N61" s="746" t="s">
        <v>422</v>
      </c>
      <c r="O61" s="756"/>
      <c r="P61" s="756"/>
      <c r="Q61" s="756"/>
      <c r="R61" s="756"/>
      <c r="S61" s="756"/>
      <c r="T61" s="756"/>
      <c r="U61" s="764" t="s">
        <v>193</v>
      </c>
      <c r="V61" s="756"/>
      <c r="W61" s="765">
        <f>W60*W58</f>
        <v>0.69928327702595339</v>
      </c>
      <c r="X61" s="747" t="str">
        <f>O53</f>
        <v>µs</v>
      </c>
    </row>
    <row r="62" spans="2:24" x14ac:dyDescent="0.35">
      <c r="K62" s="766">
        <f>(K61/C51)*100</f>
        <v>0.29145261612850004</v>
      </c>
      <c r="L62" s="747" t="s">
        <v>194</v>
      </c>
      <c r="W62" s="766">
        <f>(W61/O51)*100</f>
        <v>0.2330944256753178</v>
      </c>
      <c r="X62" s="747" t="s">
        <v>194</v>
      </c>
    </row>
    <row r="63" spans="2:24" x14ac:dyDescent="0.35">
      <c r="B63" s="740" t="s">
        <v>377</v>
      </c>
      <c r="N63" s="994"/>
      <c r="O63" s="995"/>
      <c r="P63" s="995"/>
      <c r="Q63" s="995"/>
      <c r="R63" s="995"/>
      <c r="S63" s="995"/>
      <c r="T63" s="995"/>
      <c r="U63" s="995"/>
      <c r="V63" s="995"/>
      <c r="W63" s="995"/>
      <c r="X63" s="995"/>
    </row>
    <row r="64" spans="2:24" x14ac:dyDescent="0.35">
      <c r="B64" s="739" t="s">
        <v>404</v>
      </c>
      <c r="C64" s="741">
        <f>ID!B72</f>
        <v>300</v>
      </c>
      <c r="D64" s="742" t="s">
        <v>429</v>
      </c>
      <c r="N64" s="739" t="s">
        <v>404</v>
      </c>
      <c r="O64" s="741">
        <f>ID!B73</f>
        <v>600</v>
      </c>
      <c r="P64" s="742" t="s">
        <v>429</v>
      </c>
    </row>
    <row r="65" spans="2:24" x14ac:dyDescent="0.35">
      <c r="B65" s="743" t="s">
        <v>184</v>
      </c>
      <c r="C65" s="744" t="s">
        <v>185</v>
      </c>
      <c r="D65" s="745" t="s">
        <v>186</v>
      </c>
      <c r="E65" s="743" t="s">
        <v>187</v>
      </c>
      <c r="F65" s="743" t="s">
        <v>188</v>
      </c>
      <c r="G65" s="743" t="s">
        <v>405</v>
      </c>
      <c r="H65" s="743" t="s">
        <v>406</v>
      </c>
      <c r="I65" s="743" t="s">
        <v>407</v>
      </c>
      <c r="J65" s="743" t="s">
        <v>408</v>
      </c>
      <c r="K65" s="743" t="s">
        <v>409</v>
      </c>
      <c r="L65" s="744" t="s">
        <v>410</v>
      </c>
      <c r="N65" s="743" t="s">
        <v>184</v>
      </c>
      <c r="O65" s="744" t="s">
        <v>185</v>
      </c>
      <c r="P65" s="745" t="s">
        <v>186</v>
      </c>
      <c r="Q65" s="743" t="s">
        <v>187</v>
      </c>
      <c r="R65" s="743" t="s">
        <v>188</v>
      </c>
      <c r="S65" s="743" t="s">
        <v>405</v>
      </c>
      <c r="T65" s="743" t="s">
        <v>406</v>
      </c>
      <c r="U65" s="743" t="s">
        <v>407</v>
      </c>
      <c r="V65" s="743" t="s">
        <v>408</v>
      </c>
      <c r="W65" s="743" t="s">
        <v>409</v>
      </c>
      <c r="X65" s="744" t="s">
        <v>410</v>
      </c>
    </row>
    <row r="66" spans="2:24" x14ac:dyDescent="0.35">
      <c r="B66" s="746" t="s">
        <v>411</v>
      </c>
      <c r="C66" s="747" t="str">
        <f>$P$3</f>
        <v>µs</v>
      </c>
      <c r="D66" s="748" t="s">
        <v>189</v>
      </c>
      <c r="E66" s="749">
        <f>'Sert Stopwatch'!E194</f>
        <v>1.1547005383782014E-2</v>
      </c>
      <c r="F66" s="750">
        <f>SQRT(5)</f>
        <v>2.2360679774997898</v>
      </c>
      <c r="G66" s="949">
        <v>2</v>
      </c>
      <c r="H66" s="750">
        <f>E66/F66</f>
        <v>5.1639777949385257E-3</v>
      </c>
      <c r="I66" s="748">
        <v>1</v>
      </c>
      <c r="J66" s="750">
        <f>H66*I66</f>
        <v>5.1639777949385257E-3</v>
      </c>
      <c r="K66" s="751">
        <f>J66^2</f>
        <v>2.6666666666618159E-5</v>
      </c>
      <c r="L66" s="752">
        <f>K66^2/G66</f>
        <v>3.55555555554262E-10</v>
      </c>
      <c r="N66" s="746" t="s">
        <v>411</v>
      </c>
      <c r="O66" s="747" t="str">
        <f>$P$3</f>
        <v>µs</v>
      </c>
      <c r="P66" s="748" t="s">
        <v>189</v>
      </c>
      <c r="Q66" s="749">
        <f>'Sert Stopwatch'!E195</f>
        <v>0</v>
      </c>
      <c r="R66" s="750">
        <f>SQRT(5)</f>
        <v>2.2360679774997898</v>
      </c>
      <c r="S66" s="949">
        <v>2</v>
      </c>
      <c r="T66" s="750">
        <f>Q66/R66</f>
        <v>0</v>
      </c>
      <c r="U66" s="748">
        <v>1</v>
      </c>
      <c r="V66" s="750">
        <f>T66*U66</f>
        <v>0</v>
      </c>
      <c r="W66" s="751">
        <f>V66^2</f>
        <v>0</v>
      </c>
      <c r="X66" s="752">
        <f>W66^2/S66</f>
        <v>0</v>
      </c>
    </row>
    <row r="67" spans="2:24" x14ac:dyDescent="0.35">
      <c r="B67" s="753" t="s">
        <v>412</v>
      </c>
      <c r="C67" s="747" t="str">
        <f>C66</f>
        <v>µs</v>
      </c>
      <c r="D67" s="748" t="s">
        <v>189</v>
      </c>
      <c r="E67" s="749">
        <f>'Sert Stopwatch'!M177</f>
        <v>8.8809778641453271E-2</v>
      </c>
      <c r="F67" s="750">
        <v>2</v>
      </c>
      <c r="G67" s="748">
        <f>0.5*(100/10)^2</f>
        <v>50</v>
      </c>
      <c r="H67" s="750">
        <f>E67/F67</f>
        <v>4.4404889320726636E-2</v>
      </c>
      <c r="I67" s="748">
        <v>1</v>
      </c>
      <c r="J67" s="750">
        <f>H67*I67</f>
        <v>4.4404889320726636E-2</v>
      </c>
      <c r="K67" s="751">
        <f>J67^2</f>
        <v>1.9717941955859825E-3</v>
      </c>
      <c r="L67" s="752">
        <f>K67^2/G67</f>
        <v>7.775944699493143E-8</v>
      </c>
      <c r="N67" s="753" t="s">
        <v>412</v>
      </c>
      <c r="O67" s="747" t="str">
        <f>O66</f>
        <v>µs</v>
      </c>
      <c r="P67" s="748" t="s">
        <v>189</v>
      </c>
      <c r="Q67" s="749">
        <f>'Sert Stopwatch'!M178</f>
        <v>0.10482005704011407</v>
      </c>
      <c r="R67" s="750">
        <v>2</v>
      </c>
      <c r="S67" s="748">
        <f>0.5*(100/10)^2</f>
        <v>50</v>
      </c>
      <c r="T67" s="750">
        <f>Q67/R67</f>
        <v>5.2410028520057036E-2</v>
      </c>
      <c r="U67" s="748">
        <v>1</v>
      </c>
      <c r="V67" s="750">
        <f>T67*U67</f>
        <v>5.2410028520057036E-2</v>
      </c>
      <c r="W67" s="751">
        <f>V67^2</f>
        <v>2.7468110894731919E-3</v>
      </c>
      <c r="X67" s="752">
        <f>W67^2/S67</f>
        <v>1.5089942322505806E-7</v>
      </c>
    </row>
    <row r="68" spans="2:24" x14ac:dyDescent="0.35">
      <c r="B68" s="753" t="s">
        <v>413</v>
      </c>
      <c r="C68" s="747" t="str">
        <f>C66</f>
        <v>µs</v>
      </c>
      <c r="D68" s="748" t="s">
        <v>414</v>
      </c>
      <c r="E68" s="767">
        <f>'Sert Stopwatch'!L177</f>
        <v>9.5949759374832102E-6</v>
      </c>
      <c r="F68" s="750">
        <f>SQRT(3)</f>
        <v>1.7320508075688772</v>
      </c>
      <c r="G68" s="748">
        <v>50</v>
      </c>
      <c r="H68" s="750">
        <f>E68/F68</f>
        <v>5.5396619403739135E-6</v>
      </c>
      <c r="I68" s="748">
        <v>1</v>
      </c>
      <c r="J68" s="750">
        <f>H68*I68</f>
        <v>5.5396619403739135E-6</v>
      </c>
      <c r="K68" s="751">
        <f t="shared" ref="K68:K69" si="15">J68^2</f>
        <v>3.0687854413627272E-11</v>
      </c>
      <c r="L68" s="752">
        <f>K68^2/G68</f>
        <v>1.8834888170239656E-23</v>
      </c>
      <c r="N68" s="753" t="s">
        <v>413</v>
      </c>
      <c r="O68" s="747" t="str">
        <f>O66</f>
        <v>µs</v>
      </c>
      <c r="P68" s="748" t="s">
        <v>414</v>
      </c>
      <c r="Q68" s="767">
        <f>'Sert Stopwatch'!L178</f>
        <v>9.5949759374832102E-6</v>
      </c>
      <c r="R68" s="750">
        <f>SQRT(3)</f>
        <v>1.7320508075688772</v>
      </c>
      <c r="S68" s="748">
        <v>50</v>
      </c>
      <c r="T68" s="750">
        <f>Q68/R68</f>
        <v>5.5396619403739135E-6</v>
      </c>
      <c r="U68" s="748">
        <v>1</v>
      </c>
      <c r="V68" s="750">
        <f>T68*U68</f>
        <v>5.5396619403739135E-6</v>
      </c>
      <c r="W68" s="751">
        <f t="shared" ref="W68:W69" si="16">V68^2</f>
        <v>3.0687854413627272E-11</v>
      </c>
      <c r="X68" s="752">
        <f>W68^2/S68</f>
        <v>1.8834888170239656E-23</v>
      </c>
    </row>
    <row r="69" spans="2:24" x14ac:dyDescent="0.35">
      <c r="B69" s="753" t="s">
        <v>415</v>
      </c>
      <c r="C69" s="747" t="str">
        <f>C66</f>
        <v>µs</v>
      </c>
      <c r="D69" s="748" t="s">
        <v>414</v>
      </c>
      <c r="E69" s="755">
        <f>'Sert Stopwatch'!J194</f>
        <v>5.0000000000000001E-3</v>
      </c>
      <c r="F69" s="750">
        <f>SQRT(3)</f>
        <v>1.7320508075688772</v>
      </c>
      <c r="G69" s="748">
        <v>50</v>
      </c>
      <c r="H69" s="750">
        <f>E69/F69</f>
        <v>2.886751345948129E-3</v>
      </c>
      <c r="I69" s="748">
        <v>1</v>
      </c>
      <c r="J69" s="750">
        <f>H69*I69</f>
        <v>2.886751345948129E-3</v>
      </c>
      <c r="K69" s="751">
        <f t="shared" si="15"/>
        <v>8.3333333333333337E-6</v>
      </c>
      <c r="L69" s="752">
        <f>K69^2/G69</f>
        <v>1.3888888888888891E-12</v>
      </c>
      <c r="N69" s="753" t="s">
        <v>415</v>
      </c>
      <c r="O69" s="747" t="str">
        <f>O66</f>
        <v>µs</v>
      </c>
      <c r="P69" s="748" t="s">
        <v>414</v>
      </c>
      <c r="Q69" s="755">
        <f>E69</f>
        <v>5.0000000000000001E-3</v>
      </c>
      <c r="R69" s="750">
        <f>SQRT(3)</f>
        <v>1.7320508075688772</v>
      </c>
      <c r="S69" s="748">
        <v>50</v>
      </c>
      <c r="T69" s="750">
        <f>Q69/R69</f>
        <v>2.886751345948129E-3</v>
      </c>
      <c r="U69" s="748">
        <v>1</v>
      </c>
      <c r="V69" s="750">
        <f>T69*U69</f>
        <v>2.886751345948129E-3</v>
      </c>
      <c r="W69" s="751">
        <f t="shared" si="16"/>
        <v>8.3333333333333337E-6</v>
      </c>
      <c r="X69" s="752">
        <f>W69^2/S69</f>
        <v>1.3888888888888891E-12</v>
      </c>
    </row>
    <row r="70" spans="2:24" x14ac:dyDescent="0.35">
      <c r="B70" s="746" t="s">
        <v>190</v>
      </c>
      <c r="C70" s="756"/>
      <c r="D70" s="756"/>
      <c r="E70" s="756"/>
      <c r="F70" s="756"/>
      <c r="G70" s="756"/>
      <c r="H70" s="756"/>
      <c r="I70" s="756"/>
      <c r="J70" s="756"/>
      <c r="K70" s="751">
        <f>SUM(K66:K69)</f>
        <v>2.0067942262737884E-3</v>
      </c>
      <c r="L70" s="752">
        <f>SUM(L66:L69)</f>
        <v>7.8116391439374596E-8</v>
      </c>
      <c r="N70" s="746" t="s">
        <v>190</v>
      </c>
      <c r="O70" s="756"/>
      <c r="P70" s="756"/>
      <c r="Q70" s="756"/>
      <c r="R70" s="756"/>
      <c r="S70" s="756"/>
      <c r="T70" s="756"/>
      <c r="U70" s="756"/>
      <c r="V70" s="756"/>
      <c r="W70" s="751">
        <f>SUM(W66:W69)</f>
        <v>2.7551444534943798E-3</v>
      </c>
      <c r="X70" s="752">
        <f>SUM(X66:X69)</f>
        <v>1.5090081211394699E-7</v>
      </c>
    </row>
    <row r="71" spans="2:24" x14ac:dyDescent="0.35">
      <c r="B71" s="746" t="s">
        <v>191</v>
      </c>
      <c r="C71" s="756"/>
      <c r="D71" s="756"/>
      <c r="E71" s="756"/>
      <c r="F71" s="756"/>
      <c r="G71" s="756"/>
      <c r="H71" s="756"/>
      <c r="I71" s="760" t="s">
        <v>417</v>
      </c>
      <c r="J71" s="756"/>
      <c r="K71" s="758">
        <f>SQRT(K70)</f>
        <v>4.4797256905683279E-2</v>
      </c>
      <c r="L71" s="759"/>
      <c r="N71" s="746" t="s">
        <v>191</v>
      </c>
      <c r="O71" s="756"/>
      <c r="P71" s="756"/>
      <c r="Q71" s="756"/>
      <c r="R71" s="756"/>
      <c r="S71" s="756"/>
      <c r="T71" s="756"/>
      <c r="U71" s="760" t="s">
        <v>417</v>
      </c>
      <c r="V71" s="756"/>
      <c r="W71" s="758">
        <f>SQRT(W70)</f>
        <v>5.2489469929638079E-2</v>
      </c>
      <c r="X71" s="759"/>
    </row>
    <row r="72" spans="2:24" x14ac:dyDescent="0.35">
      <c r="B72" s="746" t="s">
        <v>418</v>
      </c>
      <c r="C72" s="756"/>
      <c r="D72" s="756"/>
      <c r="E72" s="756"/>
      <c r="F72" s="756"/>
      <c r="G72" s="756"/>
      <c r="H72" s="756"/>
      <c r="I72" s="762" t="s">
        <v>420</v>
      </c>
      <c r="J72" s="756"/>
      <c r="K72" s="750">
        <f>K71^4/L70</f>
        <v>51.554135980939435</v>
      </c>
      <c r="L72" s="759"/>
      <c r="N72" s="746" t="s">
        <v>418</v>
      </c>
      <c r="O72" s="756"/>
      <c r="P72" s="756"/>
      <c r="Q72" s="756"/>
      <c r="R72" s="756"/>
      <c r="S72" s="756"/>
      <c r="T72" s="756"/>
      <c r="U72" s="762" t="s">
        <v>420</v>
      </c>
      <c r="V72" s="756"/>
      <c r="W72" s="750">
        <f>W71^4/X70</f>
        <v>50.303380434353976</v>
      </c>
      <c r="X72" s="759"/>
    </row>
    <row r="73" spans="2:24" x14ac:dyDescent="0.35">
      <c r="B73" s="746" t="s">
        <v>421</v>
      </c>
      <c r="C73" s="756"/>
      <c r="D73" s="756"/>
      <c r="E73" s="756"/>
      <c r="F73" s="756"/>
      <c r="G73" s="756"/>
      <c r="H73" s="756"/>
      <c r="I73" s="763" t="s">
        <v>192</v>
      </c>
      <c r="J73" s="756"/>
      <c r="K73" s="750">
        <f>1.95996+(2.37356/K72)+(2.818745/K72^2)+(2.546662/K72^3)+(1.761829/K72^4)+(0.245458/K72^5)+(1.000764/K72^6)</f>
        <v>2.0070795271090889</v>
      </c>
      <c r="L73" s="759">
        <f>TINV(0.05,K72)</f>
        <v>2.007583770315835</v>
      </c>
      <c r="N73" s="746" t="s">
        <v>421</v>
      </c>
      <c r="O73" s="756"/>
      <c r="P73" s="756"/>
      <c r="Q73" s="756"/>
      <c r="R73" s="756"/>
      <c r="S73" s="756"/>
      <c r="T73" s="756"/>
      <c r="U73" s="763" t="s">
        <v>192</v>
      </c>
      <c r="V73" s="756"/>
      <c r="W73" s="750">
        <f>1.95996+(2.37356/W72)+(2.818745/W72^2)+(2.546662/W72^3)+(1.761829/W72^4)+(0.245458/W72^5)+(1.000764/W72^6)</f>
        <v>2.0082791224612313</v>
      </c>
      <c r="X73" s="759">
        <f>TINV(0.05,W72)</f>
        <v>2.0085591121007611</v>
      </c>
    </row>
    <row r="74" spans="2:24" x14ac:dyDescent="0.35">
      <c r="B74" s="746" t="s">
        <v>422</v>
      </c>
      <c r="C74" s="756"/>
      <c r="D74" s="756"/>
      <c r="E74" s="756"/>
      <c r="F74" s="756"/>
      <c r="G74" s="756"/>
      <c r="H74" s="756"/>
      <c r="I74" s="764" t="s">
        <v>193</v>
      </c>
      <c r="J74" s="756"/>
      <c r="K74" s="765">
        <f>K73*K71</f>
        <v>8.9911657206043161E-2</v>
      </c>
      <c r="L74" s="747" t="str">
        <f>D64</f>
        <v>s</v>
      </c>
      <c r="N74" s="746" t="s">
        <v>422</v>
      </c>
      <c r="O74" s="756"/>
      <c r="P74" s="756"/>
      <c r="Q74" s="756"/>
      <c r="R74" s="756"/>
      <c r="S74" s="756"/>
      <c r="T74" s="756"/>
      <c r="U74" s="764" t="s">
        <v>193</v>
      </c>
      <c r="V74" s="756"/>
      <c r="W74" s="765">
        <f>W73*W71</f>
        <v>0.10541350660874875</v>
      </c>
      <c r="X74" s="747" t="str">
        <f>P64</f>
        <v>s</v>
      </c>
    </row>
    <row r="75" spans="2:24" x14ac:dyDescent="0.35">
      <c r="K75" s="765">
        <f>(K74/C64)*100</f>
        <v>2.9970552402014388E-2</v>
      </c>
      <c r="L75" s="747" t="s">
        <v>194</v>
      </c>
      <c r="W75" s="765">
        <f>(W74/O64)*100</f>
        <v>1.7568917768124793E-2</v>
      </c>
      <c r="X75" s="747" t="s">
        <v>194</v>
      </c>
    </row>
    <row r="76" spans="2:24" x14ac:dyDescent="0.35">
      <c r="B76" s="740" t="s">
        <v>537</v>
      </c>
      <c r="N76" s="995"/>
      <c r="O76" s="993"/>
      <c r="P76" s="993"/>
      <c r="Q76" s="993"/>
      <c r="R76" s="993"/>
      <c r="S76" s="993"/>
      <c r="T76" s="993"/>
      <c r="U76" s="993"/>
      <c r="V76" s="993"/>
      <c r="W76" s="1000"/>
      <c r="X76" s="1000"/>
    </row>
    <row r="77" spans="2:24" x14ac:dyDescent="0.35">
      <c r="B77" s="739" t="s">
        <v>404</v>
      </c>
      <c r="C77" s="1142">
        <f>ID!B46</f>
        <v>27.12</v>
      </c>
      <c r="D77" s="742" t="s">
        <v>392</v>
      </c>
      <c r="N77" s="995"/>
      <c r="O77" s="995"/>
      <c r="P77" s="995"/>
      <c r="Q77" s="995"/>
      <c r="R77" s="995"/>
      <c r="S77" s="995"/>
      <c r="T77" s="995"/>
      <c r="U77" s="995"/>
      <c r="V77" s="995"/>
      <c r="W77" s="1009"/>
      <c r="X77" s="993"/>
    </row>
    <row r="78" spans="2:24" x14ac:dyDescent="0.35">
      <c r="B78" s="743" t="s">
        <v>184</v>
      </c>
      <c r="C78" s="744" t="s">
        <v>185</v>
      </c>
      <c r="D78" s="745" t="s">
        <v>186</v>
      </c>
      <c r="E78" s="743" t="s">
        <v>187</v>
      </c>
      <c r="F78" s="743" t="s">
        <v>188</v>
      </c>
      <c r="G78" s="743" t="s">
        <v>405</v>
      </c>
      <c r="H78" s="743" t="s">
        <v>406</v>
      </c>
      <c r="I78" s="743" t="s">
        <v>407</v>
      </c>
      <c r="J78" s="743" t="s">
        <v>408</v>
      </c>
      <c r="K78" s="743" t="s">
        <v>409</v>
      </c>
      <c r="L78" s="744" t="s">
        <v>410</v>
      </c>
      <c r="N78" s="995"/>
      <c r="O78" s="993"/>
      <c r="P78" s="995"/>
      <c r="Q78" s="996"/>
      <c r="R78" s="995"/>
      <c r="S78" s="995"/>
      <c r="T78" s="997"/>
      <c r="U78" s="998"/>
      <c r="V78" s="995"/>
      <c r="W78" s="995"/>
      <c r="X78" s="995"/>
    </row>
    <row r="79" spans="2:24" x14ac:dyDescent="0.35">
      <c r="B79" s="746" t="s">
        <v>411</v>
      </c>
      <c r="C79" s="747" t="str">
        <f>$D$3</f>
        <v>Hz</v>
      </c>
      <c r="D79" s="748" t="s">
        <v>189</v>
      </c>
      <c r="E79" s="749">
        <f>SCOPE!G195</f>
        <v>0</v>
      </c>
      <c r="F79" s="750">
        <f>SQRT(6)</f>
        <v>2.4494897427831779</v>
      </c>
      <c r="G79" s="748">
        <v>5</v>
      </c>
      <c r="H79" s="750">
        <f>E79/F79</f>
        <v>0</v>
      </c>
      <c r="I79" s="748">
        <v>1</v>
      </c>
      <c r="J79" s="750">
        <f>H79*I79</f>
        <v>0</v>
      </c>
      <c r="K79" s="751">
        <f>J79^2</f>
        <v>0</v>
      </c>
      <c r="L79" s="752">
        <f>K79^2/G79</f>
        <v>0</v>
      </c>
      <c r="N79" s="999"/>
      <c r="O79" s="999"/>
      <c r="P79" s="999"/>
      <c r="Q79" s="999"/>
      <c r="R79" s="999"/>
      <c r="S79" s="999"/>
      <c r="T79" s="999"/>
      <c r="U79" s="999"/>
      <c r="V79" s="999"/>
      <c r="W79" s="999"/>
      <c r="X79" s="999"/>
    </row>
    <row r="80" spans="2:24" x14ac:dyDescent="0.35">
      <c r="B80" s="753" t="s">
        <v>412</v>
      </c>
      <c r="C80" s="747" t="str">
        <f t="shared" ref="C80:C82" si="17">$D$3</f>
        <v>Hz</v>
      </c>
      <c r="D80" s="748" t="s">
        <v>189</v>
      </c>
      <c r="E80" s="749">
        <f>SCOPE!P186</f>
        <v>7.8648029000000091E-2</v>
      </c>
      <c r="F80" s="750">
        <v>2</v>
      </c>
      <c r="G80" s="748">
        <f>0.5*(100/10)^2</f>
        <v>50</v>
      </c>
      <c r="H80" s="750">
        <f>E80/F80</f>
        <v>3.9324014500000046E-2</v>
      </c>
      <c r="I80" s="748">
        <v>1</v>
      </c>
      <c r="J80" s="750">
        <f>H80*I80</f>
        <v>3.9324014500000046E-2</v>
      </c>
      <c r="K80" s="751">
        <f>J80^2</f>
        <v>1.5463781163962138E-3</v>
      </c>
      <c r="L80" s="752">
        <f>K80^2/G80</f>
        <v>4.7825705577382043E-8</v>
      </c>
      <c r="N80" s="995"/>
      <c r="O80" s="993"/>
      <c r="P80" s="993"/>
      <c r="Q80" s="1000"/>
      <c r="R80" s="1000"/>
      <c r="S80" s="993"/>
      <c r="T80" s="1001"/>
      <c r="U80" s="993"/>
      <c r="V80" s="1001"/>
      <c r="W80" s="1002"/>
      <c r="X80" s="1003"/>
    </row>
    <row r="81" spans="2:24" x14ac:dyDescent="0.35">
      <c r="B81" s="753" t="s">
        <v>413</v>
      </c>
      <c r="C81" s="747" t="str">
        <f t="shared" si="17"/>
        <v>Hz</v>
      </c>
      <c r="D81" s="748" t="s">
        <v>414</v>
      </c>
      <c r="E81" s="754">
        <f>SCOPE!O186</f>
        <v>1.0000000000000001E-5</v>
      </c>
      <c r="F81" s="750">
        <f>SQRT(3)</f>
        <v>1.7320508075688772</v>
      </c>
      <c r="G81" s="748">
        <v>50</v>
      </c>
      <c r="H81" s="750">
        <f>E81/F81</f>
        <v>5.7735026918962587E-6</v>
      </c>
      <c r="I81" s="748">
        <v>1</v>
      </c>
      <c r="J81" s="750">
        <f>H81*I81</f>
        <v>5.7735026918962587E-6</v>
      </c>
      <c r="K81" s="751">
        <f t="shared" ref="K81:K82" si="18">J81^2</f>
        <v>3.3333333333333347E-11</v>
      </c>
      <c r="L81" s="752">
        <f>K81^2/G81</f>
        <v>2.2222222222222241E-23</v>
      </c>
      <c r="N81" s="1004"/>
      <c r="O81" s="993"/>
      <c r="P81" s="993"/>
      <c r="Q81" s="1005"/>
      <c r="R81" s="1000"/>
      <c r="S81" s="993"/>
      <c r="T81" s="1001"/>
      <c r="U81" s="993"/>
      <c r="V81" s="1001"/>
      <c r="W81" s="1002"/>
      <c r="X81" s="1003"/>
    </row>
    <row r="82" spans="2:24" x14ac:dyDescent="0.35">
      <c r="B82" s="753" t="s">
        <v>415</v>
      </c>
      <c r="C82" s="747" t="str">
        <f t="shared" si="17"/>
        <v>Hz</v>
      </c>
      <c r="D82" s="748" t="s">
        <v>414</v>
      </c>
      <c r="E82" s="755">
        <f>SCOPE!H195</f>
        <v>5.0000000000000001E-4</v>
      </c>
      <c r="F82" s="750">
        <f>SQRT(3)</f>
        <v>1.7320508075688772</v>
      </c>
      <c r="G82" s="748">
        <v>50</v>
      </c>
      <c r="H82" s="750">
        <f>E82/F82</f>
        <v>2.886751345948129E-4</v>
      </c>
      <c r="I82" s="748">
        <v>1</v>
      </c>
      <c r="J82" s="750">
        <f>H82*I82</f>
        <v>2.886751345948129E-4</v>
      </c>
      <c r="K82" s="751">
        <f t="shared" si="18"/>
        <v>8.3333333333333338E-8</v>
      </c>
      <c r="L82" s="752">
        <f>K82^2/G82</f>
        <v>1.388888888888889E-16</v>
      </c>
      <c r="N82" s="995"/>
      <c r="O82" s="1006"/>
      <c r="P82" s="993"/>
      <c r="Q82" s="993"/>
      <c r="R82" s="1000"/>
      <c r="S82" s="993"/>
      <c r="T82" s="1001"/>
      <c r="U82" s="1002"/>
      <c r="V82" s="1001"/>
      <c r="W82" s="1002"/>
      <c r="X82" s="1003"/>
    </row>
    <row r="83" spans="2:24" x14ac:dyDescent="0.35">
      <c r="B83" s="746" t="s">
        <v>190</v>
      </c>
      <c r="C83" s="756"/>
      <c r="D83" s="756"/>
      <c r="E83" s="756"/>
      <c r="F83" s="756"/>
      <c r="G83" s="756"/>
      <c r="H83" s="756"/>
      <c r="I83" s="756"/>
      <c r="J83" s="756"/>
      <c r="K83" s="751">
        <f>SUM(K79:K82)</f>
        <v>1.5464614830628803E-3</v>
      </c>
      <c r="L83" s="752">
        <f>SUM(L79:L82)</f>
        <v>4.7825705716270948E-8</v>
      </c>
      <c r="N83" s="1004"/>
      <c r="O83" s="993"/>
      <c r="P83" s="993"/>
      <c r="Q83" s="1005"/>
      <c r="R83" s="1000"/>
      <c r="S83" s="993"/>
      <c r="T83" s="1001"/>
      <c r="U83" s="993"/>
      <c r="V83" s="1007"/>
      <c r="W83" s="1002"/>
      <c r="X83" s="1003"/>
    </row>
    <row r="84" spans="2:24" x14ac:dyDescent="0.35">
      <c r="B84" s="746" t="s">
        <v>191</v>
      </c>
      <c r="C84" s="756"/>
      <c r="D84" s="756"/>
      <c r="E84" s="756"/>
      <c r="F84" s="756"/>
      <c r="G84" s="756"/>
      <c r="H84" s="756"/>
      <c r="I84" s="760" t="s">
        <v>417</v>
      </c>
      <c r="J84" s="756"/>
      <c r="K84" s="758">
        <f>SQRT(K83)</f>
        <v>3.9325074482610717E-2</v>
      </c>
      <c r="L84" s="759"/>
      <c r="N84" s="995"/>
      <c r="O84" s="1006"/>
      <c r="P84" s="993"/>
      <c r="Q84" s="1000"/>
      <c r="R84" s="1000"/>
      <c r="S84" s="993"/>
      <c r="T84" s="1001"/>
      <c r="U84" s="1002"/>
      <c r="V84" s="1001"/>
      <c r="W84" s="1002"/>
      <c r="X84" s="1003"/>
    </row>
    <row r="85" spans="2:24" x14ac:dyDescent="0.35">
      <c r="B85" s="746" t="s">
        <v>418</v>
      </c>
      <c r="C85" s="756"/>
      <c r="D85" s="756"/>
      <c r="E85" s="756"/>
      <c r="F85" s="756"/>
      <c r="G85" s="756"/>
      <c r="H85" s="756"/>
      <c r="I85" s="762" t="s">
        <v>420</v>
      </c>
      <c r="J85" s="756"/>
      <c r="K85" s="750">
        <f>K84^4/L83</f>
        <v>50.005391092083961</v>
      </c>
      <c r="L85" s="759"/>
      <c r="N85" s="1004"/>
      <c r="O85" s="993"/>
      <c r="P85" s="993"/>
      <c r="Q85" s="1008"/>
      <c r="R85" s="1000"/>
      <c r="S85" s="993"/>
      <c r="T85" s="1001"/>
      <c r="U85" s="993"/>
      <c r="V85" s="1001"/>
      <c r="W85" s="1002"/>
      <c r="X85" s="1003"/>
    </row>
    <row r="86" spans="2:24" x14ac:dyDescent="0.35">
      <c r="B86" s="746" t="s">
        <v>421</v>
      </c>
      <c r="C86" s="756"/>
      <c r="D86" s="756"/>
      <c r="E86" s="756"/>
      <c r="F86" s="756"/>
      <c r="G86" s="756"/>
      <c r="H86" s="756"/>
      <c r="I86" s="763" t="s">
        <v>192</v>
      </c>
      <c r="J86" s="756"/>
      <c r="K86" s="750">
        <f>1.95996+(2.37356/K85)+(2.818745/K85^2)+(2.546662/K85^3)+(1.761829/K85^4)+(0.245458/K85^5)+(1.000764/K85^6)</f>
        <v>2.0085739863486123</v>
      </c>
      <c r="L86" s="759">
        <f>TINV(0.05,K85)</f>
        <v>2.0085591121007611</v>
      </c>
      <c r="N86" s="995"/>
      <c r="O86" s="993"/>
      <c r="P86" s="993"/>
      <c r="Q86" s="993"/>
      <c r="R86" s="993"/>
      <c r="S86" s="993"/>
      <c r="T86" s="993"/>
      <c r="U86" s="993"/>
      <c r="V86" s="993"/>
      <c r="W86" s="1000"/>
      <c r="X86" s="1003"/>
    </row>
    <row r="87" spans="2:24" x14ac:dyDescent="0.35">
      <c r="B87" s="746" t="s">
        <v>422</v>
      </c>
      <c r="C87" s="756"/>
      <c r="D87" s="756"/>
      <c r="E87" s="756"/>
      <c r="F87" s="756"/>
      <c r="G87" s="756"/>
      <c r="H87" s="756"/>
      <c r="I87" s="764" t="s">
        <v>193</v>
      </c>
      <c r="J87" s="756"/>
      <c r="K87" s="765">
        <f>K86*K84</f>
        <v>7.8987321616993497E-2</v>
      </c>
      <c r="L87" s="747" t="s">
        <v>392</v>
      </c>
      <c r="N87" s="995"/>
      <c r="O87" s="993"/>
      <c r="P87" s="993"/>
      <c r="Q87" s="993"/>
      <c r="R87" s="993"/>
      <c r="S87" s="993"/>
      <c r="T87" s="993"/>
      <c r="U87" s="993"/>
      <c r="V87" s="993"/>
      <c r="W87" s="1000"/>
      <c r="X87" s="1000"/>
    </row>
    <row r="88" spans="2:24" x14ac:dyDescent="0.35">
      <c r="K88" s="766">
        <f>(K87/C77)*100</f>
        <v>0.29125118590336835</v>
      </c>
      <c r="L88" s="747" t="s">
        <v>194</v>
      </c>
      <c r="N88" s="995"/>
      <c r="O88" s="993"/>
      <c r="P88" s="993"/>
      <c r="Q88" s="993"/>
      <c r="R88" s="993"/>
      <c r="S88" s="993"/>
      <c r="T88" s="993"/>
      <c r="U88" s="993"/>
      <c r="V88" s="993"/>
      <c r="W88" s="1000"/>
      <c r="X88" s="1000"/>
    </row>
    <row r="89" spans="2:24" x14ac:dyDescent="0.35">
      <c r="N89" s="995"/>
      <c r="O89" s="993"/>
      <c r="P89" s="993"/>
      <c r="Q89" s="993"/>
      <c r="R89" s="993"/>
      <c r="S89" s="993"/>
      <c r="T89" s="993"/>
      <c r="U89" s="993"/>
      <c r="V89" s="993"/>
      <c r="W89" s="1000"/>
      <c r="X89" s="1000"/>
    </row>
    <row r="90" spans="2:24" x14ac:dyDescent="0.35">
      <c r="N90" s="995"/>
      <c r="O90" s="993"/>
      <c r="P90" s="993"/>
      <c r="Q90" s="993"/>
      <c r="R90" s="993"/>
      <c r="S90" s="993"/>
      <c r="T90" s="993"/>
      <c r="U90" s="993"/>
      <c r="V90" s="993"/>
      <c r="W90" s="1000"/>
      <c r="X90" s="1000"/>
    </row>
    <row r="91" spans="2:24" x14ac:dyDescent="0.35">
      <c r="N91" s="995"/>
      <c r="O91" s="995"/>
      <c r="P91" s="995"/>
      <c r="Q91" s="995"/>
      <c r="R91" s="995"/>
      <c r="S91" s="995"/>
      <c r="T91" s="995"/>
      <c r="U91" s="995"/>
      <c r="V91" s="995"/>
      <c r="W91" s="1009"/>
      <c r="X91" s="993"/>
    </row>
    <row r="92" spans="2:24" x14ac:dyDescent="0.35">
      <c r="N92" s="995"/>
      <c r="O92" s="993"/>
      <c r="P92" s="995"/>
      <c r="Q92" s="996"/>
      <c r="R92" s="995"/>
      <c r="S92" s="995"/>
      <c r="T92" s="997"/>
      <c r="U92" s="998"/>
      <c r="V92" s="995"/>
      <c r="W92" s="995"/>
      <c r="X92" s="995"/>
    </row>
    <row r="93" spans="2:24" x14ac:dyDescent="0.35">
      <c r="N93" s="999"/>
      <c r="O93" s="999"/>
      <c r="P93" s="999"/>
      <c r="Q93" s="999"/>
      <c r="R93" s="999"/>
      <c r="S93" s="999"/>
      <c r="T93" s="999"/>
      <c r="U93" s="999"/>
      <c r="V93" s="999"/>
      <c r="W93" s="999"/>
      <c r="X93" s="999"/>
    </row>
    <row r="94" spans="2:24" x14ac:dyDescent="0.35">
      <c r="N94" s="995"/>
      <c r="O94" s="993"/>
      <c r="P94" s="993"/>
      <c r="Q94" s="1000"/>
      <c r="R94" s="1000"/>
      <c r="S94" s="993"/>
      <c r="T94" s="1001"/>
      <c r="U94" s="993"/>
      <c r="V94" s="1001"/>
      <c r="W94" s="1002"/>
      <c r="X94" s="1003"/>
    </row>
    <row r="95" spans="2:24" x14ac:dyDescent="0.35">
      <c r="N95" s="1004"/>
      <c r="O95" s="993"/>
      <c r="P95" s="993"/>
      <c r="Q95" s="1005"/>
      <c r="R95" s="1000"/>
      <c r="S95" s="993"/>
      <c r="T95" s="1001"/>
      <c r="U95" s="993"/>
      <c r="V95" s="1001"/>
      <c r="W95" s="1002"/>
      <c r="X95" s="1003"/>
    </row>
    <row r="96" spans="2:24" x14ac:dyDescent="0.35">
      <c r="N96" s="995"/>
      <c r="O96" s="1006"/>
      <c r="P96" s="993"/>
      <c r="Q96" s="993"/>
      <c r="R96" s="1000"/>
      <c r="S96" s="993"/>
      <c r="T96" s="1001"/>
      <c r="U96" s="1002"/>
      <c r="V96" s="1001"/>
      <c r="W96" s="1002"/>
      <c r="X96" s="1003"/>
    </row>
    <row r="97" spans="2:24" x14ac:dyDescent="0.35">
      <c r="N97" s="1004"/>
      <c r="O97" s="993"/>
      <c r="P97" s="993"/>
      <c r="Q97" s="1005"/>
      <c r="R97" s="1000"/>
      <c r="S97" s="993"/>
      <c r="T97" s="1001"/>
      <c r="U97" s="993"/>
      <c r="V97" s="1007"/>
      <c r="W97" s="1002"/>
      <c r="X97" s="1003"/>
    </row>
    <row r="98" spans="2:24" x14ac:dyDescent="0.35">
      <c r="N98" s="995"/>
      <c r="O98" s="1006"/>
      <c r="P98" s="993"/>
      <c r="Q98" s="993"/>
      <c r="R98" s="1000"/>
      <c r="S98" s="993"/>
      <c r="T98" s="1001"/>
      <c r="U98" s="1002"/>
      <c r="V98" s="1001"/>
      <c r="W98" s="1002"/>
      <c r="X98" s="1003"/>
    </row>
    <row r="99" spans="2:24" x14ac:dyDescent="0.35">
      <c r="N99" s="1004"/>
      <c r="O99" s="993"/>
      <c r="P99" s="993"/>
      <c r="Q99" s="1008"/>
      <c r="R99" s="1000"/>
      <c r="S99" s="993"/>
      <c r="T99" s="1001"/>
      <c r="U99" s="993"/>
      <c r="V99" s="1001"/>
      <c r="W99" s="1002"/>
      <c r="X99" s="1003"/>
    </row>
    <row r="100" spans="2:24" x14ac:dyDescent="0.35">
      <c r="N100" s="995"/>
      <c r="O100" s="993"/>
      <c r="P100" s="993"/>
      <c r="Q100" s="993"/>
      <c r="R100" s="993"/>
      <c r="S100" s="993"/>
      <c r="T100" s="993"/>
      <c r="U100" s="993"/>
      <c r="V100" s="993"/>
      <c r="W100" s="1000"/>
      <c r="X100" s="1003"/>
    </row>
    <row r="101" spans="2:24" x14ac:dyDescent="0.35">
      <c r="N101" s="995"/>
      <c r="O101" s="993"/>
      <c r="P101" s="993"/>
      <c r="Q101" s="993"/>
      <c r="R101" s="993"/>
      <c r="S101" s="993"/>
      <c r="T101" s="993"/>
      <c r="U101" s="993"/>
      <c r="V101" s="993"/>
      <c r="W101" s="1000"/>
      <c r="X101" s="1000"/>
    </row>
    <row r="102" spans="2:24" x14ac:dyDescent="0.35">
      <c r="N102" s="995"/>
      <c r="O102" s="993"/>
      <c r="P102" s="993"/>
      <c r="Q102" s="993"/>
      <c r="R102" s="993"/>
      <c r="S102" s="993"/>
      <c r="T102" s="993"/>
      <c r="U102" s="993"/>
      <c r="V102" s="993"/>
      <c r="W102" s="1000"/>
      <c r="X102" s="1000"/>
    </row>
    <row r="103" spans="2:24" x14ac:dyDescent="0.35">
      <c r="N103" s="995"/>
      <c r="O103" s="993"/>
      <c r="P103" s="993"/>
      <c r="Q103" s="993"/>
      <c r="R103" s="993"/>
      <c r="S103" s="993"/>
      <c r="T103" s="993"/>
      <c r="U103" s="993"/>
      <c r="V103" s="993"/>
      <c r="W103" s="1000"/>
      <c r="X103" s="1000"/>
    </row>
    <row r="104" spans="2:24" x14ac:dyDescent="0.35">
      <c r="N104" s="995"/>
      <c r="O104" s="993"/>
      <c r="P104" s="993"/>
      <c r="Q104" s="993"/>
      <c r="R104" s="993"/>
      <c r="S104" s="993"/>
      <c r="T104" s="993"/>
      <c r="U104" s="993"/>
      <c r="V104" s="993"/>
      <c r="W104" s="1000"/>
      <c r="X104" s="1000"/>
    </row>
    <row r="105" spans="2:24" x14ac:dyDescent="0.35">
      <c r="B105" s="995"/>
      <c r="C105" s="995"/>
      <c r="D105" s="995"/>
      <c r="E105" s="995"/>
      <c r="F105" s="995"/>
      <c r="G105" s="995"/>
      <c r="H105" s="995"/>
      <c r="I105" s="995"/>
      <c r="J105" s="995"/>
      <c r="K105" s="995"/>
      <c r="L105" s="995"/>
      <c r="N105" s="995"/>
      <c r="O105" s="995"/>
      <c r="P105" s="995"/>
      <c r="Q105" s="995"/>
      <c r="R105" s="995"/>
      <c r="S105" s="995"/>
      <c r="T105" s="995"/>
      <c r="U105" s="995"/>
      <c r="V105" s="995"/>
      <c r="W105" s="1009"/>
      <c r="X105" s="993"/>
    </row>
    <row r="106" spans="2:24" x14ac:dyDescent="0.35">
      <c r="B106" s="995"/>
      <c r="C106" s="993"/>
      <c r="D106" s="995"/>
      <c r="E106" s="996"/>
      <c r="F106" s="995"/>
      <c r="G106" s="995"/>
      <c r="H106" s="997"/>
      <c r="I106" s="998"/>
      <c r="J106" s="995"/>
      <c r="K106" s="995"/>
      <c r="L106" s="995"/>
      <c r="N106" s="995"/>
      <c r="O106" s="993"/>
      <c r="P106" s="995"/>
      <c r="Q106" s="996"/>
      <c r="R106" s="995"/>
      <c r="S106" s="995"/>
      <c r="T106" s="997"/>
      <c r="U106" s="998"/>
      <c r="V106" s="995"/>
      <c r="W106" s="995"/>
      <c r="X106" s="995"/>
    </row>
    <row r="107" spans="2:24" x14ac:dyDescent="0.35">
      <c r="B107" s="999"/>
      <c r="C107" s="999"/>
      <c r="D107" s="999"/>
      <c r="E107" s="999"/>
      <c r="F107" s="999"/>
      <c r="G107" s="999"/>
      <c r="H107" s="999"/>
      <c r="I107" s="999"/>
      <c r="J107" s="999"/>
      <c r="K107" s="999"/>
      <c r="L107" s="999"/>
      <c r="N107" s="999"/>
      <c r="O107" s="999"/>
      <c r="P107" s="999"/>
      <c r="Q107" s="999"/>
      <c r="R107" s="999"/>
      <c r="S107" s="999"/>
      <c r="T107" s="999"/>
      <c r="U107" s="999"/>
      <c r="V107" s="999"/>
      <c r="W107" s="999"/>
      <c r="X107" s="999"/>
    </row>
    <row r="108" spans="2:24" x14ac:dyDescent="0.35">
      <c r="B108" s="995"/>
      <c r="C108" s="993"/>
      <c r="D108" s="993"/>
      <c r="E108" s="1000"/>
      <c r="F108" s="1000"/>
      <c r="G108" s="993"/>
      <c r="H108" s="1001"/>
      <c r="I108" s="993"/>
      <c r="J108" s="1001"/>
      <c r="K108" s="1002"/>
      <c r="L108" s="1003"/>
      <c r="N108" s="995"/>
      <c r="O108" s="993"/>
      <c r="P108" s="993"/>
      <c r="Q108" s="1000"/>
      <c r="R108" s="1000"/>
      <c r="S108" s="993"/>
      <c r="T108" s="1001"/>
      <c r="U108" s="993"/>
      <c r="V108" s="1001"/>
      <c r="W108" s="1002"/>
      <c r="X108" s="1003"/>
    </row>
    <row r="109" spans="2:24" x14ac:dyDescent="0.35">
      <c r="B109" s="1004"/>
      <c r="C109" s="993"/>
      <c r="D109" s="993"/>
      <c r="E109" s="1005"/>
      <c r="F109" s="1000"/>
      <c r="G109" s="993"/>
      <c r="H109" s="1001"/>
      <c r="I109" s="993"/>
      <c r="J109" s="1001"/>
      <c r="K109" s="1002"/>
      <c r="L109" s="1003"/>
      <c r="N109" s="1004"/>
      <c r="O109" s="993"/>
      <c r="P109" s="993"/>
      <c r="Q109" s="1005"/>
      <c r="R109" s="1000"/>
      <c r="S109" s="993"/>
      <c r="T109" s="1001"/>
      <c r="U109" s="993"/>
      <c r="V109" s="1001"/>
      <c r="W109" s="1002"/>
      <c r="X109" s="1003"/>
    </row>
    <row r="110" spans="2:24" x14ac:dyDescent="0.35">
      <c r="B110" s="995"/>
      <c r="C110" s="1006"/>
      <c r="D110" s="993"/>
      <c r="E110" s="993"/>
      <c r="F110" s="1000"/>
      <c r="G110" s="993"/>
      <c r="H110" s="1001"/>
      <c r="I110" s="1002"/>
      <c r="J110" s="1001"/>
      <c r="K110" s="1002"/>
      <c r="L110" s="1003"/>
      <c r="N110" s="995"/>
      <c r="O110" s="1006"/>
      <c r="P110" s="993"/>
      <c r="Q110" s="993"/>
      <c r="R110" s="1000"/>
      <c r="S110" s="993"/>
      <c r="T110" s="1001"/>
      <c r="U110" s="1002"/>
      <c r="V110" s="1001"/>
      <c r="W110" s="1002"/>
      <c r="X110" s="1003"/>
    </row>
    <row r="111" spans="2:24" x14ac:dyDescent="0.35">
      <c r="B111" s="1004"/>
      <c r="C111" s="993"/>
      <c r="D111" s="993"/>
      <c r="E111" s="1005"/>
      <c r="F111" s="1000"/>
      <c r="G111" s="993"/>
      <c r="H111" s="1001"/>
      <c r="I111" s="993"/>
      <c r="J111" s="1007"/>
      <c r="K111" s="1002"/>
      <c r="L111" s="1003"/>
      <c r="N111" s="1004"/>
      <c r="O111" s="993"/>
      <c r="P111" s="993"/>
      <c r="Q111" s="1005"/>
      <c r="R111" s="1000"/>
      <c r="S111" s="993"/>
      <c r="T111" s="1001"/>
      <c r="U111" s="993"/>
      <c r="V111" s="1007"/>
      <c r="W111" s="1002"/>
      <c r="X111" s="1003"/>
    </row>
    <row r="112" spans="2:24" x14ac:dyDescent="0.35">
      <c r="B112" s="995"/>
      <c r="C112" s="1006"/>
      <c r="D112" s="993"/>
      <c r="E112" s="993"/>
      <c r="F112" s="1000"/>
      <c r="G112" s="993"/>
      <c r="H112" s="1001"/>
      <c r="I112" s="1002"/>
      <c r="J112" s="1001"/>
      <c r="K112" s="1002"/>
      <c r="L112" s="1003"/>
      <c r="N112" s="995"/>
      <c r="O112" s="1006"/>
      <c r="P112" s="993"/>
      <c r="Q112" s="993"/>
      <c r="R112" s="1000"/>
      <c r="S112" s="993"/>
      <c r="T112" s="1001"/>
      <c r="U112" s="1002"/>
      <c r="V112" s="1001"/>
      <c r="W112" s="1002"/>
      <c r="X112" s="1003"/>
    </row>
    <row r="113" spans="2:24" x14ac:dyDescent="0.35">
      <c r="B113" s="1004"/>
      <c r="C113" s="993"/>
      <c r="D113" s="993"/>
      <c r="E113" s="1008"/>
      <c r="F113" s="1000"/>
      <c r="G113" s="993"/>
      <c r="H113" s="1001"/>
      <c r="I113" s="993"/>
      <c r="J113" s="1001"/>
      <c r="K113" s="1002"/>
      <c r="L113" s="1003"/>
      <c r="N113" s="1004"/>
      <c r="O113" s="993"/>
      <c r="P113" s="993"/>
      <c r="Q113" s="1008"/>
      <c r="R113" s="1000"/>
      <c r="S113" s="993"/>
      <c r="T113" s="1001"/>
      <c r="U113" s="993"/>
      <c r="V113" s="1001"/>
      <c r="W113" s="1002"/>
      <c r="X113" s="1003"/>
    </row>
    <row r="114" spans="2:24" x14ac:dyDescent="0.35">
      <c r="B114" s="995"/>
      <c r="C114" s="993"/>
      <c r="D114" s="993"/>
      <c r="E114" s="993"/>
      <c r="F114" s="993"/>
      <c r="G114" s="993"/>
      <c r="H114" s="993"/>
      <c r="I114" s="993"/>
      <c r="J114" s="993"/>
      <c r="K114" s="1000"/>
      <c r="L114" s="1003"/>
      <c r="N114" s="995"/>
      <c r="O114" s="993"/>
      <c r="P114" s="993"/>
      <c r="Q114" s="993"/>
      <c r="R114" s="993"/>
      <c r="S114" s="993"/>
      <c r="T114" s="993"/>
      <c r="U114" s="993"/>
      <c r="V114" s="993"/>
      <c r="W114" s="1000"/>
      <c r="X114" s="1003"/>
    </row>
    <row r="115" spans="2:24" x14ac:dyDescent="0.35">
      <c r="B115" s="995"/>
      <c r="C115" s="993"/>
      <c r="D115" s="993"/>
      <c r="E115" s="993"/>
      <c r="F115" s="993"/>
      <c r="G115" s="993"/>
      <c r="H115" s="993"/>
      <c r="I115" s="993"/>
      <c r="J115" s="993"/>
      <c r="K115" s="1000"/>
      <c r="L115" s="1000"/>
      <c r="N115" s="995"/>
      <c r="O115" s="993"/>
      <c r="P115" s="993"/>
      <c r="Q115" s="993"/>
      <c r="R115" s="993"/>
      <c r="S115" s="993"/>
      <c r="T115" s="993"/>
      <c r="U115" s="993"/>
      <c r="V115" s="993"/>
      <c r="W115" s="1000"/>
      <c r="X115" s="1000"/>
    </row>
    <row r="116" spans="2:24" x14ac:dyDescent="0.35">
      <c r="B116" s="995"/>
      <c r="C116" s="993"/>
      <c r="D116" s="993"/>
      <c r="E116" s="993"/>
      <c r="F116" s="993"/>
      <c r="G116" s="993"/>
      <c r="H116" s="993"/>
      <c r="I116" s="993"/>
      <c r="J116" s="993"/>
      <c r="K116" s="1000"/>
      <c r="L116" s="1000"/>
      <c r="N116" s="995"/>
      <c r="O116" s="993"/>
      <c r="P116" s="993"/>
      <c r="Q116" s="993"/>
      <c r="R116" s="993"/>
      <c r="S116" s="993"/>
      <c r="T116" s="993"/>
      <c r="U116" s="993"/>
      <c r="V116" s="993"/>
      <c r="W116" s="1000"/>
      <c r="X116" s="1000"/>
    </row>
    <row r="117" spans="2:24" x14ac:dyDescent="0.35">
      <c r="B117" s="995"/>
      <c r="C117" s="993"/>
      <c r="D117" s="993"/>
      <c r="E117" s="993"/>
      <c r="F117" s="993"/>
      <c r="G117" s="993"/>
      <c r="H117" s="993"/>
      <c r="I117" s="993"/>
      <c r="J117" s="993"/>
      <c r="K117" s="1000"/>
      <c r="L117" s="1000"/>
      <c r="N117" s="995"/>
      <c r="O117" s="993"/>
      <c r="P117" s="993"/>
      <c r="Q117" s="993"/>
      <c r="R117" s="993"/>
      <c r="S117" s="993"/>
      <c r="T117" s="993"/>
      <c r="U117" s="993"/>
      <c r="V117" s="993"/>
      <c r="W117" s="1000"/>
      <c r="X117" s="1000"/>
    </row>
    <row r="118" spans="2:24" x14ac:dyDescent="0.35">
      <c r="B118" s="995"/>
      <c r="C118" s="993"/>
      <c r="D118" s="993"/>
      <c r="E118" s="993"/>
      <c r="F118" s="993"/>
      <c r="G118" s="993"/>
      <c r="H118" s="993"/>
      <c r="I118" s="993"/>
      <c r="J118" s="993"/>
      <c r="K118" s="1000"/>
      <c r="L118" s="1000"/>
      <c r="N118" s="995"/>
      <c r="O118" s="993"/>
      <c r="P118" s="993"/>
      <c r="Q118" s="993"/>
      <c r="R118" s="993"/>
      <c r="S118" s="993"/>
      <c r="T118" s="993"/>
      <c r="U118" s="993"/>
      <c r="V118" s="993"/>
      <c r="W118" s="1000"/>
      <c r="X118" s="1000"/>
    </row>
    <row r="119" spans="2:24" x14ac:dyDescent="0.35">
      <c r="B119" s="995"/>
      <c r="C119" s="995"/>
      <c r="D119" s="995"/>
      <c r="E119" s="995"/>
      <c r="F119" s="995"/>
      <c r="G119" s="995"/>
      <c r="H119" s="995"/>
      <c r="I119" s="995"/>
      <c r="J119" s="995"/>
      <c r="K119" s="1009"/>
      <c r="L119" s="993"/>
      <c r="N119" s="995"/>
      <c r="O119" s="995"/>
      <c r="P119" s="995"/>
      <c r="Q119" s="995"/>
      <c r="R119" s="995"/>
      <c r="S119" s="995"/>
      <c r="T119" s="995"/>
      <c r="U119" s="995"/>
      <c r="V119" s="995"/>
      <c r="W119" s="1009"/>
      <c r="X119" s="993"/>
    </row>
    <row r="120" spans="2:24" x14ac:dyDescent="0.35">
      <c r="B120" s="995"/>
      <c r="C120" s="995"/>
      <c r="D120" s="995"/>
      <c r="E120" s="995"/>
      <c r="F120" s="995"/>
      <c r="G120" s="995"/>
      <c r="H120" s="995"/>
      <c r="I120" s="995"/>
      <c r="J120" s="995"/>
      <c r="K120" s="995"/>
      <c r="L120" s="995"/>
    </row>
  </sheetData>
  <sheetProtection algorithmName="SHA-512" hashValue="iGHCAFEEQPWfIKbcGeShfdVqV7TJX3cgY9j3HQxxGPQ3ZBFQr8OcdTl3Ys35LMGvVN2ztO+ZQG76RB5rsWJ6QQ==" saltValue="aQsNffL53gxwIMCTtMetXQ==" spinCount="100000" sheet="1" objects="1" scenarios="1"/>
  <pageMargins left="0.31" right="0.16" top="0.32" bottom="0.38" header="0.3" footer="0.3"/>
  <pageSetup paperSize="9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5"/>
  <sheetViews>
    <sheetView view="pageBreakPreview" topLeftCell="A73" zoomScale="70" zoomScaleNormal="100" zoomScaleSheetLayoutView="70" zoomScalePageLayoutView="82" workbookViewId="0">
      <selection activeCell="J80" sqref="J80"/>
    </sheetView>
  </sheetViews>
  <sheetFormatPr defaultColWidth="9.26953125" defaultRowHeight="12.5" x14ac:dyDescent="0.25"/>
  <cols>
    <col min="1" max="1" width="5" style="129" customWidth="1"/>
    <col min="2" max="2" width="4.54296875" style="129" customWidth="1"/>
    <col min="3" max="3" width="16.26953125" style="129" customWidth="1"/>
    <col min="4" max="4" width="3" style="129" customWidth="1"/>
    <col min="5" max="9" width="15.1796875" style="129" customWidth="1"/>
    <col min="10" max="10" width="14.7265625" style="129" customWidth="1"/>
    <col min="11" max="11" width="15.1796875" style="129" customWidth="1"/>
    <col min="12" max="12" width="5.26953125" style="129" customWidth="1"/>
    <col min="13" max="13" width="7.7265625" style="129" customWidth="1"/>
    <col min="14" max="14" width="9" style="129" customWidth="1"/>
    <col min="15" max="16" width="9.26953125" style="129"/>
    <col min="17" max="17" width="11.26953125" style="129" customWidth="1"/>
    <col min="18" max="18" width="10.26953125" style="129" customWidth="1"/>
    <col min="19" max="23" width="9.26953125" style="129"/>
    <col min="24" max="24" width="13" style="129" customWidth="1"/>
    <col min="25" max="25" width="9.26953125" style="129" customWidth="1"/>
    <col min="26" max="16384" width="9.26953125" style="129"/>
  </cols>
  <sheetData>
    <row r="1" spans="1:29" ht="18.5" x14ac:dyDescent="0.25">
      <c r="A1" s="1699" t="s">
        <v>501</v>
      </c>
      <c r="B1" s="1699"/>
      <c r="C1" s="1699"/>
      <c r="D1" s="1699"/>
      <c r="E1" s="1699"/>
      <c r="F1" s="1699"/>
      <c r="G1" s="1699"/>
      <c r="H1" s="1699"/>
      <c r="I1" s="1699"/>
      <c r="J1" s="1699"/>
      <c r="K1" s="1699"/>
      <c r="L1" s="442"/>
      <c r="M1" s="70"/>
      <c r="N1" s="70"/>
    </row>
    <row r="2" spans="1:29" ht="17" x14ac:dyDescent="0.25">
      <c r="A2" s="1698" t="str">
        <f>ID!F2&amp;" "&amp;ID!I2</f>
        <v>Nomor Sertifikat : 43 / 19 / III - 25 / E - 009.678 DL</v>
      </c>
      <c r="B2" s="1698"/>
      <c r="C2" s="1698"/>
      <c r="D2" s="1698"/>
      <c r="E2" s="1698"/>
      <c r="F2" s="1698"/>
      <c r="G2" s="1698"/>
      <c r="H2" s="1698"/>
      <c r="I2" s="1698"/>
      <c r="J2" s="1698"/>
      <c r="K2" s="1698"/>
      <c r="L2" s="441" t="s">
        <v>59</v>
      </c>
      <c r="M2" s="352"/>
      <c r="N2" s="352"/>
    </row>
    <row r="3" spans="1:29" ht="15.5" x14ac:dyDescent="0.25">
      <c r="A3" s="1207"/>
      <c r="B3" s="1207"/>
      <c r="C3" s="1207"/>
      <c r="D3" s="1171"/>
      <c r="E3" s="1207"/>
      <c r="F3" s="1207"/>
      <c r="G3" s="1207"/>
      <c r="H3" s="1207"/>
      <c r="I3" s="1207"/>
      <c r="J3" s="1207"/>
      <c r="K3" s="1207"/>
      <c r="L3" s="3"/>
      <c r="M3" s="44"/>
      <c r="N3" s="44"/>
    </row>
    <row r="4" spans="1:29" ht="15.5" x14ac:dyDescent="0.25">
      <c r="A4" s="1154" t="s">
        <v>0</v>
      </c>
      <c r="B4" s="1154"/>
      <c r="C4" s="1155"/>
      <c r="D4" s="1208" t="s">
        <v>1</v>
      </c>
      <c r="E4" s="1157" t="str">
        <f>ID!E4</f>
        <v>x</v>
      </c>
      <c r="F4" s="1171"/>
      <c r="G4" s="1154"/>
      <c r="H4" s="1154"/>
      <c r="I4" s="1154"/>
      <c r="J4" s="1154"/>
      <c r="K4" s="1154"/>
      <c r="L4" s="139"/>
      <c r="M4" s="12"/>
      <c r="N4" s="12"/>
    </row>
    <row r="5" spans="1:29" ht="15.5" x14ac:dyDescent="0.25">
      <c r="A5" s="1154" t="s">
        <v>2</v>
      </c>
      <c r="B5" s="1154"/>
      <c r="C5" s="1155"/>
      <c r="D5" s="1208" t="s">
        <v>1</v>
      </c>
      <c r="E5" s="1157" t="str">
        <f>ID!E5</f>
        <v>s</v>
      </c>
      <c r="F5" s="1171"/>
      <c r="G5" s="1154"/>
      <c r="H5" s="1154"/>
      <c r="I5" s="1154"/>
      <c r="J5" s="1154"/>
      <c r="K5" s="1154"/>
      <c r="L5" s="139"/>
      <c r="M5" s="12"/>
      <c r="N5" s="12"/>
    </row>
    <row r="6" spans="1:29" ht="15.5" x14ac:dyDescent="0.25">
      <c r="A6" s="1154" t="s">
        <v>3</v>
      </c>
      <c r="B6" s="1154"/>
      <c r="C6" s="1155"/>
      <c r="D6" s="1208" t="s">
        <v>1</v>
      </c>
      <c r="E6" s="1157" t="str">
        <f>ID!E6</f>
        <v>d</v>
      </c>
      <c r="F6" s="1171"/>
      <c r="G6" s="1158"/>
      <c r="H6" s="1154"/>
      <c r="I6" s="1154"/>
      <c r="J6" s="1154"/>
      <c r="K6" s="1154"/>
      <c r="L6" s="139"/>
      <c r="M6" s="12"/>
      <c r="N6" s="12"/>
    </row>
    <row r="7" spans="1:29" ht="14.15" customHeight="1" x14ac:dyDescent="0.25">
      <c r="A7" s="1154" t="str">
        <f>ID!A7</f>
        <v>Tanggal Penerimaan Alat</v>
      </c>
      <c r="B7" s="1154"/>
      <c r="C7" s="1155"/>
      <c r="D7" s="1208" t="s">
        <v>1</v>
      </c>
      <c r="E7" s="1157" t="str">
        <f>ID!E7</f>
        <v>s</v>
      </c>
      <c r="F7" s="1171"/>
      <c r="G7" s="1154"/>
      <c r="H7" s="1154"/>
      <c r="I7" s="1154"/>
      <c r="J7" s="1154"/>
      <c r="K7" s="1154"/>
      <c r="L7" s="139"/>
      <c r="M7" s="12"/>
      <c r="N7" s="1677" t="str">
        <f>IF(H26="-",Q15,ID!P28)</f>
        <v>NG</v>
      </c>
      <c r="O7" s="1677"/>
      <c r="P7" s="1674" t="s">
        <v>40</v>
      </c>
      <c r="Q7" s="1674" t="s">
        <v>141</v>
      </c>
      <c r="R7" s="1674" t="s">
        <v>50</v>
      </c>
      <c r="S7" s="139"/>
      <c r="T7" s="1669" t="str">
        <f>IF(E16="-",T10,IF(H24="-",T11,IF(OR(H26="-",N7=Q15),T8,IF(OR(Q9&gt;R9,C26=T16),"",IF(H26&gt;J26,T9,"")))))</f>
        <v>Tidak dilakukan pengujian keselamatan listrik</v>
      </c>
      <c r="U7" s="1669"/>
      <c r="V7" s="1669"/>
      <c r="W7" s="1669"/>
      <c r="X7" s="1669"/>
      <c r="Y7" s="1669"/>
      <c r="Z7" s="1669"/>
      <c r="AA7" s="1669"/>
      <c r="AB7" s="1669"/>
      <c r="AC7" s="156"/>
    </row>
    <row r="8" spans="1:29" ht="14.15" customHeight="1" x14ac:dyDescent="0.25">
      <c r="A8" s="1154" t="s">
        <v>566</v>
      </c>
      <c r="B8" s="1154"/>
      <c r="C8" s="1155"/>
      <c r="D8" s="1208" t="s">
        <v>1</v>
      </c>
      <c r="E8" s="1157" t="str">
        <f>ID!E8</f>
        <v>d</v>
      </c>
      <c r="F8" s="1171"/>
      <c r="G8" s="1154"/>
      <c r="H8" s="1154"/>
      <c r="I8" s="1154"/>
      <c r="J8" s="1154"/>
      <c r="K8" s="1154"/>
      <c r="L8" s="139"/>
      <c r="M8" s="12"/>
      <c r="N8" s="1677"/>
      <c r="O8" s="1677"/>
      <c r="P8" s="1674"/>
      <c r="Q8" s="1674"/>
      <c r="R8" s="1674"/>
      <c r="S8" s="139"/>
      <c r="T8" s="1670" t="s">
        <v>195</v>
      </c>
      <c r="U8" s="1670"/>
      <c r="V8" s="1670"/>
      <c r="W8" s="1670"/>
      <c r="X8" s="1670"/>
      <c r="Y8" s="1670"/>
      <c r="Z8" s="1670"/>
      <c r="AA8" s="1670"/>
      <c r="AB8" s="1670"/>
      <c r="AC8" s="156"/>
    </row>
    <row r="9" spans="1:29" ht="15.5" x14ac:dyDescent="0.25">
      <c r="A9" s="1154" t="s">
        <v>565</v>
      </c>
      <c r="B9" s="1154"/>
      <c r="C9" s="1155"/>
      <c r="D9" s="1208" t="s">
        <v>1</v>
      </c>
      <c r="E9" s="1157" t="str">
        <f>ID!E9</f>
        <v>f</v>
      </c>
      <c r="F9" s="1171"/>
      <c r="G9" s="1154"/>
      <c r="H9" s="1154"/>
      <c r="I9" s="1154"/>
      <c r="J9" s="1154"/>
      <c r="K9" s="1154"/>
      <c r="L9" s="139"/>
      <c r="M9" s="12"/>
      <c r="N9" s="353" t="s">
        <v>147</v>
      </c>
      <c r="O9" s="444" t="s">
        <v>148</v>
      </c>
      <c r="P9" s="439">
        <f>ID!R30</f>
        <v>10</v>
      </c>
      <c r="Q9" s="445">
        <f>ESA!P142</f>
        <v>24.674821022208498</v>
      </c>
      <c r="R9" s="446">
        <v>100</v>
      </c>
      <c r="S9" s="139"/>
      <c r="T9" s="1670" t="s">
        <v>196</v>
      </c>
      <c r="U9" s="1670"/>
      <c r="V9" s="1670"/>
      <c r="W9" s="1670"/>
      <c r="X9" s="1670"/>
      <c r="Y9" s="1670"/>
      <c r="Z9" s="1670"/>
      <c r="AA9" s="1670"/>
      <c r="AB9" s="1670"/>
      <c r="AC9" s="156"/>
    </row>
    <row r="10" spans="1:29" ht="15.5" x14ac:dyDescent="0.25">
      <c r="A10" s="1154" t="s">
        <v>7</v>
      </c>
      <c r="B10" s="1154"/>
      <c r="C10" s="1155"/>
      <c r="D10" s="1208" t="s">
        <v>1</v>
      </c>
      <c r="E10" s="1157" t="str">
        <f>ID!E10</f>
        <v>g</v>
      </c>
      <c r="F10" s="1171"/>
      <c r="G10" s="1154"/>
      <c r="H10" s="1154"/>
      <c r="I10" s="1154"/>
      <c r="J10" s="1154"/>
      <c r="K10" s="1154"/>
      <c r="L10" s="139"/>
      <c r="M10" s="12"/>
      <c r="N10" s="322"/>
      <c r="O10" s="322"/>
      <c r="P10" s="322"/>
      <c r="Q10" s="322"/>
      <c r="R10" s="322"/>
      <c r="S10" s="139"/>
      <c r="T10" s="448" t="s">
        <v>197</v>
      </c>
      <c r="U10" s="449"/>
      <c r="V10" s="449"/>
      <c r="W10" s="449"/>
      <c r="X10" s="449"/>
      <c r="Y10" s="449"/>
      <c r="Z10" s="449"/>
      <c r="AA10" s="449"/>
      <c r="AB10" s="450"/>
      <c r="AC10" s="398"/>
    </row>
    <row r="11" spans="1:29" ht="15.65" customHeight="1" x14ac:dyDescent="0.25">
      <c r="A11" s="1154" t="s">
        <v>8</v>
      </c>
      <c r="B11" s="1154"/>
      <c r="C11" s="1155"/>
      <c r="D11" s="1208" t="s">
        <v>1</v>
      </c>
      <c r="E11" s="1209" t="str">
        <f>ID!E11</f>
        <v>KL.MK 13</v>
      </c>
      <c r="F11" s="1171"/>
      <c r="G11" s="1154"/>
      <c r="H11" s="1154"/>
      <c r="I11" s="1154"/>
      <c r="J11" s="1154"/>
      <c r="K11" s="1154"/>
      <c r="L11" s="139"/>
      <c r="M11" s="12"/>
      <c r="N11" s="322"/>
      <c r="O11" s="322"/>
      <c r="P11" s="322"/>
      <c r="Q11" s="322"/>
      <c r="R11" s="322"/>
      <c r="S11" s="139"/>
      <c r="T11" s="448" t="s">
        <v>358</v>
      </c>
      <c r="U11" s="449"/>
      <c r="V11" s="449"/>
      <c r="W11" s="449"/>
      <c r="X11" s="449"/>
      <c r="Y11" s="449"/>
      <c r="Z11" s="449"/>
      <c r="AA11" s="449"/>
      <c r="AB11" s="450"/>
      <c r="AC11" s="398"/>
    </row>
    <row r="12" spans="1:29" ht="15.65" customHeight="1" x14ac:dyDescent="0.25">
      <c r="A12" s="1154"/>
      <c r="B12" s="1154"/>
      <c r="C12" s="1154"/>
      <c r="D12" s="1210"/>
      <c r="E12" s="1154"/>
      <c r="F12" s="1171"/>
      <c r="G12" s="1154"/>
      <c r="H12" s="1154"/>
      <c r="I12" s="1154"/>
      <c r="J12" s="1154"/>
      <c r="K12" s="1154"/>
      <c r="L12" s="139"/>
      <c r="M12" s="12"/>
      <c r="N12" s="322"/>
      <c r="O12" s="322"/>
      <c r="P12" s="322"/>
      <c r="Q12" s="322"/>
      <c r="R12" s="322"/>
      <c r="S12" s="139"/>
      <c r="T12" s="1671" t="s">
        <v>120</v>
      </c>
      <c r="U12" s="1672"/>
      <c r="V12" s="1672"/>
      <c r="W12" s="1672"/>
      <c r="X12" s="1672"/>
      <c r="Y12" s="1672"/>
      <c r="Z12" s="1673"/>
      <c r="AA12" s="322"/>
      <c r="AB12" s="322"/>
      <c r="AC12" s="156"/>
    </row>
    <row r="13" spans="1:29" ht="15.5" x14ac:dyDescent="0.2">
      <c r="A13" s="1159" t="s">
        <v>9</v>
      </c>
      <c r="B13" s="1159" t="str">
        <f>ID!B13</f>
        <v>Kondisi Ruang</v>
      </c>
      <c r="C13" s="1154"/>
      <c r="D13" s="1210"/>
      <c r="E13" s="1154"/>
      <c r="F13" s="1171"/>
      <c r="G13" s="1154"/>
      <c r="H13" s="1156"/>
      <c r="I13" s="1154"/>
      <c r="J13" s="1154"/>
      <c r="K13" s="1154"/>
      <c r="L13" s="139" t="s">
        <v>124</v>
      </c>
      <c r="M13" s="12"/>
      <c r="N13" s="1674" t="s">
        <v>198</v>
      </c>
      <c r="O13" s="1675" t="s">
        <v>50</v>
      </c>
      <c r="P13" s="322"/>
      <c r="Q13" s="353" t="s">
        <v>199</v>
      </c>
      <c r="R13" s="322"/>
      <c r="S13" s="139"/>
      <c r="T13" s="412" t="s">
        <v>200</v>
      </c>
      <c r="U13" s="413"/>
      <c r="V13" s="413"/>
      <c r="W13" s="413"/>
      <c r="X13" s="413"/>
      <c r="Y13" s="414"/>
      <c r="Z13" s="353">
        <v>0.2</v>
      </c>
      <c r="AA13" s="322" t="s">
        <v>201</v>
      </c>
      <c r="AB13" s="415"/>
      <c r="AC13" s="156"/>
    </row>
    <row r="14" spans="1:29" ht="15.5" x14ac:dyDescent="0.2">
      <c r="A14" s="1154"/>
      <c r="B14" s="1154" t="s">
        <v>13</v>
      </c>
      <c r="C14" s="1155"/>
      <c r="D14" s="1208" t="s">
        <v>1</v>
      </c>
      <c r="E14" s="1211" t="str">
        <f>L13&amp;LH!E16&amp;PENYELIA!L15&amp;LH!G16&amp;PENYELIA!L14</f>
        <v>( 23.2 ± 0.3 )</v>
      </c>
      <c r="F14" s="1171"/>
      <c r="G14" s="1212"/>
      <c r="H14" s="1185"/>
      <c r="I14" s="1156"/>
      <c r="J14" s="1154"/>
      <c r="K14" s="1154"/>
      <c r="L14" s="139" t="s">
        <v>343</v>
      </c>
      <c r="M14" s="12"/>
      <c r="N14" s="1674"/>
      <c r="O14" s="1676"/>
      <c r="P14" s="322"/>
      <c r="Q14" s="353" t="s">
        <v>116</v>
      </c>
      <c r="R14" s="322"/>
      <c r="S14" s="139"/>
      <c r="T14" s="416" t="s">
        <v>145</v>
      </c>
      <c r="U14" s="417"/>
      <c r="V14" s="417"/>
      <c r="W14" s="417"/>
      <c r="X14" s="417"/>
      <c r="Y14" s="418"/>
      <c r="Z14" s="353">
        <v>0.3</v>
      </c>
      <c r="AA14" s="322" t="s">
        <v>202</v>
      </c>
      <c r="AB14" s="415"/>
      <c r="AC14" s="156"/>
    </row>
    <row r="15" spans="1:29" ht="15.5" x14ac:dyDescent="0.2">
      <c r="A15" s="1154"/>
      <c r="B15" s="1154" t="s">
        <v>15</v>
      </c>
      <c r="C15" s="1155"/>
      <c r="D15" s="1208" t="s">
        <v>1</v>
      </c>
      <c r="E15" s="1211" t="str">
        <f>L13&amp;LH!E17&amp;PENYELIA!L15&amp;LH!G17&amp;L14</f>
        <v>( 39.2 ± 2.6 )</v>
      </c>
      <c r="F15" s="1171"/>
      <c r="G15" s="1212"/>
      <c r="H15" s="1185"/>
      <c r="I15" s="1156"/>
      <c r="J15" s="1154"/>
      <c r="K15" s="1154"/>
      <c r="L15" s="139" t="s">
        <v>125</v>
      </c>
      <c r="M15" s="12"/>
      <c r="N15" s="445" t="str">
        <f>IF(OR(P9="",C26=T16,N7=Q15),H26,IF(H26&gt;J26,Q9,H26))</f>
        <v>-</v>
      </c>
      <c r="O15" s="447">
        <f>IF(OR(P9="",C26=T16,N7=Q15),J26,IF(H26&gt;J26,R9,J26))</f>
        <v>500</v>
      </c>
      <c r="P15" s="322"/>
      <c r="Q15" s="353" t="s">
        <v>143</v>
      </c>
      <c r="R15" s="322"/>
      <c r="S15" s="139"/>
      <c r="T15" s="419" t="s">
        <v>146</v>
      </c>
      <c r="U15" s="420"/>
      <c r="V15" s="420"/>
      <c r="W15" s="420"/>
      <c r="X15" s="420"/>
      <c r="Y15" s="418"/>
      <c r="Z15" s="353">
        <v>500</v>
      </c>
      <c r="AA15" s="415"/>
      <c r="AB15" s="415"/>
      <c r="AC15" s="156"/>
    </row>
    <row r="16" spans="1:29" ht="15.5" x14ac:dyDescent="0.2">
      <c r="A16" s="1154"/>
      <c r="B16" s="1154" t="s">
        <v>17</v>
      </c>
      <c r="C16" s="1155"/>
      <c r="D16" s="1208" t="s">
        <v>1</v>
      </c>
      <c r="E16" s="1213" t="str">
        <f>IF(ID!E18="-","-",ESA!N144)</f>
        <v>( 220.1 ± 2.6 ) Volt</v>
      </c>
      <c r="F16" s="1214"/>
      <c r="G16" s="1154"/>
      <c r="H16" s="1154"/>
      <c r="I16" s="1154"/>
      <c r="J16" s="1154"/>
      <c r="K16" s="1154"/>
      <c r="L16" s="139"/>
      <c r="M16" s="12"/>
      <c r="N16" s="139"/>
      <c r="O16" s="139"/>
      <c r="P16" s="139"/>
      <c r="Q16" s="411"/>
      <c r="R16" s="139"/>
      <c r="S16" s="139"/>
      <c r="T16" s="419" t="s">
        <v>203</v>
      </c>
      <c r="U16" s="420"/>
      <c r="V16" s="420"/>
      <c r="W16" s="420"/>
      <c r="X16" s="420"/>
      <c r="Y16" s="418"/>
      <c r="Z16" s="353">
        <v>100</v>
      </c>
      <c r="AA16" s="415"/>
      <c r="AB16" s="415"/>
      <c r="AC16" s="156"/>
    </row>
    <row r="17" spans="1:27" ht="15.5" x14ac:dyDescent="0.25">
      <c r="A17" s="1154"/>
      <c r="B17" s="1154"/>
      <c r="C17" s="1155"/>
      <c r="D17" s="1171"/>
      <c r="E17" s="1161"/>
      <c r="F17" s="1154"/>
      <c r="G17" s="1154"/>
      <c r="H17" s="1154"/>
      <c r="I17" s="1154"/>
      <c r="J17" s="1154"/>
      <c r="K17" s="1154"/>
      <c r="L17" s="139"/>
      <c r="M17" s="12"/>
      <c r="N17" s="12"/>
    </row>
    <row r="18" spans="1:27" ht="16.5" x14ac:dyDescent="0.25">
      <c r="A18" s="1159" t="s">
        <v>204</v>
      </c>
      <c r="B18" s="1159" t="str">
        <f>ID!B20</f>
        <v>Pemeriksaan Kondisi Fisik dan Fungsi Alat</v>
      </c>
      <c r="C18" s="1154"/>
      <c r="D18" s="1171"/>
      <c r="E18" s="1154"/>
      <c r="F18" s="1154"/>
      <c r="G18" s="1154"/>
      <c r="H18" s="1215"/>
      <c r="I18" s="1154"/>
      <c r="J18" s="1154"/>
      <c r="K18" s="1154"/>
      <c r="L18" s="139"/>
      <c r="M18" s="12"/>
      <c r="N18" s="12"/>
    </row>
    <row r="19" spans="1:27" ht="16.5" x14ac:dyDescent="0.25">
      <c r="A19" s="1159"/>
      <c r="B19" s="1154" t="s">
        <v>21</v>
      </c>
      <c r="C19" s="1155"/>
      <c r="D19" s="1208" t="s">
        <v>1</v>
      </c>
      <c r="E19" s="1157" t="str">
        <f>ID!$E$22</f>
        <v>Baik</v>
      </c>
      <c r="F19" s="1171"/>
      <c r="G19" s="1154"/>
      <c r="H19" s="1215"/>
      <c r="I19" s="1154"/>
      <c r="J19" s="1154"/>
      <c r="K19" s="1154"/>
      <c r="L19" s="338"/>
      <c r="M19" s="12"/>
      <c r="N19" s="12"/>
      <c r="P19" s="354">
        <f>IF(E19="Baik",5,0)</f>
        <v>5</v>
      </c>
    </row>
    <row r="20" spans="1:27" ht="16.5" x14ac:dyDescent="0.25">
      <c r="A20" s="1154"/>
      <c r="B20" s="1154" t="s">
        <v>23</v>
      </c>
      <c r="C20" s="1155"/>
      <c r="D20" s="1208" t="s">
        <v>1</v>
      </c>
      <c r="E20" s="1157" t="str">
        <f>ID!$E$23</f>
        <v>Baik</v>
      </c>
      <c r="F20" s="1171"/>
      <c r="G20" s="1154"/>
      <c r="H20" s="1215"/>
      <c r="I20" s="1154"/>
      <c r="J20" s="1154"/>
      <c r="K20" s="1154"/>
      <c r="L20" s="338"/>
      <c r="M20" s="364">
        <f>IF(H26="-",0,IF(H26&gt;=J26,0,IF(H26&lt;=J26,1)))</f>
        <v>0</v>
      </c>
      <c r="N20" s="12"/>
      <c r="P20" s="354">
        <f>IF(E20="Baik",5,0)</f>
        <v>5</v>
      </c>
      <c r="Q20" s="355">
        <f>SUM(P19:P20)</f>
        <v>10</v>
      </c>
    </row>
    <row r="21" spans="1:27" ht="16.5" customHeight="1" x14ac:dyDescent="0.25">
      <c r="A21" s="1154"/>
      <c r="B21" s="1154"/>
      <c r="C21" s="1154"/>
      <c r="D21" s="1171"/>
      <c r="E21" s="1154"/>
      <c r="F21" s="1162"/>
      <c r="G21" s="1154"/>
      <c r="H21" s="1215"/>
      <c r="I21" s="1154"/>
      <c r="J21" s="1154"/>
      <c r="K21" s="1154"/>
      <c r="L21" s="338"/>
      <c r="M21" s="12"/>
      <c r="N21" s="12"/>
    </row>
    <row r="22" spans="1:27" ht="16.5" customHeight="1" x14ac:dyDescent="0.25">
      <c r="A22" s="1159" t="s">
        <v>24</v>
      </c>
      <c r="B22" s="1159" t="str">
        <f>ID!B25</f>
        <v xml:space="preserve">Pengujian keselamatan listrik </v>
      </c>
      <c r="C22" s="1154"/>
      <c r="D22" s="1171"/>
      <c r="E22" s="1154"/>
      <c r="F22" s="1162"/>
      <c r="G22" s="1154"/>
      <c r="H22" s="1215"/>
      <c r="I22" s="1154"/>
      <c r="J22" s="1154"/>
      <c r="K22" s="1154"/>
      <c r="L22" s="338"/>
      <c r="M22" s="12"/>
    </row>
    <row r="23" spans="1:27" ht="15.75" customHeight="1" x14ac:dyDescent="0.25">
      <c r="A23" s="1171"/>
      <c r="B23" s="1216" t="s">
        <v>26</v>
      </c>
      <c r="C23" s="1688" t="s">
        <v>27</v>
      </c>
      <c r="D23" s="1690"/>
      <c r="E23" s="1690"/>
      <c r="F23" s="1690"/>
      <c r="G23" s="1689"/>
      <c r="H23" s="1688" t="s">
        <v>28</v>
      </c>
      <c r="I23" s="1689"/>
      <c r="J23" s="1688" t="s">
        <v>29</v>
      </c>
      <c r="K23" s="1689"/>
      <c r="L23" s="338"/>
      <c r="M23" s="12"/>
      <c r="N23" s="12"/>
      <c r="T23" s="357"/>
      <c r="U23" s="358"/>
    </row>
    <row r="24" spans="1:27" ht="15.75" customHeight="1" x14ac:dyDescent="0.25">
      <c r="A24" s="1171"/>
      <c r="B24" s="1165">
        <v>1</v>
      </c>
      <c r="C24" s="1700" t="s">
        <v>30</v>
      </c>
      <c r="D24" s="1701"/>
      <c r="E24" s="1701"/>
      <c r="F24" s="1701"/>
      <c r="G24" s="1702"/>
      <c r="H24" s="1217" t="str">
        <f>ESA!P138</f>
        <v>-</v>
      </c>
      <c r="I24" s="1218" t="str">
        <f>IF(H24="-","",IF(H24="OL",""," MΩ"))</f>
        <v/>
      </c>
      <c r="J24" s="1219">
        <f>ID!J28</f>
        <v>2</v>
      </c>
      <c r="K24" s="1220" t="s">
        <v>33</v>
      </c>
      <c r="L24" s="359"/>
      <c r="M24" s="969"/>
      <c r="O24" s="12"/>
      <c r="P24" s="968">
        <f>IF(OR(H24="-",H24="OL",H24&gt;J24),10,0)</f>
        <v>10</v>
      </c>
      <c r="R24" s="399"/>
      <c r="T24" s="360"/>
      <c r="U24" s="361"/>
      <c r="W24" s="362"/>
      <c r="Y24" s="972"/>
      <c r="AA24" s="363"/>
    </row>
    <row r="25" spans="1:27" ht="15.75" customHeight="1" x14ac:dyDescent="0.25">
      <c r="A25" s="1171"/>
      <c r="B25" s="1165">
        <v>2</v>
      </c>
      <c r="C25" s="1703" t="str">
        <f>ID!C29</f>
        <v>Resistansi Pembumian Protektif (kabel dapat dilepas)</v>
      </c>
      <c r="D25" s="1704"/>
      <c r="E25" s="1704"/>
      <c r="F25" s="1704"/>
      <c r="G25" s="1705"/>
      <c r="H25" s="1238" t="str">
        <f>ESA!P139</f>
        <v>-</v>
      </c>
      <c r="I25" s="1218" t="str">
        <f>IF(H25="-","",IF(H25="OL",""," Ω"))</f>
        <v/>
      </c>
      <c r="J25" s="1233">
        <f>ID!J29</f>
        <v>0.2</v>
      </c>
      <c r="K25" s="1220" t="s">
        <v>512</v>
      </c>
      <c r="L25" s="359"/>
      <c r="M25" s="969"/>
      <c r="O25" s="12"/>
      <c r="P25" s="968">
        <f>IF(OR(H25="-",H25="OL",H25&lt;=J25,C26=T16),10,0)</f>
        <v>10</v>
      </c>
      <c r="R25" s="399"/>
      <c r="Y25" s="972"/>
      <c r="AA25" s="363"/>
    </row>
    <row r="26" spans="1:27" ht="15.75" customHeight="1" x14ac:dyDescent="0.25">
      <c r="A26" s="1171"/>
      <c r="B26" s="1165">
        <v>3</v>
      </c>
      <c r="C26" s="1706" t="str">
        <f>ID!C30</f>
        <v>Arus bocor peralatan untuk peralatan elektromedik kelas I</v>
      </c>
      <c r="D26" s="1707"/>
      <c r="E26" s="1707"/>
      <c r="F26" s="1707"/>
      <c r="G26" s="1708"/>
      <c r="H26" s="1217" t="str">
        <f>ESA!P140</f>
        <v>-</v>
      </c>
      <c r="I26" s="1218" t="str">
        <f>IF(PENYELIA!H26="-","",IF(PENYELIA!H26="OL",""," µA"))</f>
        <v/>
      </c>
      <c r="J26" s="1221">
        <f>ID!J30</f>
        <v>500</v>
      </c>
      <c r="K26" s="1220" t="s">
        <v>513</v>
      </c>
      <c r="M26" s="969"/>
      <c r="O26" s="12"/>
      <c r="P26" s="968">
        <f>IF(H26="",0,IF(H26="-",0,IF(Q9&gt;=R9,"OVER",IF(H26&gt;=J26,0,IF(H26&lt;=J26,10)))))</f>
        <v>0</v>
      </c>
      <c r="R26" s="156"/>
      <c r="Y26" s="972"/>
      <c r="AA26" s="363"/>
    </row>
    <row r="27" spans="1:27" ht="15.75" customHeight="1" x14ac:dyDescent="0.25">
      <c r="A27" s="1171"/>
      <c r="B27" s="1165">
        <v>4</v>
      </c>
      <c r="C27" s="1687" t="s">
        <v>44</v>
      </c>
      <c r="D27" s="1687"/>
      <c r="E27" s="1687"/>
      <c r="F27" s="1687"/>
      <c r="G27" s="1687"/>
      <c r="H27" s="1217" t="str">
        <f>ESA!P141</f>
        <v>-</v>
      </c>
      <c r="I27" s="1218" t="str">
        <f>IF(H27="-","",IF(H27="OL",""," µA"))</f>
        <v/>
      </c>
      <c r="J27" s="1219" t="str">
        <f>ID!J31</f>
        <v>≤ 50</v>
      </c>
      <c r="K27" s="1220" t="s">
        <v>513</v>
      </c>
      <c r="L27" s="359"/>
      <c r="M27" s="969"/>
      <c r="O27" s="12"/>
      <c r="P27" s="968">
        <f>IF(H27="-",0,IF(H27&lt;=J27,10,IF(H27&gt;=J27,"OVER")))</f>
        <v>0</v>
      </c>
      <c r="Q27" s="443">
        <f>IF(P26="OVER",0,IF(P27="OVER",0,SUM(P24:P27)))</f>
        <v>20</v>
      </c>
      <c r="R27" s="399"/>
      <c r="Y27" s="972"/>
    </row>
    <row r="28" spans="1:27" ht="16.5" x14ac:dyDescent="0.25">
      <c r="A28" s="1154"/>
      <c r="B28" s="1222"/>
      <c r="C28" s="1154"/>
      <c r="D28" s="1171"/>
      <c r="E28" s="1154"/>
      <c r="F28" s="1162"/>
      <c r="G28" s="1154"/>
      <c r="H28" s="1223"/>
      <c r="I28" s="1222"/>
      <c r="J28" s="1154"/>
      <c r="K28" s="1154"/>
      <c r="L28" s="139"/>
      <c r="M28" s="970"/>
      <c r="O28" s="12"/>
      <c r="R28" s="397"/>
      <c r="Y28" s="970"/>
      <c r="AA28" s="363"/>
    </row>
    <row r="29" spans="1:27" ht="15.5" x14ac:dyDescent="0.25">
      <c r="A29" s="1170" t="s">
        <v>46</v>
      </c>
      <c r="B29" s="1170" t="str">
        <f>ID!B33</f>
        <v>Pengujian Kinerja</v>
      </c>
      <c r="C29" s="1154"/>
      <c r="D29" s="1171"/>
      <c r="E29" s="1154"/>
      <c r="F29" s="1154"/>
      <c r="G29" s="1154"/>
      <c r="H29" s="1154"/>
      <c r="I29" s="1154"/>
      <c r="J29" s="1154"/>
      <c r="K29" s="1154"/>
      <c r="L29" s="139"/>
      <c r="M29" s="12"/>
      <c r="N29" s="12"/>
    </row>
    <row r="30" spans="1:27" ht="15.5" x14ac:dyDescent="0.25">
      <c r="A30" s="1170"/>
      <c r="B30" s="1170"/>
      <c r="C30" s="1154"/>
      <c r="D30" s="1171"/>
      <c r="E30" s="1154"/>
      <c r="F30" s="1154"/>
      <c r="G30" s="1154"/>
      <c r="H30" s="1154"/>
      <c r="I30" s="1154"/>
      <c r="J30" s="1154"/>
      <c r="K30" s="1154"/>
      <c r="L30" s="139"/>
      <c r="M30" s="12"/>
      <c r="N30" s="12"/>
    </row>
    <row r="31" spans="1:27" ht="15.5" x14ac:dyDescent="0.25">
      <c r="A31" s="1170"/>
      <c r="B31" s="1170" t="str">
        <f>ID!B35</f>
        <v xml:space="preserve">a. </v>
      </c>
      <c r="C31" s="1170" t="str">
        <f>ID!C35</f>
        <v>Pengamatan Transmisi Energi Gelombang Pendek</v>
      </c>
      <c r="D31" s="1171"/>
      <c r="E31" s="1154"/>
      <c r="F31" s="1154"/>
      <c r="G31" s="1154"/>
      <c r="H31" s="1154"/>
      <c r="I31" s="1154"/>
      <c r="J31" s="1154"/>
      <c r="K31" s="1154"/>
      <c r="L31" s="139"/>
      <c r="M31" s="12"/>
      <c r="N31" s="12"/>
    </row>
    <row r="32" spans="1:27" ht="6" customHeight="1" x14ac:dyDescent="0.25">
      <c r="A32" s="1170"/>
      <c r="B32" s="1170"/>
      <c r="C32" s="1170"/>
      <c r="D32" s="1170"/>
      <c r="E32" s="1170"/>
      <c r="F32" s="1170"/>
      <c r="G32" s="1170"/>
      <c r="H32" s="1170"/>
      <c r="I32" s="1170"/>
      <c r="J32" s="1154"/>
      <c r="K32" s="1154"/>
      <c r="L32" s="139"/>
      <c r="M32" s="12"/>
      <c r="N32" s="12"/>
    </row>
    <row r="33" spans="1:16" ht="15.5" x14ac:dyDescent="0.25">
      <c r="A33" s="1170"/>
      <c r="B33" s="1651" t="str">
        <f>ID!B37</f>
        <v>Pengamatan</v>
      </c>
      <c r="C33" s="1651"/>
      <c r="D33" s="1651" t="str">
        <f>ID!D37</f>
        <v>Setting Alat</v>
      </c>
      <c r="E33" s="1651"/>
      <c r="F33" s="1165" t="str">
        <f>ID!G37</f>
        <v>Penunjukan</v>
      </c>
      <c r="G33" s="1165" t="str">
        <f>ID!I37</f>
        <v>Hasil</v>
      </c>
      <c r="H33" s="1170"/>
      <c r="I33" s="1170"/>
      <c r="J33" s="1154"/>
      <c r="K33" s="1154"/>
      <c r="L33" s="139"/>
      <c r="M33" s="12"/>
      <c r="N33" s="12"/>
    </row>
    <row r="34" spans="1:16" ht="40.5" customHeight="1" x14ac:dyDescent="0.25">
      <c r="A34" s="1170"/>
      <c r="B34" s="1652" t="str">
        <f>ID!B38</f>
        <v>Lampu / Tabung Flourosen</v>
      </c>
      <c r="C34" s="1652"/>
      <c r="D34" s="1652" t="str">
        <f>ID!D38</f>
        <v>0 - 50 Watt / 0.5 dari nilai lampu / tabung flourosen</v>
      </c>
      <c r="E34" s="1652"/>
      <c r="F34" s="1165" t="str">
        <f>ID!G38</f>
        <v>Menyala</v>
      </c>
      <c r="G34" s="1165" t="str">
        <f>ID!I38</f>
        <v>Baik</v>
      </c>
      <c r="H34" s="1170"/>
      <c r="I34" s="1170"/>
      <c r="J34" s="1154"/>
      <c r="K34" s="1154"/>
      <c r="L34" s="139"/>
      <c r="M34" s="129">
        <f>IF((G34="baik"),1,0)</f>
        <v>1</v>
      </c>
      <c r="N34" s="12"/>
    </row>
    <row r="35" spans="1:16" ht="4" customHeight="1" x14ac:dyDescent="0.25">
      <c r="A35" s="1170"/>
      <c r="B35" s="1173"/>
      <c r="C35" s="1173"/>
      <c r="D35" s="1173"/>
      <c r="E35" s="1173"/>
      <c r="F35" s="1224"/>
      <c r="G35" s="1224"/>
      <c r="H35" s="1170"/>
      <c r="I35" s="1170"/>
      <c r="J35" s="1154"/>
      <c r="K35" s="1154"/>
      <c r="L35" s="139"/>
      <c r="M35" s="12"/>
      <c r="N35" s="12"/>
    </row>
    <row r="36" spans="1:16" ht="15" customHeight="1" x14ac:dyDescent="0.25">
      <c r="A36" s="1170"/>
      <c r="B36" s="1174" t="str">
        <f>ID!B40</f>
        <v xml:space="preserve">b. </v>
      </c>
      <c r="C36" s="1189" t="str">
        <f>ID!C40</f>
        <v>Kalibrasi</v>
      </c>
      <c r="D36" s="1174"/>
      <c r="E36" s="1174"/>
      <c r="F36" s="1170"/>
      <c r="G36" s="1170"/>
      <c r="H36" s="1170"/>
      <c r="I36" s="1170"/>
      <c r="J36" s="1154"/>
      <c r="K36" s="1154"/>
      <c r="L36" s="139"/>
      <c r="M36" s="12"/>
      <c r="N36" s="12"/>
    </row>
    <row r="37" spans="1:16" ht="5.15" customHeight="1" x14ac:dyDescent="0.25">
      <c r="A37" s="1170"/>
      <c r="B37" s="1174"/>
      <c r="C37" s="1174"/>
      <c r="D37" s="1174"/>
      <c r="E37" s="1174"/>
      <c r="F37" s="1170"/>
      <c r="G37" s="1170"/>
      <c r="H37" s="1170"/>
      <c r="I37" s="1170"/>
      <c r="J37" s="1154"/>
      <c r="K37" s="1154"/>
      <c r="L37" s="139"/>
      <c r="M37" s="12"/>
      <c r="N37" s="12"/>
    </row>
    <row r="38" spans="1:16" ht="15" customHeight="1" x14ac:dyDescent="0.25">
      <c r="A38" s="1170"/>
      <c r="B38" s="1174"/>
      <c r="C38" s="1648" t="str">
        <f>ID!C42</f>
        <v>- Frekuensi Output</v>
      </c>
      <c r="D38" s="1648"/>
      <c r="E38" s="1648"/>
      <c r="F38" s="1170"/>
      <c r="G38" s="1170"/>
      <c r="H38" s="1170"/>
      <c r="I38" s="1170"/>
      <c r="J38" s="1154"/>
      <c r="K38" s="1154"/>
      <c r="L38" s="139"/>
      <c r="M38" s="12"/>
      <c r="N38" s="12"/>
    </row>
    <row r="39" spans="1:16" ht="6" customHeight="1" x14ac:dyDescent="0.25">
      <c r="A39" s="1170"/>
      <c r="B39" s="1174"/>
      <c r="C39" s="1174"/>
      <c r="D39" s="1174"/>
      <c r="E39" s="1174"/>
      <c r="F39" s="1170"/>
      <c r="G39" s="1170"/>
      <c r="H39" s="1170"/>
      <c r="I39" s="1170"/>
      <c r="J39" s="1154"/>
      <c r="K39" s="1154"/>
      <c r="L39" s="139"/>
      <c r="M39" s="12"/>
      <c r="N39" s="12"/>
    </row>
    <row r="40" spans="1:16" ht="15" customHeight="1" x14ac:dyDescent="0.25">
      <c r="A40" s="1170"/>
      <c r="B40" s="1649" t="str">
        <f>ID!B44</f>
        <v>Nilai Pengenal</v>
      </c>
      <c r="C40" s="1650"/>
      <c r="D40" s="1650"/>
      <c r="E40" s="1656" t="s">
        <v>49</v>
      </c>
      <c r="F40" s="1710" t="s">
        <v>95</v>
      </c>
      <c r="G40" s="1711" t="s">
        <v>50</v>
      </c>
      <c r="H40" s="1712" t="s">
        <v>568</v>
      </c>
      <c r="I40" s="1171"/>
      <c r="J40" s="1154"/>
      <c r="K40" s="1154"/>
      <c r="L40" s="139"/>
      <c r="M40" s="12"/>
      <c r="N40" s="12"/>
    </row>
    <row r="41" spans="1:16" ht="30.65" customHeight="1" x14ac:dyDescent="0.25">
      <c r="A41" s="1170"/>
      <c r="B41" s="1649" t="str">
        <f>ID!B45</f>
        <v>(MHz)</v>
      </c>
      <c r="C41" s="1650"/>
      <c r="D41" s="1650"/>
      <c r="E41" s="1656"/>
      <c r="F41" s="1710"/>
      <c r="G41" s="1711"/>
      <c r="H41" s="1712"/>
      <c r="I41" s="1171"/>
      <c r="J41" s="1154"/>
      <c r="K41" s="1154"/>
      <c r="L41" s="139"/>
      <c r="M41" s="12"/>
      <c r="N41" s="12"/>
    </row>
    <row r="42" spans="1:16" ht="30" customHeight="1" x14ac:dyDescent="0.25">
      <c r="A42" s="1170"/>
      <c r="B42" s="1649">
        <f>ID!B46</f>
        <v>27.12</v>
      </c>
      <c r="C42" s="1650"/>
      <c r="D42" s="1650"/>
      <c r="E42" s="1225">
        <f>IFERROR(SCOPE!F195,"-")</f>
        <v>27.120010000000001</v>
      </c>
      <c r="F42" s="1194">
        <f>IFERROR(SCOPE!K195,"-")</f>
        <v>9.9999999996214228E-6</v>
      </c>
      <c r="G42" s="1172" t="str">
        <f>LK!J46</f>
        <v>26.96 - 27.28</v>
      </c>
      <c r="H42" s="1195">
        <f>IFERROR(SCOPE!N195,"-")</f>
        <v>7.8987321616993497E-2</v>
      </c>
      <c r="I42" s="1171"/>
      <c r="J42" s="1154"/>
      <c r="K42" s="1154"/>
      <c r="L42" s="139"/>
      <c r="M42" s="1143">
        <f>ABS(F42)+ABS(H42)</f>
        <v>7.8997321616993119E-2</v>
      </c>
      <c r="N42" s="1039" t="str">
        <f>IF(M42&lt;=0.16,"Oke","Tidak")</f>
        <v>Oke</v>
      </c>
    </row>
    <row r="43" spans="1:16" ht="4.5" customHeight="1" x14ac:dyDescent="0.25">
      <c r="A43" s="1170"/>
      <c r="B43" s="1170"/>
      <c r="C43" s="1170"/>
      <c r="D43" s="1171"/>
      <c r="E43" s="1154"/>
      <c r="F43" s="1226"/>
      <c r="G43" s="1154"/>
      <c r="H43" s="1154"/>
      <c r="I43" s="1154"/>
      <c r="J43" s="1154"/>
      <c r="K43" s="1154"/>
      <c r="L43" s="139"/>
      <c r="M43" s="12"/>
      <c r="N43" s="12"/>
    </row>
    <row r="44" spans="1:16" s="936" customFormat="1" ht="14" customHeight="1" x14ac:dyDescent="0.3">
      <c r="A44" s="1190"/>
      <c r="B44" s="1190"/>
      <c r="C44" s="1648" t="str">
        <f>ID!C48</f>
        <v>- Pulse Frekuensi (Hz)</v>
      </c>
      <c r="D44" s="1648"/>
      <c r="E44" s="1648"/>
      <c r="F44" s="1227"/>
      <c r="G44" s="1192"/>
      <c r="H44" s="1190"/>
      <c r="I44" s="1190"/>
      <c r="J44" s="1228"/>
      <c r="K44" s="1228"/>
      <c r="L44" s="670"/>
      <c r="M44" s="935"/>
    </row>
    <row r="45" spans="1:16" s="936" customFormat="1" ht="4.5" customHeight="1" x14ac:dyDescent="0.3">
      <c r="A45" s="1190"/>
      <c r="B45" s="1190"/>
      <c r="C45" s="1191"/>
      <c r="D45" s="1192"/>
      <c r="E45" s="1192"/>
      <c r="F45" s="1227"/>
      <c r="G45" s="1192"/>
      <c r="H45" s="1190"/>
      <c r="I45" s="1190"/>
      <c r="J45" s="1228"/>
      <c r="K45" s="1228"/>
      <c r="L45" s="670"/>
      <c r="M45" s="935"/>
    </row>
    <row r="46" spans="1:16" s="944" customFormat="1" ht="14.25" customHeight="1" x14ac:dyDescent="0.3">
      <c r="A46" s="1193"/>
      <c r="B46" s="1653" t="str">
        <f>ID!B50</f>
        <v>No</v>
      </c>
      <c r="C46" s="1649" t="str">
        <f>LK!C51</f>
        <v>Setting Alat</v>
      </c>
      <c r="D46" s="1713"/>
      <c r="E46" s="1656" t="s">
        <v>49</v>
      </c>
      <c r="F46" s="1697" t="s">
        <v>95</v>
      </c>
      <c r="G46" s="1657" t="s">
        <v>483</v>
      </c>
      <c r="H46" s="1658" t="s">
        <v>50</v>
      </c>
      <c r="I46" s="1656" t="s">
        <v>484</v>
      </c>
      <c r="J46" s="1193"/>
      <c r="K46" s="1691"/>
      <c r="L46" s="1665"/>
      <c r="M46" s="1666"/>
    </row>
    <row r="47" spans="1:16" s="944" customFormat="1" ht="30.65" customHeight="1" x14ac:dyDescent="0.3">
      <c r="A47" s="1193"/>
      <c r="B47" s="1654"/>
      <c r="C47" s="1649" t="str">
        <f>LK!C52</f>
        <v>(Hz)</v>
      </c>
      <c r="D47" s="1713"/>
      <c r="E47" s="1656"/>
      <c r="F47" s="1697"/>
      <c r="G47" s="1657"/>
      <c r="H47" s="1658"/>
      <c r="I47" s="1656"/>
      <c r="J47" s="1193"/>
      <c r="K47" s="1691"/>
      <c r="L47" s="1665"/>
      <c r="M47" s="1666"/>
      <c r="O47" s="1039">
        <f>IF(G34="Baik",1,0)</f>
        <v>1</v>
      </c>
      <c r="P47" s="1039">
        <f>IF(N42="Oke",1,0)</f>
        <v>1</v>
      </c>
    </row>
    <row r="48" spans="1:16" s="944" customFormat="1" ht="14" x14ac:dyDescent="0.3">
      <c r="A48" s="1193"/>
      <c r="B48" s="1172">
        <v>1</v>
      </c>
      <c r="C48" s="1590">
        <f>ID!C52</f>
        <v>1</v>
      </c>
      <c r="D48" s="1608"/>
      <c r="E48" s="1225">
        <f>IFERROR(SCOPE!F190,"-")</f>
        <v>1.0013433333333335</v>
      </c>
      <c r="F48" s="1194">
        <f>IFERROR(SCOPE!K190,"-")</f>
        <v>1.343333333333474E-3</v>
      </c>
      <c r="G48" s="1194">
        <f>IFERROR(SCOPE!L190,"-")</f>
        <v>0.1343333333333474</v>
      </c>
      <c r="H48" s="1694" t="str">
        <f>LK!J53</f>
        <v>± 30 %</v>
      </c>
      <c r="I48" s="1195">
        <f>IFERROR(SCOPE!N190,"-")</f>
        <v>0.41335545284188852</v>
      </c>
      <c r="J48" s="1193"/>
      <c r="K48" s="1229"/>
      <c r="L48" s="943"/>
      <c r="M48" s="953">
        <f>ABS(G48)+ABS(I48)</f>
        <v>0.54768878617523598</v>
      </c>
      <c r="N48" s="954" t="str">
        <f>IF(M48&lt;=30,"Oke","Tidak")</f>
        <v>Oke</v>
      </c>
      <c r="O48" s="955">
        <f>(COUNTIF(N48:N52,"Oke")/(COUNTA(N48:N52))*100)</f>
        <v>100</v>
      </c>
      <c r="P48" s="956">
        <f>IF(O48&gt;=70,1,0)</f>
        <v>1</v>
      </c>
    </row>
    <row r="49" spans="1:17" s="936" customFormat="1" ht="17.149999999999999" customHeight="1" x14ac:dyDescent="0.3">
      <c r="A49" s="1175"/>
      <c r="B49" s="1172">
        <v>2</v>
      </c>
      <c r="C49" s="1590">
        <f>ID!C53</f>
        <v>2</v>
      </c>
      <c r="D49" s="1608"/>
      <c r="E49" s="1225">
        <f>IFERROR(SCOPE!F191,"-")</f>
        <v>2.0000100000000001</v>
      </c>
      <c r="F49" s="1194">
        <f>IFERROR(SCOPE!K191,"-")</f>
        <v>1.0000000000065512E-5</v>
      </c>
      <c r="G49" s="1194">
        <f>IFERROR(SCOPE!L191,"-")</f>
        <v>5.000000000032756E-4</v>
      </c>
      <c r="H49" s="1695"/>
      <c r="I49" s="1195">
        <f>IFERROR(SCOPE!N191,"-")</f>
        <v>0.29254445807396956</v>
      </c>
      <c r="J49" s="1175"/>
      <c r="K49" s="1229"/>
      <c r="L49" s="943"/>
      <c r="M49" s="953">
        <f t="shared" ref="M49:M52" si="0">ABS(G49)+ABS(I49)</f>
        <v>0.29304445807397284</v>
      </c>
      <c r="N49" s="954" t="str">
        <f>IF(M49&lt;=30,"Oke","Tidak")</f>
        <v>Oke</v>
      </c>
      <c r="O49" s="955"/>
      <c r="P49" s="957">
        <f>SUM(P52,P50,P48,M34,P47)</f>
        <v>5</v>
      </c>
      <c r="Q49" s="973">
        <f>IF(P49&lt;=4,0,50)</f>
        <v>50</v>
      </c>
    </row>
    <row r="50" spans="1:17" s="936" customFormat="1" ht="17.149999999999999" customHeight="1" x14ac:dyDescent="0.3">
      <c r="A50" s="1175"/>
      <c r="B50" s="1172">
        <v>3</v>
      </c>
      <c r="C50" s="1590">
        <f>ID!C54</f>
        <v>3</v>
      </c>
      <c r="D50" s="1608"/>
      <c r="E50" s="1225">
        <f>IFERROR(SCOPE!F192,"-")</f>
        <v>3.0000100000000001</v>
      </c>
      <c r="F50" s="1194">
        <f>IFERROR(SCOPE!K192,"-")</f>
        <v>1.0000000000065512E-5</v>
      </c>
      <c r="G50" s="1194">
        <f>IFERROR(SCOPE!L192,"-")</f>
        <v>3.3333333333551707E-4</v>
      </c>
      <c r="H50" s="1695"/>
      <c r="I50" s="1195">
        <f>IFERROR(SCOPE!N192,"-")</f>
        <v>0.29182265447723754</v>
      </c>
      <c r="J50" s="1175"/>
      <c r="K50" s="1229"/>
      <c r="L50" s="943"/>
      <c r="M50" s="953">
        <f t="shared" si="0"/>
        <v>0.29215598781057306</v>
      </c>
      <c r="N50" s="954" t="str">
        <f>IF(M50&lt;=30,"Oke","Tidak")</f>
        <v>Oke</v>
      </c>
      <c r="O50" s="955">
        <f>(COUNTIF(N58:N62,"Oke")/(COUNTA(N58:N62))*100)</f>
        <v>100</v>
      </c>
      <c r="P50" s="956">
        <f>IF(O50&gt;=70,1,0)</f>
        <v>1</v>
      </c>
    </row>
    <row r="51" spans="1:17" s="936" customFormat="1" ht="17.149999999999999" customHeight="1" x14ac:dyDescent="0.3">
      <c r="A51" s="1175"/>
      <c r="B51" s="1172">
        <v>4</v>
      </c>
      <c r="C51" s="1590">
        <f>ID!C55</f>
        <v>4</v>
      </c>
      <c r="D51" s="1608"/>
      <c r="E51" s="1225">
        <f>IFERROR(SCOPE!F193,"-")</f>
        <v>4.0000099999999996</v>
      </c>
      <c r="F51" s="1194">
        <f>IFERROR(SCOPE!K193,"-")</f>
        <v>9.9999999996214228E-6</v>
      </c>
      <c r="G51" s="1194">
        <f>IFERROR(SCOPE!L193,"-")</f>
        <v>2.4999999999053557E-4</v>
      </c>
      <c r="H51" s="1695"/>
      <c r="I51" s="1195">
        <f>IFERROR(SCOPE!N193,"-")</f>
        <v>0.2915697457543231</v>
      </c>
      <c r="J51" s="1175"/>
      <c r="K51" s="1229"/>
      <c r="L51" s="943"/>
      <c r="M51" s="953">
        <f t="shared" si="0"/>
        <v>0.29181974575431363</v>
      </c>
      <c r="N51" s="954" t="str">
        <f>IF(M51&lt;=30,"Oke","Tidak")</f>
        <v>Oke</v>
      </c>
      <c r="O51" s="955"/>
      <c r="P51" s="956"/>
    </row>
    <row r="52" spans="1:17" s="936" customFormat="1" ht="17.149999999999999" customHeight="1" x14ac:dyDescent="0.3">
      <c r="A52" s="1175"/>
      <c r="B52" s="1172">
        <v>5</v>
      </c>
      <c r="C52" s="1590">
        <f>ID!C56</f>
        <v>5</v>
      </c>
      <c r="D52" s="1608"/>
      <c r="E52" s="1225">
        <f>IFERROR(SCOPE!F194,"-")</f>
        <v>5.0000099999999996</v>
      </c>
      <c r="F52" s="1194">
        <f>IFERROR(SCOPE!K194,"-")</f>
        <v>9.9999999996214228E-6</v>
      </c>
      <c r="G52" s="1194">
        <f>IFERROR(SCOPE!L194,"-")</f>
        <v>1.9999999999242846E-4</v>
      </c>
      <c r="H52" s="1696"/>
      <c r="I52" s="1195">
        <f>IFERROR(SCOPE!N194,"-")</f>
        <v>0.29145261612850004</v>
      </c>
      <c r="J52" s="1175"/>
      <c r="K52" s="1229"/>
      <c r="L52" s="943"/>
      <c r="M52" s="953">
        <f t="shared" si="0"/>
        <v>0.29165261612849247</v>
      </c>
      <c r="N52" s="954" t="str">
        <f>IF(M52&lt;=30,"Oke","Tidak")</f>
        <v>Oke</v>
      </c>
      <c r="O52" s="955">
        <f>(COUNTIF(N68:N69,"Oke")/(COUNTA(N68:N69))*100)</f>
        <v>100</v>
      </c>
      <c r="P52" s="956">
        <f>IF(O52&gt;=70,1,0)</f>
        <v>1</v>
      </c>
    </row>
    <row r="53" spans="1:17" s="936" customFormat="1" ht="17.149999999999999" customHeight="1" x14ac:dyDescent="0.3">
      <c r="A53" s="1175"/>
      <c r="B53" s="1196"/>
      <c r="C53" s="1197"/>
      <c r="D53" s="1198"/>
      <c r="E53" s="1199"/>
      <c r="F53" s="1199"/>
      <c r="G53" s="1199"/>
      <c r="H53" s="1200"/>
      <c r="I53" s="1201"/>
      <c r="J53" s="1230"/>
      <c r="K53" s="1175"/>
      <c r="M53" s="965"/>
      <c r="P53" s="966"/>
    </row>
    <row r="54" spans="1:17" s="936" customFormat="1" ht="15" customHeight="1" x14ac:dyDescent="0.35">
      <c r="A54" s="1175"/>
      <c r="B54" s="1202"/>
      <c r="C54" s="1202" t="str">
        <f>ID!C58</f>
        <v xml:space="preserve">- Pulse Width (µs) </v>
      </c>
      <c r="D54" s="1203"/>
      <c r="E54" s="1203"/>
      <c r="F54" s="1203"/>
      <c r="G54" s="1203"/>
      <c r="H54" s="1203"/>
      <c r="I54" s="1203"/>
      <c r="J54" s="1203"/>
      <c r="K54" s="1176"/>
      <c r="L54" s="939"/>
      <c r="M54" s="967"/>
      <c r="P54" s="940"/>
    </row>
    <row r="55" spans="1:17" s="936" customFormat="1" ht="3.75" customHeight="1" x14ac:dyDescent="0.35">
      <c r="A55" s="1175"/>
      <c r="B55" s="1204"/>
      <c r="C55" s="1204"/>
      <c r="D55" s="1204"/>
      <c r="E55" s="1204"/>
      <c r="F55" s="1204"/>
      <c r="G55" s="1204"/>
      <c r="H55" s="1204"/>
      <c r="I55" s="1204"/>
      <c r="J55" s="1204"/>
      <c r="K55" s="1176"/>
      <c r="L55" s="939"/>
      <c r="M55" s="967"/>
      <c r="P55" s="940"/>
    </row>
    <row r="56" spans="1:17" s="936" customFormat="1" ht="15" customHeight="1" x14ac:dyDescent="0.35">
      <c r="A56" s="1175"/>
      <c r="B56" s="1653" t="str">
        <f>ID!B60</f>
        <v>No</v>
      </c>
      <c r="C56" s="1590" t="str">
        <f>LK!C61</f>
        <v>Setting Alat</v>
      </c>
      <c r="D56" s="1608"/>
      <c r="E56" s="1667" t="s">
        <v>49</v>
      </c>
      <c r="F56" s="1668" t="s">
        <v>95</v>
      </c>
      <c r="G56" s="1668" t="s">
        <v>483</v>
      </c>
      <c r="H56" s="1692" t="s">
        <v>50</v>
      </c>
      <c r="I56" s="1667" t="s">
        <v>484</v>
      </c>
      <c r="J56" s="1175"/>
      <c r="K56" s="1693"/>
      <c r="L56" s="1660"/>
      <c r="M56" s="1655"/>
      <c r="P56" s="940"/>
    </row>
    <row r="57" spans="1:17" s="936" customFormat="1" ht="30.75" customHeight="1" x14ac:dyDescent="0.35">
      <c r="A57" s="1175"/>
      <c r="B57" s="1654"/>
      <c r="C57" s="1590" t="str">
        <f>LK!C62</f>
        <v>(µs)</v>
      </c>
      <c r="D57" s="1608"/>
      <c r="E57" s="1667"/>
      <c r="F57" s="1668"/>
      <c r="G57" s="1668"/>
      <c r="H57" s="1692"/>
      <c r="I57" s="1667"/>
      <c r="J57" s="1175"/>
      <c r="K57" s="1693"/>
      <c r="L57" s="1660"/>
      <c r="M57" s="1655"/>
      <c r="P57" s="940"/>
    </row>
    <row r="58" spans="1:17" s="936" customFormat="1" ht="15" customHeight="1" x14ac:dyDescent="0.35">
      <c r="A58" s="1175"/>
      <c r="B58" s="1172">
        <v>1</v>
      </c>
      <c r="C58" s="1590">
        <f>ID!C62</f>
        <v>10</v>
      </c>
      <c r="D58" s="1608"/>
      <c r="E58" s="1205">
        <f>IFERROR(SCOPE!F210,"-")</f>
        <v>11.182657908034361</v>
      </c>
      <c r="F58" s="1205">
        <f>IFERROR(SCOPE!K210,"-")</f>
        <v>1.1826579080343613</v>
      </c>
      <c r="G58" s="1205">
        <f>IFERROR(SCOPE!L210,"-")</f>
        <v>11.826579080343613</v>
      </c>
      <c r="H58" s="1694" t="str">
        <f>LK!J63</f>
        <v>± 30 %</v>
      </c>
      <c r="I58" s="1206">
        <f>IFERROR(SCOPE!N210,"-")</f>
        <v>0.63044061834166676</v>
      </c>
      <c r="J58" s="1175"/>
      <c r="K58" s="1229"/>
      <c r="L58" s="943"/>
      <c r="M58" s="953">
        <f>ABS(G58)+ABS(I58)</f>
        <v>12.457019698685279</v>
      </c>
      <c r="N58" s="954" t="str">
        <f>IF(M58&lt;=30,"Oke","Tidak")</f>
        <v>Oke</v>
      </c>
      <c r="P58" s="940"/>
    </row>
    <row r="59" spans="1:17" s="936" customFormat="1" ht="15" customHeight="1" x14ac:dyDescent="0.35">
      <c r="A59" s="1175"/>
      <c r="B59" s="1172">
        <v>2</v>
      </c>
      <c r="C59" s="1590">
        <f>ID!C63</f>
        <v>50</v>
      </c>
      <c r="D59" s="1608"/>
      <c r="E59" s="1205">
        <f>IFERROR(SCOPE!F211,"-")</f>
        <v>51.267508842849921</v>
      </c>
      <c r="F59" s="1205">
        <f>IFERROR(SCOPE!K211,"-")</f>
        <v>1.2675088428499208</v>
      </c>
      <c r="G59" s="1205">
        <f>IFERROR(SCOPE!L211,"-")</f>
        <v>2.5350176856998416</v>
      </c>
      <c r="H59" s="1695"/>
      <c r="I59" s="1206">
        <f>IFERROR(SCOPE!N211,"-")</f>
        <v>0.26168439519377695</v>
      </c>
      <c r="J59" s="1175"/>
      <c r="K59" s="1229"/>
      <c r="L59" s="943"/>
      <c r="M59" s="953">
        <f>ABS(G59)+ABS(I59)</f>
        <v>2.7967020808936187</v>
      </c>
      <c r="N59" s="954" t="str">
        <f>IF(M59&lt;=30,"Oke","Tidak")</f>
        <v>Oke</v>
      </c>
      <c r="P59" s="940"/>
    </row>
    <row r="60" spans="1:17" s="936" customFormat="1" ht="15" customHeight="1" x14ac:dyDescent="0.35">
      <c r="A60" s="1175"/>
      <c r="B60" s="1172">
        <v>3</v>
      </c>
      <c r="C60" s="1590">
        <f>ID!C64</f>
        <v>100</v>
      </c>
      <c r="D60" s="1608"/>
      <c r="E60" s="1205">
        <f>IFERROR(SCOPE!F212,"-")</f>
        <v>101.37357251136937</v>
      </c>
      <c r="F60" s="1205">
        <f>IFERROR(SCOPE!K212,"-")</f>
        <v>1.3735725113693746</v>
      </c>
      <c r="G60" s="1205">
        <f>IFERROR(SCOPE!L212,"-")</f>
        <v>1.3735725113693746</v>
      </c>
      <c r="H60" s="1695"/>
      <c r="I60" s="1206">
        <f>IFERROR(SCOPE!N212,"-")</f>
        <v>0.24058213567029954</v>
      </c>
      <c r="J60" s="1175"/>
      <c r="K60" s="1229"/>
      <c r="L60" s="943"/>
      <c r="M60" s="953">
        <f t="shared" ref="M60:M62" si="1">ABS(G60)+ABS(I60)</f>
        <v>1.6141546470396742</v>
      </c>
      <c r="N60" s="954" t="str">
        <f>IF(M60&lt;=30,"Oke","Tidak")</f>
        <v>Oke</v>
      </c>
      <c r="P60" s="940"/>
    </row>
    <row r="61" spans="1:17" s="936" customFormat="1" ht="15" customHeight="1" x14ac:dyDescent="0.35">
      <c r="A61" s="1175"/>
      <c r="B61" s="1172">
        <v>4</v>
      </c>
      <c r="C61" s="1590">
        <f>ID!C65</f>
        <v>300</v>
      </c>
      <c r="D61" s="1608"/>
      <c r="E61" s="1205">
        <f>IFERROR(SCOPE!F213,"-")</f>
        <v>301.7978271854472</v>
      </c>
      <c r="F61" s="1205">
        <f>IFERROR(SCOPE!K213,"-")</f>
        <v>1.7978271854472041</v>
      </c>
      <c r="G61" s="1205">
        <f>IFERROR(SCOPE!L213,"-")</f>
        <v>0.5992757284824014</v>
      </c>
      <c r="H61" s="1695"/>
      <c r="I61" s="1206">
        <f>IFERROR(SCOPE!N213,"-")</f>
        <v>0.2330944256753178</v>
      </c>
      <c r="J61" s="1175"/>
      <c r="K61" s="1229"/>
      <c r="L61" s="943"/>
      <c r="M61" s="953">
        <f t="shared" si="1"/>
        <v>0.8323701541577192</v>
      </c>
      <c r="N61" s="954" t="str">
        <f>IF(M61&lt;=30,"Oke","Tidak")</f>
        <v>Oke</v>
      </c>
      <c r="P61" s="940"/>
    </row>
    <row r="62" spans="1:17" s="936" customFormat="1" ht="15" customHeight="1" x14ac:dyDescent="0.35">
      <c r="A62" s="1175"/>
      <c r="B62" s="1172">
        <v>5</v>
      </c>
      <c r="C62" s="1590">
        <f>ID!C66</f>
        <v>500</v>
      </c>
      <c r="D62" s="1608"/>
      <c r="E62" s="1205">
        <f>IFERROR(SCOPE!F214,"-")</f>
        <v>502.22208185952502</v>
      </c>
      <c r="F62" s="1205">
        <f>IFERROR(SCOPE!K214,"-")</f>
        <v>2.2220818595250194</v>
      </c>
      <c r="G62" s="1205">
        <f>IFERROR(SCOPE!L214,"-")</f>
        <v>0.44441637190500383</v>
      </c>
      <c r="H62" s="1696"/>
      <c r="I62" s="1206">
        <f>IFERROR(SCOPE!N214,"-")</f>
        <v>0.23227417340396206</v>
      </c>
      <c r="J62" s="1175"/>
      <c r="K62" s="1229"/>
      <c r="L62" s="943"/>
      <c r="M62" s="953">
        <f t="shared" si="1"/>
        <v>0.67669054530896589</v>
      </c>
      <c r="N62" s="954" t="str">
        <f>IF(M62&lt;=30,"Oke","Tidak")</f>
        <v>Oke</v>
      </c>
      <c r="P62" s="940"/>
    </row>
    <row r="63" spans="1:17" s="936" customFormat="1" ht="15" customHeight="1" x14ac:dyDescent="0.35">
      <c r="A63" s="1175"/>
      <c r="B63" s="1176"/>
      <c r="C63" s="1176"/>
      <c r="D63" s="1176"/>
      <c r="E63" s="1176"/>
      <c r="F63" s="1176"/>
      <c r="G63" s="1176"/>
      <c r="H63" s="1176"/>
      <c r="I63" s="1176"/>
      <c r="J63" s="1176"/>
      <c r="K63" s="1176"/>
      <c r="L63" s="939"/>
      <c r="M63" s="967"/>
      <c r="P63" s="940"/>
    </row>
    <row r="64" spans="1:17" s="936" customFormat="1" ht="14" x14ac:dyDescent="0.3">
      <c r="A64" s="1175"/>
      <c r="B64" s="1177"/>
      <c r="C64" s="1177" t="str">
        <f>ID!C68</f>
        <v>- Waktu Therapy</v>
      </c>
      <c r="D64" s="1178"/>
      <c r="E64" s="1179"/>
      <c r="F64" s="1179"/>
      <c r="G64" s="1179"/>
      <c r="H64" s="1179"/>
      <c r="I64" s="1180"/>
      <c r="J64" s="1180"/>
      <c r="K64" s="1180"/>
      <c r="L64" s="935"/>
      <c r="M64" s="967"/>
    </row>
    <row r="65" spans="1:16" s="936" customFormat="1" ht="3.75" customHeight="1" x14ac:dyDescent="0.3">
      <c r="A65" s="1175"/>
      <c r="B65" s="1178"/>
      <c r="C65" s="1181"/>
      <c r="D65" s="1178"/>
      <c r="E65" s="1179"/>
      <c r="F65" s="1179"/>
      <c r="G65" s="1179"/>
      <c r="H65" s="1179"/>
      <c r="I65" s="1180"/>
      <c r="J65" s="1180"/>
      <c r="K65" s="1180"/>
      <c r="L65" s="935"/>
      <c r="M65" s="967"/>
    </row>
    <row r="66" spans="1:16" s="936" customFormat="1" ht="15" customHeight="1" x14ac:dyDescent="0.3">
      <c r="A66" s="1175"/>
      <c r="B66" s="1649" t="s">
        <v>149</v>
      </c>
      <c r="C66" s="1650"/>
      <c r="D66" s="1650"/>
      <c r="E66" s="1656" t="s">
        <v>49</v>
      </c>
      <c r="F66" s="1657" t="s">
        <v>95</v>
      </c>
      <c r="G66" s="1657" t="s">
        <v>483</v>
      </c>
      <c r="H66" s="1658" t="s">
        <v>50</v>
      </c>
      <c r="I66" s="1656" t="s">
        <v>484</v>
      </c>
      <c r="J66" s="1175"/>
      <c r="K66" s="1659"/>
      <c r="L66" s="1660"/>
      <c r="M66" s="1655"/>
    </row>
    <row r="67" spans="1:16" s="936" customFormat="1" ht="30.75" customHeight="1" x14ac:dyDescent="0.3">
      <c r="A67" s="1175"/>
      <c r="B67" s="1649" t="s">
        <v>379</v>
      </c>
      <c r="C67" s="1650"/>
      <c r="D67" s="1650"/>
      <c r="E67" s="1656"/>
      <c r="F67" s="1657"/>
      <c r="G67" s="1657"/>
      <c r="H67" s="1658"/>
      <c r="I67" s="1656"/>
      <c r="J67" s="1175"/>
      <c r="K67" s="1659"/>
      <c r="L67" s="1660"/>
      <c r="M67" s="1655"/>
    </row>
    <row r="68" spans="1:16" s="936" customFormat="1" ht="15" customHeight="1" x14ac:dyDescent="0.3">
      <c r="A68" s="1175"/>
      <c r="B68" s="1663">
        <v>300</v>
      </c>
      <c r="C68" s="1664"/>
      <c r="D68" s="1664"/>
      <c r="E68" s="1421">
        <f>IFERROR('Sert Stopwatch'!D194,"-")</f>
        <v>301.00615992125984</v>
      </c>
      <c r="F68" s="1421">
        <f>IFERROR('Sert Stopwatch'!H194,"-")</f>
        <v>1.0061599212598367</v>
      </c>
      <c r="G68" s="1231">
        <f>IFERROR('Sert Stopwatch'!I194,"-")</f>
        <v>0.33538664041994559</v>
      </c>
      <c r="H68" s="1661" t="s">
        <v>546</v>
      </c>
      <c r="I68" s="1183">
        <f>IFERROR('Sert Stopwatch'!K194,"-")</f>
        <v>2.9970552402014388E-2</v>
      </c>
      <c r="J68" s="1175"/>
      <c r="K68" s="1232"/>
      <c r="L68" s="947"/>
      <c r="M68" s="953">
        <f>ABS(G68)+I68</f>
        <v>0.36535719282196</v>
      </c>
      <c r="N68" s="954" t="str">
        <f>IF(M68&lt;=10,"Oke","Tidak")</f>
        <v>Oke</v>
      </c>
    </row>
    <row r="69" spans="1:16" s="936" customFormat="1" ht="15" customHeight="1" x14ac:dyDescent="0.3">
      <c r="A69" s="1175"/>
      <c r="B69" s="1663">
        <v>600</v>
      </c>
      <c r="C69" s="1664"/>
      <c r="D69" s="1664"/>
      <c r="E69" s="1421">
        <f>IFERROR('Sert Stopwatch'!D195,"-")</f>
        <v>600.02165354330714</v>
      </c>
      <c r="F69" s="1421">
        <f>IFERROR('Sert Stopwatch'!H195,"-")</f>
        <v>2.1653543307138534E-2</v>
      </c>
      <c r="G69" s="1231">
        <f>IFERROR('Sert Stopwatch'!I195,"-")</f>
        <v>3.6089238845230893E-3</v>
      </c>
      <c r="H69" s="1662"/>
      <c r="I69" s="1183">
        <f>IFERROR('Sert Stopwatch'!K195,"-")</f>
        <v>1.7568917768124793E-2</v>
      </c>
      <c r="J69" s="1175"/>
      <c r="K69" s="1232"/>
      <c r="L69" s="947"/>
      <c r="M69" s="953">
        <f>ABS(G69)+I69</f>
        <v>2.1177841652647883E-2</v>
      </c>
      <c r="N69" s="954" t="str">
        <f>IF(M69&lt;=10,"Oke","Tidak")</f>
        <v>Oke</v>
      </c>
    </row>
    <row r="70" spans="1:16" ht="15.5" x14ac:dyDescent="0.25">
      <c r="A70" s="1184"/>
      <c r="B70" s="1156"/>
      <c r="C70" s="1156"/>
      <c r="D70" s="1171"/>
      <c r="E70" s="1185"/>
      <c r="F70" s="1186"/>
      <c r="G70" s="1186"/>
      <c r="H70" s="1186"/>
      <c r="I70" s="1186"/>
      <c r="J70" s="1186"/>
      <c r="K70" s="1186"/>
      <c r="L70" s="100"/>
      <c r="M70" s="74"/>
      <c r="N70" s="74"/>
    </row>
    <row r="71" spans="1:16" ht="15.5" x14ac:dyDescent="0.25">
      <c r="A71" s="96" t="s">
        <v>57</v>
      </c>
      <c r="B71" s="96" t="s">
        <v>58</v>
      </c>
      <c r="C71" s="1146"/>
      <c r="D71" s="366"/>
      <c r="E71" s="1146"/>
      <c r="F71" s="1146"/>
      <c r="G71" s="1146"/>
      <c r="H71" s="1146"/>
      <c r="I71" s="1146"/>
      <c r="J71" s="1146"/>
      <c r="K71" s="1146"/>
      <c r="L71" s="93"/>
      <c r="M71" s="73"/>
      <c r="N71" s="137"/>
    </row>
    <row r="72" spans="1:16" ht="15.5" x14ac:dyDescent="0.25">
      <c r="A72" s="96"/>
      <c r="B72" s="131" t="str">
        <f>ID!B76</f>
        <v>Ketidakpastian pengujian kinerja dilaporkan pada tingkat kepercayaan 95% dengan faktor cakupan (k) = 2</v>
      </c>
      <c r="C72" s="1146"/>
      <c r="D72" s="366"/>
      <c r="E72" s="1146"/>
      <c r="F72" s="1146"/>
      <c r="G72" s="1146"/>
      <c r="H72" s="1146"/>
      <c r="I72" s="1146"/>
      <c r="J72" s="1146"/>
      <c r="K72" s="1146"/>
      <c r="L72" s="93"/>
      <c r="M72" s="73"/>
    </row>
    <row r="73" spans="1:16" ht="15.5" x14ac:dyDescent="0.25">
      <c r="A73" s="96"/>
      <c r="B73" s="131" t="str">
        <f>IF(PENYELIA!T7=PENYELIA!T10,"",ID!B77)</f>
        <v>Hasil pengujian Keselamatan Listrik tertelusur ke Satuan Internasional melalui PT. KALIMAN (LK-032-IDN)</v>
      </c>
      <c r="C73" s="1146"/>
      <c r="D73" s="366"/>
      <c r="E73" s="1146"/>
      <c r="F73" s="1146"/>
      <c r="G73" s="1146"/>
      <c r="H73" s="1146"/>
      <c r="I73" s="1146"/>
      <c r="J73" s="1146"/>
      <c r="K73" s="1146"/>
      <c r="L73" s="93"/>
      <c r="M73" s="73"/>
      <c r="N73" s="73"/>
    </row>
    <row r="74" spans="1:16" ht="15.5" x14ac:dyDescent="0.25">
      <c r="A74" s="96"/>
      <c r="B74" s="131" t="str">
        <f>ID!B78</f>
        <v>Hasil kalibrasi Pulse Frekuensi dan Pulse Width tertelusur ke Satuan Internasional melalui PT. KALIMAN (LK-032-IDN)</v>
      </c>
      <c r="C74" s="1146"/>
      <c r="D74" s="366"/>
      <c r="E74" s="1146"/>
      <c r="F74" s="1146"/>
      <c r="G74" s="1146"/>
      <c r="H74" s="1146"/>
      <c r="I74" s="1146"/>
      <c r="J74" s="1146"/>
      <c r="K74" s="1146"/>
      <c r="L74" s="93"/>
      <c r="M74" s="73"/>
      <c r="N74" s="73"/>
    </row>
    <row r="75" spans="1:16" ht="15.5" x14ac:dyDescent="0.25">
      <c r="A75" s="96"/>
      <c r="B75" s="131" t="str">
        <f>IF(ID!B85="","",ID!B79)</f>
        <v>Hasil kalibrasi Waktu Therapy tertelusur ke Satuan Internasional ( SI ) melalui PT KALIMAN (LK-032-IDN)</v>
      </c>
      <c r="C75" s="90"/>
      <c r="D75" s="366"/>
      <c r="E75" s="90"/>
      <c r="F75" s="90"/>
      <c r="G75" s="90"/>
      <c r="H75" s="90"/>
      <c r="I75" s="90"/>
      <c r="J75" s="90"/>
      <c r="K75" s="90"/>
      <c r="L75" s="90"/>
      <c r="M75" s="72"/>
      <c r="N75" s="72"/>
    </row>
    <row r="76" spans="1:16" ht="15.5" x14ac:dyDescent="0.25">
      <c r="A76" s="96"/>
      <c r="B76" s="131" t="str">
        <f>ID!B80</f>
        <v>Tidak dilakukan pengujian keselamatan listrik</v>
      </c>
      <c r="C76" s="101"/>
      <c r="D76" s="366"/>
      <c r="E76" s="101"/>
      <c r="F76" s="101"/>
      <c r="G76" s="101"/>
      <c r="H76" s="101"/>
      <c r="I76" s="101"/>
      <c r="J76" s="101"/>
      <c r="K76" s="101"/>
      <c r="L76" s="101"/>
      <c r="M76" s="87"/>
      <c r="N76" s="87"/>
    </row>
    <row r="77" spans="1:16" ht="15.5" x14ac:dyDescent="0.25">
      <c r="A77" s="96"/>
      <c r="B77" s="131"/>
      <c r="C77" s="1146"/>
      <c r="D77" s="366"/>
      <c r="E77" s="1146"/>
      <c r="F77" s="1146"/>
      <c r="G77" s="1146"/>
      <c r="H77" s="1146"/>
      <c r="I77" s="1146"/>
      <c r="J77" s="1146"/>
      <c r="K77" s="1146"/>
      <c r="L77" s="93"/>
      <c r="M77" s="73"/>
      <c r="N77" s="73"/>
    </row>
    <row r="78" spans="1:16" ht="15.5" x14ac:dyDescent="0.25">
      <c r="A78" s="96" t="s">
        <v>64</v>
      </c>
      <c r="B78" s="1354" t="s">
        <v>65</v>
      </c>
      <c r="C78" s="90"/>
      <c r="D78" s="366"/>
      <c r="E78" s="90"/>
      <c r="F78" s="90"/>
      <c r="G78" s="90"/>
      <c r="H78" s="90"/>
      <c r="I78" s="90"/>
      <c r="J78" s="90"/>
      <c r="K78" s="90"/>
      <c r="L78" s="90"/>
      <c r="M78" s="72"/>
      <c r="N78" s="72"/>
    </row>
    <row r="79" spans="1:16" ht="15.5" x14ac:dyDescent="0.25">
      <c r="A79" s="103"/>
      <c r="B79" s="104" t="str">
        <f>ID!B83</f>
        <v>Medical Scope Meter, Merk : Fluke, Model 190M-4, SN : 48832901 CH : B</v>
      </c>
      <c r="C79" s="104"/>
      <c r="D79" s="366"/>
      <c r="E79" s="104"/>
      <c r="F79" s="104"/>
      <c r="G79" s="104"/>
      <c r="H79" s="104"/>
      <c r="I79" s="104"/>
      <c r="J79" s="104"/>
      <c r="K79" s="90"/>
      <c r="L79" s="90"/>
      <c r="M79" s="72"/>
      <c r="N79" s="72"/>
      <c r="P79" s="312"/>
    </row>
    <row r="80" spans="1:16" ht="15.5" x14ac:dyDescent="0.25">
      <c r="A80" s="103"/>
      <c r="B80" s="104" t="str">
        <f>ID!B84</f>
        <v>Electrical Safety Analyzer, Merek : Fluke, Model : ESA 615, SN : 3148908</v>
      </c>
      <c r="C80" s="104"/>
      <c r="D80" s="366"/>
      <c r="E80" s="104"/>
      <c r="F80" s="104"/>
      <c r="G80" s="104"/>
      <c r="H80" s="104"/>
      <c r="I80" s="104"/>
      <c r="J80" s="104"/>
      <c r="K80" s="90"/>
      <c r="L80" s="90"/>
      <c r="M80" s="72"/>
      <c r="N80" s="72"/>
    </row>
    <row r="81" spans="1:14" ht="15.5" x14ac:dyDescent="0.25">
      <c r="A81" s="103"/>
      <c r="B81" s="104" t="str">
        <f>IF(ID!B85="","",ID!B85)</f>
        <v>Stopwatch, Merek : EXTECH, Model : 365535, SN :001382</v>
      </c>
      <c r="C81" s="104"/>
      <c r="D81" s="366"/>
      <c r="E81" s="104"/>
      <c r="F81" s="104"/>
      <c r="G81" s="104"/>
      <c r="H81" s="104"/>
      <c r="I81" s="104"/>
      <c r="J81" s="104"/>
      <c r="K81" s="90"/>
      <c r="L81" s="90"/>
      <c r="M81" s="72"/>
      <c r="N81" s="72"/>
    </row>
    <row r="82" spans="1:14" ht="15.5" hidden="1" x14ac:dyDescent="0.25">
      <c r="A82" s="103"/>
      <c r="B82" s="104" t="e">
        <f>ID!#REF!</f>
        <v>#REF!</v>
      </c>
      <c r="C82" s="104"/>
      <c r="D82" s="366"/>
      <c r="E82" s="104"/>
      <c r="F82" s="104"/>
      <c r="G82" s="104"/>
      <c r="H82" s="104"/>
      <c r="I82" s="104"/>
      <c r="J82" s="104"/>
      <c r="K82" s="105"/>
      <c r="L82" s="105"/>
      <c r="M82" s="75"/>
      <c r="N82" s="72"/>
    </row>
    <row r="83" spans="1:14" ht="15.5" x14ac:dyDescent="0.25">
      <c r="A83" s="103"/>
      <c r="B83" s="104" t="str">
        <f>ID!B86</f>
        <v>Thermohygrolight, Merek : Greisinger, Model : GFTB 200, SN : 34903051</v>
      </c>
      <c r="C83" s="104"/>
      <c r="D83" s="366"/>
      <c r="E83" s="104"/>
      <c r="F83" s="104"/>
      <c r="G83" s="104"/>
      <c r="H83" s="104"/>
      <c r="I83" s="104"/>
      <c r="J83" s="104"/>
      <c r="K83" s="105"/>
      <c r="L83" s="90"/>
      <c r="M83" s="72"/>
      <c r="N83" s="72"/>
    </row>
    <row r="84" spans="1:14" ht="10.5" customHeight="1" x14ac:dyDescent="0.25">
      <c r="A84" s="90"/>
      <c r="B84" s="106"/>
      <c r="C84" s="106"/>
      <c r="D84" s="366"/>
      <c r="E84" s="106"/>
      <c r="F84" s="106"/>
      <c r="G84" s="106"/>
      <c r="H84" s="106"/>
      <c r="I84" s="106"/>
      <c r="J84" s="106"/>
      <c r="K84" s="106"/>
      <c r="L84" s="90"/>
      <c r="M84" s="72"/>
      <c r="N84" s="72"/>
    </row>
    <row r="85" spans="1:14" ht="15.5" x14ac:dyDescent="0.25">
      <c r="A85" s="92" t="s">
        <v>66</v>
      </c>
      <c r="B85" s="107" t="s">
        <v>67</v>
      </c>
      <c r="C85" s="90"/>
      <c r="D85" s="366"/>
      <c r="E85" s="90"/>
      <c r="F85" s="90"/>
      <c r="G85" s="90"/>
      <c r="H85" s="90"/>
      <c r="I85" s="90"/>
      <c r="J85" s="90"/>
      <c r="K85" s="90"/>
      <c r="L85" s="90"/>
      <c r="M85" s="72"/>
      <c r="N85" s="72"/>
    </row>
    <row r="86" spans="1:14" s="141" customFormat="1" ht="15" customHeight="1" x14ac:dyDescent="0.25">
      <c r="A86" s="96"/>
      <c r="B86" s="1709" t="str">
        <f>ID!B90</f>
        <v>Alat yang dikalibrasi dalam batas toleransi dan dinyatakan LAIK PAKAI</v>
      </c>
      <c r="C86" s="1709"/>
      <c r="D86" s="1709"/>
      <c r="E86" s="1709"/>
      <c r="F86" s="1709"/>
      <c r="G86" s="1709"/>
      <c r="H86" s="1709"/>
      <c r="I86" s="1709"/>
      <c r="J86" s="1709"/>
      <c r="K86" s="1709"/>
      <c r="L86" s="138"/>
      <c r="M86" s="130"/>
      <c r="N86" s="130"/>
    </row>
    <row r="87" spans="1:14" ht="15.5" x14ac:dyDescent="0.25">
      <c r="A87" s="90"/>
      <c r="B87" s="105"/>
      <c r="C87" s="90"/>
      <c r="D87" s="366"/>
      <c r="E87" s="90"/>
      <c r="F87" s="90"/>
      <c r="G87" s="90"/>
      <c r="H87" s="90"/>
      <c r="I87" s="90"/>
      <c r="J87" s="90"/>
      <c r="K87" s="90"/>
      <c r="L87" s="90"/>
      <c r="M87" s="72"/>
      <c r="N87" s="72"/>
    </row>
    <row r="88" spans="1:14" ht="15.5" x14ac:dyDescent="0.25">
      <c r="A88" s="96" t="s">
        <v>68</v>
      </c>
      <c r="B88" s="102" t="s">
        <v>69</v>
      </c>
      <c r="C88" s="90"/>
      <c r="D88" s="366"/>
      <c r="E88" s="90"/>
      <c r="F88" s="90"/>
      <c r="G88" s="90"/>
      <c r="H88" s="90"/>
      <c r="I88" s="90"/>
      <c r="J88" s="90"/>
      <c r="K88" s="108"/>
      <c r="L88" s="90"/>
      <c r="M88" s="76"/>
      <c r="N88" s="76"/>
    </row>
    <row r="89" spans="1:14" ht="15.5" customHeight="1" x14ac:dyDescent="0.25">
      <c r="A89" s="77"/>
      <c r="B89" s="94" t="str">
        <f>ID!B95</f>
        <v>Azhar Alamsyah</v>
      </c>
      <c r="C89" s="113"/>
      <c r="D89" s="366"/>
      <c r="E89" s="113"/>
      <c r="F89" s="90"/>
      <c r="G89" s="90"/>
      <c r="H89" s="90"/>
      <c r="I89" s="90"/>
      <c r="J89" s="90"/>
      <c r="K89" s="108"/>
      <c r="L89" s="90"/>
      <c r="M89" s="76"/>
      <c r="N89" s="76"/>
    </row>
    <row r="90" spans="1:14" ht="18.5" x14ac:dyDescent="0.25">
      <c r="A90" s="77"/>
      <c r="B90" s="77"/>
      <c r="C90" s="77"/>
      <c r="D90" s="366"/>
      <c r="E90" s="77"/>
      <c r="F90" s="77"/>
      <c r="G90" s="77"/>
      <c r="H90" s="77"/>
      <c r="I90" s="77"/>
      <c r="J90" s="1684" t="s">
        <v>205</v>
      </c>
      <c r="K90" s="1685"/>
      <c r="L90" s="77"/>
      <c r="M90" s="77"/>
      <c r="N90" s="77"/>
    </row>
    <row r="91" spans="1:14" ht="15" customHeight="1" x14ac:dyDescent="0.25">
      <c r="A91" s="78"/>
      <c r="B91" s="1686" t="s">
        <v>206</v>
      </c>
      <c r="C91" s="1686"/>
      <c r="D91" s="1686"/>
      <c r="E91" s="1686"/>
      <c r="F91" s="1686"/>
      <c r="G91" s="114" t="s">
        <v>70</v>
      </c>
      <c r="H91" s="1147" t="s">
        <v>207</v>
      </c>
      <c r="I91" s="78"/>
      <c r="J91" s="1678">
        <f>Q49+Q27+Q20</f>
        <v>80</v>
      </c>
      <c r="K91" s="1679"/>
      <c r="L91" s="78"/>
      <c r="M91" s="78"/>
      <c r="N91" s="78"/>
    </row>
    <row r="92" spans="1:14" ht="15" customHeight="1" x14ac:dyDescent="0.25">
      <c r="A92" s="78"/>
      <c r="B92" s="390" t="s">
        <v>208</v>
      </c>
      <c r="C92" s="94"/>
      <c r="D92" s="94" t="str">
        <f>ID!B95</f>
        <v>Azhar Alamsyah</v>
      </c>
      <c r="E92" s="90"/>
      <c r="F92" s="391"/>
      <c r="G92" s="392" t="str">
        <f>ID!D97</f>
        <v>5 Januari 2023</v>
      </c>
      <c r="H92" s="393"/>
      <c r="I92" s="78"/>
      <c r="J92" s="1680"/>
      <c r="K92" s="1681"/>
      <c r="L92" s="78"/>
      <c r="M92" s="78"/>
      <c r="N92" s="78"/>
    </row>
    <row r="93" spans="1:14" ht="15.75" customHeight="1" x14ac:dyDescent="0.25">
      <c r="A93" s="72"/>
      <c r="B93" s="394" t="s">
        <v>209</v>
      </c>
      <c r="C93" s="95"/>
      <c r="D93" s="95"/>
      <c r="E93" s="95"/>
      <c r="F93" s="395"/>
      <c r="G93" s="395"/>
      <c r="H93" s="393"/>
      <c r="I93" s="73"/>
      <c r="J93" s="1682"/>
      <c r="K93" s="1683"/>
      <c r="L93" s="73"/>
      <c r="M93" s="72"/>
      <c r="N93" s="72"/>
    </row>
    <row r="94" spans="1:14" ht="6.75" customHeight="1" x14ac:dyDescent="0.25">
      <c r="A94" s="366"/>
      <c r="B94" s="366"/>
      <c r="C94" s="366"/>
      <c r="D94" s="366"/>
      <c r="E94" s="366"/>
      <c r="F94" s="366"/>
      <c r="G94" s="366"/>
      <c r="H94" s="366"/>
      <c r="I94" s="366"/>
      <c r="J94" s="366"/>
      <c r="K94" s="366"/>
    </row>
    <row r="95" spans="1:14" x14ac:dyDescent="0.25">
      <c r="A95" s="366"/>
      <c r="B95" s="366"/>
      <c r="C95" s="366"/>
      <c r="D95" s="366"/>
      <c r="E95" s="366"/>
      <c r="F95" s="366"/>
      <c r="G95" s="366"/>
      <c r="H95" s="366"/>
      <c r="I95" s="366"/>
      <c r="J95" s="366"/>
      <c r="K95" s="366"/>
    </row>
  </sheetData>
  <sheetProtection formatCells="0" formatColumns="0" formatRows="0" insertColumns="0" insertRows="0" deleteColumns="0" deleteRows="0"/>
  <mergeCells count="83">
    <mergeCell ref="B86:K86"/>
    <mergeCell ref="C61:D61"/>
    <mergeCell ref="C62:D62"/>
    <mergeCell ref="H58:H62"/>
    <mergeCell ref="F40:F41"/>
    <mergeCell ref="G40:G41"/>
    <mergeCell ref="H40:H41"/>
    <mergeCell ref="B41:D41"/>
    <mergeCell ref="B40:D40"/>
    <mergeCell ref="E40:E41"/>
    <mergeCell ref="I46:I47"/>
    <mergeCell ref="B46:B47"/>
    <mergeCell ref="C46:D46"/>
    <mergeCell ref="C47:D47"/>
    <mergeCell ref="C48:D48"/>
    <mergeCell ref="C49:D49"/>
    <mergeCell ref="A2:K2"/>
    <mergeCell ref="A1:K1"/>
    <mergeCell ref="C24:G24"/>
    <mergeCell ref="C25:G25"/>
    <mergeCell ref="C26:G26"/>
    <mergeCell ref="J91:K93"/>
    <mergeCell ref="J90:K90"/>
    <mergeCell ref="B91:F91"/>
    <mergeCell ref="C27:G27"/>
    <mergeCell ref="H23:I23"/>
    <mergeCell ref="J23:K23"/>
    <mergeCell ref="C23:G23"/>
    <mergeCell ref="K46:K47"/>
    <mergeCell ref="H56:H57"/>
    <mergeCell ref="I56:I57"/>
    <mergeCell ref="K56:K57"/>
    <mergeCell ref="H48:H52"/>
    <mergeCell ref="E46:E47"/>
    <mergeCell ref="F46:F47"/>
    <mergeCell ref="G46:G47"/>
    <mergeCell ref="H46:H47"/>
    <mergeCell ref="T7:AB7"/>
    <mergeCell ref="T8:AB8"/>
    <mergeCell ref="T9:AB9"/>
    <mergeCell ref="T12:Z12"/>
    <mergeCell ref="N13:N14"/>
    <mergeCell ref="O13:O14"/>
    <mergeCell ref="N7:O8"/>
    <mergeCell ref="P7:P8"/>
    <mergeCell ref="Q7:Q8"/>
    <mergeCell ref="R7:R8"/>
    <mergeCell ref="M56:M57"/>
    <mergeCell ref="L56:L57"/>
    <mergeCell ref="L46:L47"/>
    <mergeCell ref="M46:M47"/>
    <mergeCell ref="E56:E57"/>
    <mergeCell ref="F56:F57"/>
    <mergeCell ref="G56:G57"/>
    <mergeCell ref="H68:H69"/>
    <mergeCell ref="C58:D58"/>
    <mergeCell ref="C59:D59"/>
    <mergeCell ref="C60:D60"/>
    <mergeCell ref="B66:D66"/>
    <mergeCell ref="B67:D67"/>
    <mergeCell ref="B68:D68"/>
    <mergeCell ref="B69:D69"/>
    <mergeCell ref="M66:M67"/>
    <mergeCell ref="E66:E67"/>
    <mergeCell ref="F66:F67"/>
    <mergeCell ref="G66:G67"/>
    <mergeCell ref="H66:H67"/>
    <mergeCell ref="I66:I67"/>
    <mergeCell ref="K66:K67"/>
    <mergeCell ref="L66:L67"/>
    <mergeCell ref="C50:D50"/>
    <mergeCell ref="C51:D51"/>
    <mergeCell ref="C52:D52"/>
    <mergeCell ref="B56:B57"/>
    <mergeCell ref="C56:D56"/>
    <mergeCell ref="C57:D57"/>
    <mergeCell ref="C44:E44"/>
    <mergeCell ref="B42:D42"/>
    <mergeCell ref="B33:C33"/>
    <mergeCell ref="B34:C34"/>
    <mergeCell ref="D33:E33"/>
    <mergeCell ref="D34:E34"/>
    <mergeCell ref="C38:E38"/>
  </mergeCells>
  <conditionalFormatting sqref="J90">
    <cfRule type="colorScale" priority="14">
      <colorScale>
        <cfvo type="num" val="&quot;0-70&quot;"/>
        <cfvo type="max"/>
        <color rgb="FFFF0000"/>
        <color rgb="FF00B050"/>
      </colorScale>
    </cfRule>
  </conditionalFormatting>
  <dataValidations count="4">
    <dataValidation type="list" allowBlank="1" showInputMessage="1" sqref="M2:N2" xr:uid="{00000000-0002-0000-0600-000000000000}">
      <formula1>$Q$2:$Q$3</formula1>
    </dataValidation>
    <dataValidation allowBlank="1" showInputMessage="1" sqref="A2 B89" xr:uid="{00000000-0002-0000-0600-000001000000}"/>
    <dataValidation type="list" allowBlank="1" showInputMessage="1" sqref="B84" xr:uid="{00000000-0002-0000-0600-000003000000}">
      <formula1>#REF!</formula1>
    </dataValidation>
    <dataValidation type="list" allowBlank="1" showInputMessage="1" showErrorMessage="1" sqref="K82:M82 K79:M79" xr:uid="{00000000-0002-0000-0600-000004000000}">
      <formula1>#REF!</formula1>
    </dataValidation>
  </dataValidations>
  <printOptions horizontalCentered="1"/>
  <pageMargins left="0.47244094488188998" right="0.43307086614173201" top="0.43307086614173201" bottom="0.27559055118110198" header="0.31496062992126" footer="0.31496062992126"/>
  <pageSetup paperSize="9" scale="68" orientation="portrait" r:id="rId1"/>
  <headerFooter>
    <oddHeader>&amp;R&amp;"-,Regular"&amp;8KL.LP-13 / Rev. 0</oddHeader>
    <oddFooter>&amp;R&amp;K01+024SWD 1.9.2023</oddFooter>
  </headerFooter>
  <rowBreaks count="1" manualBreakCount="1">
    <brk id="70" max="10" man="1"/>
  </rowBreaks>
  <drawing r:id="rId2"/>
  <legacyDrawing r:id="rId3"/>
  <oleObjects>
    <mc:AlternateContent xmlns:mc="http://schemas.openxmlformats.org/markup-compatibility/2006">
      <mc:Choice Requires="x14">
        <oleObject progId="Equation.3" shapeId="29697" r:id="rId4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7" r:id="rId4"/>
      </mc:Fallback>
    </mc:AlternateContent>
    <mc:AlternateContent xmlns:mc="http://schemas.openxmlformats.org/markup-compatibility/2006">
      <mc:Choice Requires="x14">
        <oleObject progId="Equation.3" shapeId="29698" r:id="rId6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8" r:id="rId6"/>
      </mc:Fallback>
    </mc:AlternateContent>
    <mc:AlternateContent xmlns:mc="http://schemas.openxmlformats.org/markup-compatibility/2006">
      <mc:Choice Requires="x14">
        <oleObject progId="Equation.3" shapeId="29699" r:id="rId7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9" r:id="rId7"/>
      </mc:Fallback>
    </mc:AlternateContent>
    <mc:AlternateContent xmlns:mc="http://schemas.openxmlformats.org/markup-compatibility/2006">
      <mc:Choice Requires="x14">
        <oleObject progId="Equation.3" shapeId="29700" r:id="rId8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0" r:id="rId8"/>
      </mc:Fallback>
    </mc:AlternateContent>
    <mc:AlternateContent xmlns:mc="http://schemas.openxmlformats.org/markup-compatibility/2006">
      <mc:Choice Requires="x14">
        <oleObject progId="Equation.3" shapeId="29701" r:id="rId9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1" r:id="rId9"/>
      </mc:Fallback>
    </mc:AlternateContent>
    <mc:AlternateContent xmlns:mc="http://schemas.openxmlformats.org/markup-compatibility/2006">
      <mc:Choice Requires="x14">
        <oleObject progId="Equation.3" shapeId="29702" r:id="rId10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2" r:id="rId10"/>
      </mc:Fallback>
    </mc:AlternateContent>
    <mc:AlternateContent xmlns:mc="http://schemas.openxmlformats.org/markup-compatibility/2006">
      <mc:Choice Requires="x14">
        <oleObject progId="Equation.3" shapeId="29703" r:id="rId11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3" r:id="rId11"/>
      </mc:Fallback>
    </mc:AlternateContent>
    <mc:AlternateContent xmlns:mc="http://schemas.openxmlformats.org/markup-compatibility/2006">
      <mc:Choice Requires="x14">
        <oleObject progId="Equation.3" shapeId="29704" r:id="rId12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4" r:id="rId12"/>
      </mc:Fallback>
    </mc:AlternateContent>
    <mc:AlternateContent xmlns:mc="http://schemas.openxmlformats.org/markup-compatibility/2006">
      <mc:Choice Requires="x14">
        <oleObject progId="Equation.3" shapeId="29705" r:id="rId13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5" r:id="rId13"/>
      </mc:Fallback>
    </mc:AlternateContent>
    <mc:AlternateContent xmlns:mc="http://schemas.openxmlformats.org/markup-compatibility/2006">
      <mc:Choice Requires="x14">
        <oleObject progId="Equation.3" shapeId="29706" r:id="rId14">
          <objectPr defaultSize="0" autoPict="0" r:id="rId5">
            <anchor moveWithCells="1" sizeWithCells="1">
              <from>
                <xdr:col>15</xdr:col>
                <xdr:colOff>95250</xdr:colOff>
                <xdr:row>26</xdr:row>
                <xdr:rowOff>0</xdr:rowOff>
              </from>
              <to>
                <xdr:col>15</xdr:col>
                <xdr:colOff>488950</xdr:colOff>
                <xdr:row>26</xdr:row>
                <xdr:rowOff>0</xdr:rowOff>
              </to>
            </anchor>
          </objectPr>
        </oleObject>
      </mc:Choice>
      <mc:Fallback>
        <oleObject progId="Equation.3" shapeId="29706" r:id="rId1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EDC2EEE0-F66A-4091-ABF8-F4EC4A1A7C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9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39" id="{5A998E9D-1596-412C-A248-6C5DD3773B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40" id="{1AA2ABD0-B8B4-4D1E-B3F8-C65400059640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1" id="{25CB077E-1C56-4F3D-B5D6-3FA6A0C1DF4F}">
            <x14:iconSet iconSet="3Symbols" showValue="0" custom="1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2" id="{960FCD24-33D5-4045-9434-EC7416EA7F8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3" id="{4490B4E3-4B94-4FBB-BAD6-015D575A351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L24:L25 L27</xm:sqref>
        </x14:conditionalFormatting>
        <x14:conditionalFormatting xmlns:xm="http://schemas.microsoft.com/office/excel/2006/main">
          <x14:cfRule type="iconSet" priority="18" id="{929CBC28-F7C0-4348-A066-161EB37FF9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4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16"/>
  <sheetViews>
    <sheetView view="pageBreakPreview" topLeftCell="A43" zoomScale="87" zoomScaleNormal="100" zoomScaleSheetLayoutView="87" zoomScalePageLayoutView="86" workbookViewId="0">
      <selection activeCell="B55" sqref="B55"/>
    </sheetView>
  </sheetViews>
  <sheetFormatPr defaultColWidth="9.26953125" defaultRowHeight="14" x14ac:dyDescent="0.25"/>
  <cols>
    <col min="1" max="1" width="4.453125" style="139" customWidth="1"/>
    <col min="2" max="2" width="4.26953125" style="139" customWidth="1"/>
    <col min="3" max="3" width="19.26953125" style="139" customWidth="1"/>
    <col min="4" max="4" width="2.7265625" style="139" customWidth="1"/>
    <col min="5" max="7" width="17.54296875" style="139" customWidth="1"/>
    <col min="8" max="8" width="16.81640625" style="139" customWidth="1"/>
    <col min="9" max="9" width="15.1796875" style="139" customWidth="1"/>
    <col min="10" max="10" width="14.54296875" style="139" customWidth="1"/>
    <col min="11" max="11" width="11.81640625" style="139" customWidth="1"/>
    <col min="12" max="12" width="16.54296875" style="139" customWidth="1"/>
    <col min="13" max="13" width="9.453125" style="139" customWidth="1"/>
    <col min="14" max="16384" width="9.26953125" style="139"/>
  </cols>
  <sheetData>
    <row r="1" spans="1:12" ht="18" x14ac:dyDescent="0.25">
      <c r="A1" s="1699" t="str">
        <f>PENYELIA!A1</f>
        <v>HASIL KALIBRASI KALIBRASI SHORT WAVE DIATHERMY</v>
      </c>
      <c r="B1" s="1699"/>
      <c r="C1" s="1699"/>
      <c r="D1" s="1699"/>
      <c r="E1" s="1699"/>
      <c r="F1" s="1699"/>
      <c r="G1" s="1699"/>
      <c r="H1" s="1699"/>
      <c r="I1" s="1699"/>
      <c r="J1" s="1699"/>
      <c r="K1" s="442"/>
      <c r="L1" s="442"/>
    </row>
    <row r="2" spans="1:12" ht="15.5" x14ac:dyDescent="0.25">
      <c r="A2" s="1698" t="str">
        <f>PENYELIA!A2</f>
        <v>Nomor Sertifikat : 43 / 19 / III - 25 / E - 009.678 DL</v>
      </c>
      <c r="B2" s="1698"/>
      <c r="C2" s="1698"/>
      <c r="D2" s="1698"/>
      <c r="E2" s="1698"/>
      <c r="F2" s="1698"/>
      <c r="G2" s="1698"/>
      <c r="H2" s="1698"/>
      <c r="I2" s="1698"/>
      <c r="J2" s="1698"/>
      <c r="K2" s="441"/>
      <c r="L2" s="441"/>
    </row>
    <row r="3" spans="1:12" x14ac:dyDescent="0.25">
      <c r="A3" s="1153"/>
      <c r="B3" s="1153"/>
      <c r="C3" s="1153"/>
      <c r="D3" s="1153"/>
      <c r="E3" s="1153"/>
      <c r="F3" s="1153"/>
      <c r="G3" s="1153"/>
      <c r="H3" s="1153"/>
      <c r="I3" s="1153"/>
      <c r="J3" s="1153"/>
      <c r="K3" s="337"/>
    </row>
    <row r="4" spans="1:12" x14ac:dyDescent="0.25">
      <c r="A4" s="1153"/>
      <c r="B4" s="1153"/>
      <c r="C4" s="1153"/>
      <c r="D4" s="1153"/>
      <c r="E4" s="1153"/>
      <c r="F4" s="1153"/>
      <c r="G4" s="1153"/>
      <c r="H4" s="1153"/>
      <c r="I4" s="1153"/>
      <c r="J4" s="1153"/>
      <c r="K4" s="337"/>
    </row>
    <row r="5" spans="1:12" x14ac:dyDescent="0.25">
      <c r="A5" s="1154" t="str">
        <f>PENYELIA!A4</f>
        <v>Merek</v>
      </c>
      <c r="B5" s="1154"/>
      <c r="C5" s="1155"/>
      <c r="D5" s="1156" t="s">
        <v>1</v>
      </c>
      <c r="E5" s="1157" t="str">
        <f>PENYELIA!E4</f>
        <v>x</v>
      </c>
      <c r="F5" s="1154"/>
      <c r="G5" s="1154"/>
      <c r="H5" s="1154"/>
      <c r="I5" s="1154"/>
      <c r="J5" s="1154"/>
    </row>
    <row r="6" spans="1:12" x14ac:dyDescent="0.25">
      <c r="A6" s="1154" t="str">
        <f>PENYELIA!A5</f>
        <v>Model/Tipe</v>
      </c>
      <c r="B6" s="1154"/>
      <c r="C6" s="1155"/>
      <c r="D6" s="1156" t="s">
        <v>1</v>
      </c>
      <c r="E6" s="1157" t="str">
        <f>PENYELIA!E5</f>
        <v>s</v>
      </c>
      <c r="F6" s="1154"/>
      <c r="G6" s="1154"/>
      <c r="H6" s="1154"/>
      <c r="I6" s="1154"/>
      <c r="J6" s="1154"/>
    </row>
    <row r="7" spans="1:12" x14ac:dyDescent="0.25">
      <c r="A7" s="1154" t="str">
        <f>PENYELIA!A6</f>
        <v>No. Seri</v>
      </c>
      <c r="B7" s="1154"/>
      <c r="C7" s="1155"/>
      <c r="D7" s="1156" t="s">
        <v>1</v>
      </c>
      <c r="E7" s="1157" t="str">
        <f>PENYELIA!E6</f>
        <v>d</v>
      </c>
      <c r="F7" s="1158"/>
      <c r="G7" s="1154"/>
      <c r="H7" s="1154"/>
      <c r="I7" s="1154"/>
      <c r="J7" s="1154"/>
    </row>
    <row r="8" spans="1:12" x14ac:dyDescent="0.25">
      <c r="A8" s="1154" t="str">
        <f>PENYELIA!A7</f>
        <v>Tanggal Penerimaan Alat</v>
      </c>
      <c r="B8" s="1154"/>
      <c r="C8" s="1155"/>
      <c r="D8" s="1156"/>
      <c r="E8" s="1157" t="str">
        <f>PENYELIA!E7</f>
        <v>s</v>
      </c>
      <c r="F8" s="1158"/>
      <c r="G8" s="1154"/>
      <c r="H8" s="1154"/>
      <c r="I8" s="1154"/>
      <c r="J8" s="1154"/>
    </row>
    <row r="9" spans="1:12" x14ac:dyDescent="0.25">
      <c r="A9" s="1154" t="str">
        <f>PENYELIA!A8</f>
        <v>Tanggal Kalibrasi</v>
      </c>
      <c r="B9" s="1154"/>
      <c r="C9" s="1155"/>
      <c r="D9" s="1156" t="s">
        <v>1</v>
      </c>
      <c r="E9" s="1157" t="str">
        <f>PENYELIA!E8</f>
        <v>d</v>
      </c>
      <c r="F9" s="1154"/>
      <c r="G9" s="1154"/>
      <c r="H9" s="1154"/>
      <c r="I9" s="1154"/>
      <c r="J9" s="1154"/>
    </row>
    <row r="10" spans="1:12" x14ac:dyDescent="0.25">
      <c r="A10" s="1154" t="str">
        <f>PENYELIA!A9</f>
        <v>Tempat Kalibrasi</v>
      </c>
      <c r="B10" s="1154"/>
      <c r="C10" s="1155"/>
      <c r="D10" s="1156" t="s">
        <v>1</v>
      </c>
      <c r="E10" s="1157" t="str">
        <f>PENYELIA!E9</f>
        <v>f</v>
      </c>
      <c r="F10" s="1154"/>
      <c r="G10" s="1154"/>
      <c r="H10" s="1154"/>
      <c r="I10" s="1154"/>
      <c r="J10" s="1154"/>
    </row>
    <row r="11" spans="1:12" x14ac:dyDescent="0.25">
      <c r="A11" s="1154" t="str">
        <f>PENYELIA!A10</f>
        <v>Nama Ruang</v>
      </c>
      <c r="B11" s="1154"/>
      <c r="C11" s="1155"/>
      <c r="D11" s="1156" t="s">
        <v>1</v>
      </c>
      <c r="E11" s="1157" t="str">
        <f>PENYELIA!E10</f>
        <v>g</v>
      </c>
      <c r="F11" s="1154"/>
      <c r="G11" s="1154"/>
      <c r="H11" s="1154"/>
      <c r="I11" s="1154"/>
      <c r="J11" s="1154"/>
    </row>
    <row r="12" spans="1:12" x14ac:dyDescent="0.25">
      <c r="A12" s="1154" t="str">
        <f>PENYELIA!A11</f>
        <v>Metode Kerja</v>
      </c>
      <c r="B12" s="1154"/>
      <c r="C12" s="1155"/>
      <c r="D12" s="1156" t="s">
        <v>1</v>
      </c>
      <c r="E12" s="1157" t="str">
        <f>PENYELIA!E11</f>
        <v>KL.MK 13</v>
      </c>
      <c r="F12" s="1154"/>
      <c r="G12" s="1154"/>
      <c r="H12" s="1154"/>
      <c r="I12" s="1154"/>
      <c r="J12" s="1154"/>
    </row>
    <row r="13" spans="1:12" ht="3.75" customHeight="1" x14ac:dyDescent="0.25">
      <c r="A13" s="1154"/>
      <c r="B13" s="1154"/>
      <c r="C13" s="1154"/>
      <c r="D13" s="1154"/>
      <c r="E13" s="1154"/>
      <c r="F13" s="1154"/>
      <c r="G13" s="1154"/>
      <c r="H13" s="1154"/>
      <c r="I13" s="1154"/>
      <c r="J13" s="1154"/>
    </row>
    <row r="14" spans="1:12" x14ac:dyDescent="0.25">
      <c r="A14" s="1159" t="s">
        <v>9</v>
      </c>
      <c r="B14" s="1159" t="str">
        <f>PENYELIA!B13</f>
        <v>Kondisi Ruang</v>
      </c>
      <c r="C14" s="1154"/>
      <c r="D14" s="1154"/>
      <c r="E14" s="1154"/>
      <c r="F14" s="1154"/>
      <c r="G14" s="1154"/>
      <c r="H14" s="1154"/>
      <c r="I14" s="1154"/>
      <c r="J14" s="1154"/>
    </row>
    <row r="15" spans="1:12" ht="3.75" customHeight="1" x14ac:dyDescent="0.25">
      <c r="A15" s="1159"/>
      <c r="B15" s="1159"/>
      <c r="C15" s="1154"/>
      <c r="D15" s="1154"/>
      <c r="E15" s="1154"/>
      <c r="F15" s="1154"/>
      <c r="G15" s="1154"/>
      <c r="H15" s="1154"/>
      <c r="I15" s="1154"/>
      <c r="J15" s="1154"/>
    </row>
    <row r="16" spans="1:12" x14ac:dyDescent="0.25">
      <c r="A16" s="1154"/>
      <c r="B16" s="1154" t="str">
        <f>PENYELIA!B14</f>
        <v xml:space="preserve">1. Suhu </v>
      </c>
      <c r="C16" s="1154"/>
      <c r="D16" s="1156" t="s">
        <v>1</v>
      </c>
      <c r="E16" s="1391" t="str">
        <f>'DB Thermohygro '!L345</f>
        <v>23.2</v>
      </c>
      <c r="F16" s="1408"/>
      <c r="G16" s="1409" t="str">
        <f>'DB Thermohygro '!N357</f>
        <v>0.3</v>
      </c>
      <c r="H16" s="1160" t="str">
        <f>'DB Thermohygro '!O357</f>
        <v xml:space="preserve"> °C</v>
      </c>
      <c r="I16" s="1160"/>
      <c r="J16" s="1154"/>
    </row>
    <row r="17" spans="1:11" x14ac:dyDescent="0.25">
      <c r="A17" s="1154"/>
      <c r="B17" s="1154" t="str">
        <f>PENYELIA!B15</f>
        <v xml:space="preserve">2. Kelembaban </v>
      </c>
      <c r="C17" s="1154"/>
      <c r="D17" s="1156" t="s">
        <v>1</v>
      </c>
      <c r="E17" s="1391" t="str">
        <f>'DB Thermohygro '!L346</f>
        <v>39.2</v>
      </c>
      <c r="F17" s="1408"/>
      <c r="G17" s="1409" t="str">
        <f>'DB Thermohygro '!N358</f>
        <v>2.6</v>
      </c>
      <c r="H17" s="1160" t="str">
        <f>'DB Thermohygro '!O358</f>
        <v xml:space="preserve"> %RH</v>
      </c>
      <c r="I17" s="1160"/>
      <c r="J17" s="1154"/>
    </row>
    <row r="18" spans="1:11" x14ac:dyDescent="0.25">
      <c r="A18" s="1154"/>
      <c r="B18" s="1154" t="str">
        <f>PENYELIA!B16</f>
        <v>3. Tegangan Jala-jala</v>
      </c>
      <c r="C18" s="1154"/>
      <c r="D18" s="1156" t="s">
        <v>1</v>
      </c>
      <c r="E18" s="1391" t="str">
        <f>TEXT(ESA!Q137,"0.0")</f>
        <v>220.1</v>
      </c>
      <c r="F18" s="1410"/>
      <c r="G18" s="1409" t="str">
        <f>IF(E18="-","",TEXT(ESA!Q143,"0.0"))</f>
        <v>2.6</v>
      </c>
      <c r="H18" s="1160" t="str">
        <f>IF(E18="-","",ESA!P143)</f>
        <v>Volt</v>
      </c>
      <c r="I18" s="1160"/>
      <c r="J18" s="1154"/>
    </row>
    <row r="19" spans="1:11" ht="3.75" customHeight="1" x14ac:dyDescent="0.25">
      <c r="A19" s="1154"/>
      <c r="B19" s="1154"/>
      <c r="C19" s="1155"/>
      <c r="D19" s="1161"/>
      <c r="E19" s="1154"/>
      <c r="F19" s="1154"/>
      <c r="G19" s="1154"/>
      <c r="H19" s="1154"/>
      <c r="I19" s="1154"/>
      <c r="J19" s="1154"/>
    </row>
    <row r="20" spans="1:11" x14ac:dyDescent="0.25">
      <c r="A20" s="1159" t="s">
        <v>204</v>
      </c>
      <c r="B20" s="1159" t="str">
        <f>PENYELIA!B18</f>
        <v>Pemeriksaan Kondisi Fisik dan Fungsi Alat</v>
      </c>
      <c r="C20" s="1154"/>
      <c r="D20" s="1154"/>
      <c r="E20" s="1154"/>
      <c r="F20" s="1154"/>
      <c r="G20" s="1154"/>
      <c r="H20" s="1154"/>
      <c r="I20" s="1154"/>
      <c r="J20" s="1154"/>
    </row>
    <row r="21" spans="1:11" ht="3.75" customHeight="1" x14ac:dyDescent="0.25">
      <c r="A21" s="1159"/>
      <c r="B21" s="1159"/>
      <c r="C21" s="1154"/>
      <c r="D21" s="1154"/>
      <c r="E21" s="1154"/>
      <c r="F21" s="1154"/>
      <c r="G21" s="1154"/>
      <c r="H21" s="1154"/>
      <c r="I21" s="1154"/>
      <c r="J21" s="1154"/>
    </row>
    <row r="22" spans="1:11" x14ac:dyDescent="0.25">
      <c r="A22" s="1159"/>
      <c r="B22" s="1154" t="s">
        <v>21</v>
      </c>
      <c r="C22" s="1155"/>
      <c r="D22" s="1156" t="s">
        <v>1</v>
      </c>
      <c r="E22" s="1392" t="str">
        <f>PENYELIA!E19</f>
        <v>Baik</v>
      </c>
      <c r="F22" s="1154"/>
      <c r="G22" s="1154"/>
      <c r="H22" s="1154"/>
      <c r="I22" s="1154"/>
      <c r="J22" s="1154"/>
    </row>
    <row r="23" spans="1:11" x14ac:dyDescent="0.25">
      <c r="A23" s="1154"/>
      <c r="B23" s="1154" t="s">
        <v>23</v>
      </c>
      <c r="C23" s="1155"/>
      <c r="D23" s="1156" t="s">
        <v>1</v>
      </c>
      <c r="E23" s="1392" t="str">
        <f>PENYELIA!E20</f>
        <v>Baik</v>
      </c>
      <c r="F23" s="1154"/>
      <c r="G23" s="1154"/>
      <c r="H23" s="1154"/>
      <c r="I23" s="1154"/>
      <c r="J23" s="1154"/>
    </row>
    <row r="24" spans="1:11" ht="3.75" customHeight="1" x14ac:dyDescent="0.25">
      <c r="A24" s="1154"/>
      <c r="B24" s="1154"/>
      <c r="C24" s="1154"/>
      <c r="D24" s="1154"/>
      <c r="E24" s="1162"/>
      <c r="F24" s="1154"/>
      <c r="G24" s="1154"/>
      <c r="H24" s="1154"/>
      <c r="I24" s="1154"/>
      <c r="J24" s="1154"/>
    </row>
    <row r="25" spans="1:11" x14ac:dyDescent="0.25">
      <c r="A25" s="1159" t="s">
        <v>24</v>
      </c>
      <c r="B25" s="1159" t="str">
        <f>PENYELIA!B22</f>
        <v xml:space="preserve">Pengujian keselamatan listrik </v>
      </c>
      <c r="C25" s="1154"/>
      <c r="D25" s="1154"/>
      <c r="E25" s="1162"/>
      <c r="F25" s="1154"/>
      <c r="G25" s="1154"/>
      <c r="H25" s="1154"/>
      <c r="I25" s="1154"/>
      <c r="J25" s="1154"/>
    </row>
    <row r="26" spans="1:11" ht="3.75" customHeight="1" x14ac:dyDescent="0.25">
      <c r="A26" s="1159"/>
      <c r="B26" s="1159"/>
      <c r="C26" s="1154"/>
      <c r="D26" s="1154"/>
      <c r="E26" s="1162"/>
      <c r="F26" s="1154"/>
      <c r="G26" s="1154"/>
      <c r="H26" s="1154"/>
      <c r="I26" s="1154"/>
      <c r="J26" s="1154"/>
    </row>
    <row r="27" spans="1:11" ht="30.75" customHeight="1" x14ac:dyDescent="0.25">
      <c r="A27" s="1154"/>
      <c r="B27" s="1163" t="s">
        <v>26</v>
      </c>
      <c r="C27" s="1724" t="s">
        <v>27</v>
      </c>
      <c r="D27" s="1725"/>
      <c r="E27" s="1725"/>
      <c r="F27" s="1725"/>
      <c r="G27" s="1726"/>
      <c r="H27" s="1724" t="s">
        <v>28</v>
      </c>
      <c r="I27" s="1726"/>
      <c r="J27" s="1164" t="s">
        <v>29</v>
      </c>
      <c r="K27" s="1031"/>
    </row>
    <row r="28" spans="1:11" ht="15" customHeight="1" x14ac:dyDescent="0.25">
      <c r="A28" s="1154"/>
      <c r="B28" s="1165">
        <v>1</v>
      </c>
      <c r="C28" s="1700" t="str">
        <f>PENYELIA!C24</f>
        <v xml:space="preserve">Resistansi Isolasi </v>
      </c>
      <c r="D28" s="1701"/>
      <c r="E28" s="1701"/>
      <c r="F28" s="1701"/>
      <c r="G28" s="1702"/>
      <c r="H28" s="1393" t="str">
        <f>PENYELIA!H24</f>
        <v>-</v>
      </c>
      <c r="I28" s="1187" t="str">
        <f>PENYELIA!I24</f>
        <v/>
      </c>
      <c r="J28" s="1167">
        <f>PENYELIA!J24</f>
        <v>2</v>
      </c>
      <c r="K28" s="1032"/>
    </row>
    <row r="29" spans="1:11" ht="15" customHeight="1" x14ac:dyDescent="0.25">
      <c r="A29" s="1154"/>
      <c r="B29" s="1165">
        <v>2</v>
      </c>
      <c r="C29" s="1727" t="str">
        <f>PENYELIA!C25</f>
        <v>Resistansi Pembumian Protektif (kabel dapat dilepas)</v>
      </c>
      <c r="D29" s="1728"/>
      <c r="E29" s="1728"/>
      <c r="F29" s="1728"/>
      <c r="G29" s="1729"/>
      <c r="H29" s="1394" t="str">
        <f>PENYELIA!H25</f>
        <v>-</v>
      </c>
      <c r="I29" s="1166" t="str">
        <f>PENYELIA!I25</f>
        <v/>
      </c>
      <c r="J29" s="1168">
        <f>PENYELIA!J25</f>
        <v>0.2</v>
      </c>
      <c r="K29" s="1032"/>
    </row>
    <row r="30" spans="1:11" ht="15" customHeight="1" x14ac:dyDescent="0.25">
      <c r="A30" s="1154"/>
      <c r="B30" s="1165">
        <v>3</v>
      </c>
      <c r="C30" s="1718" t="str">
        <f>PENYELIA!C26</f>
        <v>Arus bocor peralatan untuk peralatan elektromedik kelas I</v>
      </c>
      <c r="D30" s="1719"/>
      <c r="E30" s="1719"/>
      <c r="F30" s="1719"/>
      <c r="G30" s="1720"/>
      <c r="H30" s="1393" t="str">
        <f>PENYELIA!H26</f>
        <v>-</v>
      </c>
      <c r="I30" s="1166" t="str">
        <f>PENYELIA!I26</f>
        <v/>
      </c>
      <c r="J30" s="1169">
        <f>PENYELIA!J26</f>
        <v>500</v>
      </c>
      <c r="K30" s="1032"/>
    </row>
    <row r="31" spans="1:11" ht="15" customHeight="1" x14ac:dyDescent="0.25">
      <c r="A31" s="1154"/>
      <c r="B31" s="1165">
        <v>4</v>
      </c>
      <c r="C31" s="1700" t="str">
        <f>PENYELIA!C27</f>
        <v>Arus bocor peralatan yang diaplikasikan</v>
      </c>
      <c r="D31" s="1701"/>
      <c r="E31" s="1701"/>
      <c r="F31" s="1701"/>
      <c r="G31" s="1702"/>
      <c r="H31" s="1393" t="str">
        <f>PENYELIA!H27</f>
        <v>-</v>
      </c>
      <c r="I31" s="1166" t="str">
        <f>PENYELIA!I27</f>
        <v/>
      </c>
      <c r="J31" s="1168" t="str">
        <f>PENYELIA!J27&amp;PENYELIA!K27</f>
        <v>≤ 50 µA</v>
      </c>
      <c r="K31" s="1032"/>
    </row>
    <row r="32" spans="1:11" ht="3.75" customHeight="1" x14ac:dyDescent="0.25">
      <c r="A32" s="1154"/>
      <c r="B32" s="1154"/>
      <c r="C32" s="1154"/>
      <c r="D32" s="1154"/>
      <c r="E32" s="1162"/>
      <c r="F32" s="1154"/>
      <c r="G32" s="1154"/>
      <c r="H32" s="1154"/>
      <c r="I32" s="1154"/>
      <c r="J32" s="1154"/>
    </row>
    <row r="33" spans="1:15" x14ac:dyDescent="0.25">
      <c r="A33" s="1170" t="s">
        <v>46</v>
      </c>
      <c r="B33" s="1170" t="str">
        <f>PENYELIA!B29</f>
        <v>Pengujian Kinerja</v>
      </c>
      <c r="C33" s="1154"/>
      <c r="D33" s="1154"/>
      <c r="E33" s="1154"/>
      <c r="F33" s="1154"/>
      <c r="G33" s="1154"/>
      <c r="H33" s="1154"/>
      <c r="I33" s="1154"/>
      <c r="J33" s="1154"/>
    </row>
    <row r="34" spans="1:15" ht="3.75" customHeight="1" x14ac:dyDescent="0.25">
      <c r="A34" s="1170"/>
      <c r="B34" s="1170"/>
      <c r="C34" s="1154"/>
      <c r="D34" s="1154"/>
      <c r="E34" s="1154"/>
      <c r="F34" s="1154"/>
      <c r="G34" s="1154"/>
      <c r="H34" s="1154"/>
      <c r="I34" s="1154"/>
      <c r="J34" s="1154"/>
    </row>
    <row r="35" spans="1:15" s="129" customFormat="1" ht="15.5" x14ac:dyDescent="0.25">
      <c r="A35" s="1170"/>
      <c r="B35" s="1170" t="str">
        <f>PENYELIA!B31</f>
        <v xml:space="preserve">a. </v>
      </c>
      <c r="C35" s="1170" t="str">
        <f>PENYELIA!C31</f>
        <v>Pengamatan Transmisi Energi Gelombang Pendek</v>
      </c>
      <c r="D35" s="1171"/>
      <c r="E35" s="1154"/>
      <c r="F35" s="1154"/>
      <c r="G35" s="1154"/>
      <c r="H35" s="1154"/>
      <c r="I35" s="1154"/>
      <c r="J35" s="1154"/>
      <c r="K35" s="139"/>
      <c r="L35" s="139"/>
      <c r="M35" s="139"/>
      <c r="N35" s="12"/>
      <c r="O35" s="12"/>
    </row>
    <row r="36" spans="1:15" s="129" customFormat="1" ht="6" customHeight="1" x14ac:dyDescent="0.25">
      <c r="A36" s="1170"/>
      <c r="B36" s="1170"/>
      <c r="C36" s="1170"/>
      <c r="D36" s="1170"/>
      <c r="E36" s="1170"/>
      <c r="F36" s="1170"/>
      <c r="G36" s="1170"/>
      <c r="H36" s="1170"/>
      <c r="I36" s="1170"/>
      <c r="J36" s="1170"/>
      <c r="K36" s="139"/>
      <c r="L36" s="139"/>
      <c r="M36" s="139"/>
      <c r="N36" s="12"/>
      <c r="O36" s="12"/>
    </row>
    <row r="37" spans="1:15" s="129" customFormat="1" ht="15.65" customHeight="1" x14ac:dyDescent="0.25">
      <c r="A37" s="1170"/>
      <c r="B37" s="1652" t="str">
        <f>PENYELIA!B33</f>
        <v>Pengamatan</v>
      </c>
      <c r="C37" s="1652"/>
      <c r="D37" s="1652" t="str">
        <f>PENYELIA!D33</f>
        <v>Setting Alat</v>
      </c>
      <c r="E37" s="1652"/>
      <c r="F37" s="1652"/>
      <c r="G37" s="1172" t="str">
        <f>PENYELIA!F33</f>
        <v>Penunjukan</v>
      </c>
      <c r="H37" s="1172" t="str">
        <f>PENYELIA!G33</f>
        <v>Hasil</v>
      </c>
      <c r="I37" s="1173"/>
      <c r="J37" s="1170"/>
      <c r="K37" s="139"/>
      <c r="L37" s="139"/>
      <c r="M37" s="139"/>
      <c r="N37" s="12"/>
      <c r="O37" s="12"/>
    </row>
    <row r="38" spans="1:15" s="129" customFormat="1" ht="29.25" customHeight="1" x14ac:dyDescent="0.25">
      <c r="A38" s="1170"/>
      <c r="B38" s="1652" t="str">
        <f>PENYELIA!B34</f>
        <v>Lampu / Tabung Flourosen</v>
      </c>
      <c r="C38" s="1652"/>
      <c r="D38" s="1652" t="str">
        <f>PENYELIA!D34</f>
        <v>0 - 50 Watt / 0.5 dari nilai lampu / tabung flourosen</v>
      </c>
      <c r="E38" s="1652"/>
      <c r="F38" s="1652"/>
      <c r="G38" s="1395" t="str">
        <f>PENYELIA!F34</f>
        <v>Menyala</v>
      </c>
      <c r="H38" s="1395" t="str">
        <f>PENYELIA!G34</f>
        <v>Baik</v>
      </c>
      <c r="I38" s="1173"/>
      <c r="J38" s="1170"/>
      <c r="K38" s="139"/>
      <c r="L38" s="139"/>
      <c r="M38" s="139"/>
      <c r="N38" s="12"/>
      <c r="O38" s="12"/>
    </row>
    <row r="39" spans="1:15" s="129" customFormat="1" ht="6" customHeight="1" x14ac:dyDescent="0.25">
      <c r="A39" s="1170"/>
      <c r="B39" s="1174"/>
      <c r="C39" s="1174"/>
      <c r="D39" s="1174"/>
      <c r="E39" s="1174"/>
      <c r="F39" s="1170"/>
      <c r="G39" s="1170"/>
      <c r="H39" s="1170"/>
      <c r="I39" s="1170"/>
      <c r="J39" s="1170"/>
      <c r="K39" s="139"/>
      <c r="L39" s="139"/>
      <c r="M39" s="139"/>
      <c r="N39" s="12"/>
      <c r="O39" s="12"/>
    </row>
    <row r="40" spans="1:15" s="129" customFormat="1" ht="15" customHeight="1" x14ac:dyDescent="0.25">
      <c r="A40" s="1170"/>
      <c r="B40" s="1188" t="str">
        <f>PENYELIA!B36</f>
        <v xml:space="preserve">b. </v>
      </c>
      <c r="C40" s="1189" t="str">
        <f>PENYELIA!C36</f>
        <v>Kalibrasi</v>
      </c>
      <c r="D40" s="1174"/>
      <c r="E40" s="1174"/>
      <c r="F40" s="1170"/>
      <c r="G40" s="1170"/>
      <c r="H40" s="1170"/>
      <c r="I40" s="1170"/>
      <c r="J40" s="1170"/>
      <c r="K40" s="139"/>
      <c r="L40" s="139"/>
      <c r="M40" s="139"/>
      <c r="N40" s="12"/>
      <c r="O40" s="12"/>
    </row>
    <row r="41" spans="1:15" s="129" customFormat="1" ht="6" customHeight="1" x14ac:dyDescent="0.25">
      <c r="A41" s="1170"/>
      <c r="B41" s="1174"/>
      <c r="C41" s="1174"/>
      <c r="D41" s="1174"/>
      <c r="E41" s="1174"/>
      <c r="F41" s="1170"/>
      <c r="G41" s="1170"/>
      <c r="H41" s="1170"/>
      <c r="I41" s="1170"/>
      <c r="J41" s="1170"/>
      <c r="K41" s="139"/>
      <c r="L41" s="139"/>
      <c r="M41" s="139"/>
      <c r="N41" s="12"/>
      <c r="O41" s="12"/>
    </row>
    <row r="42" spans="1:15" s="129" customFormat="1" ht="15.5" x14ac:dyDescent="0.25">
      <c r="A42" s="1170"/>
      <c r="B42" s="1174"/>
      <c r="C42" s="1189" t="str">
        <f>PENYELIA!C38</f>
        <v>- Frekuensi Output</v>
      </c>
      <c r="D42" s="1174"/>
      <c r="E42" s="1174"/>
      <c r="F42" s="1170"/>
      <c r="G42" s="1170"/>
      <c r="H42" s="1170"/>
      <c r="I42" s="1170"/>
      <c r="J42" s="1170"/>
      <c r="K42" s="139"/>
      <c r="L42" s="139"/>
      <c r="M42" s="139"/>
      <c r="N42" s="12"/>
      <c r="O42" s="12"/>
    </row>
    <row r="43" spans="1:15" s="129" customFormat="1" ht="6" customHeight="1" x14ac:dyDescent="0.25">
      <c r="A43" s="1170"/>
      <c r="B43" s="1174"/>
      <c r="C43" s="1174"/>
      <c r="D43" s="1174"/>
      <c r="E43" s="1174"/>
      <c r="F43" s="1170"/>
      <c r="G43" s="1170"/>
      <c r="H43" s="1170"/>
      <c r="I43" s="1170"/>
      <c r="J43" s="1170"/>
      <c r="K43" s="139"/>
      <c r="L43" s="139"/>
      <c r="M43" s="139"/>
      <c r="N43" s="12"/>
      <c r="O43" s="12"/>
    </row>
    <row r="44" spans="1:15" s="129" customFormat="1" ht="16.5" customHeight="1" x14ac:dyDescent="0.25">
      <c r="A44" s="1170"/>
      <c r="B44" s="1653" t="str">
        <f>PENYELIA!B46</f>
        <v>No</v>
      </c>
      <c r="C44" s="1651" t="s">
        <v>149</v>
      </c>
      <c r="D44" s="1651"/>
      <c r="E44" s="1656" t="s">
        <v>49</v>
      </c>
      <c r="F44" s="1657" t="s">
        <v>95</v>
      </c>
      <c r="G44" s="1657" t="s">
        <v>50</v>
      </c>
      <c r="H44" s="1734" t="s">
        <v>568</v>
      </c>
      <c r="I44" s="1735"/>
      <c r="J44" s="1171"/>
      <c r="K44" s="139"/>
      <c r="L44" s="1730"/>
      <c r="N44" s="12"/>
      <c r="O44" s="12"/>
    </row>
    <row r="45" spans="1:15" s="129" customFormat="1" ht="30" customHeight="1" x14ac:dyDescent="0.3">
      <c r="A45" s="1170"/>
      <c r="B45" s="1654"/>
      <c r="C45" s="1722" t="str">
        <f>PENYELIA!B41</f>
        <v>(MHz)</v>
      </c>
      <c r="D45" s="1722"/>
      <c r="E45" s="1656"/>
      <c r="F45" s="1657"/>
      <c r="G45" s="1657"/>
      <c r="H45" s="1736"/>
      <c r="I45" s="1737"/>
      <c r="J45" s="1171"/>
      <c r="K45" s="139"/>
      <c r="L45" s="1730"/>
      <c r="N45" s="12"/>
      <c r="O45" s="12"/>
    </row>
    <row r="46" spans="1:15" s="129" customFormat="1" ht="16.5" customHeight="1" x14ac:dyDescent="0.25">
      <c r="A46" s="1170"/>
      <c r="B46" s="1172">
        <v>1</v>
      </c>
      <c r="C46" s="1743">
        <f>PENYELIA!B42</f>
        <v>27.12</v>
      </c>
      <c r="D46" s="1743"/>
      <c r="E46" s="1396">
        <f>PENYELIA!E42</f>
        <v>27.120010000000001</v>
      </c>
      <c r="F46" s="1396">
        <f>PENYELIA!F42</f>
        <v>9.9999999996214228E-6</v>
      </c>
      <c r="G46" s="1182" t="str">
        <f>PENYELIA!G42</f>
        <v>26.96 - 27.28</v>
      </c>
      <c r="H46" s="1398" t="str">
        <f>IF(I46="-","","±")</f>
        <v>±</v>
      </c>
      <c r="I46" s="1399">
        <f>PENYELIA!H42</f>
        <v>7.8987321616993497E-2</v>
      </c>
      <c r="J46" s="1171"/>
      <c r="K46" s="139"/>
      <c r="N46" s="12"/>
      <c r="O46" s="12"/>
    </row>
    <row r="47" spans="1:15" s="936" customFormat="1" ht="3.75" customHeight="1" x14ac:dyDescent="0.3">
      <c r="A47" s="1190"/>
      <c r="B47" s="1190"/>
      <c r="C47" s="1191"/>
      <c r="D47" s="1192"/>
      <c r="E47" s="1192"/>
      <c r="F47" s="1192"/>
      <c r="G47" s="1192"/>
      <c r="H47" s="1190"/>
      <c r="I47" s="1190"/>
      <c r="J47" s="1190"/>
      <c r="K47" s="670"/>
      <c r="L47" s="670"/>
      <c r="M47" s="670"/>
      <c r="N47" s="935"/>
    </row>
    <row r="48" spans="1:15" s="936" customFormat="1" ht="28" customHeight="1" x14ac:dyDescent="0.3">
      <c r="A48" s="1190"/>
      <c r="B48" s="1190"/>
      <c r="C48" s="1744" t="str">
        <f>PENYELIA!C44</f>
        <v>- Pulse Frekuensi (Hz)</v>
      </c>
      <c r="D48" s="1744"/>
      <c r="E48" s="1192"/>
      <c r="F48" s="1192"/>
      <c r="G48" s="1192"/>
      <c r="H48" s="1190"/>
      <c r="I48" s="1190"/>
      <c r="J48" s="1190"/>
      <c r="K48" s="670"/>
      <c r="L48" s="670"/>
      <c r="M48" s="670"/>
      <c r="N48" s="935"/>
    </row>
    <row r="49" spans="1:18" s="936" customFormat="1" ht="4.5" customHeight="1" x14ac:dyDescent="0.3">
      <c r="A49" s="1190"/>
      <c r="B49" s="1190"/>
      <c r="C49" s="1191"/>
      <c r="D49" s="1192"/>
      <c r="E49" s="1192"/>
      <c r="F49" s="1192"/>
      <c r="G49" s="1192"/>
      <c r="H49" s="1190"/>
      <c r="I49" s="1190"/>
      <c r="J49" s="1190"/>
      <c r="K49" s="670"/>
      <c r="L49" s="670"/>
      <c r="M49" s="670"/>
      <c r="N49" s="935"/>
    </row>
    <row r="50" spans="1:18" s="944" customFormat="1" ht="14.25" customHeight="1" x14ac:dyDescent="0.3">
      <c r="A50" s="1193"/>
      <c r="B50" s="1653" t="str">
        <f>PENYELIA!B46</f>
        <v>No</v>
      </c>
      <c r="C50" s="1649" t="str">
        <f>PENYELIA!C46</f>
        <v>Setting Alat</v>
      </c>
      <c r="D50" s="1713"/>
      <c r="E50" s="1656" t="s">
        <v>49</v>
      </c>
      <c r="F50" s="1657" t="s">
        <v>95</v>
      </c>
      <c r="G50" s="1657" t="s">
        <v>532</v>
      </c>
      <c r="H50" s="1658" t="s">
        <v>50</v>
      </c>
      <c r="I50" s="1734" t="s">
        <v>484</v>
      </c>
      <c r="J50" s="1735"/>
      <c r="L50" s="1733"/>
      <c r="M50" s="1665"/>
      <c r="N50" s="1666"/>
    </row>
    <row r="51" spans="1:18" s="944" customFormat="1" ht="30.75" customHeight="1" x14ac:dyDescent="0.3">
      <c r="A51" s="1193"/>
      <c r="B51" s="1654"/>
      <c r="C51" s="1714" t="str">
        <f>PENYELIA!C47</f>
        <v>(Hz)</v>
      </c>
      <c r="D51" s="1715"/>
      <c r="E51" s="1656"/>
      <c r="F51" s="1657"/>
      <c r="G51" s="1657"/>
      <c r="H51" s="1658"/>
      <c r="I51" s="1736"/>
      <c r="J51" s="1737"/>
      <c r="L51" s="1733"/>
      <c r="M51" s="1665"/>
      <c r="N51" s="1666"/>
    </row>
    <row r="52" spans="1:18" s="944" customFormat="1" x14ac:dyDescent="0.3">
      <c r="A52" s="1193"/>
      <c r="B52" s="1172">
        <v>1</v>
      </c>
      <c r="C52" s="1590">
        <f>PENYELIA!C48</f>
        <v>1</v>
      </c>
      <c r="D52" s="1608"/>
      <c r="E52" s="1397">
        <f>PENYELIA!E48</f>
        <v>1.0013433333333335</v>
      </c>
      <c r="F52" s="1397">
        <f>PENYELIA!F48</f>
        <v>1.343333333333474E-3</v>
      </c>
      <c r="G52" s="1397">
        <f>PENYELIA!G48</f>
        <v>0.1343333333333474</v>
      </c>
      <c r="H52" s="1694" t="s">
        <v>548</v>
      </c>
      <c r="I52" s="1398" t="str">
        <f>IF(J52="-","","±")</f>
        <v>±</v>
      </c>
      <c r="J52" s="1400">
        <f>PENYELIA!I48</f>
        <v>0.41335545284188852</v>
      </c>
      <c r="L52" s="943"/>
      <c r="M52" s="943"/>
      <c r="N52" s="1018"/>
      <c r="P52" s="1019"/>
      <c r="Q52" s="1020"/>
    </row>
    <row r="53" spans="1:18" s="936" customFormat="1" ht="17.149999999999999" customHeight="1" x14ac:dyDescent="0.3">
      <c r="A53" s="1175"/>
      <c r="B53" s="1172">
        <v>2</v>
      </c>
      <c r="C53" s="1590">
        <f>PENYELIA!C49</f>
        <v>2</v>
      </c>
      <c r="D53" s="1608"/>
      <c r="E53" s="1397">
        <f>PENYELIA!E49</f>
        <v>2.0000100000000001</v>
      </c>
      <c r="F53" s="1397">
        <f>PENYELIA!F49</f>
        <v>1.0000000000065512E-5</v>
      </c>
      <c r="G53" s="1397">
        <f>PENYELIA!G49</f>
        <v>5.000000000032756E-4</v>
      </c>
      <c r="H53" s="1695"/>
      <c r="I53" s="1398" t="str">
        <f t="shared" ref="I53:I56" si="0">IF(J53="-","","±")</f>
        <v>±</v>
      </c>
      <c r="J53" s="1400">
        <f>PENYELIA!I49</f>
        <v>0.29254445807396956</v>
      </c>
      <c r="L53" s="943"/>
      <c r="M53" s="943"/>
      <c r="N53" s="1018"/>
      <c r="O53" s="944"/>
      <c r="P53" s="1019"/>
      <c r="Q53" s="1021"/>
      <c r="R53" s="1022"/>
    </row>
    <row r="54" spans="1:18" s="936" customFormat="1" ht="17.149999999999999" customHeight="1" x14ac:dyDescent="0.3">
      <c r="A54" s="1175"/>
      <c r="B54" s="1172">
        <v>3</v>
      </c>
      <c r="C54" s="1590">
        <f>PENYELIA!C50</f>
        <v>3</v>
      </c>
      <c r="D54" s="1608"/>
      <c r="E54" s="1397">
        <f>PENYELIA!E50</f>
        <v>3.0000100000000001</v>
      </c>
      <c r="F54" s="1397">
        <f>PENYELIA!F50</f>
        <v>1.0000000000065512E-5</v>
      </c>
      <c r="G54" s="1397">
        <f>PENYELIA!G50</f>
        <v>3.3333333333551707E-4</v>
      </c>
      <c r="H54" s="1695"/>
      <c r="I54" s="1398" t="str">
        <f t="shared" si="0"/>
        <v>±</v>
      </c>
      <c r="J54" s="1400">
        <f>PENYELIA!I50</f>
        <v>0.29182265447723754</v>
      </c>
      <c r="L54" s="943"/>
      <c r="M54" s="943"/>
      <c r="N54" s="1018"/>
      <c r="O54" s="944"/>
      <c r="P54" s="1019"/>
      <c r="Q54" s="1020"/>
    </row>
    <row r="55" spans="1:18" s="936" customFormat="1" ht="17.149999999999999" customHeight="1" x14ac:dyDescent="0.3">
      <c r="A55" s="1175"/>
      <c r="B55" s="1172">
        <v>4</v>
      </c>
      <c r="C55" s="1590">
        <f>PENYELIA!C51</f>
        <v>4</v>
      </c>
      <c r="D55" s="1608"/>
      <c r="E55" s="1397">
        <f>PENYELIA!E51</f>
        <v>4.0000099999999996</v>
      </c>
      <c r="F55" s="1397">
        <f>PENYELIA!F51</f>
        <v>9.9999999996214228E-6</v>
      </c>
      <c r="G55" s="1397">
        <f>PENYELIA!G51</f>
        <v>2.4999999999053557E-4</v>
      </c>
      <c r="H55" s="1695"/>
      <c r="I55" s="1398" t="str">
        <f t="shared" si="0"/>
        <v>±</v>
      </c>
      <c r="J55" s="1400">
        <f>PENYELIA!I51</f>
        <v>0.2915697457543231</v>
      </c>
      <c r="L55" s="943"/>
      <c r="M55" s="943"/>
      <c r="N55" s="1018"/>
      <c r="O55" s="944"/>
      <c r="P55" s="1019"/>
      <c r="Q55" s="1020"/>
    </row>
    <row r="56" spans="1:18" s="936" customFormat="1" ht="17.149999999999999" customHeight="1" x14ac:dyDescent="0.3">
      <c r="A56" s="1175"/>
      <c r="B56" s="1172">
        <v>5</v>
      </c>
      <c r="C56" s="1590">
        <f>PENYELIA!C52</f>
        <v>5</v>
      </c>
      <c r="D56" s="1608"/>
      <c r="E56" s="1397">
        <f>PENYELIA!E52</f>
        <v>5.0000099999999996</v>
      </c>
      <c r="F56" s="1397">
        <f>PENYELIA!F52</f>
        <v>9.9999999996214228E-6</v>
      </c>
      <c r="G56" s="1397">
        <f>PENYELIA!G52</f>
        <v>1.9999999999242846E-4</v>
      </c>
      <c r="H56" s="1696"/>
      <c r="I56" s="1398" t="str">
        <f t="shared" si="0"/>
        <v>±</v>
      </c>
      <c r="J56" s="1400">
        <f>PENYELIA!I52</f>
        <v>0.29145261612850004</v>
      </c>
      <c r="L56" s="943"/>
      <c r="M56" s="943"/>
      <c r="N56" s="1018"/>
      <c r="O56" s="944"/>
      <c r="P56" s="1019"/>
      <c r="Q56" s="1020"/>
    </row>
    <row r="57" spans="1:18" s="936" customFormat="1" ht="3.75" customHeight="1" x14ac:dyDescent="0.3">
      <c r="A57" s="1175"/>
      <c r="B57" s="1196"/>
      <c r="C57" s="1197"/>
      <c r="D57" s="1198"/>
      <c r="E57" s="1199"/>
      <c r="F57" s="1199"/>
      <c r="G57" s="1199"/>
      <c r="H57" s="1200"/>
      <c r="I57" s="1201"/>
      <c r="J57" s="1175"/>
      <c r="K57" s="964"/>
      <c r="N57" s="965"/>
      <c r="Q57" s="966"/>
    </row>
    <row r="58" spans="1:18" s="936" customFormat="1" ht="15" customHeight="1" x14ac:dyDescent="0.35">
      <c r="A58" s="1175"/>
      <c r="B58" s="1202"/>
      <c r="C58" s="1202" t="str">
        <f>PENYELIA!C54</f>
        <v xml:space="preserve">- Pulse Width (µs) </v>
      </c>
      <c r="D58" s="1203"/>
      <c r="E58" s="1203"/>
      <c r="F58" s="1203"/>
      <c r="G58" s="1203"/>
      <c r="H58" s="1203"/>
      <c r="I58" s="1203"/>
      <c r="J58" s="1175"/>
      <c r="K58" s="938"/>
      <c r="L58" s="939"/>
      <c r="M58" s="939"/>
      <c r="N58" s="967"/>
      <c r="Q58" s="940"/>
    </row>
    <row r="59" spans="1:18" s="936" customFormat="1" ht="3.75" customHeight="1" x14ac:dyDescent="0.35">
      <c r="A59" s="1175"/>
      <c r="B59" s="1204"/>
      <c r="C59" s="1204"/>
      <c r="D59" s="1204"/>
      <c r="E59" s="1204"/>
      <c r="F59" s="1204"/>
      <c r="G59" s="1204"/>
      <c r="H59" s="1204"/>
      <c r="I59" s="1204"/>
      <c r="J59" s="1175"/>
      <c r="K59" s="941"/>
      <c r="L59" s="939"/>
      <c r="M59" s="939"/>
      <c r="N59" s="967"/>
      <c r="Q59" s="940"/>
    </row>
    <row r="60" spans="1:18" s="936" customFormat="1" ht="15" customHeight="1" x14ac:dyDescent="0.35">
      <c r="A60" s="1175"/>
      <c r="B60" s="1653" t="str">
        <f>PENYELIA!B56</f>
        <v>No</v>
      </c>
      <c r="C60" s="1649" t="str">
        <f>PENYELIA!C56</f>
        <v>Setting Alat</v>
      </c>
      <c r="D60" s="1713"/>
      <c r="E60" s="1667" t="s">
        <v>49</v>
      </c>
      <c r="F60" s="1668" t="s">
        <v>95</v>
      </c>
      <c r="G60" s="1668" t="s">
        <v>532</v>
      </c>
      <c r="H60" s="1692" t="s">
        <v>50</v>
      </c>
      <c r="I60" s="1738" t="s">
        <v>484</v>
      </c>
      <c r="J60" s="1739"/>
      <c r="L60" s="1717"/>
      <c r="M60" s="1660"/>
      <c r="N60" s="1655"/>
      <c r="Q60" s="940"/>
    </row>
    <row r="61" spans="1:18" s="936" customFormat="1" ht="30" customHeight="1" x14ac:dyDescent="0.35">
      <c r="A61" s="1175"/>
      <c r="B61" s="1654"/>
      <c r="C61" s="1714" t="str">
        <f>PENYELIA!C57</f>
        <v>(µs)</v>
      </c>
      <c r="D61" s="1715"/>
      <c r="E61" s="1667"/>
      <c r="F61" s="1668"/>
      <c r="G61" s="1668"/>
      <c r="H61" s="1692"/>
      <c r="I61" s="1738"/>
      <c r="J61" s="1739"/>
      <c r="L61" s="1717"/>
      <c r="M61" s="1660"/>
      <c r="N61" s="1655"/>
      <c r="Q61" s="940"/>
    </row>
    <row r="62" spans="1:18" s="936" customFormat="1" ht="15" customHeight="1" x14ac:dyDescent="0.35">
      <c r="A62" s="1175"/>
      <c r="B62" s="1172">
        <v>1</v>
      </c>
      <c r="C62" s="1590">
        <f>PENYELIA!C58</f>
        <v>10</v>
      </c>
      <c r="D62" s="1608"/>
      <c r="E62" s="1401">
        <f>PENYELIA!E58</f>
        <v>11.182657908034361</v>
      </c>
      <c r="F62" s="1401">
        <f>PENYELIA!F58</f>
        <v>1.1826579080343613</v>
      </c>
      <c r="G62" s="1401">
        <f>PENYELIA!G58</f>
        <v>11.826579080343613</v>
      </c>
      <c r="H62" s="1694" t="s">
        <v>548</v>
      </c>
      <c r="I62" s="1398" t="str">
        <f t="shared" ref="I62:I66" si="1">IF(J62="-","","±")</f>
        <v>±</v>
      </c>
      <c r="J62" s="1402">
        <f>PENYELIA!I58</f>
        <v>0.63044061834166676</v>
      </c>
      <c r="L62" s="943"/>
      <c r="M62" s="943"/>
      <c r="N62" s="1018"/>
      <c r="O62" s="944"/>
      <c r="Q62" s="940"/>
    </row>
    <row r="63" spans="1:18" s="936" customFormat="1" ht="15" customHeight="1" x14ac:dyDescent="0.35">
      <c r="A63" s="1175"/>
      <c r="B63" s="1172">
        <v>2</v>
      </c>
      <c r="C63" s="1590">
        <f>PENYELIA!C59</f>
        <v>50</v>
      </c>
      <c r="D63" s="1608"/>
      <c r="E63" s="1401">
        <f>PENYELIA!E59</f>
        <v>51.267508842849921</v>
      </c>
      <c r="F63" s="1401">
        <f>PENYELIA!F59</f>
        <v>1.2675088428499208</v>
      </c>
      <c r="G63" s="1401">
        <f>PENYELIA!G59</f>
        <v>2.5350176856998416</v>
      </c>
      <c r="H63" s="1695"/>
      <c r="I63" s="1398" t="str">
        <f t="shared" si="1"/>
        <v>±</v>
      </c>
      <c r="J63" s="1402">
        <f>PENYELIA!I59</f>
        <v>0.26168439519377695</v>
      </c>
      <c r="L63" s="943"/>
      <c r="M63" s="943"/>
      <c r="N63" s="1018"/>
      <c r="O63" s="944"/>
      <c r="Q63" s="940"/>
    </row>
    <row r="64" spans="1:18" s="936" customFormat="1" ht="15" customHeight="1" x14ac:dyDescent="0.35">
      <c r="A64" s="1175"/>
      <c r="B64" s="1172">
        <v>3</v>
      </c>
      <c r="C64" s="1590">
        <f>PENYELIA!C60</f>
        <v>100</v>
      </c>
      <c r="D64" s="1608"/>
      <c r="E64" s="1401">
        <f>PENYELIA!E60</f>
        <v>101.37357251136937</v>
      </c>
      <c r="F64" s="1401">
        <f>PENYELIA!F60</f>
        <v>1.3735725113693746</v>
      </c>
      <c r="G64" s="1401">
        <f>PENYELIA!G60</f>
        <v>1.3735725113693746</v>
      </c>
      <c r="H64" s="1695"/>
      <c r="I64" s="1398" t="str">
        <f t="shared" si="1"/>
        <v>±</v>
      </c>
      <c r="J64" s="1402">
        <f>PENYELIA!I60</f>
        <v>0.24058213567029954</v>
      </c>
      <c r="L64" s="943"/>
      <c r="M64" s="943"/>
      <c r="N64" s="1018"/>
      <c r="O64" s="944"/>
      <c r="Q64" s="940"/>
    </row>
    <row r="65" spans="1:17" s="936" customFormat="1" ht="15" customHeight="1" x14ac:dyDescent="0.35">
      <c r="A65" s="1175"/>
      <c r="B65" s="1172">
        <v>4</v>
      </c>
      <c r="C65" s="1590">
        <f>PENYELIA!C61</f>
        <v>300</v>
      </c>
      <c r="D65" s="1608"/>
      <c r="E65" s="1401">
        <f>PENYELIA!E61</f>
        <v>301.7978271854472</v>
      </c>
      <c r="F65" s="1401">
        <f>PENYELIA!F61</f>
        <v>1.7978271854472041</v>
      </c>
      <c r="G65" s="1401">
        <f>PENYELIA!G61</f>
        <v>0.5992757284824014</v>
      </c>
      <c r="H65" s="1695"/>
      <c r="I65" s="1398" t="str">
        <f t="shared" si="1"/>
        <v>±</v>
      </c>
      <c r="J65" s="1402">
        <f>PENYELIA!I61</f>
        <v>0.2330944256753178</v>
      </c>
      <c r="L65" s="943"/>
      <c r="M65" s="943"/>
      <c r="N65" s="1018"/>
      <c r="O65" s="944"/>
      <c r="Q65" s="940"/>
    </row>
    <row r="66" spans="1:17" s="936" customFormat="1" ht="15" customHeight="1" x14ac:dyDescent="0.35">
      <c r="A66" s="1175"/>
      <c r="B66" s="1172">
        <v>5</v>
      </c>
      <c r="C66" s="1590">
        <f>PENYELIA!C62</f>
        <v>500</v>
      </c>
      <c r="D66" s="1608"/>
      <c r="E66" s="1401">
        <f>PENYELIA!E62</f>
        <v>502.22208185952502</v>
      </c>
      <c r="F66" s="1401">
        <f>PENYELIA!F62</f>
        <v>2.2220818595250194</v>
      </c>
      <c r="G66" s="1401">
        <f>PENYELIA!G62</f>
        <v>0.44441637190500383</v>
      </c>
      <c r="H66" s="1696"/>
      <c r="I66" s="1398" t="str">
        <f t="shared" si="1"/>
        <v>±</v>
      </c>
      <c r="J66" s="1402">
        <f>PENYELIA!I62</f>
        <v>0.23227417340396206</v>
      </c>
      <c r="L66" s="943"/>
      <c r="M66" s="943"/>
      <c r="N66" s="1018"/>
      <c r="O66" s="944"/>
      <c r="Q66" s="940"/>
    </row>
    <row r="67" spans="1:17" s="936" customFormat="1" ht="3.75" customHeight="1" x14ac:dyDescent="0.35">
      <c r="A67" s="1175"/>
      <c r="B67" s="1176"/>
      <c r="C67" s="1176"/>
      <c r="D67" s="1176"/>
      <c r="E67" s="1176"/>
      <c r="F67" s="1176"/>
      <c r="G67" s="1176"/>
      <c r="H67" s="1176"/>
      <c r="I67" s="1176"/>
      <c r="J67" s="1175"/>
      <c r="K67" s="939"/>
      <c r="L67" s="939"/>
      <c r="M67" s="939"/>
      <c r="N67" s="967"/>
      <c r="Q67" s="940"/>
    </row>
    <row r="68" spans="1:17" s="936" customFormat="1" x14ac:dyDescent="0.3">
      <c r="A68" s="1175"/>
      <c r="B68" s="1177"/>
      <c r="C68" s="1177" t="str">
        <f>PENYELIA!C64</f>
        <v>- Waktu Therapy</v>
      </c>
      <c r="D68" s="1178"/>
      <c r="E68" s="1179"/>
      <c r="F68" s="1179"/>
      <c r="G68" s="1179"/>
      <c r="H68" s="1179"/>
      <c r="I68" s="1180"/>
      <c r="J68" s="1175"/>
      <c r="K68" s="935"/>
      <c r="L68" s="935"/>
      <c r="M68" s="935"/>
      <c r="N68" s="967"/>
    </row>
    <row r="69" spans="1:17" s="936" customFormat="1" ht="3.5" customHeight="1" x14ac:dyDescent="0.3">
      <c r="A69" s="1175"/>
      <c r="B69" s="1178"/>
      <c r="C69" s="1181"/>
      <c r="D69" s="1178"/>
      <c r="E69" s="1179"/>
      <c r="F69" s="1179"/>
      <c r="G69" s="1179"/>
      <c r="H69" s="1179"/>
      <c r="I69" s="1180"/>
      <c r="J69" s="1175"/>
      <c r="K69" s="935"/>
      <c r="L69" s="935"/>
      <c r="M69" s="935"/>
      <c r="N69" s="967"/>
    </row>
    <row r="70" spans="1:17" s="936" customFormat="1" ht="15" customHeight="1" x14ac:dyDescent="0.3">
      <c r="A70" s="1175"/>
      <c r="B70" s="1653" t="str">
        <f>B60</f>
        <v>No</v>
      </c>
      <c r="C70" s="1651" t="s">
        <v>149</v>
      </c>
      <c r="D70" s="1651"/>
      <c r="E70" s="1656" t="s">
        <v>49</v>
      </c>
      <c r="F70" s="1657" t="s">
        <v>95</v>
      </c>
      <c r="G70" s="1657" t="s">
        <v>532</v>
      </c>
      <c r="H70" s="1658" t="s">
        <v>50</v>
      </c>
      <c r="I70" s="1740" t="s">
        <v>484</v>
      </c>
      <c r="J70" s="1741"/>
      <c r="L70" s="1717"/>
      <c r="N70" s="139"/>
      <c r="O70" s="139"/>
      <c r="P70" s="139"/>
    </row>
    <row r="71" spans="1:17" s="936" customFormat="1" ht="30.75" customHeight="1" x14ac:dyDescent="0.3">
      <c r="A71" s="1175"/>
      <c r="B71" s="1654"/>
      <c r="C71" s="1722" t="s">
        <v>379</v>
      </c>
      <c r="D71" s="1722"/>
      <c r="E71" s="1656"/>
      <c r="F71" s="1657"/>
      <c r="G71" s="1657"/>
      <c r="H71" s="1658"/>
      <c r="I71" s="1740"/>
      <c r="J71" s="1741"/>
      <c r="L71" s="1717"/>
      <c r="N71" s="139"/>
      <c r="O71" s="139"/>
      <c r="P71" s="139"/>
    </row>
    <row r="72" spans="1:17" s="936" customFormat="1" ht="15" customHeight="1" x14ac:dyDescent="0.3">
      <c r="A72" s="1175"/>
      <c r="B72" s="1172">
        <v>1</v>
      </c>
      <c r="C72" s="1723">
        <f>PENYELIA!B68</f>
        <v>300</v>
      </c>
      <c r="D72" s="1723"/>
      <c r="E72" s="1403" t="str">
        <f>TEXT(PENYELIA!E68,"0.00")</f>
        <v>301.01</v>
      </c>
      <c r="F72" s="1403" t="str">
        <f>TEXT(PENYELIA!F68,"0.00")</f>
        <v>1.01</v>
      </c>
      <c r="G72" s="1403" t="str">
        <f>TEXT(PENYELIA!G68,"0.000")</f>
        <v>0.335</v>
      </c>
      <c r="H72" s="1731" t="s">
        <v>375</v>
      </c>
      <c r="I72" s="1398" t="str">
        <f t="shared" ref="I72:I73" si="2">IF(J72="-","","±")</f>
        <v>±</v>
      </c>
      <c r="J72" s="1404" t="str">
        <f>TEXT(PENYELIA!I68,"0.000")</f>
        <v>0.030</v>
      </c>
      <c r="L72" s="947"/>
      <c r="N72" s="1025"/>
      <c r="O72" s="1025"/>
      <c r="P72" s="1025"/>
    </row>
    <row r="73" spans="1:17" s="936" customFormat="1" ht="15" customHeight="1" x14ac:dyDescent="0.3">
      <c r="A73" s="1175"/>
      <c r="B73" s="1172">
        <v>2</v>
      </c>
      <c r="C73" s="1723">
        <f>PENYELIA!B69</f>
        <v>600</v>
      </c>
      <c r="D73" s="1723"/>
      <c r="E73" s="1403" t="str">
        <f>TEXT(PENYELIA!E69,"0.00")</f>
        <v>600.02</v>
      </c>
      <c r="F73" s="1403" t="str">
        <f>TEXT(PENYELIA!F69,"0.00")</f>
        <v>0.02</v>
      </c>
      <c r="G73" s="1403" t="str">
        <f>TEXT(PENYELIA!G69,"0.000")</f>
        <v>0.004</v>
      </c>
      <c r="H73" s="1732"/>
      <c r="I73" s="1398" t="str">
        <f t="shared" si="2"/>
        <v>±</v>
      </c>
      <c r="J73" s="1404" t="str">
        <f>TEXT(PENYELIA!I69,"0.000")</f>
        <v>0.018</v>
      </c>
      <c r="L73" s="947"/>
      <c r="N73" s="1025"/>
      <c r="O73" s="1025"/>
      <c r="P73" s="1025"/>
    </row>
    <row r="74" spans="1:17" s="129" customFormat="1" ht="3.75" customHeight="1" x14ac:dyDescent="0.25">
      <c r="A74" s="1184"/>
      <c r="B74" s="1156"/>
      <c r="C74" s="1156"/>
      <c r="D74" s="1171"/>
      <c r="E74" s="1185"/>
      <c r="F74" s="1186"/>
      <c r="G74" s="1186"/>
      <c r="H74" s="1186"/>
      <c r="I74" s="1186"/>
      <c r="J74" s="1186"/>
      <c r="K74" s="99"/>
      <c r="L74" s="99"/>
      <c r="M74" s="100"/>
      <c r="N74" s="74"/>
      <c r="O74" s="74"/>
    </row>
    <row r="75" spans="1:17" s="129" customFormat="1" ht="15.5" x14ac:dyDescent="0.25">
      <c r="A75" s="96" t="s">
        <v>57</v>
      </c>
      <c r="B75" s="96" t="s">
        <v>58</v>
      </c>
      <c r="C75" s="1146"/>
      <c r="D75" s="366"/>
      <c r="E75" s="1146"/>
      <c r="F75" s="1146"/>
      <c r="G75" s="1146"/>
      <c r="H75" s="1146"/>
      <c r="I75" s="1146"/>
      <c r="J75" s="1146"/>
      <c r="K75" s="93"/>
      <c r="L75" s="93"/>
      <c r="M75" s="93"/>
      <c r="N75" s="73"/>
      <c r="O75" s="137"/>
    </row>
    <row r="76" spans="1:17" s="129" customFormat="1" ht="3.75" customHeight="1" x14ac:dyDescent="0.25">
      <c r="A76" s="96"/>
      <c r="B76" s="96"/>
      <c r="C76" s="1146"/>
      <c r="D76" s="366"/>
      <c r="E76" s="1146"/>
      <c r="F76" s="1146"/>
      <c r="G76" s="1146"/>
      <c r="H76" s="1146"/>
      <c r="I76" s="1146"/>
      <c r="J76" s="1146"/>
      <c r="K76" s="93"/>
      <c r="L76" s="93"/>
      <c r="M76" s="93"/>
      <c r="N76" s="73"/>
      <c r="O76" s="137"/>
    </row>
    <row r="77" spans="1:17" s="129" customFormat="1" ht="15.5" x14ac:dyDescent="0.25">
      <c r="A77" s="96"/>
      <c r="B77" s="1405" t="str">
        <f>PENYELIA!B72</f>
        <v>Ketidakpastian pengujian kinerja dilaporkan pada tingkat kepercayaan 95% dengan faktor cakupan (k) = 2</v>
      </c>
      <c r="C77" s="1146"/>
      <c r="D77" s="366"/>
      <c r="E77" s="1146"/>
      <c r="F77" s="1146"/>
      <c r="G77" s="1146"/>
      <c r="H77" s="1146"/>
      <c r="I77" s="1146"/>
      <c r="J77" s="1146"/>
      <c r="K77" s="93"/>
      <c r="L77" s="93"/>
      <c r="M77" s="93"/>
      <c r="N77" s="73"/>
    </row>
    <row r="78" spans="1:17" s="129" customFormat="1" ht="15.5" x14ac:dyDescent="0.25">
      <c r="A78" s="96"/>
      <c r="B78" s="1405" t="str">
        <f>PENYELIA!B73</f>
        <v>Hasil pengujian Keselamatan Listrik tertelusur ke Satuan Internasional melalui PT. KALIMAN (LK-032-IDN)</v>
      </c>
      <c r="C78" s="1146"/>
      <c r="D78" s="366"/>
      <c r="E78" s="1146"/>
      <c r="F78" s="1146"/>
      <c r="G78" s="1146"/>
      <c r="H78" s="1146"/>
      <c r="I78" s="1146"/>
      <c r="J78" s="1146"/>
      <c r="K78" s="93"/>
      <c r="L78" s="93"/>
      <c r="M78" s="93"/>
      <c r="N78" s="73"/>
      <c r="O78" s="73"/>
    </row>
    <row r="79" spans="1:17" s="129" customFormat="1" ht="15.5" x14ac:dyDescent="0.25">
      <c r="A79" s="96"/>
      <c r="B79" s="1405" t="str">
        <f>PENYELIA!B74</f>
        <v>Hasil kalibrasi Pulse Frekuensi dan Pulse Width tertelusur ke Satuan Internasional melalui PT. KALIMAN (LK-032-IDN)</v>
      </c>
      <c r="C79" s="1146"/>
      <c r="D79" s="366"/>
      <c r="E79" s="1146"/>
      <c r="F79" s="1146"/>
      <c r="G79" s="1146"/>
      <c r="H79" s="1146"/>
      <c r="I79" s="1146"/>
      <c r="J79" s="1146"/>
      <c r="K79" s="93"/>
      <c r="L79" s="93"/>
      <c r="M79" s="93"/>
      <c r="N79" s="73"/>
      <c r="O79" s="73"/>
    </row>
    <row r="80" spans="1:17" s="129" customFormat="1" ht="15.5" x14ac:dyDescent="0.25">
      <c r="A80" s="96"/>
      <c r="B80" s="1405" t="str">
        <f>PENYELIA!B75</f>
        <v>Hasil kalibrasi Waktu Therapy tertelusur ke Satuan Internasional ( SI ) melalui PT KALIMAN (LK-032-IDN)</v>
      </c>
      <c r="C80" s="90"/>
      <c r="D80" s="366"/>
      <c r="E80" s="90"/>
      <c r="F80" s="90"/>
      <c r="G80" s="90"/>
      <c r="H80" s="90"/>
      <c r="I80" s="90"/>
      <c r="J80" s="90"/>
      <c r="K80" s="90"/>
      <c r="L80" s="90"/>
      <c r="M80" s="90"/>
      <c r="N80" s="72"/>
      <c r="O80" s="72"/>
    </row>
    <row r="81" spans="1:17" s="129" customFormat="1" ht="15.5" x14ac:dyDescent="0.25">
      <c r="A81" s="96"/>
      <c r="B81" s="1405" t="str">
        <f>PENYELIA!B76</f>
        <v>Tidak dilakukan pengujian keselamatan listrik</v>
      </c>
      <c r="C81" s="101"/>
      <c r="D81" s="366"/>
      <c r="E81" s="101"/>
      <c r="F81" s="101"/>
      <c r="G81" s="101"/>
      <c r="H81" s="101"/>
      <c r="I81" s="101"/>
      <c r="J81" s="101"/>
      <c r="K81" s="101"/>
      <c r="L81" s="101"/>
      <c r="M81" s="101"/>
      <c r="N81" s="87"/>
      <c r="O81" s="87"/>
    </row>
    <row r="82" spans="1:17" s="129" customFormat="1" ht="3.75" customHeight="1" x14ac:dyDescent="0.25">
      <c r="A82" s="96"/>
      <c r="B82" s="131"/>
      <c r="C82" s="1146"/>
      <c r="D82" s="366"/>
      <c r="E82" s="1146"/>
      <c r="F82" s="1146"/>
      <c r="G82" s="1146"/>
      <c r="H82" s="1146"/>
      <c r="I82" s="1146"/>
      <c r="J82" s="1146"/>
      <c r="K82" s="93"/>
      <c r="L82" s="93"/>
      <c r="M82" s="93"/>
      <c r="N82" s="73"/>
      <c r="O82" s="73"/>
    </row>
    <row r="83" spans="1:17" s="129" customFormat="1" ht="15.5" x14ac:dyDescent="0.25">
      <c r="A83" s="96" t="s">
        <v>64</v>
      </c>
      <c r="B83" s="1356" t="str">
        <f>PENYELIA!B78</f>
        <v>Alat Ukur Yang Digunakan</v>
      </c>
      <c r="C83" s="90"/>
      <c r="D83" s="366"/>
      <c r="E83" s="90"/>
      <c r="F83" s="90"/>
      <c r="G83" s="90"/>
      <c r="H83" s="90"/>
      <c r="I83" s="90"/>
      <c r="J83" s="90"/>
      <c r="K83" s="90"/>
      <c r="L83" s="90"/>
      <c r="M83" s="90"/>
      <c r="N83" s="72"/>
      <c r="O83" s="72"/>
    </row>
    <row r="84" spans="1:17" s="129" customFormat="1" ht="3.75" customHeight="1" x14ac:dyDescent="0.25">
      <c r="A84" s="96"/>
      <c r="B84" s="102"/>
      <c r="C84" s="90"/>
      <c r="D84" s="366"/>
      <c r="E84" s="90"/>
      <c r="F84" s="90"/>
      <c r="G84" s="90"/>
      <c r="H84" s="90"/>
      <c r="I84" s="90"/>
      <c r="J84" s="90"/>
      <c r="K84" s="90"/>
      <c r="L84" s="90"/>
      <c r="M84" s="90"/>
      <c r="N84" s="72"/>
      <c r="O84" s="72"/>
    </row>
    <row r="85" spans="1:17" s="129" customFormat="1" ht="15.5" x14ac:dyDescent="0.25">
      <c r="A85" s="103"/>
      <c r="B85" s="1412" t="str">
        <f>PENYELIA!B79</f>
        <v>Medical Scope Meter, Merk : Fluke, Model 190M-4, SN : 48832901 CH : B</v>
      </c>
      <c r="C85" s="104"/>
      <c r="D85" s="366"/>
      <c r="E85" s="104"/>
      <c r="F85" s="104"/>
      <c r="G85" s="104"/>
      <c r="H85" s="104"/>
      <c r="I85" s="104"/>
      <c r="J85" s="104"/>
      <c r="K85" s="104"/>
      <c r="L85" s="90"/>
      <c r="M85" s="90"/>
      <c r="N85" s="72"/>
      <c r="O85" s="72"/>
      <c r="Q85" s="312"/>
    </row>
    <row r="86" spans="1:17" s="129" customFormat="1" ht="15.5" x14ac:dyDescent="0.25">
      <c r="A86" s="103"/>
      <c r="B86" s="1240" t="str">
        <f>PENYELIA!B80</f>
        <v>Electrical Safety Analyzer, Merek : Fluke, Model : ESA 615, SN : 3148908</v>
      </c>
      <c r="C86" s="104"/>
      <c r="D86" s="366"/>
      <c r="E86" s="104"/>
      <c r="F86" s="104"/>
      <c r="G86" s="104"/>
      <c r="H86" s="104"/>
      <c r="I86" s="104"/>
      <c r="J86" s="104"/>
      <c r="K86" s="104"/>
      <c r="L86" s="90"/>
      <c r="M86" s="90"/>
      <c r="N86" s="72"/>
      <c r="O86" s="72"/>
    </row>
    <row r="87" spans="1:17" s="129" customFormat="1" ht="15.5" x14ac:dyDescent="0.25">
      <c r="A87" s="103"/>
      <c r="B87" s="1240" t="str">
        <f>PENYELIA!B81</f>
        <v>Stopwatch, Merek : EXTECH, Model : 365535, SN :001382</v>
      </c>
      <c r="C87" s="104"/>
      <c r="D87" s="366"/>
      <c r="E87" s="104"/>
      <c r="F87" s="104"/>
      <c r="G87" s="104"/>
      <c r="H87" s="104"/>
      <c r="I87" s="104"/>
      <c r="J87" s="104"/>
      <c r="K87" s="104"/>
      <c r="L87" s="90"/>
      <c r="M87" s="90"/>
      <c r="N87" s="72"/>
      <c r="O87" s="72"/>
    </row>
    <row r="88" spans="1:17" s="129" customFormat="1" ht="4.5" customHeight="1" x14ac:dyDescent="0.25">
      <c r="A88" s="90"/>
      <c r="B88" s="106"/>
      <c r="C88" s="106"/>
      <c r="D88" s="366"/>
      <c r="E88" s="106"/>
      <c r="F88" s="106"/>
      <c r="G88" s="106"/>
      <c r="H88" s="106"/>
      <c r="I88" s="106"/>
      <c r="J88" s="106"/>
      <c r="K88" s="106"/>
      <c r="L88" s="106"/>
      <c r="M88" s="90"/>
      <c r="N88" s="72"/>
      <c r="O88" s="72"/>
    </row>
    <row r="89" spans="1:17" s="129" customFormat="1" ht="15.5" x14ac:dyDescent="0.25">
      <c r="A89" s="92" t="s">
        <v>66</v>
      </c>
      <c r="B89" s="107" t="s">
        <v>67</v>
      </c>
      <c r="C89" s="90"/>
      <c r="D89" s="366"/>
      <c r="E89" s="90"/>
      <c r="F89" s="90"/>
      <c r="G89" s="90"/>
      <c r="H89" s="90"/>
      <c r="I89" s="90"/>
      <c r="J89" s="90"/>
      <c r="K89" s="90"/>
      <c r="L89" s="90"/>
      <c r="M89" s="90"/>
      <c r="N89" s="72"/>
      <c r="O89" s="72"/>
    </row>
    <row r="90" spans="1:17" s="129" customFormat="1" ht="3.75" customHeight="1" x14ac:dyDescent="0.25">
      <c r="A90" s="92"/>
      <c r="B90" s="107"/>
      <c r="C90" s="90"/>
      <c r="D90" s="366"/>
      <c r="E90" s="90"/>
      <c r="F90" s="90"/>
      <c r="G90" s="90"/>
      <c r="H90" s="90"/>
      <c r="I90" s="90"/>
      <c r="J90" s="90"/>
      <c r="K90" s="90"/>
      <c r="L90" s="90"/>
      <c r="M90" s="90"/>
      <c r="N90" s="72"/>
      <c r="O90" s="72"/>
    </row>
    <row r="91" spans="1:17" s="141" customFormat="1" ht="19.5" customHeight="1" x14ac:dyDescent="0.25">
      <c r="A91" s="96"/>
      <c r="B91" s="1742" t="str">
        <f>PENYELIA!B86</f>
        <v>Alat yang dikalibrasi dalam batas toleransi dan dinyatakan LAIK PAKAI</v>
      </c>
      <c r="C91" s="1742"/>
      <c r="D91" s="1742"/>
      <c r="E91" s="1742"/>
      <c r="F91" s="1742"/>
      <c r="G91" s="1742"/>
      <c r="H91" s="1742"/>
      <c r="I91" s="1742"/>
      <c r="J91" s="1742"/>
      <c r="K91" s="1145"/>
      <c r="L91" s="1027"/>
      <c r="M91" s="138"/>
      <c r="N91" s="130"/>
      <c r="O91" s="130"/>
    </row>
    <row r="92" spans="1:17" s="129" customFormat="1" ht="3.75" customHeight="1" x14ac:dyDescent="0.25">
      <c r="A92" s="90"/>
      <c r="B92" s="105"/>
      <c r="C92" s="90"/>
      <c r="D92" s="366"/>
      <c r="E92" s="90"/>
      <c r="F92" s="90"/>
      <c r="G92" s="90"/>
      <c r="H92" s="90"/>
      <c r="I92" s="90"/>
      <c r="J92" s="90"/>
      <c r="K92" s="90"/>
      <c r="L92" s="90"/>
      <c r="M92" s="90"/>
      <c r="N92" s="72"/>
      <c r="O92" s="72"/>
    </row>
    <row r="93" spans="1:17" s="129" customFormat="1" ht="15.5" x14ac:dyDescent="0.25">
      <c r="A93" s="96" t="s">
        <v>68</v>
      </c>
      <c r="B93" s="102" t="s">
        <v>511</v>
      </c>
      <c r="C93" s="90"/>
      <c r="D93" s="366"/>
      <c r="E93" s="90"/>
      <c r="F93" s="90"/>
      <c r="G93" s="90"/>
      <c r="H93" s="90"/>
      <c r="I93" s="90"/>
      <c r="J93" s="90"/>
      <c r="K93" s="90"/>
      <c r="L93" s="108"/>
      <c r="M93" s="90"/>
      <c r="N93" s="76"/>
      <c r="O93" s="76"/>
    </row>
    <row r="94" spans="1:17" s="129" customFormat="1" ht="3.75" customHeight="1" x14ac:dyDescent="0.25">
      <c r="A94" s="96"/>
      <c r="B94" s="102"/>
      <c r="C94" s="90"/>
      <c r="D94" s="366"/>
      <c r="E94" s="90"/>
      <c r="F94" s="90"/>
      <c r="G94" s="90"/>
      <c r="H94" s="90"/>
      <c r="I94" s="90"/>
      <c r="J94" s="90"/>
      <c r="K94" s="90"/>
      <c r="L94" s="108"/>
      <c r="M94" s="90"/>
      <c r="N94" s="76"/>
      <c r="O94" s="76"/>
    </row>
    <row r="95" spans="1:17" s="129" customFormat="1" ht="15.5" customHeight="1" x14ac:dyDescent="0.25">
      <c r="A95" s="96"/>
      <c r="B95" s="1415" t="str">
        <f>PENYELIA!B89</f>
        <v>Azhar Alamsyah</v>
      </c>
      <c r="C95" s="1415"/>
      <c r="D95" s="1415"/>
      <c r="E95" s="1415"/>
      <c r="F95" s="1415"/>
      <c r="G95" s="1415"/>
      <c r="H95" s="1415"/>
      <c r="I95" s="1415"/>
      <c r="J95" s="1415"/>
      <c r="K95" s="90"/>
      <c r="L95" s="108"/>
      <c r="M95" s="90"/>
      <c r="N95" s="76"/>
      <c r="O95" s="76"/>
    </row>
    <row r="96" spans="1:17" s="129" customFormat="1" ht="18.5" x14ac:dyDescent="0.25">
      <c r="A96" s="77"/>
      <c r="B96" s="77"/>
      <c r="C96" s="77"/>
      <c r="D96" s="366"/>
      <c r="E96" s="77"/>
      <c r="F96" s="77"/>
      <c r="G96" s="77"/>
      <c r="H96" s="77"/>
      <c r="I96" s="77"/>
      <c r="J96" s="77"/>
      <c r="K96" s="1716"/>
      <c r="L96" s="1716"/>
      <c r="M96" s="77"/>
      <c r="N96" s="77"/>
      <c r="O96" s="77"/>
    </row>
    <row r="97" spans="1:15" s="129" customFormat="1" ht="15" customHeight="1" x14ac:dyDescent="0.25">
      <c r="A97" s="78"/>
      <c r="B97" s="1721"/>
      <c r="C97" s="1721"/>
      <c r="D97" s="1721"/>
      <c r="E97" s="1721"/>
      <c r="F97" s="1721"/>
      <c r="G97" s="1148"/>
      <c r="H97" s="336" t="s">
        <v>210</v>
      </c>
      <c r="I97" s="336"/>
      <c r="J97" s="366"/>
      <c r="K97" s="1030"/>
      <c r="L97" s="1030"/>
      <c r="M97" s="78"/>
      <c r="N97" s="78"/>
      <c r="O97" s="78"/>
    </row>
    <row r="98" spans="1:15" s="129" customFormat="1" ht="15" customHeight="1" x14ac:dyDescent="0.25">
      <c r="A98" s="78"/>
      <c r="B98" s="131"/>
      <c r="C98" s="90"/>
      <c r="D98" s="90"/>
      <c r="E98" s="90"/>
      <c r="F98" s="90"/>
      <c r="G98" s="91" t="str">
        <f>IF(H104=A115,"a.n","")</f>
        <v/>
      </c>
      <c r="H98" s="336" t="s">
        <v>211</v>
      </c>
      <c r="I98" s="336"/>
      <c r="J98" s="366"/>
      <c r="K98" s="1030"/>
      <c r="L98" s="1030"/>
      <c r="M98" s="78"/>
      <c r="N98" s="78"/>
      <c r="O98" s="78"/>
    </row>
    <row r="99" spans="1:15" s="129" customFormat="1" ht="15.75" customHeight="1" x14ac:dyDescent="0.25">
      <c r="A99" s="72"/>
      <c r="B99" s="131"/>
      <c r="C99" s="90"/>
      <c r="D99" s="90"/>
      <c r="E99" s="90"/>
      <c r="F99" s="90"/>
      <c r="G99" s="90"/>
      <c r="H99" s="336" t="s">
        <v>212</v>
      </c>
      <c r="I99" s="336"/>
      <c r="J99" s="366"/>
      <c r="K99" s="1030"/>
      <c r="L99" s="1030"/>
      <c r="M99" s="73"/>
      <c r="N99" s="72"/>
      <c r="O99" s="72"/>
    </row>
    <row r="100" spans="1:15" s="129" customFormat="1" ht="6.75" customHeight="1" x14ac:dyDescent="0.25">
      <c r="A100" s="366"/>
      <c r="B100" s="366"/>
      <c r="C100" s="366"/>
      <c r="D100" s="366"/>
      <c r="E100" s="366"/>
      <c r="F100" s="366"/>
      <c r="G100" s="366"/>
      <c r="H100" s="336"/>
      <c r="I100" s="336"/>
      <c r="J100" s="366"/>
      <c r="K100" s="366"/>
      <c r="L100" s="366"/>
    </row>
    <row r="101" spans="1:15" x14ac:dyDescent="0.25">
      <c r="A101" s="96"/>
      <c r="B101" s="96"/>
      <c r="C101" s="90"/>
      <c r="D101" s="90"/>
      <c r="E101" s="90"/>
      <c r="F101" s="90"/>
      <c r="G101" s="90"/>
      <c r="H101" s="336"/>
      <c r="I101" s="336"/>
      <c r="J101" s="90"/>
    </row>
    <row r="102" spans="1:15" x14ac:dyDescent="0.25">
      <c r="A102" s="96"/>
      <c r="B102" s="96"/>
      <c r="C102" s="90"/>
      <c r="D102" s="90"/>
      <c r="E102" s="90"/>
      <c r="F102" s="90"/>
      <c r="G102" s="90"/>
      <c r="H102" s="336"/>
      <c r="I102" s="336"/>
      <c r="J102" s="90"/>
    </row>
    <row r="103" spans="1:15" x14ac:dyDescent="0.25">
      <c r="A103" s="96"/>
      <c r="B103" s="96"/>
      <c r="C103" s="90"/>
      <c r="D103" s="90"/>
      <c r="E103" s="90"/>
      <c r="F103" s="90"/>
      <c r="G103" s="90"/>
      <c r="H103" s="109"/>
      <c r="I103" s="109"/>
      <c r="J103" s="90"/>
    </row>
    <row r="104" spans="1:15" x14ac:dyDescent="0.3">
      <c r="A104" s="96"/>
      <c r="B104" s="96"/>
      <c r="C104" s="90"/>
      <c r="D104" s="90"/>
      <c r="E104" s="90"/>
      <c r="F104" s="90"/>
      <c r="G104" s="90"/>
      <c r="H104" s="1028" t="s">
        <v>563</v>
      </c>
      <c r="I104" s="1028"/>
      <c r="J104" s="90"/>
    </row>
    <row r="105" spans="1:15" x14ac:dyDescent="0.25">
      <c r="A105" s="96"/>
      <c r="B105" s="96"/>
      <c r="C105" s="90"/>
      <c r="D105" s="90"/>
      <c r="E105" s="90"/>
      <c r="F105" s="90"/>
      <c r="G105" s="90"/>
      <c r="H105" s="1029" t="str">
        <f>VLOOKUP(H104,A115:B116,2,0)</f>
        <v>NIP 198008062010121001</v>
      </c>
      <c r="I105" s="1029"/>
      <c r="J105" s="90"/>
    </row>
    <row r="106" spans="1:15" x14ac:dyDescent="0.25">
      <c r="A106" s="96"/>
      <c r="B106" s="96"/>
      <c r="C106" s="90"/>
      <c r="D106" s="90"/>
      <c r="E106" s="90"/>
      <c r="F106" s="90"/>
      <c r="G106" s="90"/>
      <c r="H106" s="90"/>
      <c r="I106" s="90"/>
      <c r="J106" s="90"/>
    </row>
    <row r="107" spans="1:15" ht="17.25" customHeight="1" x14ac:dyDescent="0.2">
      <c r="A107" s="90"/>
      <c r="B107" s="90"/>
      <c r="C107" s="90"/>
      <c r="D107" s="90"/>
      <c r="E107" s="90"/>
      <c r="F107" s="90"/>
      <c r="G107" s="90"/>
      <c r="H107" s="90"/>
      <c r="I107" s="90"/>
      <c r="J107" s="351" t="s">
        <v>215</v>
      </c>
    </row>
    <row r="110" spans="1:15" x14ac:dyDescent="0.25">
      <c r="G110" s="140"/>
      <c r="H110" s="110"/>
      <c r="I110" s="110"/>
      <c r="J110" s="111"/>
    </row>
    <row r="115" spans="1:2" x14ac:dyDescent="0.3">
      <c r="A115" s="1149" t="s">
        <v>561</v>
      </c>
      <c r="B115" s="1150" t="s">
        <v>562</v>
      </c>
    </row>
    <row r="116" spans="1:2" x14ac:dyDescent="0.25">
      <c r="A116" s="1151" t="s">
        <v>563</v>
      </c>
      <c r="B116" s="1152" t="s">
        <v>214</v>
      </c>
    </row>
  </sheetData>
  <sheetProtection formatCells="0" formatColumns="0" formatRows="0" insertColumns="0" insertRows="0" deleteColumns="0" deleteRows="0"/>
  <mergeCells count="71">
    <mergeCell ref="D37:F37"/>
    <mergeCell ref="D38:F38"/>
    <mergeCell ref="B91:J91"/>
    <mergeCell ref="F44:F45"/>
    <mergeCell ref="G44:G45"/>
    <mergeCell ref="C45:D45"/>
    <mergeCell ref="C46:D46"/>
    <mergeCell ref="C52:D52"/>
    <mergeCell ref="C53:D53"/>
    <mergeCell ref="C54:D54"/>
    <mergeCell ref="C56:D56"/>
    <mergeCell ref="B44:B45"/>
    <mergeCell ref="C44:D44"/>
    <mergeCell ref="E44:E45"/>
    <mergeCell ref="B50:B51"/>
    <mergeCell ref="C48:D48"/>
    <mergeCell ref="L44:L45"/>
    <mergeCell ref="H72:H73"/>
    <mergeCell ref="H62:H66"/>
    <mergeCell ref="H60:H61"/>
    <mergeCell ref="H52:H56"/>
    <mergeCell ref="L60:L61"/>
    <mergeCell ref="L50:L51"/>
    <mergeCell ref="H44:I45"/>
    <mergeCell ref="I50:J51"/>
    <mergeCell ref="I60:J61"/>
    <mergeCell ref="I70:J71"/>
    <mergeCell ref="A1:J1"/>
    <mergeCell ref="A2:J2"/>
    <mergeCell ref="C27:G27"/>
    <mergeCell ref="C28:G28"/>
    <mergeCell ref="C29:G29"/>
    <mergeCell ref="H27:I27"/>
    <mergeCell ref="C30:G30"/>
    <mergeCell ref="C31:G31"/>
    <mergeCell ref="B97:F97"/>
    <mergeCell ref="C70:D70"/>
    <mergeCell ref="C71:D71"/>
    <mergeCell ref="C72:D72"/>
    <mergeCell ref="C73:D73"/>
    <mergeCell ref="B70:B71"/>
    <mergeCell ref="C62:D62"/>
    <mergeCell ref="C63:D63"/>
    <mergeCell ref="C64:D64"/>
    <mergeCell ref="C65:D65"/>
    <mergeCell ref="C66:D66"/>
    <mergeCell ref="B37:C37"/>
    <mergeCell ref="B38:C38"/>
    <mergeCell ref="C55:D55"/>
    <mergeCell ref="K96:L96"/>
    <mergeCell ref="L70:L71"/>
    <mergeCell ref="E70:E71"/>
    <mergeCell ref="F70:F71"/>
    <mergeCell ref="G70:G71"/>
    <mergeCell ref="H70:H71"/>
    <mergeCell ref="M60:M61"/>
    <mergeCell ref="N60:N61"/>
    <mergeCell ref="B60:B61"/>
    <mergeCell ref="C60:D60"/>
    <mergeCell ref="E60:E61"/>
    <mergeCell ref="F60:F61"/>
    <mergeCell ref="G60:G61"/>
    <mergeCell ref="C61:D61"/>
    <mergeCell ref="M50:M51"/>
    <mergeCell ref="N50:N51"/>
    <mergeCell ref="C51:D51"/>
    <mergeCell ref="F50:F51"/>
    <mergeCell ref="G50:G51"/>
    <mergeCell ref="H50:H51"/>
    <mergeCell ref="C50:D50"/>
    <mergeCell ref="E50:E51"/>
  </mergeCells>
  <conditionalFormatting sqref="K96">
    <cfRule type="colorScale" priority="1">
      <colorScale>
        <cfvo type="num" val="&quot;0-70&quot;"/>
        <cfvo type="max"/>
        <color rgb="FFFF0000"/>
        <color rgb="FF00B050"/>
      </colorScale>
    </cfRule>
  </conditionalFormatting>
  <dataValidations count="4">
    <dataValidation allowBlank="1" showInputMessage="1" sqref="A2 B95" xr:uid="{00000000-0002-0000-0700-000000000000}"/>
    <dataValidation type="list" allowBlank="1" showInputMessage="1" showErrorMessage="1" sqref="L85:N85" xr:uid="{75256563-48DF-46E0-8803-89CB2CDAB22F}">
      <formula1>#REF!</formula1>
    </dataValidation>
    <dataValidation type="list" allowBlank="1" showInputMessage="1" sqref="B88" xr:uid="{5B292ECF-752D-4BA3-B802-E403615DB2B2}">
      <formula1>#REF!</formula1>
    </dataValidation>
    <dataValidation type="list" allowBlank="1" showInputMessage="1" showErrorMessage="1" sqref="H104" xr:uid="{5BE9F42A-6098-45A2-B1DC-2B6070F7F23B}">
      <formula1>$A$115:$A$116</formula1>
    </dataValidation>
  </dataValidations>
  <printOptions horizontalCentered="1"/>
  <pageMargins left="0.17" right="0.17" top="0.31496062992126" bottom="0.39370078740157499" header="0.196850393700787" footer="0.15748031496063"/>
  <pageSetup paperSize="9" scale="69" orientation="portrait" r:id="rId1"/>
  <headerFooter>
    <oddHeader>&amp;R&amp;8KL.LHK-13 / Rev. 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2" manualBreakCount="2">
    <brk id="74" max="9" man="1"/>
    <brk id="107" max="16383" man="1"/>
  </rowBreaks>
  <drawing r:id="rId2"/>
  <legacyDrawing r:id="rId3"/>
  <oleObjects>
    <mc:AlternateContent xmlns:mc="http://schemas.openxmlformats.org/markup-compatibility/2006">
      <mc:Choice Requires="x14">
        <oleObject progId="Equation.3" shapeId="32778" r:id="rId4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78" r:id="rId4"/>
      </mc:Fallback>
    </mc:AlternateContent>
    <mc:AlternateContent xmlns:mc="http://schemas.openxmlformats.org/markup-compatibility/2006">
      <mc:Choice Requires="x14">
        <oleObject progId="Equation.3" shapeId="32779" r:id="rId6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79" r:id="rId6"/>
      </mc:Fallback>
    </mc:AlternateContent>
    <mc:AlternateContent xmlns:mc="http://schemas.openxmlformats.org/markup-compatibility/2006">
      <mc:Choice Requires="x14">
        <oleObject progId="Equation.3" shapeId="32780" r:id="rId7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0" r:id="rId7"/>
      </mc:Fallback>
    </mc:AlternateContent>
    <mc:AlternateContent xmlns:mc="http://schemas.openxmlformats.org/markup-compatibility/2006">
      <mc:Choice Requires="x14">
        <oleObject progId="Equation.3" shapeId="32781" r:id="rId8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1" r:id="rId8"/>
      </mc:Fallback>
    </mc:AlternateContent>
    <mc:AlternateContent xmlns:mc="http://schemas.openxmlformats.org/markup-compatibility/2006">
      <mc:Choice Requires="x14">
        <oleObject progId="Equation.3" shapeId="32782" r:id="rId9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2" r:id="rId9"/>
      </mc:Fallback>
    </mc:AlternateContent>
    <mc:AlternateContent xmlns:mc="http://schemas.openxmlformats.org/markup-compatibility/2006">
      <mc:Choice Requires="x14">
        <oleObject progId="Equation.3" shapeId="32783" r:id="rId10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3" r:id="rId10"/>
      </mc:Fallback>
    </mc:AlternateContent>
    <mc:AlternateContent xmlns:mc="http://schemas.openxmlformats.org/markup-compatibility/2006">
      <mc:Choice Requires="x14">
        <oleObject progId="Equation.3" shapeId="32784" r:id="rId11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4" r:id="rId11"/>
      </mc:Fallback>
    </mc:AlternateContent>
    <mc:AlternateContent xmlns:mc="http://schemas.openxmlformats.org/markup-compatibility/2006">
      <mc:Choice Requires="x14">
        <oleObject progId="Equation.3" shapeId="32785" r:id="rId12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5" r:id="rId12"/>
      </mc:Fallback>
    </mc:AlternateContent>
    <mc:AlternateContent xmlns:mc="http://schemas.openxmlformats.org/markup-compatibility/2006">
      <mc:Choice Requires="x14">
        <oleObject progId="Equation.3" shapeId="32786" r:id="rId13">
          <objectPr defaultSize="0" autoPict="0" r:id="rId5">
            <anchor moveWithCells="1" sizeWithCells="1">
              <from>
                <xdr:col>6</xdr:col>
                <xdr:colOff>19050</xdr:colOff>
                <xdr:row>30</xdr:row>
                <xdr:rowOff>0</xdr:rowOff>
              </from>
              <to>
                <xdr:col>6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6" r:id="rId13"/>
      </mc:Fallback>
    </mc:AlternateContent>
    <mc:AlternateContent xmlns:mc="http://schemas.openxmlformats.org/markup-compatibility/2006">
      <mc:Choice Requires="x14">
        <oleObject progId="Equation.3" shapeId="32787" r:id="rId14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7" r:id="rId14"/>
      </mc:Fallback>
    </mc:AlternateContent>
    <mc:AlternateContent xmlns:mc="http://schemas.openxmlformats.org/markup-compatibility/2006">
      <mc:Choice Requires="x14">
        <oleObject progId="Equation.3" shapeId="32788" r:id="rId15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8" r:id="rId15"/>
      </mc:Fallback>
    </mc:AlternateContent>
    <mc:AlternateContent xmlns:mc="http://schemas.openxmlformats.org/markup-compatibility/2006">
      <mc:Choice Requires="x14">
        <oleObject progId="Equation.3" shapeId="32789" r:id="rId16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89" r:id="rId16"/>
      </mc:Fallback>
    </mc:AlternateContent>
    <mc:AlternateContent xmlns:mc="http://schemas.openxmlformats.org/markup-compatibility/2006">
      <mc:Choice Requires="x14">
        <oleObject progId="Equation.3" shapeId="32790" r:id="rId17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90" r:id="rId17"/>
      </mc:Fallback>
    </mc:AlternateContent>
    <mc:AlternateContent xmlns:mc="http://schemas.openxmlformats.org/markup-compatibility/2006">
      <mc:Choice Requires="x14">
        <oleObject progId="Equation.3" shapeId="32791" r:id="rId18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91" r:id="rId18"/>
      </mc:Fallback>
    </mc:AlternateContent>
    <mc:AlternateContent xmlns:mc="http://schemas.openxmlformats.org/markup-compatibility/2006">
      <mc:Choice Requires="x14">
        <oleObject progId="Equation.3" shapeId="32792" r:id="rId19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92" r:id="rId19"/>
      </mc:Fallback>
    </mc:AlternateContent>
    <mc:AlternateContent xmlns:mc="http://schemas.openxmlformats.org/markup-compatibility/2006">
      <mc:Choice Requires="x14">
        <oleObject progId="Equation.3" shapeId="32793" r:id="rId20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93" r:id="rId20"/>
      </mc:Fallback>
    </mc:AlternateContent>
    <mc:AlternateContent xmlns:mc="http://schemas.openxmlformats.org/markup-compatibility/2006">
      <mc:Choice Requires="x14">
        <oleObject progId="Equation.3" shapeId="32794" r:id="rId21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94" r:id="rId21"/>
      </mc:Fallback>
    </mc:AlternateContent>
    <mc:AlternateContent xmlns:mc="http://schemas.openxmlformats.org/markup-compatibility/2006">
      <mc:Choice Requires="x14">
        <oleObject progId="Equation.3" shapeId="32795" r:id="rId22">
          <objectPr defaultSize="0" autoPict="0" r:id="rId5">
            <anchor moveWithCells="1" sizeWithCells="1">
              <from>
                <xdr:col>7</xdr:col>
                <xdr:colOff>19050</xdr:colOff>
                <xdr:row>30</xdr:row>
                <xdr:rowOff>0</xdr:rowOff>
              </from>
              <to>
                <xdr:col>7</xdr:col>
                <xdr:colOff>19050</xdr:colOff>
                <xdr:row>30</xdr:row>
                <xdr:rowOff>0</xdr:rowOff>
              </to>
            </anchor>
          </objectPr>
        </oleObject>
      </mc:Choice>
      <mc:Fallback>
        <oleObject progId="Equation.3" shapeId="32795" r:id="rId2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1D4E-8E27-49D0-90D8-BEEA4EDA4BF0}">
  <sheetPr>
    <tabColor rgb="FF00B050"/>
  </sheetPr>
  <dimension ref="A1:AX219"/>
  <sheetViews>
    <sheetView topLeftCell="H74" zoomScale="85" zoomScaleNormal="85" zoomScaleSheetLayoutView="77" workbookViewId="0">
      <selection activeCell="Z85" sqref="Z85"/>
    </sheetView>
  </sheetViews>
  <sheetFormatPr defaultColWidth="9" defaultRowHeight="12.5" x14ac:dyDescent="0.25"/>
  <cols>
    <col min="1" max="7" width="9.7265625" style="159" customWidth="1"/>
    <col min="8" max="8" width="9.7265625" style="499" customWidth="1"/>
    <col min="9" max="14" width="9.7265625" style="159" customWidth="1"/>
    <col min="15" max="15" width="14" style="159" customWidth="1"/>
    <col min="16" max="16" width="9.7265625" style="499" customWidth="1"/>
    <col min="17" max="23" width="9.7265625" style="159" customWidth="1"/>
    <col min="24" max="24" width="9" style="499"/>
    <col min="25" max="16384" width="9" style="159"/>
  </cols>
  <sheetData>
    <row r="1" spans="1:25" ht="48" customHeight="1" x14ac:dyDescent="0.25">
      <c r="A1" s="1745" t="s">
        <v>99</v>
      </c>
      <c r="B1" s="1746"/>
      <c r="C1" s="1746"/>
      <c r="D1" s="1746"/>
      <c r="E1" s="1746"/>
      <c r="F1" s="1746"/>
      <c r="G1" s="1746"/>
      <c r="H1" s="1746"/>
      <c r="I1" s="1746"/>
      <c r="J1" s="1746"/>
      <c r="K1" s="1746"/>
      <c r="L1" s="1746"/>
      <c r="M1" s="1746"/>
      <c r="N1" s="1746"/>
      <c r="O1" s="1746"/>
      <c r="P1" s="1746"/>
      <c r="Q1" s="1746"/>
      <c r="R1" s="1746"/>
      <c r="S1" s="1746"/>
      <c r="T1" s="1746"/>
      <c r="U1" s="1746"/>
      <c r="V1" s="1746"/>
      <c r="W1" s="1747"/>
      <c r="Y1" s="159" t="s">
        <v>59</v>
      </c>
    </row>
    <row r="2" spans="1:25" ht="25.5" customHeight="1" x14ac:dyDescent="0.25">
      <c r="A2" s="1748">
        <v>1</v>
      </c>
      <c r="B2" s="1751" t="str">
        <f>A166</f>
        <v>Electrical Safety Analyzer, Merek : Fluke, Model : ESA 620, SN : 1837056</v>
      </c>
      <c r="C2" s="1751"/>
      <c r="D2" s="1751"/>
      <c r="E2" s="1751"/>
      <c r="F2" s="1751"/>
      <c r="G2" s="1751"/>
      <c r="H2" s="500"/>
      <c r="I2" s="1748">
        <v>2</v>
      </c>
      <c r="J2" s="1751" t="str">
        <f>A167</f>
        <v>Electrical Safety Analyzer, Merek : Fluke, Model : ESA 620, SN : 1834020</v>
      </c>
      <c r="K2" s="1751"/>
      <c r="L2" s="1751"/>
      <c r="M2" s="1751"/>
      <c r="N2" s="1751"/>
      <c r="O2" s="1751"/>
      <c r="P2" s="500"/>
      <c r="Q2" s="1748">
        <v>3</v>
      </c>
      <c r="R2" s="1751" t="str">
        <f>A168</f>
        <v>Electrical Safety Analyzer, Merek : Fluke, Model : ESA 615, SN : 2853077</v>
      </c>
      <c r="S2" s="1751"/>
      <c r="T2" s="1751"/>
      <c r="U2" s="1751"/>
      <c r="V2" s="1751"/>
      <c r="W2" s="1751"/>
    </row>
    <row r="3" spans="1:25" ht="15" customHeight="1" x14ac:dyDescent="0.3">
      <c r="A3" s="1749"/>
      <c r="B3" s="1752" t="s">
        <v>103</v>
      </c>
      <c r="C3" s="1752"/>
      <c r="D3" s="1752"/>
      <c r="E3" s="1752"/>
      <c r="F3" s="501"/>
      <c r="G3" s="501"/>
      <c r="H3" s="502"/>
      <c r="I3" s="1749"/>
      <c r="J3" s="1752" t="s">
        <v>103</v>
      </c>
      <c r="K3" s="1752"/>
      <c r="L3" s="1752"/>
      <c r="M3" s="1752"/>
      <c r="N3" s="501"/>
      <c r="O3" s="501"/>
      <c r="P3" s="502"/>
      <c r="Q3" s="1749"/>
      <c r="R3" s="1752" t="s">
        <v>103</v>
      </c>
      <c r="S3" s="1752"/>
      <c r="T3" s="1752"/>
      <c r="U3" s="1752"/>
      <c r="V3" s="503"/>
      <c r="W3" s="503"/>
    </row>
    <row r="4" spans="1:25" ht="12.75" customHeight="1" x14ac:dyDescent="0.25">
      <c r="A4" s="1749"/>
      <c r="B4" s="1756" t="s">
        <v>104</v>
      </c>
      <c r="C4" s="1757"/>
      <c r="D4" s="1757"/>
      <c r="E4" s="1758"/>
      <c r="F4" s="504" t="s">
        <v>105</v>
      </c>
      <c r="G4" s="504" t="s">
        <v>90</v>
      </c>
      <c r="H4" s="505"/>
      <c r="I4" s="1749"/>
      <c r="J4" s="1756" t="s">
        <v>104</v>
      </c>
      <c r="K4" s="1757"/>
      <c r="L4" s="1757"/>
      <c r="M4" s="1758"/>
      <c r="N4" s="504" t="s">
        <v>105</v>
      </c>
      <c r="O4" s="504" t="s">
        <v>90</v>
      </c>
      <c r="P4" s="505"/>
      <c r="Q4" s="1749"/>
      <c r="R4" s="1756" t="s">
        <v>104</v>
      </c>
      <c r="S4" s="1757"/>
      <c r="T4" s="1757"/>
      <c r="U4" s="1758"/>
      <c r="V4" s="504" t="s">
        <v>105</v>
      </c>
      <c r="W4" s="504" t="s">
        <v>90</v>
      </c>
    </row>
    <row r="5" spans="1:25" ht="15" customHeight="1" x14ac:dyDescent="0.25">
      <c r="A5" s="1749"/>
      <c r="B5" s="503" t="s">
        <v>106</v>
      </c>
      <c r="C5" s="504">
        <v>2019</v>
      </c>
      <c r="D5" s="504">
        <v>2019</v>
      </c>
      <c r="E5" s="504">
        <v>2020</v>
      </c>
      <c r="F5" s="504"/>
      <c r="G5" s="504"/>
      <c r="H5" s="505"/>
      <c r="I5" s="1749"/>
      <c r="J5" s="503" t="s">
        <v>106</v>
      </c>
      <c r="K5" s="504">
        <v>2017</v>
      </c>
      <c r="L5" s="504">
        <v>2017</v>
      </c>
      <c r="M5" s="504">
        <v>2019</v>
      </c>
      <c r="N5" s="504"/>
      <c r="O5" s="504"/>
      <c r="P5" s="505"/>
      <c r="Q5" s="1749"/>
      <c r="R5" s="503" t="s">
        <v>106</v>
      </c>
      <c r="S5" s="504">
        <v>2018</v>
      </c>
      <c r="T5" s="504">
        <v>2021</v>
      </c>
      <c r="U5" s="504">
        <v>2022</v>
      </c>
      <c r="V5" s="504"/>
      <c r="W5" s="504"/>
    </row>
    <row r="6" spans="1:25" ht="15" customHeight="1" x14ac:dyDescent="0.25">
      <c r="A6" s="1749"/>
      <c r="B6" s="506">
        <v>150</v>
      </c>
      <c r="C6" s="507">
        <v>0.76</v>
      </c>
      <c r="D6" s="507">
        <v>0.76</v>
      </c>
      <c r="E6" s="507">
        <v>0.31</v>
      </c>
      <c r="F6" s="508">
        <f t="shared" ref="F6:F11" si="0">0.5*(MAX(C6:E6)-MIN(C6:E6))</f>
        <v>0.22500000000000001</v>
      </c>
      <c r="G6" s="509">
        <f>B6*$H$6</f>
        <v>1.8</v>
      </c>
      <c r="H6" s="505">
        <f>1.2/100</f>
        <v>1.2E-2</v>
      </c>
      <c r="I6" s="1749"/>
      <c r="J6" s="506">
        <v>150</v>
      </c>
      <c r="K6" s="510">
        <v>0.23</v>
      </c>
      <c r="L6" s="510">
        <v>0.23</v>
      </c>
      <c r="M6" s="507">
        <v>0.15</v>
      </c>
      <c r="N6" s="508">
        <f t="shared" ref="N6:N11" si="1">0.5*(MAX(K6:M6)-MIN(K6:M6))</f>
        <v>4.0000000000000008E-2</v>
      </c>
      <c r="O6" s="509">
        <f>J6*$P$6</f>
        <v>1.8</v>
      </c>
      <c r="P6" s="505">
        <f>1.2/100</f>
        <v>1.2E-2</v>
      </c>
      <c r="Q6" s="1749"/>
      <c r="R6" s="511">
        <v>150</v>
      </c>
      <c r="S6" s="510">
        <v>-7.0000000000000007E-2</v>
      </c>
      <c r="T6" s="510">
        <v>-1.6</v>
      </c>
      <c r="U6" s="510">
        <v>-1.43</v>
      </c>
      <c r="V6" s="508">
        <f t="shared" ref="V6:V11" si="2">0.5*(MAX(S6:U6)-MIN(S6:U6))</f>
        <v>0.76500000000000001</v>
      </c>
      <c r="W6" s="512">
        <f>R6*$X$6</f>
        <v>1.8</v>
      </c>
      <c r="X6" s="499">
        <f>1.2/100</f>
        <v>1.2E-2</v>
      </c>
    </row>
    <row r="7" spans="1:25" ht="12.75" customHeight="1" x14ac:dyDescent="0.25">
      <c r="A7" s="1749"/>
      <c r="B7" s="506">
        <v>180</v>
      </c>
      <c r="C7" s="513">
        <v>-0.13</v>
      </c>
      <c r="D7" s="513">
        <v>-0.13</v>
      </c>
      <c r="E7" s="513">
        <v>0.1</v>
      </c>
      <c r="F7" s="508">
        <f t="shared" si="0"/>
        <v>0.115</v>
      </c>
      <c r="G7" s="509">
        <f t="shared" ref="G7:G11" si="3">B7*$H$6</f>
        <v>2.16</v>
      </c>
      <c r="H7" s="505"/>
      <c r="I7" s="1749"/>
      <c r="J7" s="506">
        <v>180</v>
      </c>
      <c r="K7" s="510">
        <v>-0.06</v>
      </c>
      <c r="L7" s="510">
        <v>-0.06</v>
      </c>
      <c r="M7" s="513">
        <v>0.12</v>
      </c>
      <c r="N7" s="508">
        <f t="shared" si="1"/>
        <v>0.09</v>
      </c>
      <c r="O7" s="509">
        <f t="shared" ref="O7:O11" si="4">J7*$P$6</f>
        <v>2.16</v>
      </c>
      <c r="P7" s="505"/>
      <c r="Q7" s="1749"/>
      <c r="R7" s="514">
        <v>180</v>
      </c>
      <c r="S7" s="510">
        <v>-0.13</v>
      </c>
      <c r="T7" s="510">
        <v>-1.9</v>
      </c>
      <c r="U7" s="510">
        <v>-1.81</v>
      </c>
      <c r="V7" s="508">
        <f t="shared" si="2"/>
        <v>0.88500000000000001</v>
      </c>
      <c r="W7" s="512">
        <f t="shared" ref="W7:W11" si="5">R7*$X$6</f>
        <v>2.16</v>
      </c>
    </row>
    <row r="8" spans="1:25" ht="12.75" customHeight="1" x14ac:dyDescent="0.25">
      <c r="A8" s="1749"/>
      <c r="B8" s="506">
        <v>200</v>
      </c>
      <c r="C8" s="513">
        <v>-0.16</v>
      </c>
      <c r="D8" s="513">
        <v>-0.16</v>
      </c>
      <c r="E8" s="513">
        <v>-0.04</v>
      </c>
      <c r="F8" s="508">
        <f t="shared" si="0"/>
        <v>0.06</v>
      </c>
      <c r="G8" s="509">
        <f t="shared" si="3"/>
        <v>2.4</v>
      </c>
      <c r="H8" s="505"/>
      <c r="I8" s="1749"/>
      <c r="J8" s="506">
        <v>200</v>
      </c>
      <c r="K8" s="510">
        <v>-0.18</v>
      </c>
      <c r="L8" s="510">
        <v>-0.18</v>
      </c>
      <c r="M8" s="513">
        <v>0.06</v>
      </c>
      <c r="N8" s="508">
        <f t="shared" si="1"/>
        <v>0.12</v>
      </c>
      <c r="O8" s="509">
        <f t="shared" si="4"/>
        <v>2.4</v>
      </c>
      <c r="P8" s="505"/>
      <c r="Q8" s="1749"/>
      <c r="R8" s="514">
        <v>200</v>
      </c>
      <c r="S8" s="510">
        <v>-0.26</v>
      </c>
      <c r="T8" s="510">
        <v>-2.14</v>
      </c>
      <c r="U8" s="510">
        <v>-2.0499999999999998</v>
      </c>
      <c r="V8" s="508">
        <f t="shared" si="2"/>
        <v>0.94000000000000006</v>
      </c>
      <c r="W8" s="512">
        <f t="shared" si="5"/>
        <v>2.4</v>
      </c>
    </row>
    <row r="9" spans="1:25" ht="12.75" customHeight="1" x14ac:dyDescent="0.25">
      <c r="A9" s="1749"/>
      <c r="B9" s="506">
        <v>220</v>
      </c>
      <c r="C9" s="513">
        <v>-0.18</v>
      </c>
      <c r="D9" s="513">
        <v>-0.18</v>
      </c>
      <c r="E9" s="513">
        <v>-0.28000000000000003</v>
      </c>
      <c r="F9" s="508">
        <f t="shared" si="0"/>
        <v>5.0000000000000017E-2</v>
      </c>
      <c r="G9" s="509">
        <f t="shared" si="3"/>
        <v>2.64</v>
      </c>
      <c r="H9" s="505"/>
      <c r="I9" s="1749"/>
      <c r="J9" s="506">
        <v>220</v>
      </c>
      <c r="K9" s="510">
        <v>-0.03</v>
      </c>
      <c r="L9" s="510">
        <v>-0.03</v>
      </c>
      <c r="M9" s="513">
        <v>0.05</v>
      </c>
      <c r="N9" s="508">
        <f t="shared" si="1"/>
        <v>0.04</v>
      </c>
      <c r="O9" s="509">
        <f t="shared" si="4"/>
        <v>2.64</v>
      </c>
      <c r="P9" s="505"/>
      <c r="Q9" s="1749"/>
      <c r="R9" s="514">
        <v>220</v>
      </c>
      <c r="S9" s="510">
        <v>-0.28999999999999998</v>
      </c>
      <c r="T9" s="510">
        <v>-3.44</v>
      </c>
      <c r="U9" s="510">
        <v>-2.29</v>
      </c>
      <c r="V9" s="508">
        <f t="shared" si="2"/>
        <v>1.575</v>
      </c>
      <c r="W9" s="512">
        <f t="shared" si="5"/>
        <v>2.64</v>
      </c>
    </row>
    <row r="10" spans="1:25" ht="12.75" customHeight="1" x14ac:dyDescent="0.25">
      <c r="A10" s="1749"/>
      <c r="B10" s="506">
        <v>230</v>
      </c>
      <c r="C10" s="513">
        <v>-0.26</v>
      </c>
      <c r="D10" s="513">
        <v>-0.26</v>
      </c>
      <c r="E10" s="513">
        <v>-0.2</v>
      </c>
      <c r="F10" s="508">
        <f t="shared" si="0"/>
        <v>0.03</v>
      </c>
      <c r="G10" s="509">
        <f t="shared" si="3"/>
        <v>2.7600000000000002</v>
      </c>
      <c r="H10" s="505"/>
      <c r="I10" s="1749"/>
      <c r="J10" s="506">
        <v>230</v>
      </c>
      <c r="K10" s="510">
        <v>-10.02</v>
      </c>
      <c r="L10" s="510">
        <v>-10.02</v>
      </c>
      <c r="M10" s="513">
        <v>0.05</v>
      </c>
      <c r="N10" s="508">
        <f t="shared" si="1"/>
        <v>5.0350000000000001</v>
      </c>
      <c r="O10" s="509">
        <f t="shared" si="4"/>
        <v>2.7600000000000002</v>
      </c>
      <c r="P10" s="505"/>
      <c r="Q10" s="1749"/>
      <c r="R10" s="514">
        <v>230</v>
      </c>
      <c r="S10" s="510">
        <v>-0.23</v>
      </c>
      <c r="T10" s="510">
        <v>-2.52</v>
      </c>
      <c r="U10" s="510">
        <v>-11.79</v>
      </c>
      <c r="V10" s="508">
        <f t="shared" si="2"/>
        <v>5.7799999999999994</v>
      </c>
      <c r="W10" s="512">
        <f t="shared" si="5"/>
        <v>2.7600000000000002</v>
      </c>
    </row>
    <row r="11" spans="1:25" ht="12.75" customHeight="1" x14ac:dyDescent="0.25">
      <c r="A11" s="1749"/>
      <c r="B11" s="506">
        <v>250</v>
      </c>
      <c r="C11" s="513">
        <v>9.9999999999999995E-7</v>
      </c>
      <c r="D11" s="513">
        <v>9.9999999999999995E-7</v>
      </c>
      <c r="E11" s="513">
        <v>9.9999999999999995E-7</v>
      </c>
      <c r="F11" s="508">
        <f t="shared" si="0"/>
        <v>0</v>
      </c>
      <c r="G11" s="509">
        <f t="shared" si="3"/>
        <v>3</v>
      </c>
      <c r="H11" s="505"/>
      <c r="I11" s="1749"/>
      <c r="J11" s="506">
        <v>250</v>
      </c>
      <c r="K11" s="510">
        <v>9.9999999999999995E-7</v>
      </c>
      <c r="L11" s="510">
        <v>9.9999999999999995E-7</v>
      </c>
      <c r="M11" s="513">
        <v>9.9999999999999995E-7</v>
      </c>
      <c r="N11" s="508">
        <f t="shared" si="1"/>
        <v>0</v>
      </c>
      <c r="O11" s="509">
        <f t="shared" si="4"/>
        <v>3</v>
      </c>
      <c r="P11" s="505"/>
      <c r="Q11" s="1749"/>
      <c r="R11" s="514">
        <v>250</v>
      </c>
      <c r="S11" s="510">
        <v>9.9999999999999995E-7</v>
      </c>
      <c r="T11" s="515">
        <v>9.9999999999999995E-7</v>
      </c>
      <c r="U11" s="515">
        <v>9.9999999999999995E-7</v>
      </c>
      <c r="V11" s="508">
        <f t="shared" si="2"/>
        <v>0</v>
      </c>
      <c r="W11" s="512">
        <f t="shared" si="5"/>
        <v>3</v>
      </c>
    </row>
    <row r="12" spans="1:25" ht="12.75" customHeight="1" x14ac:dyDescent="0.25">
      <c r="A12" s="1749"/>
      <c r="B12" s="1753" t="s">
        <v>107</v>
      </c>
      <c r="C12" s="1754"/>
      <c r="D12" s="1754"/>
      <c r="E12" s="1755"/>
      <c r="F12" s="504" t="s">
        <v>105</v>
      </c>
      <c r="G12" s="504" t="s">
        <v>90</v>
      </c>
      <c r="H12" s="505"/>
      <c r="I12" s="1749"/>
      <c r="J12" s="1753" t="s">
        <v>107</v>
      </c>
      <c r="K12" s="1754"/>
      <c r="L12" s="1754"/>
      <c r="M12" s="1755"/>
      <c r="N12" s="504" t="s">
        <v>105</v>
      </c>
      <c r="O12" s="504" t="s">
        <v>90</v>
      </c>
      <c r="P12" s="505"/>
      <c r="Q12" s="1749"/>
      <c r="R12" s="1753" t="s">
        <v>107</v>
      </c>
      <c r="S12" s="1754"/>
      <c r="T12" s="1754"/>
      <c r="U12" s="1755"/>
      <c r="V12" s="504" t="s">
        <v>105</v>
      </c>
      <c r="W12" s="504" t="s">
        <v>90</v>
      </c>
    </row>
    <row r="13" spans="1:25" ht="15" customHeight="1" x14ac:dyDescent="0.25">
      <c r="A13" s="1749"/>
      <c r="B13" s="503" t="s">
        <v>108</v>
      </c>
      <c r="C13" s="504">
        <f>C5</f>
        <v>2019</v>
      </c>
      <c r="D13" s="504">
        <f>D5</f>
        <v>2019</v>
      </c>
      <c r="E13" s="504">
        <f>E5</f>
        <v>2020</v>
      </c>
      <c r="F13" s="504"/>
      <c r="G13" s="504"/>
      <c r="H13" s="505"/>
      <c r="I13" s="1749"/>
      <c r="J13" s="503" t="s">
        <v>108</v>
      </c>
      <c r="K13" s="504">
        <f>K5</f>
        <v>2017</v>
      </c>
      <c r="L13" s="504">
        <f>L5</f>
        <v>2017</v>
      </c>
      <c r="M13" s="504">
        <f>M5</f>
        <v>2019</v>
      </c>
      <c r="N13" s="504"/>
      <c r="O13" s="504"/>
      <c r="P13" s="505"/>
      <c r="Q13" s="1749"/>
      <c r="R13" s="503" t="s">
        <v>108</v>
      </c>
      <c r="S13" s="504">
        <f>S5</f>
        <v>2018</v>
      </c>
      <c r="T13" s="504">
        <f>T5</f>
        <v>2021</v>
      </c>
      <c r="U13" s="504">
        <f>U5</f>
        <v>2022</v>
      </c>
      <c r="V13" s="504"/>
      <c r="W13" s="504"/>
    </row>
    <row r="14" spans="1:25" ht="12.75" customHeight="1" x14ac:dyDescent="0.25">
      <c r="A14" s="1749"/>
      <c r="B14" s="516">
        <v>9.9999999999999995E-7</v>
      </c>
      <c r="C14" s="516">
        <v>9.9999999999999995E-7</v>
      </c>
      <c r="D14" s="516">
        <v>9.9999999999999995E-7</v>
      </c>
      <c r="E14" s="517">
        <v>0</v>
      </c>
      <c r="F14" s="508">
        <f t="shared" ref="F14:F19" si="6">0.5*(MAX(C14:E14)-MIN(C14:E14))</f>
        <v>4.9999999999999998E-7</v>
      </c>
      <c r="G14" s="518">
        <f>B14*$H$14</f>
        <v>5.8999999999999999E-9</v>
      </c>
      <c r="H14" s="505">
        <f>0.59/100</f>
        <v>5.8999999999999999E-3</v>
      </c>
      <c r="I14" s="1749"/>
      <c r="J14" s="519">
        <v>9.9999999999999995E-7</v>
      </c>
      <c r="K14" s="510">
        <v>9.9999999999999995E-7</v>
      </c>
      <c r="L14" s="510">
        <v>9.9999999999999995E-7</v>
      </c>
      <c r="M14" s="513">
        <v>9.9999999999999995E-7</v>
      </c>
      <c r="N14" s="508">
        <f t="shared" ref="N14:N19" si="7">0.5*(MAX(K14:M14)-MIN(K14:M14))</f>
        <v>0</v>
      </c>
      <c r="O14" s="518">
        <f>J14*$P$14</f>
        <v>5.8999999999999999E-9</v>
      </c>
      <c r="P14" s="505">
        <f>0.59/100</f>
        <v>5.8999999999999999E-3</v>
      </c>
      <c r="Q14" s="1749"/>
      <c r="R14" s="510">
        <v>9.9999999999999995E-7</v>
      </c>
      <c r="S14" s="509">
        <v>9.9999999999999995E-7</v>
      </c>
      <c r="T14" s="513">
        <v>9.9999999999999995E-7</v>
      </c>
      <c r="U14" s="513">
        <v>9.9999999999999995E-7</v>
      </c>
      <c r="V14" s="508">
        <f t="shared" ref="V14:V19" si="8">0.5*(MAX(S14:U14)-MIN(S14:U14))</f>
        <v>0</v>
      </c>
      <c r="W14" s="518">
        <f>R14*$X$14</f>
        <v>5.8999999999999999E-9</v>
      </c>
      <c r="X14" s="499">
        <f>0.59/100</f>
        <v>5.8999999999999999E-3</v>
      </c>
    </row>
    <row r="15" spans="1:25" ht="12.75" customHeight="1" x14ac:dyDescent="0.25">
      <c r="A15" s="1749"/>
      <c r="B15" s="514">
        <v>50</v>
      </c>
      <c r="C15" s="513">
        <v>-0.06</v>
      </c>
      <c r="D15" s="513">
        <v>-0.06</v>
      </c>
      <c r="E15" s="513">
        <v>0.1</v>
      </c>
      <c r="F15" s="508">
        <f t="shared" si="6"/>
        <v>0.08</v>
      </c>
      <c r="G15" s="518">
        <f t="shared" ref="G15:G19" si="9">B15*$H$14</f>
        <v>0.29499999999999998</v>
      </c>
      <c r="H15" s="505"/>
      <c r="I15" s="1749"/>
      <c r="J15" s="514">
        <v>50</v>
      </c>
      <c r="K15" s="510">
        <v>0.1</v>
      </c>
      <c r="L15" s="510">
        <v>0.1</v>
      </c>
      <c r="M15" s="513">
        <v>0.1</v>
      </c>
      <c r="N15" s="508">
        <f t="shared" si="7"/>
        <v>0</v>
      </c>
      <c r="O15" s="518">
        <f>J15*$P$14</f>
        <v>0.29499999999999998</v>
      </c>
      <c r="P15" s="505"/>
      <c r="Q15" s="1749"/>
      <c r="R15" s="514">
        <v>50</v>
      </c>
      <c r="S15" s="510">
        <v>2</v>
      </c>
      <c r="T15" s="510">
        <v>2.1</v>
      </c>
      <c r="U15" s="510">
        <v>9.1</v>
      </c>
      <c r="V15" s="508">
        <f t="shared" si="8"/>
        <v>3.55</v>
      </c>
      <c r="W15" s="518">
        <f t="shared" ref="W15:W19" si="10">R15*$X$14</f>
        <v>0.29499999999999998</v>
      </c>
    </row>
    <row r="16" spans="1:25" ht="12.75" customHeight="1" x14ac:dyDescent="0.25">
      <c r="A16" s="1749"/>
      <c r="B16" s="514">
        <v>100</v>
      </c>
      <c r="C16" s="513">
        <v>-0.06</v>
      </c>
      <c r="D16" s="513">
        <v>-0.06</v>
      </c>
      <c r="E16" s="513">
        <v>0.2</v>
      </c>
      <c r="F16" s="508">
        <f t="shared" si="6"/>
        <v>0.13</v>
      </c>
      <c r="G16" s="518">
        <f t="shared" si="9"/>
        <v>0.59</v>
      </c>
      <c r="H16" s="505"/>
      <c r="I16" s="1749"/>
      <c r="J16" s="514">
        <v>100</v>
      </c>
      <c r="K16" s="510">
        <v>2.2000000000000002</v>
      </c>
      <c r="L16" s="510">
        <v>2.2000000000000002</v>
      </c>
      <c r="M16" s="513">
        <v>0.4</v>
      </c>
      <c r="N16" s="508">
        <f t="shared" si="7"/>
        <v>0.90000000000000013</v>
      </c>
      <c r="O16" s="518">
        <f t="shared" ref="O16:O19" si="11">J16*$P$14</f>
        <v>0.59</v>
      </c>
      <c r="P16" s="505"/>
      <c r="Q16" s="1749"/>
      <c r="R16" s="514">
        <v>100</v>
      </c>
      <c r="S16" s="510">
        <v>2</v>
      </c>
      <c r="T16" s="510">
        <v>2.2999999999999998</v>
      </c>
      <c r="U16" s="510">
        <v>6</v>
      </c>
      <c r="V16" s="508">
        <f t="shared" si="8"/>
        <v>2</v>
      </c>
      <c r="W16" s="518">
        <f t="shared" si="10"/>
        <v>0.59</v>
      </c>
    </row>
    <row r="17" spans="1:24" ht="12.75" customHeight="1" x14ac:dyDescent="0.25">
      <c r="A17" s="1749"/>
      <c r="B17" s="514">
        <v>200</v>
      </c>
      <c r="C17" s="513">
        <v>0</v>
      </c>
      <c r="D17" s="513">
        <v>0</v>
      </c>
      <c r="E17" s="513">
        <v>0.4</v>
      </c>
      <c r="F17" s="508">
        <f t="shared" si="6"/>
        <v>0.2</v>
      </c>
      <c r="G17" s="518">
        <f t="shared" si="9"/>
        <v>1.18</v>
      </c>
      <c r="H17" s="505"/>
      <c r="I17" s="1749"/>
      <c r="J17" s="514">
        <v>200</v>
      </c>
      <c r="K17" s="510">
        <v>3.3</v>
      </c>
      <c r="L17" s="510">
        <v>3.3</v>
      </c>
      <c r="M17" s="513">
        <v>0.7</v>
      </c>
      <c r="N17" s="508">
        <f t="shared" si="7"/>
        <v>1.2999999999999998</v>
      </c>
      <c r="O17" s="518">
        <f t="shared" si="11"/>
        <v>1.18</v>
      </c>
      <c r="P17" s="505"/>
      <c r="Q17" s="1749"/>
      <c r="R17" s="514">
        <v>200</v>
      </c>
      <c r="S17" s="510">
        <v>3.6</v>
      </c>
      <c r="T17" s="510">
        <v>2.5</v>
      </c>
      <c r="U17" s="510">
        <v>-3.6</v>
      </c>
      <c r="V17" s="508">
        <f t="shared" si="8"/>
        <v>3.6</v>
      </c>
      <c r="W17" s="518">
        <f t="shared" si="10"/>
        <v>1.18</v>
      </c>
    </row>
    <row r="18" spans="1:24" ht="12.75" customHeight="1" x14ac:dyDescent="0.25">
      <c r="A18" s="1749"/>
      <c r="B18" s="514">
        <v>500</v>
      </c>
      <c r="C18" s="513">
        <v>-0.9</v>
      </c>
      <c r="D18" s="513">
        <v>-0.9</v>
      </c>
      <c r="E18" s="513">
        <v>3.8</v>
      </c>
      <c r="F18" s="508">
        <f t="shared" si="6"/>
        <v>2.35</v>
      </c>
      <c r="G18" s="518">
        <f t="shared" si="9"/>
        <v>2.9499999999999997</v>
      </c>
      <c r="H18" s="505"/>
      <c r="I18" s="1749"/>
      <c r="J18" s="514">
        <v>500</v>
      </c>
      <c r="K18" s="510">
        <v>20</v>
      </c>
      <c r="L18" s="510">
        <v>20</v>
      </c>
      <c r="M18" s="513">
        <v>0.8</v>
      </c>
      <c r="N18" s="508">
        <f t="shared" si="7"/>
        <v>9.6</v>
      </c>
      <c r="O18" s="518">
        <f t="shared" si="11"/>
        <v>2.9499999999999997</v>
      </c>
      <c r="P18" s="505"/>
      <c r="Q18" s="1749"/>
      <c r="R18" s="514">
        <v>500</v>
      </c>
      <c r="S18" s="510">
        <v>2.9</v>
      </c>
      <c r="T18" s="510">
        <v>4.3</v>
      </c>
      <c r="U18" s="510">
        <v>-18.8</v>
      </c>
      <c r="V18" s="508">
        <f t="shared" si="8"/>
        <v>11.55</v>
      </c>
      <c r="W18" s="518">
        <f t="shared" si="10"/>
        <v>2.9499999999999997</v>
      </c>
    </row>
    <row r="19" spans="1:24" ht="12.75" customHeight="1" x14ac:dyDescent="0.25">
      <c r="A19" s="1749"/>
      <c r="B19" s="514">
        <v>1000</v>
      </c>
      <c r="C19" s="513">
        <v>-3.0000000000000001E-3</v>
      </c>
      <c r="D19" s="513">
        <v>-3.0000000000000001E-3</v>
      </c>
      <c r="E19" s="513">
        <v>9</v>
      </c>
      <c r="F19" s="508">
        <f t="shared" si="6"/>
        <v>4.5015000000000001</v>
      </c>
      <c r="G19" s="518">
        <f t="shared" si="9"/>
        <v>5.8999999999999995</v>
      </c>
      <c r="H19" s="505"/>
      <c r="I19" s="1749"/>
      <c r="J19" s="514">
        <v>1000</v>
      </c>
      <c r="K19" s="520">
        <v>2</v>
      </c>
      <c r="L19" s="520">
        <v>2</v>
      </c>
      <c r="M19" s="513">
        <v>8.0000000000000002E-3</v>
      </c>
      <c r="N19" s="508">
        <f t="shared" si="7"/>
        <v>0.996</v>
      </c>
      <c r="O19" s="518">
        <f t="shared" si="11"/>
        <v>5.8999999999999995</v>
      </c>
      <c r="P19" s="505"/>
      <c r="Q19" s="1749"/>
      <c r="R19" s="514">
        <v>1000</v>
      </c>
      <c r="S19" s="510">
        <v>3</v>
      </c>
      <c r="T19" s="510">
        <v>2</v>
      </c>
      <c r="U19" s="510">
        <v>-47</v>
      </c>
      <c r="V19" s="508">
        <f t="shared" si="8"/>
        <v>25</v>
      </c>
      <c r="W19" s="518">
        <f t="shared" si="10"/>
        <v>5.8999999999999995</v>
      </c>
    </row>
    <row r="20" spans="1:24" ht="12.75" customHeight="1" x14ac:dyDescent="0.25">
      <c r="A20" s="1749"/>
      <c r="B20" s="1753" t="s">
        <v>109</v>
      </c>
      <c r="C20" s="1754"/>
      <c r="D20" s="1754"/>
      <c r="E20" s="1755"/>
      <c r="F20" s="504" t="s">
        <v>105</v>
      </c>
      <c r="G20" s="504" t="s">
        <v>90</v>
      </c>
      <c r="H20" s="505"/>
      <c r="I20" s="1749"/>
      <c r="J20" s="1753" t="str">
        <f>B20</f>
        <v>Main-PE</v>
      </c>
      <c r="K20" s="1754"/>
      <c r="L20" s="1754"/>
      <c r="M20" s="1755"/>
      <c r="N20" s="504" t="s">
        <v>105</v>
      </c>
      <c r="O20" s="504" t="s">
        <v>90</v>
      </c>
      <c r="P20" s="505"/>
      <c r="Q20" s="1749"/>
      <c r="R20" s="1753" t="str">
        <f>B20</f>
        <v>Main-PE</v>
      </c>
      <c r="S20" s="1754"/>
      <c r="T20" s="1754"/>
      <c r="U20" s="1755"/>
      <c r="V20" s="504" t="s">
        <v>105</v>
      </c>
      <c r="W20" s="504" t="s">
        <v>90</v>
      </c>
    </row>
    <row r="21" spans="1:24" ht="15" customHeight="1" x14ac:dyDescent="0.25">
      <c r="A21" s="1749"/>
      <c r="B21" s="503" t="s">
        <v>110</v>
      </c>
      <c r="C21" s="504">
        <v>2019</v>
      </c>
      <c r="D21" s="504">
        <v>2019</v>
      </c>
      <c r="E21" s="504">
        <v>2015</v>
      </c>
      <c r="F21" s="504"/>
      <c r="G21" s="504"/>
      <c r="H21" s="505"/>
      <c r="I21" s="1749"/>
      <c r="J21" s="503" t="s">
        <v>110</v>
      </c>
      <c r="K21" s="504">
        <f>K5</f>
        <v>2017</v>
      </c>
      <c r="L21" s="504">
        <f>L5</f>
        <v>2017</v>
      </c>
      <c r="M21" s="504">
        <f>M5</f>
        <v>2019</v>
      </c>
      <c r="N21" s="504"/>
      <c r="O21" s="504"/>
      <c r="P21" s="505"/>
      <c r="Q21" s="1749"/>
      <c r="R21" s="503" t="s">
        <v>110</v>
      </c>
      <c r="S21" s="504">
        <f>S5</f>
        <v>2018</v>
      </c>
      <c r="T21" s="504">
        <f>T5</f>
        <v>2021</v>
      </c>
      <c r="U21" s="504">
        <f>U5</f>
        <v>2022</v>
      </c>
      <c r="V21" s="504"/>
      <c r="W21" s="504"/>
    </row>
    <row r="22" spans="1:24" ht="12.75" customHeight="1" x14ac:dyDescent="0.25">
      <c r="A22" s="1749"/>
      <c r="B22" s="514">
        <v>10</v>
      </c>
      <c r="C22" s="510" t="s">
        <v>89</v>
      </c>
      <c r="D22" s="510" t="s">
        <v>89</v>
      </c>
      <c r="E22" s="510">
        <v>9.9999999999999995E-7</v>
      </c>
      <c r="F22" s="508">
        <f t="shared" ref="F22:F25" si="12">0.5*(MAX(C22:E22)-MIN(C22:E22))</f>
        <v>0</v>
      </c>
      <c r="G22" s="519">
        <v>1.4</v>
      </c>
      <c r="H22" s="505"/>
      <c r="I22" s="1749"/>
      <c r="J22" s="514">
        <v>10</v>
      </c>
      <c r="K22" s="510">
        <v>9.9999999999999995E-7</v>
      </c>
      <c r="L22" s="510">
        <v>9.9999999999999995E-7</v>
      </c>
      <c r="M22" s="513">
        <v>0.1</v>
      </c>
      <c r="N22" s="508">
        <f t="shared" ref="N22:N25" si="13">0.5*(MAX(K22:M22)-MIN(K22:M22))</f>
        <v>4.9999500000000002E-2</v>
      </c>
      <c r="O22" s="510">
        <f>J22*$P$22</f>
        <v>5.8999999999999997E-2</v>
      </c>
      <c r="P22" s="505">
        <f>0.59/100</f>
        <v>5.8999999999999999E-3</v>
      </c>
      <c r="Q22" s="1749"/>
      <c r="R22" s="514">
        <v>10</v>
      </c>
      <c r="S22" s="510">
        <v>9.9999999999999995E-7</v>
      </c>
      <c r="T22" s="510">
        <v>0.26</v>
      </c>
      <c r="U22" s="510">
        <v>0</v>
      </c>
      <c r="V22" s="508">
        <f t="shared" ref="V22:V25" si="14">0.5*(MAX(S22:U22)-MIN(S22:U22))</f>
        <v>0.13</v>
      </c>
      <c r="W22" s="519">
        <f>R22*$X$22</f>
        <v>0.17</v>
      </c>
      <c r="X22" s="499">
        <f>1.7/100</f>
        <v>1.7000000000000001E-2</v>
      </c>
    </row>
    <row r="23" spans="1:24" ht="12.75" customHeight="1" x14ac:dyDescent="0.25">
      <c r="A23" s="1749"/>
      <c r="B23" s="514">
        <v>20</v>
      </c>
      <c r="C23" s="510" t="s">
        <v>89</v>
      </c>
      <c r="D23" s="510" t="s">
        <v>89</v>
      </c>
      <c r="E23" s="510">
        <v>9.9999999999999995E-7</v>
      </c>
      <c r="F23" s="508">
        <f t="shared" si="12"/>
        <v>0</v>
      </c>
      <c r="G23" s="519">
        <v>1.4</v>
      </c>
      <c r="H23" s="505"/>
      <c r="I23" s="1749"/>
      <c r="J23" s="514">
        <v>20</v>
      </c>
      <c r="K23" s="510">
        <v>0.1</v>
      </c>
      <c r="L23" s="510">
        <v>0.1</v>
      </c>
      <c r="M23" s="513">
        <v>0.2</v>
      </c>
      <c r="N23" s="508">
        <f t="shared" si="13"/>
        <v>0.05</v>
      </c>
      <c r="O23" s="510">
        <f t="shared" ref="O23:O25" si="15">J23*$P$22</f>
        <v>0.11799999999999999</v>
      </c>
      <c r="P23" s="505"/>
      <c r="Q23" s="1749"/>
      <c r="R23" s="514">
        <v>20</v>
      </c>
      <c r="S23" s="510">
        <v>0</v>
      </c>
      <c r="T23" s="515">
        <v>9.9999999999999995E-7</v>
      </c>
      <c r="U23" s="515">
        <v>0</v>
      </c>
      <c r="V23" s="508">
        <f t="shared" si="14"/>
        <v>4.9999999999999998E-7</v>
      </c>
      <c r="W23" s="519">
        <f t="shared" ref="W23:W25" si="16">R23*$X$22</f>
        <v>0.34</v>
      </c>
    </row>
    <row r="24" spans="1:24" ht="12.75" customHeight="1" x14ac:dyDescent="0.25">
      <c r="A24" s="1749"/>
      <c r="B24" s="514">
        <v>50</v>
      </c>
      <c r="C24" s="510" t="s">
        <v>89</v>
      </c>
      <c r="D24" s="510" t="s">
        <v>89</v>
      </c>
      <c r="E24" s="510">
        <v>9.9999999999999995E-7</v>
      </c>
      <c r="F24" s="508">
        <f t="shared" si="12"/>
        <v>0</v>
      </c>
      <c r="G24" s="519">
        <v>1.4</v>
      </c>
      <c r="H24" s="505"/>
      <c r="I24" s="1749"/>
      <c r="J24" s="514">
        <v>50</v>
      </c>
      <c r="K24" s="510">
        <v>0.1</v>
      </c>
      <c r="L24" s="510">
        <v>0.1</v>
      </c>
      <c r="M24" s="513">
        <v>0.3</v>
      </c>
      <c r="N24" s="508">
        <f t="shared" si="13"/>
        <v>9.9999999999999992E-2</v>
      </c>
      <c r="O24" s="510">
        <f t="shared" si="15"/>
        <v>0.29499999999999998</v>
      </c>
      <c r="P24" s="505"/>
      <c r="Q24" s="1749"/>
      <c r="R24" s="514">
        <v>50</v>
      </c>
      <c r="S24" s="510">
        <v>0.3</v>
      </c>
      <c r="T24" s="510">
        <v>0.16</v>
      </c>
      <c r="U24" s="510">
        <v>0.1</v>
      </c>
      <c r="V24" s="508">
        <f t="shared" si="14"/>
        <v>9.9999999999999992E-2</v>
      </c>
      <c r="W24" s="519">
        <f t="shared" si="16"/>
        <v>0.85000000000000009</v>
      </c>
    </row>
    <row r="25" spans="1:24" ht="12.75" customHeight="1" x14ac:dyDescent="0.25">
      <c r="A25" s="1749"/>
      <c r="B25" s="514">
        <v>100</v>
      </c>
      <c r="C25" s="510" t="s">
        <v>89</v>
      </c>
      <c r="D25" s="510" t="s">
        <v>89</v>
      </c>
      <c r="E25" s="510">
        <v>-0.3</v>
      </c>
      <c r="F25" s="508">
        <f t="shared" si="12"/>
        <v>0</v>
      </c>
      <c r="G25" s="519">
        <v>1.4</v>
      </c>
      <c r="H25" s="505"/>
      <c r="I25" s="1749"/>
      <c r="J25" s="514">
        <v>100</v>
      </c>
      <c r="K25" s="510">
        <v>9.9999999999999995E-7</v>
      </c>
      <c r="L25" s="510">
        <v>9.9999999999999995E-7</v>
      </c>
      <c r="M25" s="513">
        <v>0.3</v>
      </c>
      <c r="N25" s="508">
        <f t="shared" si="13"/>
        <v>0.14999950000000001</v>
      </c>
      <c r="O25" s="510">
        <f t="shared" si="15"/>
        <v>0.59</v>
      </c>
      <c r="P25" s="505"/>
      <c r="Q25" s="1749"/>
      <c r="R25" s="514">
        <v>100</v>
      </c>
      <c r="S25" s="510">
        <v>0.6</v>
      </c>
      <c r="T25" s="510">
        <v>0.06</v>
      </c>
      <c r="U25" s="510">
        <v>0.1</v>
      </c>
      <c r="V25" s="508">
        <f t="shared" si="14"/>
        <v>0.27</v>
      </c>
      <c r="W25" s="519">
        <f t="shared" si="16"/>
        <v>1.7000000000000002</v>
      </c>
    </row>
    <row r="26" spans="1:24" ht="12.75" customHeight="1" x14ac:dyDescent="0.25">
      <c r="A26" s="1749"/>
      <c r="B26" s="1753" t="s">
        <v>111</v>
      </c>
      <c r="C26" s="1754"/>
      <c r="D26" s="1754"/>
      <c r="E26" s="1755"/>
      <c r="F26" s="504" t="s">
        <v>105</v>
      </c>
      <c r="G26" s="504" t="s">
        <v>90</v>
      </c>
      <c r="H26" s="505"/>
      <c r="I26" s="1749"/>
      <c r="J26" s="1753" t="str">
        <f>B26</f>
        <v>Resistance</v>
      </c>
      <c r="K26" s="1754"/>
      <c r="L26" s="1754"/>
      <c r="M26" s="1755"/>
      <c r="N26" s="504" t="s">
        <v>105</v>
      </c>
      <c r="O26" s="504" t="s">
        <v>90</v>
      </c>
      <c r="P26" s="505"/>
      <c r="Q26" s="1749"/>
      <c r="R26" s="1753" t="str">
        <f>B26</f>
        <v>Resistance</v>
      </c>
      <c r="S26" s="1754"/>
      <c r="T26" s="1754"/>
      <c r="U26" s="1755"/>
      <c r="V26" s="504" t="s">
        <v>105</v>
      </c>
      <c r="W26" s="504" t="s">
        <v>90</v>
      </c>
    </row>
    <row r="27" spans="1:24" ht="15" customHeight="1" x14ac:dyDescent="0.25">
      <c r="A27" s="1749"/>
      <c r="B27" s="503" t="s">
        <v>112</v>
      </c>
      <c r="C27" s="504">
        <f>C5</f>
        <v>2019</v>
      </c>
      <c r="D27" s="504">
        <f>D5</f>
        <v>2019</v>
      </c>
      <c r="E27" s="504">
        <f>E5</f>
        <v>2020</v>
      </c>
      <c r="F27" s="504"/>
      <c r="G27" s="504"/>
      <c r="H27" s="505"/>
      <c r="I27" s="1749"/>
      <c r="J27" s="503" t="s">
        <v>112</v>
      </c>
      <c r="K27" s="504">
        <f>K5</f>
        <v>2017</v>
      </c>
      <c r="L27" s="504">
        <f>L5</f>
        <v>2017</v>
      </c>
      <c r="M27" s="504">
        <f>M5</f>
        <v>2019</v>
      </c>
      <c r="N27" s="504"/>
      <c r="O27" s="504"/>
      <c r="P27" s="505"/>
      <c r="Q27" s="1749"/>
      <c r="R27" s="503" t="s">
        <v>112</v>
      </c>
      <c r="S27" s="504">
        <f>S5</f>
        <v>2018</v>
      </c>
      <c r="T27" s="504">
        <f>T5</f>
        <v>2021</v>
      </c>
      <c r="U27" s="504">
        <f>U5</f>
        <v>2022</v>
      </c>
      <c r="V27" s="504"/>
      <c r="W27" s="504"/>
    </row>
    <row r="28" spans="1:24" ht="12.75" customHeight="1" x14ac:dyDescent="0.25">
      <c r="A28" s="1749"/>
      <c r="B28" s="514">
        <v>0.01</v>
      </c>
      <c r="C28" s="515">
        <v>9.9999999999999995E-7</v>
      </c>
      <c r="D28" s="515">
        <v>9.9999999999999995E-7</v>
      </c>
      <c r="E28" s="515">
        <v>9.9999999999999995E-7</v>
      </c>
      <c r="F28" s="508">
        <f t="shared" ref="F28:F31" si="17">0.5*(MAX(C28:E28)-MIN(C28:E28))</f>
        <v>0</v>
      </c>
      <c r="G28" s="514">
        <f>B28*$H$28</f>
        <v>1.2E-4</v>
      </c>
      <c r="H28" s="505">
        <f>1.2/100</f>
        <v>1.2E-2</v>
      </c>
      <c r="I28" s="1749"/>
      <c r="J28" s="514">
        <v>0.01</v>
      </c>
      <c r="K28" s="520">
        <v>9.9999999999999995E-7</v>
      </c>
      <c r="L28" s="520">
        <v>9.9999999999999995E-7</v>
      </c>
      <c r="M28" s="515">
        <v>9.9999999999999995E-7</v>
      </c>
      <c r="N28" s="508">
        <f t="shared" ref="N28:N31" si="18">0.5*(MAX(K28:M28)-MIN(K28:M28))</f>
        <v>0</v>
      </c>
      <c r="O28" s="514">
        <f>J28*$P$28</f>
        <v>1.2E-4</v>
      </c>
      <c r="P28" s="521">
        <f>1.2/100</f>
        <v>1.2E-2</v>
      </c>
      <c r="Q28" s="1749"/>
      <c r="R28" s="514">
        <v>0.01</v>
      </c>
      <c r="S28" s="520">
        <v>9.9999999999999995E-7</v>
      </c>
      <c r="T28" s="515">
        <v>9.9999999999999995E-7</v>
      </c>
      <c r="U28" s="515">
        <v>0</v>
      </c>
      <c r="V28" s="508">
        <f t="shared" ref="V28:V31" si="19">0.5*(MAX(S28:U28)-MIN(S28:U28))</f>
        <v>4.9999999999999998E-7</v>
      </c>
      <c r="W28" s="522">
        <f>R28*$X$28</f>
        <v>1.2E-4</v>
      </c>
      <c r="X28" s="499">
        <f>1.2/100</f>
        <v>1.2E-2</v>
      </c>
    </row>
    <row r="29" spans="1:24" ht="12.75" customHeight="1" x14ac:dyDescent="0.25">
      <c r="A29" s="1749"/>
      <c r="B29" s="514">
        <v>0.1</v>
      </c>
      <c r="C29" s="515">
        <v>2E-3</v>
      </c>
      <c r="D29" s="515">
        <v>2E-3</v>
      </c>
      <c r="E29" s="515">
        <v>-1E-3</v>
      </c>
      <c r="F29" s="508">
        <f t="shared" si="17"/>
        <v>1.5E-3</v>
      </c>
      <c r="G29" s="514">
        <f t="shared" ref="G29:G31" si="20">B29*$H$28</f>
        <v>1.2000000000000001E-3</v>
      </c>
      <c r="H29" s="505"/>
      <c r="I29" s="1749"/>
      <c r="J29" s="514">
        <v>0.1</v>
      </c>
      <c r="K29" s="520">
        <v>5.0000000000000001E-3</v>
      </c>
      <c r="L29" s="520">
        <v>5.0000000000000001E-3</v>
      </c>
      <c r="M29" s="515">
        <v>6.0000000000000001E-3</v>
      </c>
      <c r="N29" s="508">
        <f t="shared" si="18"/>
        <v>5.0000000000000001E-4</v>
      </c>
      <c r="O29" s="514">
        <f t="shared" ref="O29:O31" si="21">J29*$P$28</f>
        <v>1.2000000000000001E-3</v>
      </c>
      <c r="P29" s="505"/>
      <c r="Q29" s="1749"/>
      <c r="R29" s="514">
        <v>0.1</v>
      </c>
      <c r="S29" s="520">
        <v>9.9999999999999995E-7</v>
      </c>
      <c r="T29" s="515">
        <v>9.9999999999999995E-7</v>
      </c>
      <c r="U29" s="515">
        <v>-2E-3</v>
      </c>
      <c r="V29" s="508">
        <f t="shared" si="19"/>
        <v>1.0005000000000001E-3</v>
      </c>
      <c r="W29" s="522">
        <f t="shared" ref="W29:W31" si="22">R29*$X$28</f>
        <v>1.2000000000000001E-3</v>
      </c>
    </row>
    <row r="30" spans="1:24" ht="12.75" customHeight="1" x14ac:dyDescent="0.25">
      <c r="A30" s="1749"/>
      <c r="B30" s="514">
        <v>1</v>
      </c>
      <c r="C30" s="515">
        <v>1.2E-2</v>
      </c>
      <c r="D30" s="515">
        <v>1.2E-2</v>
      </c>
      <c r="E30" s="515">
        <v>4.0000000000000001E-3</v>
      </c>
      <c r="F30" s="508">
        <f t="shared" si="17"/>
        <v>4.0000000000000001E-3</v>
      </c>
      <c r="G30" s="514">
        <f t="shared" si="20"/>
        <v>1.2E-2</v>
      </c>
      <c r="H30" s="505"/>
      <c r="I30" s="1749"/>
      <c r="J30" s="514">
        <v>1</v>
      </c>
      <c r="K30" s="520">
        <v>5.5E-2</v>
      </c>
      <c r="L30" s="520">
        <v>5.5E-2</v>
      </c>
      <c r="M30" s="515">
        <v>4.4999999999999998E-2</v>
      </c>
      <c r="N30" s="508">
        <f t="shared" si="18"/>
        <v>5.000000000000001E-3</v>
      </c>
      <c r="O30" s="514">
        <f t="shared" si="21"/>
        <v>1.2E-2</v>
      </c>
      <c r="P30" s="505"/>
      <c r="Q30" s="1749"/>
      <c r="R30" s="514">
        <v>1</v>
      </c>
      <c r="S30" s="520">
        <v>9.9999999999999995E-7</v>
      </c>
      <c r="T30" s="520">
        <v>6.0000000000000001E-3</v>
      </c>
      <c r="U30" s="520">
        <v>-1.2E-2</v>
      </c>
      <c r="V30" s="508">
        <f t="shared" si="19"/>
        <v>9.0000000000000011E-3</v>
      </c>
      <c r="W30" s="522">
        <f t="shared" si="22"/>
        <v>1.2E-2</v>
      </c>
    </row>
    <row r="31" spans="1:24" ht="12.75" customHeight="1" x14ac:dyDescent="0.25">
      <c r="A31" s="1750"/>
      <c r="B31" s="514">
        <v>2</v>
      </c>
      <c r="C31" s="515">
        <v>9.9999999999999995E-7</v>
      </c>
      <c r="D31" s="515">
        <v>9.9999999999999995E-7</v>
      </c>
      <c r="E31" s="515">
        <v>7.0000000000000001E-3</v>
      </c>
      <c r="F31" s="508">
        <f t="shared" si="17"/>
        <v>3.4995E-3</v>
      </c>
      <c r="G31" s="514">
        <f t="shared" si="20"/>
        <v>2.4E-2</v>
      </c>
      <c r="H31" s="505"/>
      <c r="I31" s="1750"/>
      <c r="J31" s="514">
        <v>2</v>
      </c>
      <c r="K31" s="520">
        <v>9.9999999999999995E-7</v>
      </c>
      <c r="L31" s="520">
        <v>9.9999999999999995E-7</v>
      </c>
      <c r="M31" s="515">
        <v>9.9999999999999995E-7</v>
      </c>
      <c r="N31" s="508">
        <f t="shared" si="18"/>
        <v>0</v>
      </c>
      <c r="O31" s="523">
        <f t="shared" si="21"/>
        <v>2.4E-2</v>
      </c>
      <c r="P31" s="505"/>
      <c r="Q31" s="1750"/>
      <c r="R31" s="514">
        <v>2</v>
      </c>
      <c r="S31" s="520">
        <v>9.9999999999999995E-7</v>
      </c>
      <c r="T31" s="520">
        <v>1.2999999999999999E-2</v>
      </c>
      <c r="U31" s="520">
        <v>-8.0000000000000002E-3</v>
      </c>
      <c r="V31" s="508">
        <f t="shared" si="19"/>
        <v>1.0499999999999999E-2</v>
      </c>
      <c r="W31" s="522">
        <f t="shared" si="22"/>
        <v>2.4E-2</v>
      </c>
    </row>
    <row r="32" spans="1:24" s="166" customFormat="1" ht="19.5" customHeight="1" x14ac:dyDescent="0.25">
      <c r="A32" s="524"/>
      <c r="B32" s="525"/>
      <c r="C32" s="525"/>
      <c r="E32" s="525"/>
      <c r="F32" s="525"/>
      <c r="G32" s="525"/>
      <c r="H32" s="526"/>
      <c r="I32" s="525"/>
      <c r="J32" s="525"/>
      <c r="K32" s="525"/>
      <c r="M32" s="525"/>
      <c r="N32" s="525"/>
      <c r="O32" s="525"/>
      <c r="P32" s="526"/>
      <c r="Q32" s="525"/>
      <c r="R32" s="525"/>
      <c r="S32" s="525"/>
      <c r="U32" s="525"/>
      <c r="V32" s="525"/>
      <c r="W32" s="527"/>
      <c r="X32" s="528"/>
    </row>
    <row r="33" spans="1:24" ht="30" customHeight="1" x14ac:dyDescent="0.25">
      <c r="A33" s="1748">
        <v>4</v>
      </c>
      <c r="B33" s="1759" t="str">
        <f>A169</f>
        <v>Electrical Safety Analyzer, Merek : Fluke, Model : ESA 615, SN : 2853078</v>
      </c>
      <c r="C33" s="1759"/>
      <c r="D33" s="1759"/>
      <c r="E33" s="1759"/>
      <c r="F33" s="1759"/>
      <c r="G33" s="1759"/>
      <c r="H33" s="529"/>
      <c r="I33" s="1748">
        <v>5</v>
      </c>
      <c r="J33" s="1751" t="str">
        <f>A170</f>
        <v>Electrical Safety Analyzer, Merek : Fluke, Model : ESA 615, SN : 3148907</v>
      </c>
      <c r="K33" s="1751"/>
      <c r="L33" s="1751"/>
      <c r="M33" s="1751"/>
      <c r="N33" s="1751"/>
      <c r="O33" s="1751"/>
      <c r="P33" s="500"/>
      <c r="Q33" s="1748">
        <v>6</v>
      </c>
      <c r="R33" s="1759" t="str">
        <f>A171</f>
        <v>Electrical Safety Analyzer, Merek : Fluke, Model : ESA 615, SN : 3148908</v>
      </c>
      <c r="S33" s="1759"/>
      <c r="T33" s="1759"/>
      <c r="U33" s="1759"/>
      <c r="V33" s="1759"/>
      <c r="W33" s="1759"/>
    </row>
    <row r="34" spans="1:24" ht="15" customHeight="1" x14ac:dyDescent="0.3">
      <c r="A34" s="1749"/>
      <c r="B34" s="1760" t="s">
        <v>103</v>
      </c>
      <c r="C34" s="1760"/>
      <c r="D34" s="1760"/>
      <c r="E34" s="1760"/>
      <c r="F34" s="530"/>
      <c r="G34" s="530"/>
      <c r="H34" s="502"/>
      <c r="I34" s="1749"/>
      <c r="J34" s="1760" t="s">
        <v>103</v>
      </c>
      <c r="K34" s="1760"/>
      <c r="L34" s="1760"/>
      <c r="M34" s="1760"/>
      <c r="N34" s="530"/>
      <c r="O34" s="530"/>
      <c r="P34" s="502"/>
      <c r="Q34" s="1749"/>
      <c r="R34" s="1760" t="s">
        <v>103</v>
      </c>
      <c r="S34" s="1760"/>
      <c r="T34" s="1760"/>
      <c r="U34" s="1760"/>
      <c r="V34" s="530"/>
      <c r="W34" s="530"/>
    </row>
    <row r="35" spans="1:24" ht="12.75" customHeight="1" x14ac:dyDescent="0.25">
      <c r="A35" s="1749"/>
      <c r="B35" s="1756" t="s">
        <v>104</v>
      </c>
      <c r="C35" s="1757"/>
      <c r="D35" s="1757"/>
      <c r="E35" s="1758"/>
      <c r="F35" s="504" t="s">
        <v>105</v>
      </c>
      <c r="G35" s="504" t="s">
        <v>90</v>
      </c>
      <c r="H35" s="505"/>
      <c r="I35" s="1749"/>
      <c r="J35" s="1756" t="s">
        <v>104</v>
      </c>
      <c r="K35" s="1757"/>
      <c r="L35" s="1757"/>
      <c r="M35" s="1758"/>
      <c r="N35" s="504" t="s">
        <v>105</v>
      </c>
      <c r="O35" s="504" t="s">
        <v>90</v>
      </c>
      <c r="P35" s="505"/>
      <c r="Q35" s="1749"/>
      <c r="R35" s="1756" t="s">
        <v>104</v>
      </c>
      <c r="S35" s="1757"/>
      <c r="T35" s="1757"/>
      <c r="U35" s="1758"/>
      <c r="V35" s="504" t="s">
        <v>105</v>
      </c>
      <c r="W35" s="504" t="s">
        <v>90</v>
      </c>
    </row>
    <row r="36" spans="1:24" ht="15" customHeight="1" x14ac:dyDescent="0.25">
      <c r="A36" s="1749"/>
      <c r="B36" s="503" t="s">
        <v>106</v>
      </c>
      <c r="C36" s="504">
        <v>2019</v>
      </c>
      <c r="D36" s="504">
        <v>2019</v>
      </c>
      <c r="E36" s="504">
        <v>2021</v>
      </c>
      <c r="F36" s="504"/>
      <c r="G36" s="504"/>
      <c r="H36" s="505"/>
      <c r="I36" s="1749"/>
      <c r="J36" s="503" t="s">
        <v>106</v>
      </c>
      <c r="K36" s="504">
        <v>2019</v>
      </c>
      <c r="L36" s="504">
        <v>2019</v>
      </c>
      <c r="M36" s="504">
        <v>2021</v>
      </c>
      <c r="N36" s="504"/>
      <c r="O36" s="504"/>
      <c r="P36" s="505"/>
      <c r="Q36" s="1749"/>
      <c r="R36" s="531" t="s">
        <v>106</v>
      </c>
      <c r="S36" s="532">
        <v>2018</v>
      </c>
      <c r="T36" s="532">
        <v>2019</v>
      </c>
      <c r="U36" s="532">
        <v>2022</v>
      </c>
      <c r="V36" s="504"/>
      <c r="W36" s="504"/>
    </row>
    <row r="37" spans="1:24" ht="12.75" customHeight="1" x14ac:dyDescent="0.25">
      <c r="A37" s="1749"/>
      <c r="B37" s="514">
        <v>150</v>
      </c>
      <c r="C37" s="510">
        <v>0.11</v>
      </c>
      <c r="D37" s="510">
        <v>0.11</v>
      </c>
      <c r="E37" s="510">
        <v>-0.05</v>
      </c>
      <c r="F37" s="508">
        <f>0.5*(MAX(C37:E37)-MIN(C37:E37))</f>
        <v>0.08</v>
      </c>
      <c r="G37" s="518">
        <f>B37*$H$37</f>
        <v>1.8</v>
      </c>
      <c r="H37" s="505">
        <f>1.2/100</f>
        <v>1.2E-2</v>
      </c>
      <c r="I37" s="1749"/>
      <c r="J37" s="533">
        <v>150</v>
      </c>
      <c r="K37" s="510">
        <v>0.02</v>
      </c>
      <c r="L37" s="510">
        <v>0.02</v>
      </c>
      <c r="M37" s="510">
        <v>0.25</v>
      </c>
      <c r="N37" s="508">
        <f t="shared" ref="N37:N42" si="23">0.5*(MAX(K37:M37)-MIN(K37:M37))</f>
        <v>0.115</v>
      </c>
      <c r="O37" s="518">
        <f>J37*$P$37</f>
        <v>1.8</v>
      </c>
      <c r="P37" s="505">
        <f>1.2/100</f>
        <v>1.2E-2</v>
      </c>
      <c r="Q37" s="1749"/>
      <c r="R37" s="506">
        <v>150</v>
      </c>
      <c r="S37" s="510">
        <v>0.03</v>
      </c>
      <c r="T37" s="510">
        <v>-0.15</v>
      </c>
      <c r="U37" s="510">
        <v>0.15</v>
      </c>
      <c r="V37" s="508">
        <f t="shared" ref="V37:V42" si="24">0.5*(MAX(S37:U37)-MIN(S37:U37))</f>
        <v>0.15</v>
      </c>
      <c r="W37" s="512">
        <f>R37*$X$37</f>
        <v>1.8</v>
      </c>
      <c r="X37" s="499">
        <f>1.2/100</f>
        <v>1.2E-2</v>
      </c>
    </row>
    <row r="38" spans="1:24" ht="12.75" customHeight="1" x14ac:dyDescent="0.25">
      <c r="A38" s="1749"/>
      <c r="B38" s="514">
        <v>180</v>
      </c>
      <c r="C38" s="510">
        <v>0.03</v>
      </c>
      <c r="D38" s="510">
        <v>0.03</v>
      </c>
      <c r="E38" s="510">
        <v>-0.04</v>
      </c>
      <c r="F38" s="508">
        <f t="shared" ref="F38:F42" si="25">0.5*(MAX(C38:E38)-MIN(C38:E38))</f>
        <v>3.5000000000000003E-2</v>
      </c>
      <c r="G38" s="518">
        <f t="shared" ref="G38:G42" si="26">B38*$H$37</f>
        <v>2.16</v>
      </c>
      <c r="H38" s="505"/>
      <c r="I38" s="1749"/>
      <c r="J38" s="533">
        <v>180</v>
      </c>
      <c r="K38" s="510">
        <v>0.1</v>
      </c>
      <c r="L38" s="510">
        <v>0.1</v>
      </c>
      <c r="M38" s="510">
        <v>0.09</v>
      </c>
      <c r="N38" s="508">
        <f t="shared" si="23"/>
        <v>5.0000000000000044E-3</v>
      </c>
      <c r="O38" s="518">
        <f t="shared" ref="O38:O42" si="27">J38*$P$37</f>
        <v>2.16</v>
      </c>
      <c r="P38" s="505"/>
      <c r="Q38" s="1749"/>
      <c r="R38" s="506">
        <v>180</v>
      </c>
      <c r="S38" s="510">
        <v>0</v>
      </c>
      <c r="T38" s="510">
        <v>-0.11</v>
      </c>
      <c r="U38" s="510">
        <v>0.17</v>
      </c>
      <c r="V38" s="508">
        <f t="shared" si="24"/>
        <v>0.14000000000000001</v>
      </c>
      <c r="W38" s="512">
        <f t="shared" ref="W38:W42" si="28">R38*$X$37</f>
        <v>2.16</v>
      </c>
    </row>
    <row r="39" spans="1:24" ht="12.75" customHeight="1" x14ac:dyDescent="0.25">
      <c r="A39" s="1749"/>
      <c r="B39" s="514">
        <v>200</v>
      </c>
      <c r="C39" s="510">
        <v>0.05</v>
      </c>
      <c r="D39" s="510">
        <v>0.05</v>
      </c>
      <c r="E39" s="510">
        <v>-6.7000000000000004E-2</v>
      </c>
      <c r="F39" s="508">
        <f t="shared" si="25"/>
        <v>5.8500000000000003E-2</v>
      </c>
      <c r="G39" s="518">
        <f t="shared" si="26"/>
        <v>2.4</v>
      </c>
      <c r="H39" s="505"/>
      <c r="I39" s="1749"/>
      <c r="J39" s="533">
        <v>200</v>
      </c>
      <c r="K39" s="510">
        <v>-0.03</v>
      </c>
      <c r="L39" s="510">
        <v>-0.03</v>
      </c>
      <c r="M39" s="510">
        <v>0.18</v>
      </c>
      <c r="N39" s="508">
        <f t="shared" si="23"/>
        <v>0.105</v>
      </c>
      <c r="O39" s="518">
        <f t="shared" si="27"/>
        <v>2.4</v>
      </c>
      <c r="P39" s="505"/>
      <c r="Q39" s="1749"/>
      <c r="R39" s="506">
        <v>200</v>
      </c>
      <c r="S39" s="510">
        <v>0.05</v>
      </c>
      <c r="T39" s="510">
        <v>-0.1</v>
      </c>
      <c r="U39" s="510">
        <v>0.1</v>
      </c>
      <c r="V39" s="508">
        <f t="shared" si="24"/>
        <v>0.1</v>
      </c>
      <c r="W39" s="512">
        <f t="shared" si="28"/>
        <v>2.4</v>
      </c>
    </row>
    <row r="40" spans="1:24" ht="12.75" customHeight="1" x14ac:dyDescent="0.25">
      <c r="A40" s="1749"/>
      <c r="B40" s="514">
        <v>220</v>
      </c>
      <c r="C40" s="510">
        <v>0.1</v>
      </c>
      <c r="D40" s="510">
        <v>0.1</v>
      </c>
      <c r="E40" s="510">
        <v>9.9999999999999995E-7</v>
      </c>
      <c r="F40" s="508">
        <f t="shared" si="25"/>
        <v>4.9999500000000002E-2</v>
      </c>
      <c r="G40" s="518">
        <f t="shared" si="26"/>
        <v>2.64</v>
      </c>
      <c r="H40" s="505"/>
      <c r="I40" s="1749"/>
      <c r="J40" s="533">
        <v>220</v>
      </c>
      <c r="K40" s="510">
        <v>0.38</v>
      </c>
      <c r="L40" s="510">
        <v>0.38</v>
      </c>
      <c r="M40" s="510">
        <v>0.56000000000000005</v>
      </c>
      <c r="N40" s="508">
        <f t="shared" si="23"/>
        <v>9.0000000000000024E-2</v>
      </c>
      <c r="O40" s="518">
        <f t="shared" si="27"/>
        <v>2.64</v>
      </c>
      <c r="P40" s="505"/>
      <c r="Q40" s="1749"/>
      <c r="R40" s="506">
        <v>220</v>
      </c>
      <c r="S40" s="510">
        <v>0.05</v>
      </c>
      <c r="T40" s="510">
        <v>-0.13</v>
      </c>
      <c r="U40" s="510">
        <v>7.0000000000000007E-2</v>
      </c>
      <c r="V40" s="508">
        <f t="shared" si="24"/>
        <v>0.1</v>
      </c>
      <c r="W40" s="512">
        <f t="shared" si="28"/>
        <v>2.64</v>
      </c>
    </row>
    <row r="41" spans="1:24" ht="12.75" customHeight="1" x14ac:dyDescent="0.25">
      <c r="A41" s="1749"/>
      <c r="B41" s="514">
        <v>230</v>
      </c>
      <c r="C41" s="510">
        <v>0.36799999999999999</v>
      </c>
      <c r="D41" s="510">
        <v>0.36799999999999999</v>
      </c>
      <c r="E41" s="510">
        <v>-0.11</v>
      </c>
      <c r="F41" s="508">
        <f t="shared" si="25"/>
        <v>0.23899999999999999</v>
      </c>
      <c r="G41" s="518">
        <f t="shared" si="26"/>
        <v>2.7600000000000002</v>
      </c>
      <c r="H41" s="505"/>
      <c r="I41" s="1749"/>
      <c r="J41" s="533">
        <v>230</v>
      </c>
      <c r="K41" s="510">
        <v>-0.16</v>
      </c>
      <c r="L41" s="510">
        <v>-0.16</v>
      </c>
      <c r="M41" s="510">
        <v>0.73</v>
      </c>
      <c r="N41" s="508">
        <f t="shared" si="23"/>
        <v>0.44500000000000001</v>
      </c>
      <c r="O41" s="518">
        <f t="shared" si="27"/>
        <v>2.7600000000000002</v>
      </c>
      <c r="P41" s="505"/>
      <c r="Q41" s="1749"/>
      <c r="R41" s="506">
        <v>230</v>
      </c>
      <c r="S41" s="510">
        <v>-0.05</v>
      </c>
      <c r="T41" s="510">
        <v>-0.15</v>
      </c>
      <c r="U41" s="510">
        <v>0.08</v>
      </c>
      <c r="V41" s="508">
        <f t="shared" si="24"/>
        <v>0.11499999999999999</v>
      </c>
      <c r="W41" s="512">
        <f t="shared" si="28"/>
        <v>2.7600000000000002</v>
      </c>
    </row>
    <row r="42" spans="1:24" ht="12.75" customHeight="1" x14ac:dyDescent="0.25">
      <c r="A42" s="1749"/>
      <c r="B42" s="514">
        <v>250</v>
      </c>
      <c r="C42" s="510">
        <v>9.9999999999999995E-7</v>
      </c>
      <c r="D42" s="510">
        <v>9.9999999999999995E-7</v>
      </c>
      <c r="E42" s="515">
        <v>9.9999999999999995E-7</v>
      </c>
      <c r="F42" s="508">
        <f t="shared" si="25"/>
        <v>0</v>
      </c>
      <c r="G42" s="518">
        <f t="shared" si="26"/>
        <v>3</v>
      </c>
      <c r="H42" s="505"/>
      <c r="I42" s="1749"/>
      <c r="J42" s="533">
        <v>250</v>
      </c>
      <c r="K42" s="510">
        <v>9.9999999999999995E-7</v>
      </c>
      <c r="L42" s="510">
        <v>9.9999999999999995E-7</v>
      </c>
      <c r="M42" s="510">
        <v>9.9999999999999995E-7</v>
      </c>
      <c r="N42" s="508">
        <f t="shared" si="23"/>
        <v>0</v>
      </c>
      <c r="O42" s="518">
        <f t="shared" si="27"/>
        <v>3</v>
      </c>
      <c r="P42" s="505"/>
      <c r="Q42" s="1749"/>
      <c r="R42" s="506">
        <v>250</v>
      </c>
      <c r="S42" s="510">
        <v>9.9999999999999995E-7</v>
      </c>
      <c r="T42" s="510">
        <v>9.9999999999999995E-7</v>
      </c>
      <c r="U42" s="510">
        <v>9.9999999999999995E-7</v>
      </c>
      <c r="V42" s="508">
        <f t="shared" si="24"/>
        <v>0</v>
      </c>
      <c r="W42" s="512">
        <f t="shared" si="28"/>
        <v>3</v>
      </c>
    </row>
    <row r="43" spans="1:24" ht="12.75" customHeight="1" x14ac:dyDescent="0.25">
      <c r="A43" s="1749"/>
      <c r="B43" s="1753" t="s">
        <v>107</v>
      </c>
      <c r="C43" s="1754"/>
      <c r="D43" s="1754"/>
      <c r="E43" s="1755"/>
      <c r="F43" s="504" t="s">
        <v>105</v>
      </c>
      <c r="G43" s="504" t="s">
        <v>90</v>
      </c>
      <c r="H43" s="505"/>
      <c r="I43" s="1749"/>
      <c r="J43" s="1753" t="s">
        <v>107</v>
      </c>
      <c r="K43" s="1754"/>
      <c r="L43" s="1754"/>
      <c r="M43" s="1755"/>
      <c r="N43" s="504" t="s">
        <v>105</v>
      </c>
      <c r="O43" s="504" t="s">
        <v>90</v>
      </c>
      <c r="P43" s="505"/>
      <c r="Q43" s="1749"/>
      <c r="R43" s="1753" t="s">
        <v>107</v>
      </c>
      <c r="S43" s="1754"/>
      <c r="T43" s="1754"/>
      <c r="U43" s="1755"/>
      <c r="V43" s="504" t="s">
        <v>105</v>
      </c>
      <c r="W43" s="504" t="s">
        <v>90</v>
      </c>
    </row>
    <row r="44" spans="1:24" ht="15" customHeight="1" x14ac:dyDescent="0.25">
      <c r="A44" s="1749"/>
      <c r="B44" s="503" t="s">
        <v>108</v>
      </c>
      <c r="C44" s="504">
        <f>C36</f>
        <v>2019</v>
      </c>
      <c r="D44" s="504">
        <f>D36</f>
        <v>2019</v>
      </c>
      <c r="E44" s="504">
        <f>E36</f>
        <v>2021</v>
      </c>
      <c r="F44" s="504"/>
      <c r="G44" s="504"/>
      <c r="H44" s="505"/>
      <c r="I44" s="1749"/>
      <c r="J44" s="503" t="s">
        <v>108</v>
      </c>
      <c r="K44" s="504">
        <f>K36</f>
        <v>2019</v>
      </c>
      <c r="L44" s="504">
        <f>L36</f>
        <v>2019</v>
      </c>
      <c r="M44" s="504">
        <f>M36</f>
        <v>2021</v>
      </c>
      <c r="N44" s="504"/>
      <c r="O44" s="504"/>
      <c r="P44" s="505"/>
      <c r="Q44" s="1749"/>
      <c r="R44" s="503" t="s">
        <v>108</v>
      </c>
      <c r="S44" s="504">
        <f>S36</f>
        <v>2018</v>
      </c>
      <c r="T44" s="504">
        <f>T36</f>
        <v>2019</v>
      </c>
      <c r="U44" s="504">
        <f>U36</f>
        <v>2022</v>
      </c>
      <c r="V44" s="504"/>
      <c r="W44" s="504"/>
    </row>
    <row r="45" spans="1:24" ht="12.75" customHeight="1" x14ac:dyDescent="0.25">
      <c r="A45" s="1749"/>
      <c r="B45" s="514">
        <v>0</v>
      </c>
      <c r="C45" s="509">
        <v>9.9999999999999995E-7</v>
      </c>
      <c r="D45" s="509">
        <v>9.9999999999999995E-7</v>
      </c>
      <c r="E45" s="513">
        <v>9.9999999999999995E-7</v>
      </c>
      <c r="F45" s="508">
        <f>0.5*(MAX(C45:E45)-MIN(C45:E45))</f>
        <v>0</v>
      </c>
      <c r="G45" s="518">
        <f>B45*$H$45</f>
        <v>0</v>
      </c>
      <c r="H45" s="505">
        <f>0.59/100</f>
        <v>5.8999999999999999E-3</v>
      </c>
      <c r="I45" s="1749"/>
      <c r="J45" s="534">
        <v>1.0000000000000001E-5</v>
      </c>
      <c r="K45" s="512">
        <v>9.9999999999999995E-7</v>
      </c>
      <c r="L45" s="512">
        <v>9.9999999999999995E-7</v>
      </c>
      <c r="M45" s="512">
        <v>9.9999999999999995E-7</v>
      </c>
      <c r="N45" s="508">
        <f t="shared" ref="N45:N50" si="29">0.5*(MAX(K45:M45)-MIN(K45:M45))</f>
        <v>0</v>
      </c>
      <c r="O45" s="518">
        <f>J45*$P$45</f>
        <v>5.9000000000000006E-8</v>
      </c>
      <c r="P45" s="505">
        <f>0.59/100</f>
        <v>5.8999999999999999E-3</v>
      </c>
      <c r="Q45" s="1749"/>
      <c r="R45" s="519">
        <v>9.9999999999999995E-7</v>
      </c>
      <c r="S45" s="512">
        <v>9.9999999999999995E-7</v>
      </c>
      <c r="T45" s="512">
        <v>9.9999999999999995E-7</v>
      </c>
      <c r="U45" s="512">
        <v>9.9999999999999995E-7</v>
      </c>
      <c r="V45" s="508">
        <f t="shared" ref="V45:V50" si="30">0.5*(MAX(S45:U45)-MIN(S45:U45))</f>
        <v>0</v>
      </c>
      <c r="W45" s="518">
        <f>R45*$X$45</f>
        <v>5.8999999999999999E-9</v>
      </c>
      <c r="X45" s="499">
        <f>0.59/100</f>
        <v>5.8999999999999999E-3</v>
      </c>
    </row>
    <row r="46" spans="1:24" ht="12.75" customHeight="1" x14ac:dyDescent="0.25">
      <c r="A46" s="1749"/>
      <c r="B46" s="514">
        <v>50</v>
      </c>
      <c r="C46" s="510">
        <v>0.2</v>
      </c>
      <c r="D46" s="510">
        <v>0.2</v>
      </c>
      <c r="E46" s="510">
        <v>0.4</v>
      </c>
      <c r="F46" s="508">
        <f t="shared" ref="F46:F50" si="31">0.5*(MAX(C46:E46)-MIN(C46:E46))</f>
        <v>0.1</v>
      </c>
      <c r="G46" s="518">
        <f t="shared" ref="G46:G50" si="32">B46*$H$45</f>
        <v>0.29499999999999998</v>
      </c>
      <c r="H46" s="505"/>
      <c r="I46" s="1749"/>
      <c r="J46" s="533">
        <v>50</v>
      </c>
      <c r="K46" s="510">
        <v>-0.33</v>
      </c>
      <c r="L46" s="510">
        <v>-0.33</v>
      </c>
      <c r="M46" s="510">
        <v>1.2</v>
      </c>
      <c r="N46" s="508">
        <f t="shared" si="29"/>
        <v>0.76500000000000001</v>
      </c>
      <c r="O46" s="518">
        <f t="shared" ref="O46:O50" si="33">J46*$P$45</f>
        <v>0.29499999999999998</v>
      </c>
      <c r="P46" s="505"/>
      <c r="Q46" s="1749"/>
      <c r="R46" s="514">
        <v>50</v>
      </c>
      <c r="S46" s="510">
        <v>2.1</v>
      </c>
      <c r="T46" s="510">
        <v>2.6</v>
      </c>
      <c r="U46" s="519">
        <v>19.100000000000001</v>
      </c>
      <c r="V46" s="508">
        <f t="shared" si="30"/>
        <v>8.5</v>
      </c>
      <c r="W46" s="518">
        <f t="shared" ref="W46:W50" si="34">R46*$X$45</f>
        <v>0.29499999999999998</v>
      </c>
    </row>
    <row r="47" spans="1:24" ht="12.75" customHeight="1" x14ac:dyDescent="0.25">
      <c r="A47" s="1749"/>
      <c r="B47" s="514">
        <v>100</v>
      </c>
      <c r="C47" s="510">
        <v>0.3</v>
      </c>
      <c r="D47" s="510">
        <v>0.3</v>
      </c>
      <c r="E47" s="510">
        <v>0.4</v>
      </c>
      <c r="F47" s="508">
        <f t="shared" si="31"/>
        <v>5.0000000000000017E-2</v>
      </c>
      <c r="G47" s="518">
        <f t="shared" si="32"/>
        <v>0.59</v>
      </c>
      <c r="H47" s="505"/>
      <c r="I47" s="1749"/>
      <c r="J47" s="533">
        <v>100</v>
      </c>
      <c r="K47" s="510">
        <v>-0.42</v>
      </c>
      <c r="L47" s="510">
        <v>-0.42</v>
      </c>
      <c r="M47" s="510">
        <v>3.9</v>
      </c>
      <c r="N47" s="508">
        <f t="shared" si="29"/>
        <v>2.16</v>
      </c>
      <c r="O47" s="518">
        <f t="shared" si="33"/>
        <v>0.59</v>
      </c>
      <c r="P47" s="505"/>
      <c r="Q47" s="1749"/>
      <c r="R47" s="514">
        <v>100</v>
      </c>
      <c r="S47" s="510">
        <v>2.2999999999999998</v>
      </c>
      <c r="T47" s="510">
        <v>2.6</v>
      </c>
      <c r="U47" s="519">
        <v>18.399999999999999</v>
      </c>
      <c r="V47" s="508">
        <f t="shared" si="30"/>
        <v>8.0499999999999989</v>
      </c>
      <c r="W47" s="518">
        <f t="shared" si="34"/>
        <v>0.59</v>
      </c>
    </row>
    <row r="48" spans="1:24" ht="12.75" customHeight="1" x14ac:dyDescent="0.25">
      <c r="A48" s="1749"/>
      <c r="B48" s="514">
        <v>200</v>
      </c>
      <c r="C48" s="510">
        <v>1.4</v>
      </c>
      <c r="D48" s="510">
        <v>1.4</v>
      </c>
      <c r="E48" s="515">
        <v>9.9999999999999995E-7</v>
      </c>
      <c r="F48" s="508">
        <f t="shared" si="31"/>
        <v>0.6999995</v>
      </c>
      <c r="G48" s="518">
        <f t="shared" si="32"/>
        <v>1.18</v>
      </c>
      <c r="H48" s="505"/>
      <c r="I48" s="1749"/>
      <c r="J48" s="533">
        <v>200</v>
      </c>
      <c r="K48" s="510">
        <v>1.3</v>
      </c>
      <c r="L48" s="510">
        <v>1.3</v>
      </c>
      <c r="M48" s="515">
        <v>9.9999999999999995E-7</v>
      </c>
      <c r="N48" s="508">
        <f t="shared" si="29"/>
        <v>0.64999950000000006</v>
      </c>
      <c r="O48" s="518">
        <f t="shared" si="33"/>
        <v>1.18</v>
      </c>
      <c r="P48" s="505"/>
      <c r="Q48" s="1749"/>
      <c r="R48" s="514">
        <v>200</v>
      </c>
      <c r="S48" s="510">
        <v>0.2</v>
      </c>
      <c r="T48" s="510">
        <v>3.1</v>
      </c>
      <c r="U48" s="519">
        <v>14.4</v>
      </c>
      <c r="V48" s="508">
        <f t="shared" si="30"/>
        <v>7.1000000000000005</v>
      </c>
      <c r="W48" s="518">
        <f t="shared" si="34"/>
        <v>1.18</v>
      </c>
    </row>
    <row r="49" spans="1:24" ht="12.75" customHeight="1" x14ac:dyDescent="0.25">
      <c r="A49" s="1749"/>
      <c r="B49" s="514">
        <v>500</v>
      </c>
      <c r="C49" s="510">
        <v>2.8</v>
      </c>
      <c r="D49" s="510">
        <v>2.8</v>
      </c>
      <c r="E49" s="510">
        <v>1.5</v>
      </c>
      <c r="F49" s="508">
        <f t="shared" si="31"/>
        <v>0.64999999999999991</v>
      </c>
      <c r="G49" s="518">
        <f t="shared" si="32"/>
        <v>2.9499999999999997</v>
      </c>
      <c r="H49" s="505"/>
      <c r="I49" s="1749"/>
      <c r="J49" s="533">
        <v>500</v>
      </c>
      <c r="K49" s="510">
        <v>0.7</v>
      </c>
      <c r="L49" s="510">
        <v>0.7</v>
      </c>
      <c r="M49" s="510">
        <v>9.3000000000000007</v>
      </c>
      <c r="N49" s="508">
        <f t="shared" si="29"/>
        <v>4.3000000000000007</v>
      </c>
      <c r="O49" s="518">
        <f t="shared" si="33"/>
        <v>2.9499999999999997</v>
      </c>
      <c r="P49" s="505"/>
      <c r="Q49" s="1749"/>
      <c r="R49" s="514">
        <v>500</v>
      </c>
      <c r="S49" s="510">
        <v>2.8</v>
      </c>
      <c r="T49" s="510">
        <v>3.9</v>
      </c>
      <c r="U49" s="519">
        <v>6.2</v>
      </c>
      <c r="V49" s="508">
        <f t="shared" si="30"/>
        <v>1.7000000000000002</v>
      </c>
      <c r="W49" s="518">
        <f t="shared" si="34"/>
        <v>2.9499999999999997</v>
      </c>
    </row>
    <row r="50" spans="1:24" ht="12.75" customHeight="1" x14ac:dyDescent="0.25">
      <c r="A50" s="1749"/>
      <c r="B50" s="514">
        <v>1000</v>
      </c>
      <c r="C50" s="510">
        <v>1.2E-2</v>
      </c>
      <c r="D50" s="510">
        <v>1.2E-2</v>
      </c>
      <c r="E50" s="510">
        <v>2</v>
      </c>
      <c r="F50" s="508">
        <f t="shared" si="31"/>
        <v>0.99399999999999999</v>
      </c>
      <c r="G50" s="518">
        <f t="shared" si="32"/>
        <v>5.8999999999999995</v>
      </c>
      <c r="H50" s="505"/>
      <c r="I50" s="1749"/>
      <c r="J50" s="533">
        <v>1000</v>
      </c>
      <c r="K50" s="510">
        <v>9.9999999999999995E-7</v>
      </c>
      <c r="L50" s="510">
        <v>9.9999999999999995E-7</v>
      </c>
      <c r="M50" s="510">
        <v>-110</v>
      </c>
      <c r="N50" s="508">
        <f t="shared" si="29"/>
        <v>55.000000499999999</v>
      </c>
      <c r="O50" s="518">
        <f t="shared" si="33"/>
        <v>5.8999999999999995</v>
      </c>
      <c r="P50" s="505"/>
      <c r="Q50" s="1749"/>
      <c r="R50" s="514">
        <v>1000</v>
      </c>
      <c r="S50" s="520">
        <v>13</v>
      </c>
      <c r="T50" s="520">
        <v>5.0000000000000001E-3</v>
      </c>
      <c r="U50" s="519">
        <v>-11</v>
      </c>
      <c r="V50" s="508">
        <f t="shared" si="30"/>
        <v>12</v>
      </c>
      <c r="W50" s="518">
        <f t="shared" si="34"/>
        <v>5.8999999999999995</v>
      </c>
    </row>
    <row r="51" spans="1:24" ht="12.75" customHeight="1" x14ac:dyDescent="0.25">
      <c r="A51" s="1749"/>
      <c r="B51" s="1753" t="str">
        <f>B20</f>
        <v>Main-PE</v>
      </c>
      <c r="C51" s="1754"/>
      <c r="D51" s="1754"/>
      <c r="E51" s="1755"/>
      <c r="F51" s="504" t="s">
        <v>105</v>
      </c>
      <c r="G51" s="504" t="s">
        <v>90</v>
      </c>
      <c r="H51" s="505"/>
      <c r="I51" s="1749"/>
      <c r="J51" s="1753" t="str">
        <f>B51</f>
        <v>Main-PE</v>
      </c>
      <c r="K51" s="1754"/>
      <c r="L51" s="1754"/>
      <c r="M51" s="1755"/>
      <c r="N51" s="504" t="s">
        <v>105</v>
      </c>
      <c r="O51" s="504" t="s">
        <v>90</v>
      </c>
      <c r="P51" s="505"/>
      <c r="Q51" s="1749"/>
      <c r="R51" s="1753" t="str">
        <f>J51</f>
        <v>Main-PE</v>
      </c>
      <c r="S51" s="1754"/>
      <c r="T51" s="1754"/>
      <c r="U51" s="1755"/>
      <c r="V51" s="504" t="s">
        <v>105</v>
      </c>
      <c r="W51" s="504" t="s">
        <v>90</v>
      </c>
    </row>
    <row r="52" spans="1:24" ht="15" customHeight="1" x14ac:dyDescent="0.25">
      <c r="A52" s="1749"/>
      <c r="B52" s="503" t="s">
        <v>110</v>
      </c>
      <c r="C52" s="504">
        <f>C36</f>
        <v>2019</v>
      </c>
      <c r="D52" s="504">
        <f>D36</f>
        <v>2019</v>
      </c>
      <c r="E52" s="504">
        <f>E36</f>
        <v>2021</v>
      </c>
      <c r="F52" s="504"/>
      <c r="G52" s="504"/>
      <c r="H52" s="505"/>
      <c r="I52" s="1749"/>
      <c r="J52" s="503" t="s">
        <v>110</v>
      </c>
      <c r="K52" s="504">
        <f>K36</f>
        <v>2019</v>
      </c>
      <c r="L52" s="504">
        <f>L36</f>
        <v>2019</v>
      </c>
      <c r="M52" s="504">
        <f>M36</f>
        <v>2021</v>
      </c>
      <c r="N52" s="504"/>
      <c r="O52" s="504"/>
      <c r="P52" s="505"/>
      <c r="Q52" s="1749"/>
      <c r="R52" s="503" t="s">
        <v>110</v>
      </c>
      <c r="S52" s="504">
        <f>S36</f>
        <v>2018</v>
      </c>
      <c r="T52" s="504">
        <f>T36</f>
        <v>2019</v>
      </c>
      <c r="U52" s="504">
        <f>U36</f>
        <v>2022</v>
      </c>
      <c r="V52" s="504"/>
      <c r="W52" s="504"/>
    </row>
    <row r="53" spans="1:24" ht="12.75" customHeight="1" x14ac:dyDescent="0.25">
      <c r="A53" s="1749"/>
      <c r="B53" s="514">
        <v>10</v>
      </c>
      <c r="C53" s="510">
        <v>0.1</v>
      </c>
      <c r="D53" s="510">
        <v>0.1</v>
      </c>
      <c r="E53" s="515">
        <v>9.9999999999999995E-7</v>
      </c>
      <c r="F53" s="508">
        <f>0.5*(MAX(C53:E53)-MIN(C53:E53))</f>
        <v>4.9999500000000002E-2</v>
      </c>
      <c r="G53" s="519">
        <f>B53*$H$53</f>
        <v>0.17</v>
      </c>
      <c r="H53" s="505">
        <f>1.7/100</f>
        <v>1.7000000000000001E-2</v>
      </c>
      <c r="I53" s="1749"/>
      <c r="J53" s="514">
        <v>10</v>
      </c>
      <c r="K53" s="510">
        <v>0.1</v>
      </c>
      <c r="L53" s="510">
        <v>0.1</v>
      </c>
      <c r="M53" s="510">
        <v>9.9999999999999995E-7</v>
      </c>
      <c r="N53" s="508">
        <f>0.5*(MAX(K53:M53)-MIN(K53:M53))</f>
        <v>4.9999500000000002E-2</v>
      </c>
      <c r="O53" s="519">
        <f>J53*$P$53</f>
        <v>0.17</v>
      </c>
      <c r="P53" s="505">
        <f>1.7/100</f>
        <v>1.7000000000000001E-2</v>
      </c>
      <c r="Q53" s="1749"/>
      <c r="R53" s="514">
        <v>9.9999999999999995E-7</v>
      </c>
      <c r="S53" s="510">
        <v>9.9999999999999995E-7</v>
      </c>
      <c r="T53" s="510">
        <v>0.1</v>
      </c>
      <c r="U53" s="510">
        <v>0.1</v>
      </c>
      <c r="V53" s="508">
        <f t="shared" ref="V53:V56" si="35">0.5*(MAX(S53:U53)-MIN(S53:U53))</f>
        <v>4.9999500000000002E-2</v>
      </c>
      <c r="W53" s="519">
        <f>R53*$X$53</f>
        <v>1.7E-8</v>
      </c>
      <c r="X53" s="499">
        <f>1.7/100</f>
        <v>1.7000000000000001E-2</v>
      </c>
    </row>
    <row r="54" spans="1:24" ht="12.75" customHeight="1" x14ac:dyDescent="0.25">
      <c r="A54" s="1749"/>
      <c r="B54" s="514">
        <v>20</v>
      </c>
      <c r="C54" s="510">
        <v>0.2</v>
      </c>
      <c r="D54" s="510">
        <v>0.2</v>
      </c>
      <c r="E54" s="510">
        <v>0.1</v>
      </c>
      <c r="F54" s="508">
        <f t="shared" ref="F54:F56" si="36">0.5*(MAX(C54:E54)-MIN(C54:E54))</f>
        <v>0.05</v>
      </c>
      <c r="G54" s="519">
        <f t="shared" ref="G54:G56" si="37">B54*$H$53</f>
        <v>0.34</v>
      </c>
      <c r="H54" s="505"/>
      <c r="I54" s="1749"/>
      <c r="J54" s="514">
        <v>20</v>
      </c>
      <c r="K54" s="510">
        <v>0.1</v>
      </c>
      <c r="L54" s="510">
        <v>0.1</v>
      </c>
      <c r="M54" s="510">
        <v>0.1</v>
      </c>
      <c r="N54" s="508">
        <f>0.5*(MAX(K54:M54)-MIN(K54:M54))</f>
        <v>0</v>
      </c>
      <c r="O54" s="519">
        <f t="shared" ref="O54:O56" si="38">J54*$P$53</f>
        <v>0.34</v>
      </c>
      <c r="P54" s="505"/>
      <c r="Q54" s="1749"/>
      <c r="R54" s="514">
        <v>20</v>
      </c>
      <c r="S54" s="510">
        <v>0.1</v>
      </c>
      <c r="T54" s="510">
        <v>0.1</v>
      </c>
      <c r="U54" s="510">
        <v>0.1</v>
      </c>
      <c r="V54" s="508">
        <f t="shared" si="35"/>
        <v>0</v>
      </c>
      <c r="W54" s="519">
        <f t="shared" ref="W54:W56" si="39">R54*$X$53</f>
        <v>0.34</v>
      </c>
    </row>
    <row r="55" spans="1:24" ht="12.75" customHeight="1" x14ac:dyDescent="0.25">
      <c r="A55" s="1749"/>
      <c r="B55" s="514">
        <v>50</v>
      </c>
      <c r="C55" s="510">
        <v>0.5</v>
      </c>
      <c r="D55" s="510">
        <v>0.5</v>
      </c>
      <c r="E55" s="510">
        <v>0.4</v>
      </c>
      <c r="F55" s="508">
        <f t="shared" si="36"/>
        <v>4.9999999999999989E-2</v>
      </c>
      <c r="G55" s="519">
        <f t="shared" si="37"/>
        <v>0.85000000000000009</v>
      </c>
      <c r="H55" s="505"/>
      <c r="I55" s="1749"/>
      <c r="J55" s="514">
        <v>50</v>
      </c>
      <c r="K55" s="510">
        <v>0.4</v>
      </c>
      <c r="L55" s="510">
        <v>0.4</v>
      </c>
      <c r="M55" s="510">
        <v>0.6</v>
      </c>
      <c r="N55" s="508">
        <f>0.5*(MAX(K55:M55)-MIN(K55:M55))</f>
        <v>9.9999999999999978E-2</v>
      </c>
      <c r="O55" s="519">
        <f t="shared" si="38"/>
        <v>0.85000000000000009</v>
      </c>
      <c r="P55" s="505"/>
      <c r="Q55" s="1749"/>
      <c r="R55" s="514">
        <v>50</v>
      </c>
      <c r="S55" s="510">
        <v>0.3</v>
      </c>
      <c r="T55" s="510">
        <v>0.3</v>
      </c>
      <c r="U55" s="510">
        <v>0.3</v>
      </c>
      <c r="V55" s="508">
        <f t="shared" si="35"/>
        <v>0</v>
      </c>
      <c r="W55" s="519">
        <f t="shared" si="39"/>
        <v>0.85000000000000009</v>
      </c>
    </row>
    <row r="56" spans="1:24" ht="12.75" customHeight="1" x14ac:dyDescent="0.25">
      <c r="A56" s="1749"/>
      <c r="B56" s="514">
        <v>100</v>
      </c>
      <c r="C56" s="510">
        <v>1</v>
      </c>
      <c r="D56" s="510">
        <v>1</v>
      </c>
      <c r="E56" s="510">
        <v>1.4</v>
      </c>
      <c r="F56" s="508">
        <f t="shared" si="36"/>
        <v>0.19999999999999996</v>
      </c>
      <c r="G56" s="519">
        <f t="shared" si="37"/>
        <v>1.7000000000000002</v>
      </c>
      <c r="H56" s="505"/>
      <c r="I56" s="1749"/>
      <c r="J56" s="514">
        <v>100</v>
      </c>
      <c r="K56" s="510">
        <v>0.8</v>
      </c>
      <c r="L56" s="510">
        <v>0.8</v>
      </c>
      <c r="M56" s="510">
        <v>1.5</v>
      </c>
      <c r="N56" s="508">
        <f>0.5*(MAX(K56:M56)-MIN(K56:M56))</f>
        <v>0.35</v>
      </c>
      <c r="O56" s="519">
        <f t="shared" si="38"/>
        <v>1.7000000000000002</v>
      </c>
      <c r="P56" s="505"/>
      <c r="Q56" s="1749"/>
      <c r="R56" s="514">
        <v>100</v>
      </c>
      <c r="S56" s="510">
        <v>0.9</v>
      </c>
      <c r="T56" s="510">
        <v>0.6</v>
      </c>
      <c r="U56" s="510">
        <v>0.6</v>
      </c>
      <c r="V56" s="508">
        <f t="shared" si="35"/>
        <v>0.15000000000000002</v>
      </c>
      <c r="W56" s="519">
        <f t="shared" si="39"/>
        <v>1.7000000000000002</v>
      </c>
    </row>
    <row r="57" spans="1:24" ht="12.75" customHeight="1" x14ac:dyDescent="0.25">
      <c r="A57" s="1749"/>
      <c r="B57" s="1753" t="str">
        <f>B26</f>
        <v>Resistance</v>
      </c>
      <c r="C57" s="1754"/>
      <c r="D57" s="1754"/>
      <c r="E57" s="1755"/>
      <c r="F57" s="504" t="s">
        <v>105</v>
      </c>
      <c r="G57" s="504" t="s">
        <v>90</v>
      </c>
      <c r="H57" s="505"/>
      <c r="I57" s="1749"/>
      <c r="J57" s="1753" t="str">
        <f>B57</f>
        <v>Resistance</v>
      </c>
      <c r="K57" s="1754"/>
      <c r="L57" s="1754"/>
      <c r="M57" s="1755"/>
      <c r="N57" s="504" t="s">
        <v>105</v>
      </c>
      <c r="O57" s="504" t="s">
        <v>90</v>
      </c>
      <c r="P57" s="505"/>
      <c r="Q57" s="1749"/>
      <c r="R57" s="1753" t="str">
        <f>J57</f>
        <v>Resistance</v>
      </c>
      <c r="S57" s="1754"/>
      <c r="T57" s="1754"/>
      <c r="U57" s="1755"/>
      <c r="V57" s="504" t="s">
        <v>105</v>
      </c>
      <c r="W57" s="504" t="s">
        <v>90</v>
      </c>
    </row>
    <row r="58" spans="1:24" ht="15" customHeight="1" x14ac:dyDescent="0.25">
      <c r="A58" s="1749"/>
      <c r="B58" s="503" t="s">
        <v>112</v>
      </c>
      <c r="C58" s="504">
        <f>C36</f>
        <v>2019</v>
      </c>
      <c r="D58" s="504">
        <f>D36</f>
        <v>2019</v>
      </c>
      <c r="E58" s="504">
        <f>E36</f>
        <v>2021</v>
      </c>
      <c r="F58" s="504"/>
      <c r="G58" s="504"/>
      <c r="H58" s="505"/>
      <c r="I58" s="1749"/>
      <c r="J58" s="503" t="s">
        <v>112</v>
      </c>
      <c r="K58" s="504">
        <f>K36</f>
        <v>2019</v>
      </c>
      <c r="L58" s="504">
        <f>L36</f>
        <v>2019</v>
      </c>
      <c r="M58" s="504">
        <f>M36</f>
        <v>2021</v>
      </c>
      <c r="N58" s="504"/>
      <c r="O58" s="504"/>
      <c r="P58" s="505"/>
      <c r="Q58" s="1749"/>
      <c r="R58" s="503" t="s">
        <v>112</v>
      </c>
      <c r="S58" s="504">
        <f>S36</f>
        <v>2018</v>
      </c>
      <c r="T58" s="504">
        <f>T36</f>
        <v>2019</v>
      </c>
      <c r="U58" s="504">
        <f>U36</f>
        <v>2022</v>
      </c>
      <c r="V58" s="504"/>
      <c r="W58" s="504"/>
    </row>
    <row r="59" spans="1:24" ht="12.75" customHeight="1" x14ac:dyDescent="0.25">
      <c r="A59" s="1749"/>
      <c r="B59" s="514">
        <v>0.01</v>
      </c>
      <c r="C59" s="520">
        <v>9.9999999999999995E-7</v>
      </c>
      <c r="D59" s="520">
        <v>9.9999999999999995E-7</v>
      </c>
      <c r="E59" s="515">
        <v>9.9999999999999995E-7</v>
      </c>
      <c r="F59" s="508">
        <f>0.5*(MAX(C59:E59)-MIN(C59:E59))</f>
        <v>0</v>
      </c>
      <c r="G59" s="514">
        <f>B59*$H$59</f>
        <v>1.2E-4</v>
      </c>
      <c r="H59" s="505">
        <f>1.2/100</f>
        <v>1.2E-2</v>
      </c>
      <c r="I59" s="1749"/>
      <c r="J59" s="533">
        <v>0.01</v>
      </c>
      <c r="K59" s="520">
        <v>9.9999999999999995E-7</v>
      </c>
      <c r="L59" s="520">
        <v>9.9999999999999995E-7</v>
      </c>
      <c r="M59" s="520">
        <v>9.9999999999999995E-7</v>
      </c>
      <c r="N59" s="508">
        <f>0.5*(MAX(K59:M59)-MIN(K59:M59))</f>
        <v>0</v>
      </c>
      <c r="O59" s="514">
        <f>J59*$P$59</f>
        <v>1.2E-4</v>
      </c>
      <c r="P59" s="505">
        <f>1.2/100</f>
        <v>1.2E-2</v>
      </c>
      <c r="Q59" s="1749"/>
      <c r="R59" s="514">
        <v>0.01</v>
      </c>
      <c r="S59" s="520">
        <v>9.9999999999999995E-7</v>
      </c>
      <c r="T59" s="520">
        <v>9.9999999999999995E-7</v>
      </c>
      <c r="U59" s="520">
        <v>9.9999999999999995E-7</v>
      </c>
      <c r="V59" s="508">
        <f t="shared" ref="V59:V62" si="40">0.5*(MAX(S59:U59)-MIN(S59:U59))</f>
        <v>0</v>
      </c>
      <c r="W59" s="514">
        <f>R59*$X$59</f>
        <v>1.2E-4</v>
      </c>
      <c r="X59" s="535">
        <f>1.2/100</f>
        <v>1.2E-2</v>
      </c>
    </row>
    <row r="60" spans="1:24" ht="12.75" customHeight="1" x14ac:dyDescent="0.25">
      <c r="A60" s="1749"/>
      <c r="B60" s="514">
        <v>0.1</v>
      </c>
      <c r="C60" s="520">
        <v>9.9999999999999995E-7</v>
      </c>
      <c r="D60" s="520">
        <v>9.9999999999999995E-7</v>
      </c>
      <c r="E60" s="520">
        <v>-2E-3</v>
      </c>
      <c r="F60" s="508">
        <f t="shared" ref="F60:F62" si="41">0.5*(MAX(C60:E60)-MIN(C60:E60))</f>
        <v>1.0005000000000001E-3</v>
      </c>
      <c r="G60" s="514">
        <f t="shared" ref="G60:G62" si="42">B60*$H$59</f>
        <v>1.2000000000000001E-3</v>
      </c>
      <c r="H60" s="505"/>
      <c r="I60" s="1749"/>
      <c r="J60" s="533">
        <v>0.1</v>
      </c>
      <c r="K60" s="520">
        <v>2E-3</v>
      </c>
      <c r="L60" s="520">
        <v>2E-3</v>
      </c>
      <c r="M60" s="520">
        <v>5.0000000000000001E-3</v>
      </c>
      <c r="N60" s="508">
        <f>0.5*(MAX(K60:M60)-MIN(K60:M60))</f>
        <v>1.5E-3</v>
      </c>
      <c r="O60" s="514">
        <f t="shared" ref="O60:O62" si="43">J60*$P$59</f>
        <v>1.2000000000000001E-3</v>
      </c>
      <c r="P60" s="505"/>
      <c r="Q60" s="1749"/>
      <c r="R60" s="514">
        <v>0.1</v>
      </c>
      <c r="S60" s="520">
        <v>1E-3</v>
      </c>
      <c r="T60" s="520">
        <v>-2E-3</v>
      </c>
      <c r="U60" s="520">
        <v>-3.0000000000000001E-3</v>
      </c>
      <c r="V60" s="508">
        <f t="shared" si="40"/>
        <v>2E-3</v>
      </c>
      <c r="W60" s="514">
        <f t="shared" ref="W60:W62" si="44">R60*$X$59</f>
        <v>1.2000000000000001E-3</v>
      </c>
    </row>
    <row r="61" spans="1:24" ht="12.75" customHeight="1" x14ac:dyDescent="0.25">
      <c r="A61" s="1749"/>
      <c r="B61" s="514">
        <v>1</v>
      </c>
      <c r="C61" s="520">
        <v>-1E-3</v>
      </c>
      <c r="D61" s="520">
        <v>-1E-3</v>
      </c>
      <c r="E61" s="520">
        <v>-8.0000000000000002E-3</v>
      </c>
      <c r="F61" s="508">
        <f t="shared" si="41"/>
        <v>3.5000000000000001E-3</v>
      </c>
      <c r="G61" s="514">
        <f t="shared" si="42"/>
        <v>1.2E-2</v>
      </c>
      <c r="H61" s="505"/>
      <c r="I61" s="1749"/>
      <c r="J61" s="533">
        <v>1</v>
      </c>
      <c r="K61" s="520">
        <v>1.2E-2</v>
      </c>
      <c r="L61" s="520">
        <v>1.2E-2</v>
      </c>
      <c r="M61" s="520">
        <v>1.7999999999999999E-2</v>
      </c>
      <c r="N61" s="508">
        <f t="shared" ref="N61:N62" si="45">0.5*(MAX(K61:M61)-MIN(K61:M61))</f>
        <v>2.9999999999999992E-3</v>
      </c>
      <c r="O61" s="514">
        <f t="shared" si="43"/>
        <v>1.2E-2</v>
      </c>
      <c r="P61" s="505"/>
      <c r="Q61" s="1749"/>
      <c r="R61" s="514">
        <v>1</v>
      </c>
      <c r="S61" s="520">
        <v>2E-3</v>
      </c>
      <c r="T61" s="520">
        <v>-1E-3</v>
      </c>
      <c r="U61" s="520">
        <v>-7.0000000000000001E-3</v>
      </c>
      <c r="V61" s="508">
        <f t="shared" si="40"/>
        <v>4.5000000000000005E-3</v>
      </c>
      <c r="W61" s="514">
        <f t="shared" si="44"/>
        <v>1.2E-2</v>
      </c>
    </row>
    <row r="62" spans="1:24" ht="12.75" customHeight="1" x14ac:dyDescent="0.25">
      <c r="A62" s="1750"/>
      <c r="B62" s="514">
        <v>2</v>
      </c>
      <c r="C62" s="520">
        <v>9.9999999999999995E-7</v>
      </c>
      <c r="D62" s="520">
        <v>9.9999999999999995E-7</v>
      </c>
      <c r="E62" s="520">
        <v>-7.0000000000000001E-3</v>
      </c>
      <c r="F62" s="508">
        <f t="shared" si="41"/>
        <v>3.5005000000000001E-3</v>
      </c>
      <c r="G62" s="514">
        <f t="shared" si="42"/>
        <v>2.4E-2</v>
      </c>
      <c r="H62" s="505" t="s">
        <v>59</v>
      </c>
      <c r="I62" s="1750"/>
      <c r="J62" s="533">
        <v>2</v>
      </c>
      <c r="K62" s="520">
        <v>9.9999999999999995E-7</v>
      </c>
      <c r="L62" s="520">
        <v>9.9999999999999995E-7</v>
      </c>
      <c r="M62" s="520">
        <v>0.113</v>
      </c>
      <c r="N62" s="508">
        <f t="shared" si="45"/>
        <v>5.6499500000000001E-2</v>
      </c>
      <c r="O62" s="514">
        <f t="shared" si="43"/>
        <v>2.4E-2</v>
      </c>
      <c r="P62" s="505"/>
      <c r="Q62" s="1750"/>
      <c r="R62" s="514">
        <v>2</v>
      </c>
      <c r="S62" s="520">
        <v>0</v>
      </c>
      <c r="T62" s="515">
        <v>9.9999999999999995E-7</v>
      </c>
      <c r="U62" s="515">
        <v>-7.0000000000000001E-3</v>
      </c>
      <c r="V62" s="508">
        <f t="shared" si="40"/>
        <v>3.5005000000000001E-3</v>
      </c>
      <c r="W62" s="514">
        <f t="shared" si="44"/>
        <v>2.4E-2</v>
      </c>
    </row>
    <row r="63" spans="1:24" s="166" customFormat="1" ht="15.5" x14ac:dyDescent="0.25">
      <c r="A63" s="536"/>
      <c r="B63" s="537"/>
      <c r="C63" s="538"/>
      <c r="E63" s="538"/>
      <c r="F63" s="538"/>
      <c r="G63" s="538"/>
      <c r="H63" s="526"/>
      <c r="I63" s="539"/>
      <c r="J63" s="540"/>
      <c r="K63" s="538"/>
      <c r="M63" s="538"/>
      <c r="N63" s="538"/>
      <c r="O63" s="538"/>
      <c r="P63" s="526"/>
      <c r="Q63" s="539"/>
      <c r="R63" s="537"/>
      <c r="S63" s="538"/>
      <c r="U63" s="525"/>
      <c r="V63" s="525"/>
      <c r="W63" s="527"/>
      <c r="X63" s="528"/>
    </row>
    <row r="64" spans="1:24" ht="30" customHeight="1" x14ac:dyDescent="0.25">
      <c r="A64" s="1748">
        <v>7</v>
      </c>
      <c r="B64" s="1759" t="str">
        <f>A172</f>
        <v>Electrical Safety Analyzer, Merek : Fluke, Model : ESA 615, SN : 3699030</v>
      </c>
      <c r="C64" s="1759"/>
      <c r="D64" s="1759"/>
      <c r="E64" s="1759"/>
      <c r="F64" s="1759"/>
      <c r="G64" s="1759"/>
      <c r="H64" s="500"/>
      <c r="I64" s="1748">
        <v>8</v>
      </c>
      <c r="J64" s="1751" t="str">
        <f>A173</f>
        <v>Electrical Safety Analyzer, Merek : Fluke, Model : ESA 615, SN : 4670010</v>
      </c>
      <c r="K64" s="1751"/>
      <c r="L64" s="1751"/>
      <c r="M64" s="1751"/>
      <c r="N64" s="1751"/>
      <c r="O64" s="1751"/>
      <c r="P64" s="500"/>
      <c r="Q64" s="1748">
        <v>9</v>
      </c>
      <c r="R64" s="1751" t="str">
        <f>A174</f>
        <v>Electrical Safety Analyzer, Merek : Fluke, Model : ESA 615, SN : 4669058</v>
      </c>
      <c r="S64" s="1751"/>
      <c r="T64" s="1751"/>
      <c r="U64" s="1751"/>
      <c r="V64" s="1751"/>
      <c r="W64" s="1751"/>
    </row>
    <row r="65" spans="1:26" ht="15" customHeight="1" x14ac:dyDescent="0.3">
      <c r="A65" s="1749"/>
      <c r="B65" s="1760" t="s">
        <v>103</v>
      </c>
      <c r="C65" s="1760"/>
      <c r="D65" s="1760"/>
      <c r="E65" s="1760"/>
      <c r="F65" s="530"/>
      <c r="G65" s="530"/>
      <c r="H65" s="502"/>
      <c r="I65" s="1749"/>
      <c r="J65" s="1761" t="s">
        <v>103</v>
      </c>
      <c r="K65" s="1762"/>
      <c r="L65" s="1762"/>
      <c r="M65" s="1763"/>
      <c r="N65" s="531"/>
      <c r="O65" s="531"/>
      <c r="P65" s="502"/>
      <c r="Q65" s="1749"/>
      <c r="R65" s="1760" t="s">
        <v>103</v>
      </c>
      <c r="S65" s="1760"/>
      <c r="T65" s="1760"/>
      <c r="U65" s="1760"/>
      <c r="V65" s="531"/>
      <c r="W65" s="531"/>
    </row>
    <row r="66" spans="1:26" ht="12.75" customHeight="1" x14ac:dyDescent="0.25">
      <c r="A66" s="1749"/>
      <c r="B66" s="1756" t="s">
        <v>104</v>
      </c>
      <c r="C66" s="1757"/>
      <c r="D66" s="1757"/>
      <c r="E66" s="1758"/>
      <c r="F66" s="504" t="s">
        <v>105</v>
      </c>
      <c r="G66" s="504" t="s">
        <v>90</v>
      </c>
      <c r="H66" s="505"/>
      <c r="I66" s="1749"/>
      <c r="J66" s="1756" t="s">
        <v>104</v>
      </c>
      <c r="K66" s="1757"/>
      <c r="L66" s="1757"/>
      <c r="M66" s="1758"/>
      <c r="N66" s="504" t="s">
        <v>105</v>
      </c>
      <c r="O66" s="504" t="s">
        <v>90</v>
      </c>
      <c r="P66" s="505"/>
      <c r="Q66" s="1749"/>
      <c r="R66" s="1756" t="s">
        <v>104</v>
      </c>
      <c r="S66" s="1757"/>
      <c r="T66" s="1757"/>
      <c r="U66" s="1758"/>
      <c r="V66" s="504" t="s">
        <v>105</v>
      </c>
      <c r="W66" s="504" t="s">
        <v>90</v>
      </c>
    </row>
    <row r="67" spans="1:26" ht="15" customHeight="1" x14ac:dyDescent="0.25">
      <c r="A67" s="1749"/>
      <c r="B67" s="503" t="s">
        <v>106</v>
      </c>
      <c r="C67" s="504">
        <v>2019</v>
      </c>
      <c r="D67" s="504">
        <v>2020</v>
      </c>
      <c r="E67" s="504">
        <v>2022</v>
      </c>
      <c r="F67" s="504"/>
      <c r="G67" s="504"/>
      <c r="H67" s="505"/>
      <c r="I67" s="1749"/>
      <c r="J67" s="503" t="s">
        <v>106</v>
      </c>
      <c r="K67" s="504">
        <v>2019</v>
      </c>
      <c r="L67" s="504">
        <v>2020</v>
      </c>
      <c r="M67" s="504">
        <v>2022</v>
      </c>
      <c r="N67" s="504"/>
      <c r="O67" s="504"/>
      <c r="P67" s="505"/>
      <c r="Q67" s="1749"/>
      <c r="R67" s="503" t="s">
        <v>106</v>
      </c>
      <c r="S67" s="504">
        <v>2019</v>
      </c>
      <c r="T67" s="504">
        <v>2020</v>
      </c>
      <c r="U67" s="504">
        <v>2022</v>
      </c>
      <c r="V67" s="504"/>
      <c r="W67" s="504"/>
    </row>
    <row r="68" spans="1:26" ht="12.75" customHeight="1" x14ac:dyDescent="0.25">
      <c r="A68" s="1749"/>
      <c r="B68" s="506">
        <v>150</v>
      </c>
      <c r="C68" s="507">
        <v>0.21</v>
      </c>
      <c r="D68" s="507">
        <v>0.21</v>
      </c>
      <c r="E68" s="507">
        <v>0.36</v>
      </c>
      <c r="F68" s="508">
        <f t="shared" ref="F68:F73" si="46">0.5*(MAX(C68:E68)-MIN(C68:E68))</f>
        <v>7.4999999999999997E-2</v>
      </c>
      <c r="G68" s="512">
        <f>B68*$H$68</f>
        <v>1.8</v>
      </c>
      <c r="H68" s="505">
        <f>1.2/100</f>
        <v>1.2E-2</v>
      </c>
      <c r="I68" s="1749"/>
      <c r="J68" s="506">
        <v>150</v>
      </c>
      <c r="K68" s="509">
        <v>9.9999999999999995E-7</v>
      </c>
      <c r="L68" s="507">
        <v>-0.17</v>
      </c>
      <c r="M68" s="507">
        <v>-0.08</v>
      </c>
      <c r="N68" s="508">
        <f>0.5*(MAX(K68:M68)-MIN(K68:M68))</f>
        <v>8.5000500000000007E-2</v>
      </c>
      <c r="O68" s="519">
        <f>J68*$P$68</f>
        <v>1.8</v>
      </c>
      <c r="P68" s="505">
        <f>1.2/100</f>
        <v>1.2E-2</v>
      </c>
      <c r="Q68" s="1749"/>
      <c r="R68" s="506">
        <v>150</v>
      </c>
      <c r="S68" s="509">
        <v>9.9999999999999995E-7</v>
      </c>
      <c r="T68" s="507">
        <v>-0.24</v>
      </c>
      <c r="U68" s="507">
        <v>-0.17</v>
      </c>
      <c r="V68" s="508">
        <f t="shared" ref="V68:V73" si="47">0.5*(MAX(S68:U68)-MIN(S68:U68))</f>
        <v>0.1200005</v>
      </c>
      <c r="W68" s="519">
        <f>R68*$X$68</f>
        <v>1.8</v>
      </c>
      <c r="X68" s="499">
        <f>1.2/100</f>
        <v>1.2E-2</v>
      </c>
    </row>
    <row r="69" spans="1:26" ht="12.75" customHeight="1" x14ac:dyDescent="0.25">
      <c r="A69" s="1749"/>
      <c r="B69" s="506">
        <v>180</v>
      </c>
      <c r="C69" s="513">
        <v>0.33</v>
      </c>
      <c r="D69" s="513">
        <v>0.33</v>
      </c>
      <c r="E69" s="513">
        <v>0.46</v>
      </c>
      <c r="F69" s="508">
        <f t="shared" si="46"/>
        <v>6.5000000000000002E-2</v>
      </c>
      <c r="G69" s="512">
        <f t="shared" ref="G69:G73" si="48">B69*$H$68</f>
        <v>2.16</v>
      </c>
      <c r="H69" s="505"/>
      <c r="I69" s="1749"/>
      <c r="J69" s="506">
        <v>180</v>
      </c>
      <c r="K69" s="509">
        <v>9.9999999999999995E-7</v>
      </c>
      <c r="L69" s="513">
        <v>-0.22</v>
      </c>
      <c r="M69" s="513">
        <v>-0.2</v>
      </c>
      <c r="N69" s="508">
        <f t="shared" ref="N69:N73" si="49">0.5*(MAX(K69:M69)-MIN(K69:M69))</f>
        <v>0.1100005</v>
      </c>
      <c r="O69" s="519">
        <f t="shared" ref="O69:O73" si="50">J69*$P$68</f>
        <v>2.16</v>
      </c>
      <c r="P69" s="505"/>
      <c r="Q69" s="1749"/>
      <c r="R69" s="506">
        <v>180</v>
      </c>
      <c r="S69" s="509">
        <v>9.9999999999999995E-7</v>
      </c>
      <c r="T69" s="513">
        <v>-0.14000000000000001</v>
      </c>
      <c r="U69" s="513">
        <v>-0.39</v>
      </c>
      <c r="V69" s="508">
        <f t="shared" si="47"/>
        <v>0.19500049999999999</v>
      </c>
      <c r="W69" s="519">
        <f t="shared" ref="W69:W72" si="51">R69*$X$68</f>
        <v>2.16</v>
      </c>
    </row>
    <row r="70" spans="1:26" ht="12.75" customHeight="1" x14ac:dyDescent="0.25">
      <c r="A70" s="1749"/>
      <c r="B70" s="506">
        <v>200</v>
      </c>
      <c r="C70" s="513">
        <v>0.34</v>
      </c>
      <c r="D70" s="513">
        <v>0.34</v>
      </c>
      <c r="E70" s="513">
        <v>0.52</v>
      </c>
      <c r="F70" s="508">
        <f t="shared" si="46"/>
        <v>0.09</v>
      </c>
      <c r="G70" s="512">
        <f t="shared" si="48"/>
        <v>2.4</v>
      </c>
      <c r="H70" s="505"/>
      <c r="I70" s="1749"/>
      <c r="J70" s="506">
        <v>200</v>
      </c>
      <c r="K70" s="509">
        <v>9.9999999999999995E-7</v>
      </c>
      <c r="L70" s="541">
        <v>-0.33</v>
      </c>
      <c r="M70" s="541">
        <v>-0.25</v>
      </c>
      <c r="N70" s="508">
        <f t="shared" si="49"/>
        <v>0.16500049999999999</v>
      </c>
      <c r="O70" s="519">
        <f t="shared" si="50"/>
        <v>2.4</v>
      </c>
      <c r="P70" s="505"/>
      <c r="Q70" s="1749"/>
      <c r="R70" s="506">
        <v>200</v>
      </c>
      <c r="S70" s="509">
        <v>9.9999999999999995E-7</v>
      </c>
      <c r="T70" s="513">
        <v>-0.33</v>
      </c>
      <c r="U70" s="513">
        <v>-0.23</v>
      </c>
      <c r="V70" s="508">
        <f t="shared" si="47"/>
        <v>0.16500049999999999</v>
      </c>
      <c r="W70" s="519">
        <f t="shared" si="51"/>
        <v>2.4</v>
      </c>
    </row>
    <row r="71" spans="1:26" ht="12.75" customHeight="1" x14ac:dyDescent="0.25">
      <c r="A71" s="1749"/>
      <c r="B71" s="506">
        <v>220</v>
      </c>
      <c r="C71" s="513">
        <v>0.37</v>
      </c>
      <c r="D71" s="513">
        <v>0.37</v>
      </c>
      <c r="E71" s="513">
        <v>0.57999999999999996</v>
      </c>
      <c r="F71" s="508">
        <f t="shared" si="46"/>
        <v>0.10499999999999998</v>
      </c>
      <c r="G71" s="512">
        <f t="shared" si="48"/>
        <v>2.64</v>
      </c>
      <c r="H71" s="505"/>
      <c r="I71" s="1749"/>
      <c r="J71" s="506">
        <v>220</v>
      </c>
      <c r="K71" s="509">
        <v>9.9999999999999995E-7</v>
      </c>
      <c r="L71" s="513">
        <v>-0.39</v>
      </c>
      <c r="M71" s="513">
        <v>-0.28999999999999998</v>
      </c>
      <c r="N71" s="508">
        <f t="shared" si="49"/>
        <v>0.19500049999999999</v>
      </c>
      <c r="O71" s="519">
        <f t="shared" si="50"/>
        <v>2.64</v>
      </c>
      <c r="P71" s="505"/>
      <c r="Q71" s="1749"/>
      <c r="R71" s="506">
        <v>220</v>
      </c>
      <c r="S71" s="509">
        <v>9.9999999999999995E-7</v>
      </c>
      <c r="T71" s="513">
        <v>-0.45</v>
      </c>
      <c r="U71" s="513">
        <v>-0.16</v>
      </c>
      <c r="V71" s="508">
        <f t="shared" si="47"/>
        <v>0.22500049999999999</v>
      </c>
      <c r="W71" s="519">
        <f t="shared" si="51"/>
        <v>2.64</v>
      </c>
    </row>
    <row r="72" spans="1:26" ht="12.75" customHeight="1" x14ac:dyDescent="0.25">
      <c r="A72" s="1749"/>
      <c r="B72" s="506">
        <v>230</v>
      </c>
      <c r="C72" s="513">
        <v>0.47</v>
      </c>
      <c r="D72" s="513">
        <v>0.47</v>
      </c>
      <c r="E72" s="513">
        <v>0.47</v>
      </c>
      <c r="F72" s="508">
        <f t="shared" si="46"/>
        <v>0</v>
      </c>
      <c r="G72" s="512">
        <f t="shared" si="48"/>
        <v>2.7600000000000002</v>
      </c>
      <c r="H72" s="505"/>
      <c r="I72" s="1749"/>
      <c r="J72" s="506">
        <v>230</v>
      </c>
      <c r="K72" s="509">
        <v>9.9999999999999995E-7</v>
      </c>
      <c r="L72" s="542">
        <v>-0.39</v>
      </c>
      <c r="M72" s="542">
        <v>-0.34</v>
      </c>
      <c r="N72" s="508">
        <f t="shared" si="49"/>
        <v>0.19500049999999999</v>
      </c>
      <c r="O72" s="519">
        <f t="shared" si="50"/>
        <v>2.7600000000000002</v>
      </c>
      <c r="P72" s="505"/>
      <c r="Q72" s="1749"/>
      <c r="R72" s="506">
        <v>230</v>
      </c>
      <c r="S72" s="509">
        <v>9.9999999999999995E-7</v>
      </c>
      <c r="T72" s="513">
        <v>-0.54</v>
      </c>
      <c r="U72" s="513">
        <v>-0.15</v>
      </c>
      <c r="V72" s="508">
        <f t="shared" si="47"/>
        <v>0.27000050000000003</v>
      </c>
      <c r="W72" s="519">
        <f t="shared" si="51"/>
        <v>2.7600000000000002</v>
      </c>
    </row>
    <row r="73" spans="1:26" ht="12.75" customHeight="1" x14ac:dyDescent="0.25">
      <c r="A73" s="1749"/>
      <c r="B73" s="506">
        <v>250</v>
      </c>
      <c r="C73" s="513">
        <v>9.9999999999999995E-7</v>
      </c>
      <c r="D73" s="513">
        <v>9.9999999999999995E-7</v>
      </c>
      <c r="E73" s="513">
        <v>9.9999999999999995E-7</v>
      </c>
      <c r="F73" s="508">
        <f t="shared" si="46"/>
        <v>0</v>
      </c>
      <c r="G73" s="512">
        <f t="shared" si="48"/>
        <v>3</v>
      </c>
      <c r="H73" s="505"/>
      <c r="I73" s="1749"/>
      <c r="J73" s="506">
        <v>250</v>
      </c>
      <c r="K73" s="509">
        <v>9.9999999999999995E-7</v>
      </c>
      <c r="L73" s="513">
        <v>9.9999999999999995E-7</v>
      </c>
      <c r="M73" s="513">
        <v>9.9999999999999995E-7</v>
      </c>
      <c r="N73" s="508">
        <f t="shared" si="49"/>
        <v>0</v>
      </c>
      <c r="O73" s="519">
        <f t="shared" si="50"/>
        <v>3</v>
      </c>
      <c r="P73" s="505"/>
      <c r="Q73" s="1749"/>
      <c r="R73" s="506">
        <v>250</v>
      </c>
      <c r="S73" s="509">
        <v>9.9999999999999995E-7</v>
      </c>
      <c r="T73" s="513">
        <v>9.9999999999999995E-7</v>
      </c>
      <c r="U73" s="513">
        <v>9.9999999999999995E-7</v>
      </c>
      <c r="V73" s="508">
        <f t="shared" si="47"/>
        <v>0</v>
      </c>
      <c r="W73" s="519" t="s">
        <v>89</v>
      </c>
    </row>
    <row r="74" spans="1:26" ht="12.75" customHeight="1" x14ac:dyDescent="0.25">
      <c r="A74" s="1749"/>
      <c r="B74" s="1753" t="s">
        <v>107</v>
      </c>
      <c r="C74" s="1754"/>
      <c r="D74" s="1754"/>
      <c r="E74" s="1755"/>
      <c r="F74" s="504" t="s">
        <v>105</v>
      </c>
      <c r="G74" s="504" t="s">
        <v>90</v>
      </c>
      <c r="H74" s="505"/>
      <c r="I74" s="1749"/>
      <c r="J74" s="1753" t="s">
        <v>107</v>
      </c>
      <c r="K74" s="1754"/>
      <c r="L74" s="1754"/>
      <c r="M74" s="1755"/>
      <c r="N74" s="504" t="s">
        <v>105</v>
      </c>
      <c r="O74" s="504" t="s">
        <v>90</v>
      </c>
      <c r="P74" s="505"/>
      <c r="Q74" s="1749"/>
      <c r="R74" s="1753" t="s">
        <v>107</v>
      </c>
      <c r="S74" s="1754"/>
      <c r="T74" s="1754"/>
      <c r="U74" s="1755"/>
      <c r="V74" s="504" t="s">
        <v>105</v>
      </c>
      <c r="W74" s="504" t="s">
        <v>90</v>
      </c>
      <c r="Z74" s="164"/>
    </row>
    <row r="75" spans="1:26" ht="15" customHeight="1" x14ac:dyDescent="0.25">
      <c r="A75" s="1749"/>
      <c r="B75" s="503" t="s">
        <v>108</v>
      </c>
      <c r="C75" s="504">
        <f>C67</f>
        <v>2019</v>
      </c>
      <c r="D75" s="504">
        <f>D67</f>
        <v>2020</v>
      </c>
      <c r="E75" s="504">
        <f>E67</f>
        <v>2022</v>
      </c>
      <c r="F75" s="504"/>
      <c r="G75" s="504"/>
      <c r="H75" s="505"/>
      <c r="I75" s="1749"/>
      <c r="J75" s="503" t="s">
        <v>108</v>
      </c>
      <c r="K75" s="504">
        <f>K67</f>
        <v>2019</v>
      </c>
      <c r="L75" s="504">
        <f>L67</f>
        <v>2020</v>
      </c>
      <c r="M75" s="504">
        <f>M67</f>
        <v>2022</v>
      </c>
      <c r="N75" s="504"/>
      <c r="O75" s="504"/>
      <c r="P75" s="505"/>
      <c r="Q75" s="1749"/>
      <c r="R75" s="503" t="s">
        <v>108</v>
      </c>
      <c r="S75" s="504">
        <f>S67</f>
        <v>2019</v>
      </c>
      <c r="T75" s="504">
        <f>T67</f>
        <v>2020</v>
      </c>
      <c r="U75" s="504">
        <f>U67</f>
        <v>2022</v>
      </c>
      <c r="V75" s="504"/>
      <c r="W75" s="504"/>
    </row>
    <row r="76" spans="1:26" ht="12.75" customHeight="1" x14ac:dyDescent="0.25">
      <c r="A76" s="1749"/>
      <c r="B76" s="519">
        <v>9.9999999999999995E-7</v>
      </c>
      <c r="C76" s="543">
        <v>9.9999999999999995E-7</v>
      </c>
      <c r="D76" s="543">
        <v>9.9999999999999995E-7</v>
      </c>
      <c r="E76" s="543">
        <v>9.9999999999999995E-7</v>
      </c>
      <c r="F76" s="508">
        <f t="shared" ref="F76:F81" si="52">0.5*(MAX(C76:E76)-MIN(C76:E76))</f>
        <v>0</v>
      </c>
      <c r="G76" s="518">
        <f>B76*$H$76</f>
        <v>5.8999999999999999E-9</v>
      </c>
      <c r="H76" s="505">
        <f>0.59/100</f>
        <v>5.8999999999999999E-3</v>
      </c>
      <c r="I76" s="1749"/>
      <c r="J76" s="519">
        <v>9.9999999999999995E-7</v>
      </c>
      <c r="K76" s="510">
        <v>9.9999999999999995E-7</v>
      </c>
      <c r="L76" s="515">
        <v>9.9999999999999995E-7</v>
      </c>
      <c r="M76" s="515">
        <v>9.9999999999999995E-7</v>
      </c>
      <c r="N76" s="508">
        <f t="shared" ref="N76:N81" si="53">0.5*(MAX(K76:M76)-MIN(K76:M76))</f>
        <v>0</v>
      </c>
      <c r="O76" s="510">
        <f>J76*$P$76</f>
        <v>5.8999999999999999E-9</v>
      </c>
      <c r="P76" s="505">
        <f>0.59/100</f>
        <v>5.8999999999999999E-3</v>
      </c>
      <c r="Q76" s="1749"/>
      <c r="R76" s="519">
        <v>9.9999999999999995E-7</v>
      </c>
      <c r="S76" s="510">
        <v>9.9999999999999995E-7</v>
      </c>
      <c r="T76" s="515">
        <v>9.9999999999999995E-7</v>
      </c>
      <c r="U76" s="515">
        <v>9.9999999999999995E-7</v>
      </c>
      <c r="V76" s="508">
        <f t="shared" ref="V76:V81" si="54">0.5*(MAX(S76:U76)-MIN(S76:U76))</f>
        <v>0</v>
      </c>
      <c r="W76" s="510">
        <f>R76*$X$76</f>
        <v>5.8999999999999999E-9</v>
      </c>
      <c r="X76" s="499">
        <f>0.59/100</f>
        <v>5.8999999999999999E-3</v>
      </c>
    </row>
    <row r="77" spans="1:26" ht="12.75" customHeight="1" x14ac:dyDescent="0.25">
      <c r="A77" s="1749"/>
      <c r="B77" s="514">
        <v>50</v>
      </c>
      <c r="C77" s="513">
        <v>1.7</v>
      </c>
      <c r="D77" s="513">
        <v>1.7</v>
      </c>
      <c r="E77" s="513">
        <v>1.9</v>
      </c>
      <c r="F77" s="508">
        <f t="shared" si="52"/>
        <v>9.9999999999999978E-2</v>
      </c>
      <c r="G77" s="518">
        <f t="shared" ref="G77:G81" si="55">B77*$H$76</f>
        <v>0.29499999999999998</v>
      </c>
      <c r="H77" s="505"/>
      <c r="I77" s="1749"/>
      <c r="J77" s="514">
        <v>50</v>
      </c>
      <c r="K77" s="510">
        <v>9.9999999999999995E-7</v>
      </c>
      <c r="L77" s="513">
        <v>1.7</v>
      </c>
      <c r="M77" s="513">
        <v>9.1999999999999993</v>
      </c>
      <c r="N77" s="508">
        <f t="shared" si="53"/>
        <v>4.5999995</v>
      </c>
      <c r="O77" s="510">
        <f t="shared" ref="O77:O81" si="56">J77*$P$76</f>
        <v>0.29499999999999998</v>
      </c>
      <c r="P77" s="505"/>
      <c r="Q77" s="1749"/>
      <c r="R77" s="514">
        <v>50</v>
      </c>
      <c r="S77" s="510">
        <v>9.9999999999999995E-7</v>
      </c>
      <c r="T77" s="513">
        <v>2.1</v>
      </c>
      <c r="U77" s="513">
        <v>5</v>
      </c>
      <c r="V77" s="508">
        <f t="shared" si="54"/>
        <v>2.4999994999999999</v>
      </c>
      <c r="W77" s="510">
        <f t="shared" ref="W77:W81" si="57">R77*$X$76</f>
        <v>0.29499999999999998</v>
      </c>
    </row>
    <row r="78" spans="1:26" ht="12.75" customHeight="1" x14ac:dyDescent="0.25">
      <c r="A78" s="1749"/>
      <c r="B78" s="514">
        <v>100</v>
      </c>
      <c r="C78" s="513">
        <v>1.7</v>
      </c>
      <c r="D78" s="513">
        <v>1.7</v>
      </c>
      <c r="E78" s="513">
        <v>1.7</v>
      </c>
      <c r="F78" s="508">
        <f t="shared" si="52"/>
        <v>0</v>
      </c>
      <c r="G78" s="518">
        <f t="shared" si="55"/>
        <v>0.59</v>
      </c>
      <c r="H78" s="505"/>
      <c r="I78" s="1749"/>
      <c r="J78" s="514">
        <v>100</v>
      </c>
      <c r="K78" s="510">
        <v>9.9999999999999995E-7</v>
      </c>
      <c r="L78" s="513">
        <v>3.4</v>
      </c>
      <c r="M78" s="513">
        <v>7.7</v>
      </c>
      <c r="N78" s="508">
        <f t="shared" si="53"/>
        <v>3.8499995</v>
      </c>
      <c r="O78" s="510">
        <f t="shared" si="56"/>
        <v>0.59</v>
      </c>
      <c r="P78" s="505"/>
      <c r="Q78" s="1749"/>
      <c r="R78" s="514">
        <v>100</v>
      </c>
      <c r="S78" s="510">
        <v>9.9999999999999995E-7</v>
      </c>
      <c r="T78" s="513">
        <v>3.7</v>
      </c>
      <c r="U78" s="513">
        <v>0.7</v>
      </c>
      <c r="V78" s="508">
        <f t="shared" si="54"/>
        <v>1.8499995</v>
      </c>
      <c r="W78" s="510">
        <f t="shared" si="57"/>
        <v>0.59</v>
      </c>
    </row>
    <row r="79" spans="1:26" ht="12.75" customHeight="1" x14ac:dyDescent="0.25">
      <c r="A79" s="1749"/>
      <c r="B79" s="514">
        <v>200</v>
      </c>
      <c r="C79" s="513">
        <v>0.4</v>
      </c>
      <c r="D79" s="513">
        <v>0.4</v>
      </c>
      <c r="E79" s="513">
        <v>1.5</v>
      </c>
      <c r="F79" s="508">
        <f t="shared" si="52"/>
        <v>0.55000000000000004</v>
      </c>
      <c r="G79" s="518">
        <f t="shared" si="55"/>
        <v>1.18</v>
      </c>
      <c r="H79" s="505"/>
      <c r="I79" s="1749"/>
      <c r="J79" s="514">
        <v>500</v>
      </c>
      <c r="K79" s="510">
        <v>9.9999999999999995E-7</v>
      </c>
      <c r="L79" s="513">
        <v>7.2</v>
      </c>
      <c r="M79" s="513">
        <v>-0.2</v>
      </c>
      <c r="N79" s="508">
        <f t="shared" si="53"/>
        <v>3.7</v>
      </c>
      <c r="O79" s="510">
        <f t="shared" si="56"/>
        <v>2.9499999999999997</v>
      </c>
      <c r="P79" s="505"/>
      <c r="Q79" s="1749"/>
      <c r="R79" s="514">
        <v>500</v>
      </c>
      <c r="S79" s="510">
        <v>9.9999999999999995E-7</v>
      </c>
      <c r="T79" s="513">
        <v>8.3000000000000007</v>
      </c>
      <c r="U79" s="513">
        <v>-31.8</v>
      </c>
      <c r="V79" s="508">
        <f t="shared" si="54"/>
        <v>20.05</v>
      </c>
      <c r="W79" s="510">
        <f t="shared" si="57"/>
        <v>2.9499999999999997</v>
      </c>
    </row>
    <row r="80" spans="1:26" ht="12.75" customHeight="1" x14ac:dyDescent="0.25">
      <c r="A80" s="1749"/>
      <c r="B80" s="514">
        <v>500</v>
      </c>
      <c r="C80" s="513">
        <v>3</v>
      </c>
      <c r="D80" s="513">
        <v>3</v>
      </c>
      <c r="E80" s="513">
        <v>0.9</v>
      </c>
      <c r="F80" s="508">
        <f t="shared" si="52"/>
        <v>1.05</v>
      </c>
      <c r="G80" s="518">
        <f t="shared" si="55"/>
        <v>2.9499999999999997</v>
      </c>
      <c r="H80" s="505"/>
      <c r="I80" s="1749"/>
      <c r="J80" s="514">
        <v>500</v>
      </c>
      <c r="K80" s="510">
        <v>9.9999999999999995E-7</v>
      </c>
      <c r="L80" s="513">
        <v>7.2</v>
      </c>
      <c r="M80" s="513">
        <v>-25.1</v>
      </c>
      <c r="N80" s="508">
        <f t="shared" si="53"/>
        <v>16.150000000000002</v>
      </c>
      <c r="O80" s="510">
        <f t="shared" si="56"/>
        <v>2.9499999999999997</v>
      </c>
      <c r="P80" s="505"/>
      <c r="Q80" s="1749"/>
      <c r="R80" s="514">
        <v>500</v>
      </c>
      <c r="S80" s="510">
        <v>9.9999999999999995E-7</v>
      </c>
      <c r="T80" s="513">
        <v>8.3000000000000007</v>
      </c>
      <c r="U80" s="513">
        <v>-31.8</v>
      </c>
      <c r="V80" s="508">
        <f t="shared" si="54"/>
        <v>20.05</v>
      </c>
      <c r="W80" s="510">
        <f t="shared" si="57"/>
        <v>2.9499999999999997</v>
      </c>
    </row>
    <row r="81" spans="1:24" ht="12.75" customHeight="1" x14ac:dyDescent="0.25">
      <c r="A81" s="1749"/>
      <c r="B81" s="514">
        <v>1000</v>
      </c>
      <c r="C81" s="513">
        <v>5</v>
      </c>
      <c r="D81" s="513">
        <v>4</v>
      </c>
      <c r="E81" s="544">
        <v>-1</v>
      </c>
      <c r="F81" s="508">
        <f t="shared" si="52"/>
        <v>3</v>
      </c>
      <c r="G81" s="518">
        <f t="shared" si="55"/>
        <v>5.8999999999999995</v>
      </c>
      <c r="H81" s="505"/>
      <c r="I81" s="1749"/>
      <c r="J81" s="514">
        <v>1000</v>
      </c>
      <c r="K81" s="510">
        <v>9.9999999999999995E-7</v>
      </c>
      <c r="L81" s="513">
        <v>80</v>
      </c>
      <c r="M81" s="513">
        <v>66</v>
      </c>
      <c r="N81" s="508">
        <f t="shared" si="53"/>
        <v>39.999999500000001</v>
      </c>
      <c r="O81" s="510">
        <f t="shared" si="56"/>
        <v>5.8999999999999995</v>
      </c>
      <c r="P81" s="505"/>
      <c r="Q81" s="1749"/>
      <c r="R81" s="514">
        <v>1000</v>
      </c>
      <c r="S81" s="510">
        <v>9.9999999999999995E-7</v>
      </c>
      <c r="T81" s="513">
        <v>-97</v>
      </c>
      <c r="U81" s="513">
        <v>-74</v>
      </c>
      <c r="V81" s="508">
        <f t="shared" si="54"/>
        <v>48.500000499999999</v>
      </c>
      <c r="W81" s="510">
        <f t="shared" si="57"/>
        <v>5.8999999999999995</v>
      </c>
    </row>
    <row r="82" spans="1:24" ht="12.75" customHeight="1" x14ac:dyDescent="0.25">
      <c r="A82" s="1749"/>
      <c r="B82" s="1753" t="s">
        <v>109</v>
      </c>
      <c r="C82" s="1754"/>
      <c r="D82" s="1754"/>
      <c r="E82" s="1755"/>
      <c r="F82" s="504" t="s">
        <v>105</v>
      </c>
      <c r="G82" s="504" t="s">
        <v>90</v>
      </c>
      <c r="H82" s="505"/>
      <c r="I82" s="1749"/>
      <c r="J82" s="1753" t="s">
        <v>109</v>
      </c>
      <c r="K82" s="1754"/>
      <c r="L82" s="1754"/>
      <c r="M82" s="1755"/>
      <c r="N82" s="504" t="s">
        <v>105</v>
      </c>
      <c r="O82" s="504" t="s">
        <v>90</v>
      </c>
      <c r="P82" s="505"/>
      <c r="Q82" s="1749"/>
      <c r="R82" s="1753" t="str">
        <f>B82</f>
        <v>Main-PE</v>
      </c>
      <c r="S82" s="1754"/>
      <c r="T82" s="1754"/>
      <c r="U82" s="1755"/>
      <c r="V82" s="504" t="s">
        <v>105</v>
      </c>
      <c r="W82" s="504" t="s">
        <v>90</v>
      </c>
    </row>
    <row r="83" spans="1:24" ht="15" customHeight="1" x14ac:dyDescent="0.25">
      <c r="A83" s="1749"/>
      <c r="B83" s="503" t="s">
        <v>110</v>
      </c>
      <c r="C83" s="504">
        <f>C75</f>
        <v>2019</v>
      </c>
      <c r="D83" s="504">
        <f>D75</f>
        <v>2020</v>
      </c>
      <c r="E83" s="504">
        <f>E75</f>
        <v>2022</v>
      </c>
      <c r="F83" s="504"/>
      <c r="G83" s="504"/>
      <c r="H83" s="505"/>
      <c r="I83" s="1749"/>
      <c r="J83" s="503" t="s">
        <v>110</v>
      </c>
      <c r="K83" s="504">
        <f>K67</f>
        <v>2019</v>
      </c>
      <c r="L83" s="504">
        <f>L67</f>
        <v>2020</v>
      </c>
      <c r="M83" s="504">
        <f>M67</f>
        <v>2022</v>
      </c>
      <c r="N83" s="504"/>
      <c r="O83" s="504"/>
      <c r="P83" s="505"/>
      <c r="Q83" s="1749"/>
      <c r="R83" s="503" t="s">
        <v>110</v>
      </c>
      <c r="S83" s="504">
        <f>S67</f>
        <v>2019</v>
      </c>
      <c r="T83" s="504">
        <f>T67</f>
        <v>2020</v>
      </c>
      <c r="U83" s="504">
        <f>U67</f>
        <v>2022</v>
      </c>
      <c r="V83" s="504"/>
      <c r="W83" s="514"/>
    </row>
    <row r="84" spans="1:24" ht="12.75" customHeight="1" x14ac:dyDescent="0.25">
      <c r="A84" s="1749"/>
      <c r="B84" s="514">
        <v>10</v>
      </c>
      <c r="C84" s="510" t="s">
        <v>89</v>
      </c>
      <c r="D84" s="515">
        <v>9.9999999999999995E-7</v>
      </c>
      <c r="E84" s="515">
        <v>9.9999999999999995E-7</v>
      </c>
      <c r="F84" s="508">
        <f t="shared" ref="F84:F87" si="58">0.5*(MAX(C84:E84)-MIN(C84:E84))</f>
        <v>0</v>
      </c>
      <c r="G84" s="519">
        <f>B84*$H$84</f>
        <v>0.17</v>
      </c>
      <c r="H84" s="505">
        <f>1.7/100</f>
        <v>1.7000000000000001E-2</v>
      </c>
      <c r="I84" s="1749"/>
      <c r="J84" s="514">
        <v>10</v>
      </c>
      <c r="K84" s="510">
        <v>9.9999999999999995E-7</v>
      </c>
      <c r="L84" s="510">
        <v>9.9999999999999995E-7</v>
      </c>
      <c r="M84" s="545">
        <v>9.9999999999999995E-7</v>
      </c>
      <c r="N84" s="508">
        <f t="shared" ref="N84:N87" si="59">0.5*(MAX(K84:M84)-MIN(K84:M84))</f>
        <v>0</v>
      </c>
      <c r="O84" s="514">
        <f>J84*$P$84</f>
        <v>0.17</v>
      </c>
      <c r="P84" s="505">
        <f>1.7/100</f>
        <v>1.7000000000000001E-2</v>
      </c>
      <c r="Q84" s="1749"/>
      <c r="R84" s="514">
        <v>10</v>
      </c>
      <c r="S84" s="510">
        <v>9.9999999999999995E-7</v>
      </c>
      <c r="T84" s="515">
        <v>9.9999999999999995E-7</v>
      </c>
      <c r="U84" s="515">
        <v>9.9999999999999995E-7</v>
      </c>
      <c r="V84" s="508">
        <f t="shared" ref="V84:V87" si="60">0.5*(MAX(S84:U84)-MIN(S84:U84))</f>
        <v>0</v>
      </c>
      <c r="W84" s="514">
        <f>R84*$X$84</f>
        <v>0.17</v>
      </c>
      <c r="X84" s="499">
        <v>1.7000000000000001E-2</v>
      </c>
    </row>
    <row r="85" spans="1:24" ht="12.75" customHeight="1" x14ac:dyDescent="0.25">
      <c r="A85" s="1749"/>
      <c r="B85" s="514">
        <v>20</v>
      </c>
      <c r="C85" s="510" t="s">
        <v>89</v>
      </c>
      <c r="D85" s="510">
        <v>0.1</v>
      </c>
      <c r="E85" s="510">
        <v>0.1</v>
      </c>
      <c r="F85" s="508">
        <f t="shared" si="58"/>
        <v>0</v>
      </c>
      <c r="G85" s="519">
        <f t="shared" ref="G85:G87" si="61">B85*$H$84</f>
        <v>0.34</v>
      </c>
      <c r="H85" s="505"/>
      <c r="I85" s="1749"/>
      <c r="J85" s="514">
        <v>20</v>
      </c>
      <c r="K85" s="510">
        <v>9.9999999999999995E-7</v>
      </c>
      <c r="L85" s="510">
        <v>9.9999999999999995E-7</v>
      </c>
      <c r="M85" s="545">
        <v>9.9999999999999995E-7</v>
      </c>
      <c r="N85" s="508">
        <f t="shared" si="59"/>
        <v>0</v>
      </c>
      <c r="O85" s="514">
        <f t="shared" ref="O85:O86" si="62">J85*$P$84</f>
        <v>0.34</v>
      </c>
      <c r="P85" s="505"/>
      <c r="Q85" s="1749"/>
      <c r="R85" s="514">
        <v>20</v>
      </c>
      <c r="S85" s="510">
        <v>9.9999999999999995E-7</v>
      </c>
      <c r="T85" s="515">
        <v>9.9999999999999995E-7</v>
      </c>
      <c r="U85" s="515">
        <v>9.9999999999999995E-7</v>
      </c>
      <c r="V85" s="508">
        <f t="shared" si="60"/>
        <v>0</v>
      </c>
      <c r="W85" s="514">
        <f t="shared" ref="W85:W86" si="63">R85*$X$84</f>
        <v>0.34</v>
      </c>
    </row>
    <row r="86" spans="1:24" ht="12.75" customHeight="1" x14ac:dyDescent="0.25">
      <c r="A86" s="1749"/>
      <c r="B86" s="514">
        <v>50</v>
      </c>
      <c r="C86" s="510" t="s">
        <v>89</v>
      </c>
      <c r="D86" s="510">
        <v>0.4</v>
      </c>
      <c r="E86" s="510">
        <v>0.5</v>
      </c>
      <c r="F86" s="508">
        <f t="shared" si="58"/>
        <v>4.9999999999999989E-2</v>
      </c>
      <c r="G86" s="519">
        <f t="shared" si="61"/>
        <v>0.85000000000000009</v>
      </c>
      <c r="H86" s="505"/>
      <c r="I86" s="1749"/>
      <c r="J86" s="514">
        <v>50</v>
      </c>
      <c r="K86" s="510">
        <v>9.9999999999999995E-7</v>
      </c>
      <c r="L86" s="510">
        <v>9.9999999999999995E-7</v>
      </c>
      <c r="M86" s="545">
        <v>0.2</v>
      </c>
      <c r="N86" s="508">
        <f t="shared" si="59"/>
        <v>9.9999500000000005E-2</v>
      </c>
      <c r="O86" s="514">
        <f t="shared" si="62"/>
        <v>0.85000000000000009</v>
      </c>
      <c r="P86" s="505"/>
      <c r="Q86" s="1749"/>
      <c r="R86" s="514">
        <v>50</v>
      </c>
      <c r="S86" s="510">
        <v>9.9999999999999995E-7</v>
      </c>
      <c r="T86" s="515">
        <v>9.9999999999999995E-7</v>
      </c>
      <c r="U86" s="515">
        <v>0.2</v>
      </c>
      <c r="V86" s="508">
        <f t="shared" si="60"/>
        <v>9.9999500000000005E-2</v>
      </c>
      <c r="W86" s="514">
        <f t="shared" si="63"/>
        <v>0.85000000000000009</v>
      </c>
    </row>
    <row r="87" spans="1:24" ht="12.75" customHeight="1" x14ac:dyDescent="0.25">
      <c r="A87" s="1749"/>
      <c r="B87" s="514">
        <v>100</v>
      </c>
      <c r="C87" s="510" t="s">
        <v>89</v>
      </c>
      <c r="D87" s="510">
        <v>1.4</v>
      </c>
      <c r="E87" s="510">
        <v>0.9</v>
      </c>
      <c r="F87" s="508">
        <f t="shared" si="58"/>
        <v>0.24999999999999994</v>
      </c>
      <c r="G87" s="519">
        <f t="shared" si="61"/>
        <v>1.7000000000000002</v>
      </c>
      <c r="H87" s="505"/>
      <c r="I87" s="1749"/>
      <c r="J87" s="514">
        <v>100</v>
      </c>
      <c r="K87" s="510">
        <v>9.9999999999999995E-7</v>
      </c>
      <c r="L87" s="510">
        <v>9.9999999999999995E-7</v>
      </c>
      <c r="M87" s="545">
        <v>0.6</v>
      </c>
      <c r="N87" s="508">
        <f t="shared" si="59"/>
        <v>0.29999949999999997</v>
      </c>
      <c r="O87" s="514">
        <f>J87*$P$84</f>
        <v>1.7000000000000002</v>
      </c>
      <c r="P87" s="505"/>
      <c r="Q87" s="1749"/>
      <c r="R87" s="514">
        <v>100</v>
      </c>
      <c r="S87" s="510">
        <v>9.9999999999999995E-7</v>
      </c>
      <c r="T87" s="515">
        <v>9.9999999999999995E-7</v>
      </c>
      <c r="U87" s="515">
        <v>0.4</v>
      </c>
      <c r="V87" s="508">
        <f t="shared" si="60"/>
        <v>0.19999950000000002</v>
      </c>
      <c r="W87" s="514">
        <f>R87*$X$84</f>
        <v>1.7000000000000002</v>
      </c>
    </row>
    <row r="88" spans="1:24" ht="12.75" customHeight="1" x14ac:dyDescent="0.25">
      <c r="A88" s="1749"/>
      <c r="B88" s="1753" t="s">
        <v>111</v>
      </c>
      <c r="C88" s="1754"/>
      <c r="D88" s="1754"/>
      <c r="E88" s="1755"/>
      <c r="F88" s="504" t="s">
        <v>105</v>
      </c>
      <c r="G88" s="504" t="s">
        <v>90</v>
      </c>
      <c r="H88" s="505"/>
      <c r="I88" s="1749"/>
      <c r="J88" s="1753" t="s">
        <v>111</v>
      </c>
      <c r="K88" s="1754"/>
      <c r="L88" s="1754"/>
      <c r="M88" s="1755"/>
      <c r="N88" s="504" t="s">
        <v>105</v>
      </c>
      <c r="O88" s="504" t="s">
        <v>90</v>
      </c>
      <c r="P88" s="505"/>
      <c r="Q88" s="1749"/>
      <c r="R88" s="1753" t="str">
        <f>B88</f>
        <v>Resistance</v>
      </c>
      <c r="S88" s="1754"/>
      <c r="T88" s="1754"/>
      <c r="U88" s="1755"/>
      <c r="V88" s="504" t="s">
        <v>105</v>
      </c>
      <c r="W88" s="504" t="s">
        <v>90</v>
      </c>
    </row>
    <row r="89" spans="1:24" ht="15" customHeight="1" x14ac:dyDescent="0.25">
      <c r="A89" s="1749"/>
      <c r="B89" s="503" t="s">
        <v>112</v>
      </c>
      <c r="C89" s="504">
        <f>C67</f>
        <v>2019</v>
      </c>
      <c r="D89" s="504">
        <f>D67</f>
        <v>2020</v>
      </c>
      <c r="E89" s="504">
        <f>E67</f>
        <v>2022</v>
      </c>
      <c r="F89" s="504"/>
      <c r="G89" s="504"/>
      <c r="H89" s="505"/>
      <c r="I89" s="1749"/>
      <c r="J89" s="503" t="s">
        <v>112</v>
      </c>
      <c r="K89" s="504">
        <f>K67</f>
        <v>2019</v>
      </c>
      <c r="L89" s="504">
        <f>L67</f>
        <v>2020</v>
      </c>
      <c r="M89" s="504">
        <f>M67</f>
        <v>2022</v>
      </c>
      <c r="N89" s="504"/>
      <c r="O89" s="504"/>
      <c r="P89" s="505"/>
      <c r="Q89" s="1749"/>
      <c r="R89" s="503" t="s">
        <v>112</v>
      </c>
      <c r="S89" s="504">
        <f>S67</f>
        <v>2019</v>
      </c>
      <c r="T89" s="504">
        <f>T67</f>
        <v>2020</v>
      </c>
      <c r="U89" s="504">
        <f>U67</f>
        <v>2022</v>
      </c>
      <c r="V89" s="504"/>
      <c r="W89" s="504"/>
    </row>
    <row r="90" spans="1:24" ht="12.75" customHeight="1" x14ac:dyDescent="0.25">
      <c r="A90" s="1749"/>
      <c r="B90" s="514">
        <v>0.01</v>
      </c>
      <c r="C90" s="515">
        <v>9.9999999999999995E-7</v>
      </c>
      <c r="D90" s="515">
        <v>9.9999999999999995E-7</v>
      </c>
      <c r="E90" s="515">
        <v>9.9999999999999995E-7</v>
      </c>
      <c r="F90" s="508">
        <f t="shared" ref="F90:F93" si="64">0.5*(MAX(C90:E90)-MIN(C90:E90))</f>
        <v>0</v>
      </c>
      <c r="G90" s="514">
        <f>B90*$H$90</f>
        <v>1.2E-4</v>
      </c>
      <c r="H90" s="505">
        <f>1.2/100</f>
        <v>1.2E-2</v>
      </c>
      <c r="I90" s="1749"/>
      <c r="J90" s="514">
        <v>0.01</v>
      </c>
      <c r="K90" s="514">
        <v>9.9999999999999995E-7</v>
      </c>
      <c r="L90" s="515">
        <v>9.9999999999999995E-7</v>
      </c>
      <c r="M90" s="515">
        <v>9.9999999999999995E-7</v>
      </c>
      <c r="N90" s="508">
        <f t="shared" ref="N90:N93" si="65">0.5*(MAX(K90:M90)-MIN(K90:M90))</f>
        <v>0</v>
      </c>
      <c r="O90" s="514">
        <f>J90*$P$90</f>
        <v>1.2E-4</v>
      </c>
      <c r="P90" s="505">
        <f>1.2/100</f>
        <v>1.2E-2</v>
      </c>
      <c r="Q90" s="1749"/>
      <c r="R90" s="514">
        <v>0.01</v>
      </c>
      <c r="S90" s="514">
        <v>9.9999999999999995E-7</v>
      </c>
      <c r="T90" s="515">
        <v>9.9999999999999995E-7</v>
      </c>
      <c r="U90" s="515">
        <v>9.9999999999999995E-7</v>
      </c>
      <c r="V90" s="508">
        <f t="shared" ref="V90:V93" si="66">0.5*(MAX(S90:U90)-MIN(S90:U90))</f>
        <v>0</v>
      </c>
      <c r="W90" s="514">
        <f>R90*$X$90</f>
        <v>1.2E-4</v>
      </c>
      <c r="X90" s="499">
        <f>1.2/100</f>
        <v>1.2E-2</v>
      </c>
    </row>
    <row r="91" spans="1:24" ht="12.75" customHeight="1" x14ac:dyDescent="0.25">
      <c r="A91" s="1749"/>
      <c r="B91" s="514">
        <v>0.1</v>
      </c>
      <c r="C91" s="515">
        <v>9.9999999999999995E-7</v>
      </c>
      <c r="D91" s="515">
        <v>9.9999999999999995E-7</v>
      </c>
      <c r="E91" s="515">
        <v>2E-3</v>
      </c>
      <c r="F91" s="508">
        <f t="shared" si="64"/>
        <v>9.9949999999999995E-4</v>
      </c>
      <c r="G91" s="514">
        <f t="shared" ref="G91:G93" si="67">B91*$H$90</f>
        <v>1.2000000000000001E-3</v>
      </c>
      <c r="H91" s="505"/>
      <c r="I91" s="1749"/>
      <c r="J91" s="514">
        <v>0.1</v>
      </c>
      <c r="K91" s="514">
        <v>9.9999999999999995E-7</v>
      </c>
      <c r="L91" s="515">
        <v>-2E-3</v>
      </c>
      <c r="M91" s="515">
        <v>1E-3</v>
      </c>
      <c r="N91" s="508">
        <f t="shared" si="65"/>
        <v>1.5E-3</v>
      </c>
      <c r="O91" s="514">
        <f t="shared" ref="O91:O93" si="68">J91*$P$90</f>
        <v>1.2000000000000001E-3</v>
      </c>
      <c r="P91" s="505"/>
      <c r="Q91" s="1749"/>
      <c r="R91" s="514">
        <v>0.1</v>
      </c>
      <c r="S91" s="514">
        <v>9.9999999999999995E-7</v>
      </c>
      <c r="T91" s="515">
        <v>-3.0000000000000001E-3</v>
      </c>
      <c r="U91" s="515">
        <v>-1E-3</v>
      </c>
      <c r="V91" s="508">
        <f t="shared" si="66"/>
        <v>1.5005000000000001E-3</v>
      </c>
      <c r="W91" s="514">
        <f t="shared" ref="W91:W93" si="69">R91*$X$90</f>
        <v>1.2000000000000001E-3</v>
      </c>
    </row>
    <row r="92" spans="1:24" ht="12.75" customHeight="1" x14ac:dyDescent="0.25">
      <c r="A92" s="1749"/>
      <c r="B92" s="514">
        <v>1</v>
      </c>
      <c r="C92" s="515">
        <v>-2.3E-3</v>
      </c>
      <c r="D92" s="515">
        <v>-2.3E-3</v>
      </c>
      <c r="E92" s="515">
        <v>2E-3</v>
      </c>
      <c r="F92" s="508">
        <f t="shared" si="64"/>
        <v>2.15E-3</v>
      </c>
      <c r="G92" s="514">
        <f t="shared" si="67"/>
        <v>1.2E-2</v>
      </c>
      <c r="H92" s="505"/>
      <c r="I92" s="1749"/>
      <c r="J92" s="514">
        <v>1</v>
      </c>
      <c r="K92" s="514">
        <v>9.9999999999999995E-7</v>
      </c>
      <c r="L92" s="515">
        <v>-1E-3</v>
      </c>
      <c r="M92" s="515">
        <v>9.9999999999999995E-7</v>
      </c>
      <c r="N92" s="508">
        <f t="shared" si="65"/>
        <v>5.0049999999999997E-4</v>
      </c>
      <c r="O92" s="514">
        <f t="shared" si="68"/>
        <v>1.2E-2</v>
      </c>
      <c r="P92" s="505"/>
      <c r="Q92" s="1749"/>
      <c r="R92" s="514">
        <v>1</v>
      </c>
      <c r="S92" s="514">
        <v>9.9999999999999995E-7</v>
      </c>
      <c r="T92" s="515">
        <v>-1E-3</v>
      </c>
      <c r="U92" s="515">
        <v>5.0000000000000001E-3</v>
      </c>
      <c r="V92" s="508">
        <f t="shared" si="66"/>
        <v>3.0000000000000001E-3</v>
      </c>
      <c r="W92" s="514">
        <f t="shared" si="69"/>
        <v>1.2E-2</v>
      </c>
    </row>
    <row r="93" spans="1:24" ht="12.75" customHeight="1" x14ac:dyDescent="0.25">
      <c r="A93" s="1750"/>
      <c r="B93" s="514">
        <v>2</v>
      </c>
      <c r="C93" s="515">
        <v>9.9999999999999995E-7</v>
      </c>
      <c r="D93" s="515">
        <v>9.9999999999999995E-7</v>
      </c>
      <c r="E93" s="515">
        <v>-1E-3</v>
      </c>
      <c r="F93" s="508">
        <f t="shared" si="64"/>
        <v>5.0049999999999997E-4</v>
      </c>
      <c r="G93" s="514">
        <f t="shared" si="67"/>
        <v>2.4E-2</v>
      </c>
      <c r="H93" s="505"/>
      <c r="I93" s="1750"/>
      <c r="J93" s="514">
        <v>2</v>
      </c>
      <c r="K93" s="514">
        <v>9.9999999999999995E-7</v>
      </c>
      <c r="L93" s="515">
        <v>-6.0000000000000001E-3</v>
      </c>
      <c r="M93" s="515">
        <v>9.9999999999999995E-7</v>
      </c>
      <c r="N93" s="508">
        <f t="shared" si="65"/>
        <v>3.0005000000000001E-3</v>
      </c>
      <c r="O93" s="514">
        <f t="shared" si="68"/>
        <v>2.4E-2</v>
      </c>
      <c r="P93" s="505"/>
      <c r="Q93" s="1750"/>
      <c r="R93" s="514">
        <v>2</v>
      </c>
      <c r="S93" s="514">
        <v>9.9999999999999995E-7</v>
      </c>
      <c r="T93" s="515">
        <v>-6.0000000000000001E-3</v>
      </c>
      <c r="U93" s="515">
        <v>5.0000000000000001E-3</v>
      </c>
      <c r="V93" s="508">
        <f t="shared" si="66"/>
        <v>5.4999999999999997E-3</v>
      </c>
      <c r="W93" s="514">
        <f t="shared" si="69"/>
        <v>2.4E-2</v>
      </c>
    </row>
    <row r="94" spans="1:24" s="166" customFormat="1" ht="15.5" x14ac:dyDescent="0.25">
      <c r="A94" s="536"/>
      <c r="B94" s="537"/>
      <c r="C94" s="538"/>
      <c r="E94" s="538"/>
      <c r="F94" s="538"/>
      <c r="G94" s="538"/>
      <c r="H94" s="526"/>
      <c r="I94" s="539"/>
      <c r="J94" s="540"/>
      <c r="K94" s="538"/>
      <c r="M94" s="538"/>
      <c r="N94" s="538"/>
      <c r="O94" s="538"/>
      <c r="P94" s="526"/>
      <c r="Q94" s="539"/>
      <c r="R94" s="537"/>
      <c r="S94" s="538"/>
      <c r="U94" s="525"/>
      <c r="V94" s="525"/>
      <c r="W94" s="527"/>
      <c r="X94" s="528"/>
    </row>
    <row r="95" spans="1:24" ht="30" customHeight="1" x14ac:dyDescent="0.25">
      <c r="A95" s="1748">
        <v>10</v>
      </c>
      <c r="B95" s="1759" t="str">
        <f>A175</f>
        <v>Electrical Safety Analyzer, Merek : Fluke, Model : ESA 615, SN : --</v>
      </c>
      <c r="C95" s="1759"/>
      <c r="D95" s="1759"/>
      <c r="E95" s="1759"/>
      <c r="F95" s="1759"/>
      <c r="G95" s="1759"/>
      <c r="H95" s="500"/>
      <c r="I95" s="1748">
        <v>11</v>
      </c>
      <c r="J95" s="1764" t="str">
        <f>A176</f>
        <v>Electrical Safety Analyzer 11</v>
      </c>
      <c r="K95" s="1764"/>
      <c r="L95" s="1764"/>
      <c r="M95" s="1764"/>
      <c r="N95" s="1764"/>
      <c r="O95" s="1764"/>
      <c r="P95" s="500"/>
      <c r="Q95" s="1748">
        <v>12</v>
      </c>
      <c r="R95" s="1764" t="str">
        <f>A177</f>
        <v>Electrical Safety Analyzer 12</v>
      </c>
      <c r="S95" s="1764"/>
      <c r="T95" s="1764"/>
      <c r="U95" s="1764"/>
      <c r="V95" s="1764"/>
      <c r="W95" s="1764"/>
    </row>
    <row r="96" spans="1:24" ht="15" customHeight="1" x14ac:dyDescent="0.3">
      <c r="A96" s="1749"/>
      <c r="B96" s="1760" t="s">
        <v>103</v>
      </c>
      <c r="C96" s="1760"/>
      <c r="D96" s="1760"/>
      <c r="E96" s="1760"/>
      <c r="F96" s="530"/>
      <c r="G96" s="530"/>
      <c r="H96" s="502"/>
      <c r="I96" s="1749"/>
      <c r="J96" s="1752" t="s">
        <v>103</v>
      </c>
      <c r="K96" s="1752"/>
      <c r="L96" s="1752"/>
      <c r="M96" s="1752"/>
      <c r="N96" s="531"/>
      <c r="O96" s="531"/>
      <c r="P96" s="502"/>
      <c r="Q96" s="1749"/>
      <c r="R96" s="1760" t="s">
        <v>103</v>
      </c>
      <c r="S96" s="1760"/>
      <c r="T96" s="1760"/>
      <c r="U96" s="1760"/>
      <c r="V96" s="531"/>
      <c r="W96" s="531"/>
    </row>
    <row r="97" spans="1:23" ht="12.75" customHeight="1" x14ac:dyDescent="0.25">
      <c r="A97" s="1749"/>
      <c r="B97" s="1756" t="s">
        <v>104</v>
      </c>
      <c r="C97" s="1757"/>
      <c r="D97" s="1757"/>
      <c r="E97" s="1758"/>
      <c r="F97" s="504" t="s">
        <v>105</v>
      </c>
      <c r="G97" s="504" t="s">
        <v>90</v>
      </c>
      <c r="H97" s="505"/>
      <c r="I97" s="1749"/>
      <c r="J97" s="1778" t="s">
        <v>104</v>
      </c>
      <c r="K97" s="1779"/>
      <c r="L97" s="1779"/>
      <c r="M97" s="1780"/>
      <c r="N97" s="504" t="s">
        <v>105</v>
      </c>
      <c r="O97" s="504" t="s">
        <v>90</v>
      </c>
      <c r="P97" s="505"/>
      <c r="Q97" s="1749"/>
      <c r="R97" s="1756" t="s">
        <v>104</v>
      </c>
      <c r="S97" s="1757"/>
      <c r="T97" s="1757"/>
      <c r="U97" s="1758"/>
      <c r="V97" s="504" t="s">
        <v>105</v>
      </c>
      <c r="W97" s="504" t="s">
        <v>90</v>
      </c>
    </row>
    <row r="98" spans="1:23" ht="15" customHeight="1" x14ac:dyDescent="0.25">
      <c r="A98" s="1749"/>
      <c r="B98" s="503" t="s">
        <v>106</v>
      </c>
      <c r="C98" s="504">
        <v>2019</v>
      </c>
      <c r="D98" s="504">
        <v>2019</v>
      </c>
      <c r="E98" s="504">
        <v>2020</v>
      </c>
      <c r="F98" s="504"/>
      <c r="G98" s="504"/>
      <c r="H98" s="505"/>
      <c r="I98" s="1749"/>
      <c r="J98" s="503" t="s">
        <v>106</v>
      </c>
      <c r="K98" s="504">
        <v>2019</v>
      </c>
      <c r="L98" s="504">
        <v>2019</v>
      </c>
      <c r="M98" s="504">
        <v>2020</v>
      </c>
      <c r="N98" s="504"/>
      <c r="O98" s="504"/>
      <c r="P98" s="505"/>
      <c r="Q98" s="1749"/>
      <c r="R98" s="503" t="s">
        <v>106</v>
      </c>
      <c r="S98" s="504">
        <v>2019</v>
      </c>
      <c r="T98" s="504">
        <v>2019</v>
      </c>
      <c r="U98" s="504">
        <v>2020</v>
      </c>
      <c r="V98" s="504"/>
      <c r="W98" s="504"/>
    </row>
    <row r="99" spans="1:23" ht="12.75" customHeight="1" x14ac:dyDescent="0.25">
      <c r="A99" s="1749"/>
      <c r="B99" s="506">
        <v>150</v>
      </c>
      <c r="C99" s="507">
        <v>0.21</v>
      </c>
      <c r="D99" s="507">
        <v>0.21</v>
      </c>
      <c r="E99" s="507">
        <v>0.21</v>
      </c>
      <c r="F99" s="508">
        <f t="shared" ref="F99:F104" si="70">0.5*(MAX(C99:E99)-MIN(C99:E99))</f>
        <v>0</v>
      </c>
      <c r="G99" s="512">
        <v>1.2</v>
      </c>
      <c r="H99" s="505"/>
      <c r="I99" s="1749"/>
      <c r="J99" s="506">
        <v>150</v>
      </c>
      <c r="K99" s="509">
        <v>9.9999999999999995E-7</v>
      </c>
      <c r="L99" s="509">
        <v>9.9999999999999995E-7</v>
      </c>
      <c r="M99" s="507">
        <v>-0.17</v>
      </c>
      <c r="N99" s="508">
        <f>0.5*(MAX(K99:M99)-MIN(K99:M99))</f>
        <v>8.5000500000000007E-2</v>
      </c>
      <c r="O99" s="507">
        <v>1.2</v>
      </c>
      <c r="P99" s="505"/>
      <c r="Q99" s="1749"/>
      <c r="R99" s="506">
        <v>150</v>
      </c>
      <c r="S99" s="509">
        <v>9.9999999999999995E-7</v>
      </c>
      <c r="T99" s="509">
        <v>9.9999999999999995E-7</v>
      </c>
      <c r="U99" s="507">
        <v>-0.24</v>
      </c>
      <c r="V99" s="508">
        <f t="shared" ref="V99:V104" si="71">0.5*(MAX(S99:U99)-MIN(S99:U99))</f>
        <v>0.1200005</v>
      </c>
      <c r="W99" s="507">
        <v>1.2</v>
      </c>
    </row>
    <row r="100" spans="1:23" ht="12.75" customHeight="1" x14ac:dyDescent="0.25">
      <c r="A100" s="1749"/>
      <c r="B100" s="506">
        <v>180</v>
      </c>
      <c r="C100" s="513">
        <v>0.33</v>
      </c>
      <c r="D100" s="513">
        <v>0.33</v>
      </c>
      <c r="E100" s="513">
        <v>0.33</v>
      </c>
      <c r="F100" s="508">
        <f t="shared" si="70"/>
        <v>0</v>
      </c>
      <c r="G100" s="512">
        <v>1.2</v>
      </c>
      <c r="H100" s="505"/>
      <c r="I100" s="1749"/>
      <c r="J100" s="506">
        <v>180</v>
      </c>
      <c r="K100" s="509">
        <v>9.9999999999999995E-7</v>
      </c>
      <c r="L100" s="509">
        <v>9.9999999999999995E-7</v>
      </c>
      <c r="M100" s="513">
        <v>-0.22</v>
      </c>
      <c r="N100" s="508">
        <f t="shared" ref="N100:N104" si="72">0.5*(MAX(K100:M100)-MIN(K100:M100))</f>
        <v>0.1100005</v>
      </c>
      <c r="O100" s="507">
        <v>1.2</v>
      </c>
      <c r="P100" s="505"/>
      <c r="Q100" s="1749"/>
      <c r="R100" s="506">
        <v>180</v>
      </c>
      <c r="S100" s="509">
        <v>9.9999999999999995E-7</v>
      </c>
      <c r="T100" s="509">
        <v>9.9999999999999995E-7</v>
      </c>
      <c r="U100" s="513">
        <v>-0.14000000000000001</v>
      </c>
      <c r="V100" s="508">
        <f t="shared" si="71"/>
        <v>7.0000500000000007E-2</v>
      </c>
      <c r="W100" s="507">
        <v>1.2</v>
      </c>
    </row>
    <row r="101" spans="1:23" ht="12.75" customHeight="1" x14ac:dyDescent="0.25">
      <c r="A101" s="1749"/>
      <c r="B101" s="506">
        <v>200</v>
      </c>
      <c r="C101" s="513">
        <v>0.34</v>
      </c>
      <c r="D101" s="513">
        <v>0.34</v>
      </c>
      <c r="E101" s="513">
        <v>0.34</v>
      </c>
      <c r="F101" s="508">
        <f t="shared" si="70"/>
        <v>0</v>
      </c>
      <c r="G101" s="512">
        <v>1.2</v>
      </c>
      <c r="H101" s="505"/>
      <c r="I101" s="1749"/>
      <c r="J101" s="506">
        <v>200</v>
      </c>
      <c r="K101" s="509">
        <v>9.9999999999999995E-7</v>
      </c>
      <c r="L101" s="509">
        <v>9.9999999999999995E-7</v>
      </c>
      <c r="M101" s="513">
        <v>-0.33</v>
      </c>
      <c r="N101" s="508">
        <f t="shared" si="72"/>
        <v>0.16500049999999999</v>
      </c>
      <c r="O101" s="507">
        <v>1.2</v>
      </c>
      <c r="P101" s="505"/>
      <c r="Q101" s="1749"/>
      <c r="R101" s="506">
        <v>200</v>
      </c>
      <c r="S101" s="509">
        <v>9.9999999999999995E-7</v>
      </c>
      <c r="T101" s="509">
        <v>9.9999999999999995E-7</v>
      </c>
      <c r="U101" s="513">
        <v>-0.33</v>
      </c>
      <c r="V101" s="508">
        <f t="shared" si="71"/>
        <v>0.16500049999999999</v>
      </c>
      <c r="W101" s="507">
        <v>1.2</v>
      </c>
    </row>
    <row r="102" spans="1:23" ht="12.75" customHeight="1" x14ac:dyDescent="0.25">
      <c r="A102" s="1749"/>
      <c r="B102" s="506">
        <v>220</v>
      </c>
      <c r="C102" s="513">
        <v>0.37</v>
      </c>
      <c r="D102" s="513">
        <v>0.37</v>
      </c>
      <c r="E102" s="513">
        <v>0.37</v>
      </c>
      <c r="F102" s="508">
        <f t="shared" si="70"/>
        <v>0</v>
      </c>
      <c r="G102" s="512">
        <v>1.2</v>
      </c>
      <c r="H102" s="505"/>
      <c r="I102" s="1749"/>
      <c r="J102" s="506">
        <v>220</v>
      </c>
      <c r="K102" s="509">
        <v>9.9999999999999995E-7</v>
      </c>
      <c r="L102" s="509">
        <v>9.9999999999999995E-7</v>
      </c>
      <c r="M102" s="513">
        <v>-0.39</v>
      </c>
      <c r="N102" s="508">
        <f t="shared" si="72"/>
        <v>0.19500049999999999</v>
      </c>
      <c r="O102" s="507">
        <v>1.2</v>
      </c>
      <c r="P102" s="505"/>
      <c r="Q102" s="1749"/>
      <c r="R102" s="506">
        <v>220</v>
      </c>
      <c r="S102" s="509">
        <v>9.9999999999999995E-7</v>
      </c>
      <c r="T102" s="509">
        <v>9.9999999999999995E-7</v>
      </c>
      <c r="U102" s="513">
        <v>-0.45</v>
      </c>
      <c r="V102" s="508">
        <f t="shared" si="71"/>
        <v>0.22500049999999999</v>
      </c>
      <c r="W102" s="507">
        <v>1.2</v>
      </c>
    </row>
    <row r="103" spans="1:23" ht="12.75" customHeight="1" x14ac:dyDescent="0.25">
      <c r="A103" s="1749"/>
      <c r="B103" s="506">
        <v>230</v>
      </c>
      <c r="C103" s="513">
        <v>0.47</v>
      </c>
      <c r="D103" s="513">
        <v>0.47</v>
      </c>
      <c r="E103" s="513">
        <v>0.47</v>
      </c>
      <c r="F103" s="508">
        <f t="shared" si="70"/>
        <v>0</v>
      </c>
      <c r="G103" s="512">
        <v>1.2</v>
      </c>
      <c r="H103" s="505"/>
      <c r="I103" s="1749"/>
      <c r="J103" s="506">
        <v>230</v>
      </c>
      <c r="K103" s="509">
        <v>9.9999999999999995E-7</v>
      </c>
      <c r="L103" s="509">
        <v>9.9999999999999995E-7</v>
      </c>
      <c r="M103" s="513">
        <v>-0.39</v>
      </c>
      <c r="N103" s="508">
        <f t="shared" si="72"/>
        <v>0.19500049999999999</v>
      </c>
      <c r="O103" s="507">
        <v>1.2</v>
      </c>
      <c r="P103" s="505"/>
      <c r="Q103" s="1749"/>
      <c r="R103" s="506">
        <v>230</v>
      </c>
      <c r="S103" s="509">
        <v>9.9999999999999995E-7</v>
      </c>
      <c r="T103" s="509">
        <v>9.9999999999999995E-7</v>
      </c>
      <c r="U103" s="513">
        <v>-0.54</v>
      </c>
      <c r="V103" s="508">
        <f t="shared" si="71"/>
        <v>0.27000050000000003</v>
      </c>
      <c r="W103" s="507">
        <v>1.2</v>
      </c>
    </row>
    <row r="104" spans="1:23" ht="12.75" customHeight="1" x14ac:dyDescent="0.25">
      <c r="A104" s="1749"/>
      <c r="B104" s="506">
        <v>250</v>
      </c>
      <c r="C104" s="513">
        <v>9.9999999999999995E-7</v>
      </c>
      <c r="D104" s="513">
        <v>9.9999999999999995E-7</v>
      </c>
      <c r="E104" s="515">
        <v>9.9999999999999995E-7</v>
      </c>
      <c r="F104" s="508">
        <f t="shared" si="70"/>
        <v>0</v>
      </c>
      <c r="G104" s="512">
        <v>1.2</v>
      </c>
      <c r="H104" s="505"/>
      <c r="I104" s="1749"/>
      <c r="J104" s="506">
        <v>250</v>
      </c>
      <c r="K104" s="509">
        <v>9.9999999999999995E-7</v>
      </c>
      <c r="L104" s="509">
        <v>9.9999999999999995E-7</v>
      </c>
      <c r="M104" s="515">
        <v>9.9999999999999995E-7</v>
      </c>
      <c r="N104" s="508">
        <f t="shared" si="72"/>
        <v>0</v>
      </c>
      <c r="O104" s="507">
        <v>1.2</v>
      </c>
      <c r="P104" s="505"/>
      <c r="Q104" s="1749"/>
      <c r="R104" s="506">
        <v>250</v>
      </c>
      <c r="S104" s="509">
        <v>9.9999999999999995E-7</v>
      </c>
      <c r="T104" s="509">
        <v>9.9999999999999995E-7</v>
      </c>
      <c r="U104" s="515">
        <v>9.9999999999999995E-7</v>
      </c>
      <c r="V104" s="508">
        <f t="shared" si="71"/>
        <v>0</v>
      </c>
      <c r="W104" s="507">
        <v>1.2</v>
      </c>
    </row>
    <row r="105" spans="1:23" ht="12.75" customHeight="1" x14ac:dyDescent="0.25">
      <c r="A105" s="1749"/>
      <c r="B105" s="1753" t="s">
        <v>107</v>
      </c>
      <c r="C105" s="1754"/>
      <c r="D105" s="1754"/>
      <c r="E105" s="1755"/>
      <c r="F105" s="504" t="s">
        <v>105</v>
      </c>
      <c r="G105" s="504" t="s">
        <v>90</v>
      </c>
      <c r="H105" s="505"/>
      <c r="I105" s="1749"/>
      <c r="J105" s="1753" t="s">
        <v>107</v>
      </c>
      <c r="K105" s="1754"/>
      <c r="L105" s="1754"/>
      <c r="M105" s="1755"/>
      <c r="N105" s="504" t="s">
        <v>105</v>
      </c>
      <c r="O105" s="504" t="s">
        <v>90</v>
      </c>
      <c r="P105" s="505"/>
      <c r="Q105" s="1749"/>
      <c r="R105" s="1753" t="s">
        <v>107</v>
      </c>
      <c r="S105" s="1754"/>
      <c r="T105" s="1754"/>
      <c r="U105" s="1755"/>
      <c r="V105" s="504" t="s">
        <v>105</v>
      </c>
      <c r="W105" s="504" t="s">
        <v>90</v>
      </c>
    </row>
    <row r="106" spans="1:23" ht="15" customHeight="1" x14ac:dyDescent="0.25">
      <c r="A106" s="1749"/>
      <c r="B106" s="503" t="s">
        <v>108</v>
      </c>
      <c r="C106" s="504">
        <f>C98</f>
        <v>2019</v>
      </c>
      <c r="D106" s="504">
        <f>D98</f>
        <v>2019</v>
      </c>
      <c r="E106" s="504">
        <f>E98</f>
        <v>2020</v>
      </c>
      <c r="F106" s="504"/>
      <c r="G106" s="504"/>
      <c r="H106" s="505"/>
      <c r="I106" s="1749"/>
      <c r="J106" s="503" t="s">
        <v>108</v>
      </c>
      <c r="K106" s="504">
        <f>K98</f>
        <v>2019</v>
      </c>
      <c r="L106" s="504">
        <f>L98</f>
        <v>2019</v>
      </c>
      <c r="M106" s="504">
        <f>M98</f>
        <v>2020</v>
      </c>
      <c r="N106" s="504"/>
      <c r="O106" s="504"/>
      <c r="P106" s="505"/>
      <c r="Q106" s="1749"/>
      <c r="R106" s="503" t="s">
        <v>108</v>
      </c>
      <c r="S106" s="504">
        <f>S98</f>
        <v>2019</v>
      </c>
      <c r="T106" s="504">
        <f>T98</f>
        <v>2019</v>
      </c>
      <c r="U106" s="504">
        <f>U98</f>
        <v>2020</v>
      </c>
      <c r="V106" s="504"/>
      <c r="W106" s="504"/>
    </row>
    <row r="107" spans="1:23" ht="12.75" customHeight="1" x14ac:dyDescent="0.25">
      <c r="A107" s="1749"/>
      <c r="B107" s="510">
        <v>9.9999999999999995E-7</v>
      </c>
      <c r="C107" s="507">
        <v>9.9999999999999995E-7</v>
      </c>
      <c r="D107" s="507">
        <v>9.9999999999999995E-7</v>
      </c>
      <c r="E107" s="513">
        <v>9.9999999999999995E-7</v>
      </c>
      <c r="F107" s="508">
        <f t="shared" ref="F107:F112" si="73">0.5*(MAX(C107:E107)-MIN(C107:E107))</f>
        <v>0</v>
      </c>
      <c r="G107" s="518">
        <v>0.59</v>
      </c>
      <c r="H107" s="505"/>
      <c r="I107" s="1749"/>
      <c r="J107" s="519">
        <v>9.9999999999999995E-7</v>
      </c>
      <c r="K107" s="510">
        <v>9.9999999999999995E-7</v>
      </c>
      <c r="L107" s="510">
        <v>9.9999999999999995E-7</v>
      </c>
      <c r="M107" s="515">
        <v>9.9999999999999995E-7</v>
      </c>
      <c r="N107" s="508">
        <f t="shared" ref="N107:N112" si="74">0.5*(MAX(K107:M107)-MIN(K107:M107))</f>
        <v>0</v>
      </c>
      <c r="O107" s="517">
        <v>0.59</v>
      </c>
      <c r="P107" s="505"/>
      <c r="Q107" s="1749"/>
      <c r="R107" s="519">
        <v>9.9999999999999995E-7</v>
      </c>
      <c r="S107" s="510">
        <v>9.9999999999999995E-7</v>
      </c>
      <c r="T107" s="510">
        <v>9.9999999999999995E-7</v>
      </c>
      <c r="U107" s="515">
        <v>9.9999999999999995E-7</v>
      </c>
      <c r="V107" s="508">
        <f t="shared" ref="V107:V112" si="75">0.5*(MAX(S107:U107)-MIN(S107:U107))</f>
        <v>0</v>
      </c>
      <c r="W107" s="517">
        <v>0.59</v>
      </c>
    </row>
    <row r="108" spans="1:23" ht="12.75" customHeight="1" x14ac:dyDescent="0.25">
      <c r="A108" s="1749"/>
      <c r="B108" s="514">
        <v>50</v>
      </c>
      <c r="C108" s="513">
        <v>1.7</v>
      </c>
      <c r="D108" s="513">
        <v>1.7</v>
      </c>
      <c r="E108" s="513">
        <v>1.7</v>
      </c>
      <c r="F108" s="508">
        <f t="shared" si="73"/>
        <v>0</v>
      </c>
      <c r="G108" s="518">
        <v>0.59</v>
      </c>
      <c r="H108" s="505"/>
      <c r="I108" s="1749"/>
      <c r="J108" s="514">
        <v>50</v>
      </c>
      <c r="K108" s="510">
        <v>9.9999999999999995E-7</v>
      </c>
      <c r="L108" s="510">
        <v>9.9999999999999995E-7</v>
      </c>
      <c r="M108" s="513">
        <v>1.7</v>
      </c>
      <c r="N108" s="508">
        <f t="shared" si="74"/>
        <v>0.84999950000000002</v>
      </c>
      <c r="O108" s="517">
        <v>0.59</v>
      </c>
      <c r="P108" s="505"/>
      <c r="Q108" s="1749"/>
      <c r="R108" s="514">
        <v>50</v>
      </c>
      <c r="S108" s="510">
        <v>9.9999999999999995E-7</v>
      </c>
      <c r="T108" s="510">
        <v>9.9999999999999995E-7</v>
      </c>
      <c r="U108" s="513">
        <v>2.1</v>
      </c>
      <c r="V108" s="508">
        <f t="shared" si="75"/>
        <v>1.0499995</v>
      </c>
      <c r="W108" s="513">
        <v>0.59</v>
      </c>
    </row>
    <row r="109" spans="1:23" ht="12.75" customHeight="1" x14ac:dyDescent="0.25">
      <c r="A109" s="1749"/>
      <c r="B109" s="514">
        <v>100</v>
      </c>
      <c r="C109" s="513">
        <v>1.7</v>
      </c>
      <c r="D109" s="513">
        <v>1.7</v>
      </c>
      <c r="E109" s="513">
        <v>1.7</v>
      </c>
      <c r="F109" s="508">
        <f t="shared" si="73"/>
        <v>0</v>
      </c>
      <c r="G109" s="518">
        <v>0.59</v>
      </c>
      <c r="H109" s="505"/>
      <c r="I109" s="1749"/>
      <c r="J109" s="514">
        <v>100</v>
      </c>
      <c r="K109" s="510">
        <v>9.9999999999999995E-7</v>
      </c>
      <c r="L109" s="510">
        <v>9.9999999999999995E-7</v>
      </c>
      <c r="M109" s="513">
        <v>3.4</v>
      </c>
      <c r="N109" s="508">
        <f t="shared" si="74"/>
        <v>1.6999994999999999</v>
      </c>
      <c r="O109" s="517">
        <v>0.59</v>
      </c>
      <c r="P109" s="505"/>
      <c r="Q109" s="1749"/>
      <c r="R109" s="514">
        <v>100</v>
      </c>
      <c r="S109" s="510">
        <v>9.9999999999999995E-7</v>
      </c>
      <c r="T109" s="510">
        <v>9.9999999999999995E-7</v>
      </c>
      <c r="U109" s="513">
        <v>3.7</v>
      </c>
      <c r="V109" s="508">
        <f t="shared" si="75"/>
        <v>1.8499995</v>
      </c>
      <c r="W109" s="513">
        <v>0.59</v>
      </c>
    </row>
    <row r="110" spans="1:23" ht="12.75" customHeight="1" x14ac:dyDescent="0.25">
      <c r="A110" s="1749"/>
      <c r="B110" s="514">
        <v>200</v>
      </c>
      <c r="C110" s="513">
        <v>0.4</v>
      </c>
      <c r="D110" s="513">
        <v>0.4</v>
      </c>
      <c r="E110" s="513">
        <v>0.4</v>
      </c>
      <c r="F110" s="508">
        <f t="shared" si="73"/>
        <v>0</v>
      </c>
      <c r="G110" s="518">
        <v>0.59</v>
      </c>
      <c r="H110" s="505"/>
      <c r="I110" s="1749"/>
      <c r="J110" s="514">
        <v>500</v>
      </c>
      <c r="K110" s="510">
        <v>9.9999999999999995E-7</v>
      </c>
      <c r="L110" s="510">
        <v>9.9999999999999995E-7</v>
      </c>
      <c r="M110" s="513">
        <v>7.2</v>
      </c>
      <c r="N110" s="508">
        <f t="shared" si="74"/>
        <v>3.5999995</v>
      </c>
      <c r="O110" s="517">
        <v>0.59</v>
      </c>
      <c r="P110" s="505"/>
      <c r="Q110" s="1749"/>
      <c r="R110" s="514">
        <v>500</v>
      </c>
      <c r="S110" s="510">
        <v>9.9999999999999995E-7</v>
      </c>
      <c r="T110" s="510">
        <v>9.9999999999999995E-7</v>
      </c>
      <c r="U110" s="513">
        <v>8.3000000000000007</v>
      </c>
      <c r="V110" s="508">
        <f t="shared" si="75"/>
        <v>4.1499995000000007</v>
      </c>
      <c r="W110" s="513">
        <v>0.59</v>
      </c>
    </row>
    <row r="111" spans="1:23" ht="12.75" customHeight="1" x14ac:dyDescent="0.25">
      <c r="A111" s="1749"/>
      <c r="B111" s="514">
        <v>500</v>
      </c>
      <c r="C111" s="513">
        <v>3</v>
      </c>
      <c r="D111" s="513">
        <v>3</v>
      </c>
      <c r="E111" s="513">
        <v>3</v>
      </c>
      <c r="F111" s="508">
        <f t="shared" si="73"/>
        <v>0</v>
      </c>
      <c r="G111" s="518">
        <v>0.59</v>
      </c>
      <c r="H111" s="505"/>
      <c r="I111" s="1749"/>
      <c r="J111" s="514">
        <v>500</v>
      </c>
      <c r="K111" s="510">
        <v>9.9999999999999995E-7</v>
      </c>
      <c r="L111" s="510">
        <v>9.9999999999999995E-7</v>
      </c>
      <c r="M111" s="513">
        <v>7.2</v>
      </c>
      <c r="N111" s="508">
        <f t="shared" si="74"/>
        <v>3.5999995</v>
      </c>
      <c r="O111" s="517">
        <v>0.59</v>
      </c>
      <c r="P111" s="505"/>
      <c r="Q111" s="1749"/>
      <c r="R111" s="514">
        <v>500</v>
      </c>
      <c r="S111" s="510">
        <v>9.9999999999999995E-7</v>
      </c>
      <c r="T111" s="510">
        <v>9.9999999999999995E-7</v>
      </c>
      <c r="U111" s="513">
        <v>8.3000000000000007</v>
      </c>
      <c r="V111" s="508">
        <f t="shared" si="75"/>
        <v>4.1499995000000007</v>
      </c>
      <c r="W111" s="513">
        <v>0.59</v>
      </c>
    </row>
    <row r="112" spans="1:23" ht="12.75" customHeight="1" x14ac:dyDescent="0.25">
      <c r="A112" s="1749"/>
      <c r="B112" s="514">
        <v>1000</v>
      </c>
      <c r="C112" s="513">
        <v>5</v>
      </c>
      <c r="D112" s="513">
        <v>5</v>
      </c>
      <c r="E112" s="513">
        <v>4</v>
      </c>
      <c r="F112" s="508">
        <f t="shared" si="73"/>
        <v>0.5</v>
      </c>
      <c r="G112" s="518">
        <v>0.59</v>
      </c>
      <c r="H112" s="505"/>
      <c r="I112" s="1749"/>
      <c r="J112" s="514">
        <v>1000</v>
      </c>
      <c r="K112" s="510">
        <v>9.9999999999999995E-7</v>
      </c>
      <c r="L112" s="510">
        <v>9.9999999999999995E-7</v>
      </c>
      <c r="M112" s="513">
        <v>80</v>
      </c>
      <c r="N112" s="508">
        <f t="shared" si="74"/>
        <v>39.999999500000001</v>
      </c>
      <c r="O112" s="517">
        <v>0.59</v>
      </c>
      <c r="P112" s="505"/>
      <c r="Q112" s="1749"/>
      <c r="R112" s="514">
        <v>1000</v>
      </c>
      <c r="S112" s="510">
        <v>9.9999999999999995E-7</v>
      </c>
      <c r="T112" s="510">
        <v>9.9999999999999995E-7</v>
      </c>
      <c r="U112" s="513">
        <v>-97</v>
      </c>
      <c r="V112" s="508">
        <f t="shared" si="75"/>
        <v>48.500000499999999</v>
      </c>
      <c r="W112" s="513">
        <v>0.59</v>
      </c>
    </row>
    <row r="113" spans="1:24" ht="12.75" customHeight="1" x14ac:dyDescent="0.25">
      <c r="A113" s="1749"/>
      <c r="B113" s="1753" t="s">
        <v>109</v>
      </c>
      <c r="C113" s="1754"/>
      <c r="D113" s="1754"/>
      <c r="E113" s="1755"/>
      <c r="F113" s="504" t="s">
        <v>105</v>
      </c>
      <c r="G113" s="504" t="s">
        <v>90</v>
      </c>
      <c r="H113" s="505"/>
      <c r="I113" s="1749"/>
      <c r="J113" s="1753" t="s">
        <v>109</v>
      </c>
      <c r="K113" s="1754"/>
      <c r="L113" s="1754"/>
      <c r="M113" s="1755"/>
      <c r="N113" s="504" t="s">
        <v>105</v>
      </c>
      <c r="O113" s="504" t="s">
        <v>90</v>
      </c>
      <c r="P113" s="505"/>
      <c r="Q113" s="1749"/>
      <c r="R113" s="1753" t="s">
        <v>109</v>
      </c>
      <c r="S113" s="1754"/>
      <c r="T113" s="1754"/>
      <c r="U113" s="1755"/>
      <c r="V113" s="504" t="s">
        <v>105</v>
      </c>
      <c r="W113" s="504" t="s">
        <v>90</v>
      </c>
    </row>
    <row r="114" spans="1:24" ht="15" customHeight="1" x14ac:dyDescent="0.25">
      <c r="A114" s="1749"/>
      <c r="B114" s="503" t="s">
        <v>110</v>
      </c>
      <c r="C114" s="504">
        <v>2020</v>
      </c>
      <c r="D114" s="504">
        <v>2021</v>
      </c>
      <c r="E114" s="504">
        <v>2018</v>
      </c>
      <c r="F114" s="504"/>
      <c r="G114" s="504"/>
      <c r="H114" s="505"/>
      <c r="I114" s="1749"/>
      <c r="J114" s="503" t="s">
        <v>110</v>
      </c>
      <c r="K114" s="504">
        <f>K98</f>
        <v>2019</v>
      </c>
      <c r="L114" s="504">
        <f>L98</f>
        <v>2019</v>
      </c>
      <c r="M114" s="504">
        <f>M98</f>
        <v>2020</v>
      </c>
      <c r="N114" s="504"/>
      <c r="O114" s="504"/>
      <c r="P114" s="505"/>
      <c r="Q114" s="1749"/>
      <c r="R114" s="503" t="s">
        <v>110</v>
      </c>
      <c r="S114" s="504">
        <f>S98</f>
        <v>2019</v>
      </c>
      <c r="T114" s="504">
        <f>T98</f>
        <v>2019</v>
      </c>
      <c r="U114" s="504">
        <f>U98</f>
        <v>2020</v>
      </c>
      <c r="V114" s="504"/>
      <c r="W114" s="504"/>
    </row>
    <row r="115" spans="1:24" ht="12.75" customHeight="1" x14ac:dyDescent="0.25">
      <c r="A115" s="1749"/>
      <c r="B115" s="514">
        <v>10</v>
      </c>
      <c r="C115" s="510" t="s">
        <v>89</v>
      </c>
      <c r="D115" s="510" t="s">
        <v>89</v>
      </c>
      <c r="E115" s="515">
        <v>9.9999999999999995E-7</v>
      </c>
      <c r="F115" s="508">
        <f t="shared" ref="F115:F118" si="76">0.5*(MAX(C115:E115)-MIN(C115:E115))</f>
        <v>0</v>
      </c>
      <c r="G115" s="519">
        <v>1.7</v>
      </c>
      <c r="H115" s="505"/>
      <c r="I115" s="1749"/>
      <c r="J115" s="514">
        <v>10</v>
      </c>
      <c r="K115" s="510">
        <v>9.9999999999999995E-7</v>
      </c>
      <c r="L115" s="510">
        <v>9.9999999999999995E-7</v>
      </c>
      <c r="M115" s="510">
        <v>9.9999999999999995E-7</v>
      </c>
      <c r="N115" s="508">
        <f t="shared" ref="N115:N118" si="77">0.5*(MAX(K115:M115)-MIN(K115:M115))</f>
        <v>0</v>
      </c>
      <c r="O115" s="513">
        <v>0</v>
      </c>
      <c r="P115" s="505"/>
      <c r="Q115" s="1749"/>
      <c r="R115" s="514">
        <v>10</v>
      </c>
      <c r="S115" s="510">
        <v>9.9999999999999995E-7</v>
      </c>
      <c r="T115" s="510">
        <v>9.9999999999999995E-7</v>
      </c>
      <c r="U115" s="510">
        <v>9.9999999999999995E-7</v>
      </c>
      <c r="V115" s="508">
        <f t="shared" ref="V115:V118" si="78">0.5*(MAX(S115:U115)-MIN(S115:U115))</f>
        <v>0</v>
      </c>
      <c r="W115" s="513">
        <v>0</v>
      </c>
    </row>
    <row r="116" spans="1:24" ht="12.75" customHeight="1" x14ac:dyDescent="0.25">
      <c r="A116" s="1749"/>
      <c r="B116" s="514">
        <v>20</v>
      </c>
      <c r="C116" s="510" t="s">
        <v>89</v>
      </c>
      <c r="D116" s="510" t="s">
        <v>89</v>
      </c>
      <c r="E116" s="510">
        <v>0.1</v>
      </c>
      <c r="F116" s="508">
        <f t="shared" si="76"/>
        <v>0</v>
      </c>
      <c r="G116" s="519">
        <v>1.7</v>
      </c>
      <c r="H116" s="505"/>
      <c r="I116" s="1749"/>
      <c r="J116" s="514">
        <v>20</v>
      </c>
      <c r="K116" s="510">
        <v>9.9999999999999995E-7</v>
      </c>
      <c r="L116" s="510">
        <v>9.9999999999999995E-7</v>
      </c>
      <c r="M116" s="510">
        <v>9.9999999999999995E-7</v>
      </c>
      <c r="N116" s="508">
        <f t="shared" si="77"/>
        <v>0</v>
      </c>
      <c r="O116" s="513">
        <v>0</v>
      </c>
      <c r="P116" s="505"/>
      <c r="Q116" s="1749"/>
      <c r="R116" s="514">
        <v>20</v>
      </c>
      <c r="S116" s="510">
        <v>9.9999999999999995E-7</v>
      </c>
      <c r="T116" s="510">
        <v>9.9999999999999995E-7</v>
      </c>
      <c r="U116" s="510">
        <v>9.9999999999999995E-7</v>
      </c>
      <c r="V116" s="508">
        <f t="shared" si="78"/>
        <v>0</v>
      </c>
      <c r="W116" s="513">
        <v>0</v>
      </c>
    </row>
    <row r="117" spans="1:24" ht="12.75" customHeight="1" x14ac:dyDescent="0.25">
      <c r="A117" s="1749"/>
      <c r="B117" s="514">
        <v>50</v>
      </c>
      <c r="C117" s="510" t="s">
        <v>89</v>
      </c>
      <c r="D117" s="510" t="s">
        <v>89</v>
      </c>
      <c r="E117" s="510">
        <v>0.4</v>
      </c>
      <c r="F117" s="508">
        <f t="shared" si="76"/>
        <v>0</v>
      </c>
      <c r="G117" s="519">
        <v>1.7</v>
      </c>
      <c r="H117" s="505"/>
      <c r="I117" s="1749"/>
      <c r="J117" s="514">
        <v>50</v>
      </c>
      <c r="K117" s="510">
        <v>9.9999999999999995E-7</v>
      </c>
      <c r="L117" s="510">
        <v>9.9999999999999995E-7</v>
      </c>
      <c r="M117" s="510">
        <v>9.9999999999999995E-7</v>
      </c>
      <c r="N117" s="508">
        <f t="shared" si="77"/>
        <v>0</v>
      </c>
      <c r="O117" s="513">
        <v>0</v>
      </c>
      <c r="P117" s="505"/>
      <c r="Q117" s="1749"/>
      <c r="R117" s="514">
        <v>50</v>
      </c>
      <c r="S117" s="510">
        <v>9.9999999999999995E-7</v>
      </c>
      <c r="T117" s="510">
        <v>9.9999999999999995E-7</v>
      </c>
      <c r="U117" s="510">
        <v>9.9999999999999995E-7</v>
      </c>
      <c r="V117" s="508">
        <f t="shared" si="78"/>
        <v>0</v>
      </c>
      <c r="W117" s="513">
        <v>0</v>
      </c>
    </row>
    <row r="118" spans="1:24" ht="12.75" customHeight="1" x14ac:dyDescent="0.25">
      <c r="A118" s="1749"/>
      <c r="B118" s="514">
        <v>100</v>
      </c>
      <c r="C118" s="510" t="s">
        <v>89</v>
      </c>
      <c r="D118" s="510" t="s">
        <v>89</v>
      </c>
      <c r="E118" s="510">
        <v>1.4</v>
      </c>
      <c r="F118" s="508">
        <f t="shared" si="76"/>
        <v>0</v>
      </c>
      <c r="G118" s="519">
        <v>1.7</v>
      </c>
      <c r="H118" s="505"/>
      <c r="I118" s="1749"/>
      <c r="J118" s="514">
        <v>100</v>
      </c>
      <c r="K118" s="510">
        <v>9.9999999999999995E-7</v>
      </c>
      <c r="L118" s="510">
        <v>9.9999999999999995E-7</v>
      </c>
      <c r="M118" s="510">
        <v>9.9999999999999995E-7</v>
      </c>
      <c r="N118" s="508">
        <f t="shared" si="77"/>
        <v>0</v>
      </c>
      <c r="O118" s="513">
        <v>0</v>
      </c>
      <c r="P118" s="505"/>
      <c r="Q118" s="1749"/>
      <c r="R118" s="514">
        <v>100</v>
      </c>
      <c r="S118" s="510">
        <v>9.9999999999999995E-7</v>
      </c>
      <c r="T118" s="510">
        <v>9.9999999999999995E-7</v>
      </c>
      <c r="U118" s="510">
        <v>9.9999999999999995E-7</v>
      </c>
      <c r="V118" s="508">
        <f t="shared" si="78"/>
        <v>0</v>
      </c>
      <c r="W118" s="513">
        <v>0</v>
      </c>
    </row>
    <row r="119" spans="1:24" ht="12.75" customHeight="1" x14ac:dyDescent="0.25">
      <c r="A119" s="1749"/>
      <c r="B119" s="1753" t="s">
        <v>111</v>
      </c>
      <c r="C119" s="1754"/>
      <c r="D119" s="1754"/>
      <c r="E119" s="1755"/>
      <c r="F119" s="504" t="s">
        <v>105</v>
      </c>
      <c r="G119" s="504" t="s">
        <v>90</v>
      </c>
      <c r="H119" s="505"/>
      <c r="I119" s="1749"/>
      <c r="J119" s="1753" t="s">
        <v>111</v>
      </c>
      <c r="K119" s="1754"/>
      <c r="L119" s="1754"/>
      <c r="M119" s="1755"/>
      <c r="N119" s="504" t="s">
        <v>105</v>
      </c>
      <c r="O119" s="504" t="s">
        <v>90</v>
      </c>
      <c r="P119" s="505"/>
      <c r="Q119" s="1749"/>
      <c r="R119" s="1753" t="str">
        <f>B119</f>
        <v>Resistance</v>
      </c>
      <c r="S119" s="1754"/>
      <c r="T119" s="1754"/>
      <c r="U119" s="1755"/>
      <c r="V119" s="504" t="s">
        <v>105</v>
      </c>
      <c r="W119" s="504" t="s">
        <v>90</v>
      </c>
    </row>
    <row r="120" spans="1:24" ht="15" customHeight="1" x14ac:dyDescent="0.25">
      <c r="A120" s="1749"/>
      <c r="B120" s="503" t="s">
        <v>112</v>
      </c>
      <c r="C120" s="504">
        <f>C98</f>
        <v>2019</v>
      </c>
      <c r="D120" s="504">
        <f>D98</f>
        <v>2019</v>
      </c>
      <c r="E120" s="504">
        <f>E98</f>
        <v>2020</v>
      </c>
      <c r="F120" s="504"/>
      <c r="G120" s="504"/>
      <c r="H120" s="505"/>
      <c r="I120" s="1749"/>
      <c r="J120" s="503" t="s">
        <v>112</v>
      </c>
      <c r="K120" s="504">
        <f>K98</f>
        <v>2019</v>
      </c>
      <c r="L120" s="504">
        <f>L98</f>
        <v>2019</v>
      </c>
      <c r="M120" s="504">
        <f>M98</f>
        <v>2020</v>
      </c>
      <c r="N120" s="504"/>
      <c r="O120" s="504"/>
      <c r="P120" s="505"/>
      <c r="Q120" s="1749"/>
      <c r="R120" s="503" t="s">
        <v>112</v>
      </c>
      <c r="S120" s="504">
        <f>S98</f>
        <v>2019</v>
      </c>
      <c r="T120" s="504">
        <f>T98</f>
        <v>2019</v>
      </c>
      <c r="U120" s="504">
        <f>U98</f>
        <v>2020</v>
      </c>
      <c r="V120" s="504"/>
      <c r="W120" s="504"/>
    </row>
    <row r="121" spans="1:24" ht="12.75" customHeight="1" x14ac:dyDescent="0.25">
      <c r="A121" s="1749"/>
      <c r="B121" s="514">
        <v>0.01</v>
      </c>
      <c r="C121" s="515">
        <v>9.9999999999999995E-7</v>
      </c>
      <c r="D121" s="515">
        <v>9.9999999999999995E-7</v>
      </c>
      <c r="E121" s="515">
        <v>9.9999999999999995E-7</v>
      </c>
      <c r="F121" s="508">
        <f t="shared" ref="F121:F124" si="79">0.5*(MAX(C121:E121)-MIN(C121:E121))</f>
        <v>0</v>
      </c>
      <c r="G121" s="514">
        <v>1.2</v>
      </c>
      <c r="H121" s="505"/>
      <c r="I121" s="1749"/>
      <c r="J121" s="514">
        <v>0.01</v>
      </c>
      <c r="K121" s="514">
        <v>9.9999999999999995E-7</v>
      </c>
      <c r="L121" s="514">
        <v>9.9999999999999995E-7</v>
      </c>
      <c r="M121" s="515">
        <v>9.9999999999999995E-7</v>
      </c>
      <c r="N121" s="508">
        <f t="shared" ref="N121:N124" si="80">0.5*(MAX(K121:M121)-MIN(K121:M121))</f>
        <v>0</v>
      </c>
      <c r="O121" s="545">
        <v>1.2</v>
      </c>
      <c r="P121" s="505"/>
      <c r="Q121" s="1749"/>
      <c r="R121" s="514">
        <v>0.01</v>
      </c>
      <c r="S121" s="514">
        <v>9.9999999999999995E-7</v>
      </c>
      <c r="T121" s="514">
        <v>9.9999999999999995E-7</v>
      </c>
      <c r="U121" s="515">
        <v>9.9999999999999995E-7</v>
      </c>
      <c r="V121" s="508">
        <f t="shared" ref="V121:V124" si="81">0.5*(MAX(S121:U121)-MIN(S121:U121))</f>
        <v>0</v>
      </c>
      <c r="W121" s="546">
        <v>1.2</v>
      </c>
    </row>
    <row r="122" spans="1:24" ht="12.75" customHeight="1" x14ac:dyDescent="0.25">
      <c r="A122" s="1749"/>
      <c r="B122" s="514">
        <v>0.1</v>
      </c>
      <c r="C122" s="515">
        <v>9.9999999999999995E-7</v>
      </c>
      <c r="D122" s="515">
        <v>9.9999999999999995E-7</v>
      </c>
      <c r="E122" s="515">
        <v>9.9999999999999995E-7</v>
      </c>
      <c r="F122" s="508">
        <f t="shared" si="79"/>
        <v>0</v>
      </c>
      <c r="G122" s="514">
        <v>1.2</v>
      </c>
      <c r="H122" s="505"/>
      <c r="I122" s="1749"/>
      <c r="J122" s="514">
        <v>0.1</v>
      </c>
      <c r="K122" s="520">
        <v>9.9999999999999995E-7</v>
      </c>
      <c r="L122" s="520">
        <v>9.9999999999999995E-7</v>
      </c>
      <c r="M122" s="515">
        <v>-2E-3</v>
      </c>
      <c r="N122" s="508">
        <f t="shared" si="80"/>
        <v>1.0005000000000001E-3</v>
      </c>
      <c r="O122" s="545">
        <v>1.2</v>
      </c>
      <c r="P122" s="505"/>
      <c r="Q122" s="1749"/>
      <c r="R122" s="514">
        <v>0.1</v>
      </c>
      <c r="S122" s="514">
        <v>9.9999999999999995E-7</v>
      </c>
      <c r="T122" s="514">
        <v>9.9999999999999995E-7</v>
      </c>
      <c r="U122" s="515">
        <v>-3.0000000000000001E-3</v>
      </c>
      <c r="V122" s="508">
        <f t="shared" si="81"/>
        <v>1.5005000000000001E-3</v>
      </c>
      <c r="W122" s="546">
        <v>1.2</v>
      </c>
    </row>
    <row r="123" spans="1:24" ht="12.75" customHeight="1" x14ac:dyDescent="0.25">
      <c r="A123" s="1749"/>
      <c r="B123" s="514">
        <v>1</v>
      </c>
      <c r="C123" s="515">
        <v>-2.3E-3</v>
      </c>
      <c r="D123" s="515">
        <v>-2.3E-3</v>
      </c>
      <c r="E123" s="515">
        <v>-2.3E-3</v>
      </c>
      <c r="F123" s="508">
        <f t="shared" si="79"/>
        <v>0</v>
      </c>
      <c r="G123" s="514">
        <v>1.2</v>
      </c>
      <c r="H123" s="505"/>
      <c r="I123" s="1749"/>
      <c r="J123" s="514">
        <v>1</v>
      </c>
      <c r="K123" s="520">
        <v>9.9999999999999995E-7</v>
      </c>
      <c r="L123" s="520">
        <v>9.9999999999999995E-7</v>
      </c>
      <c r="M123" s="515">
        <v>-1E-3</v>
      </c>
      <c r="N123" s="508">
        <f t="shared" si="80"/>
        <v>5.0049999999999997E-4</v>
      </c>
      <c r="O123" s="545">
        <v>1.2</v>
      </c>
      <c r="P123" s="505"/>
      <c r="Q123" s="1749"/>
      <c r="R123" s="514">
        <v>1</v>
      </c>
      <c r="S123" s="514">
        <v>9.9999999999999995E-7</v>
      </c>
      <c r="T123" s="514">
        <v>9.9999999999999995E-7</v>
      </c>
      <c r="U123" s="515">
        <v>-1E-3</v>
      </c>
      <c r="V123" s="508">
        <f t="shared" si="81"/>
        <v>5.0049999999999997E-4</v>
      </c>
      <c r="W123" s="546">
        <v>1.2</v>
      </c>
    </row>
    <row r="124" spans="1:24" ht="12.75" customHeight="1" x14ac:dyDescent="0.25">
      <c r="A124" s="1750"/>
      <c r="B124" s="514">
        <v>2</v>
      </c>
      <c r="C124" s="515">
        <v>0</v>
      </c>
      <c r="D124" s="515">
        <v>0</v>
      </c>
      <c r="E124" s="515">
        <v>9.9999999999999995E-7</v>
      </c>
      <c r="F124" s="508">
        <f t="shared" si="79"/>
        <v>4.9999999999999998E-7</v>
      </c>
      <c r="G124" s="514">
        <v>1.2</v>
      </c>
      <c r="H124" s="505"/>
      <c r="I124" s="1750"/>
      <c r="J124" s="514">
        <v>2</v>
      </c>
      <c r="K124" s="520">
        <v>9.9999999999999995E-7</v>
      </c>
      <c r="L124" s="520">
        <v>9.9999999999999995E-7</v>
      </c>
      <c r="M124" s="515">
        <v>-6.0000000000000001E-3</v>
      </c>
      <c r="N124" s="508">
        <f t="shared" si="80"/>
        <v>3.0005000000000001E-3</v>
      </c>
      <c r="O124" s="545">
        <v>1.2</v>
      </c>
      <c r="P124" s="505"/>
      <c r="Q124" s="1750"/>
      <c r="R124" s="514">
        <v>2</v>
      </c>
      <c r="S124" s="514">
        <v>9.9999999999999995E-7</v>
      </c>
      <c r="T124" s="514">
        <v>9.9999999999999995E-7</v>
      </c>
      <c r="U124" s="515">
        <v>-6.0000000000000001E-3</v>
      </c>
      <c r="V124" s="508">
        <f t="shared" si="81"/>
        <v>3.0005000000000001E-3</v>
      </c>
      <c r="W124" s="546">
        <v>1.2</v>
      </c>
    </row>
    <row r="125" spans="1:24" s="166" customFormat="1" ht="16" thickBot="1" x14ac:dyDescent="0.3">
      <c r="A125" s="536"/>
      <c r="B125" s="537"/>
      <c r="C125" s="538"/>
      <c r="E125" s="538"/>
      <c r="F125" s="538"/>
      <c r="G125" s="538"/>
      <c r="H125" s="526"/>
      <c r="I125" s="539"/>
      <c r="J125" s="540"/>
      <c r="K125" s="538"/>
      <c r="M125" s="538"/>
      <c r="N125" s="538"/>
      <c r="O125" s="538"/>
      <c r="P125" s="526"/>
      <c r="Q125" s="539"/>
      <c r="R125" s="537"/>
      <c r="S125" s="538"/>
      <c r="U125" s="525"/>
      <c r="V125" s="525"/>
      <c r="W125" s="527"/>
      <c r="X125" s="528"/>
    </row>
    <row r="126" spans="1:24" ht="16" thickBot="1" x14ac:dyDescent="0.3">
      <c r="A126" s="425"/>
      <c r="B126" s="426"/>
      <c r="C126" s="426"/>
      <c r="D126" s="547"/>
      <c r="E126" s="426"/>
      <c r="F126" s="426"/>
      <c r="G126" s="426"/>
      <c r="H126" s="548"/>
      <c r="I126" s="426"/>
      <c r="J126" s="426"/>
      <c r="K126" s="426"/>
      <c r="L126" s="547"/>
      <c r="M126" s="426"/>
      <c r="N126" s="426"/>
      <c r="O126" s="426"/>
      <c r="P126" s="548"/>
      <c r="Q126" s="426"/>
      <c r="R126" s="426"/>
      <c r="S126" s="426"/>
      <c r="T126" s="547"/>
      <c r="U126" s="160"/>
      <c r="V126" s="160"/>
      <c r="W126" s="161"/>
    </row>
    <row r="127" spans="1:24" x14ac:dyDescent="0.25">
      <c r="A127" s="162"/>
      <c r="B127" s="163"/>
      <c r="C127" s="163"/>
    </row>
    <row r="128" spans="1:24" ht="15" customHeight="1" x14ac:dyDescent="0.25"/>
    <row r="129" spans="1:19" ht="15.75" customHeight="1" x14ac:dyDescent="0.25"/>
    <row r="131" spans="1:19" ht="16" thickBot="1" x14ac:dyDescent="0.3">
      <c r="S131" s="167"/>
    </row>
    <row r="132" spans="1:19" ht="30" customHeight="1" x14ac:dyDescent="0.25">
      <c r="A132" s="1781">
        <f>IF($A$165=$A$166,A2,IF($A$165=$A$167,I2,IF($A$165=$A$168,Q2,IF($A$165=$A$169,A33,IF($A$165=$A$170,I33,IF($A$165=$A$171,Q33,IF($A$165=$A$172,A64,IF($A$165=$A$173,I64,IF($A$165=$A$174,Q64,IF($A$165=$A$175,A95,IF($A$165=$A$176,I95,Q95)))))))))))</f>
        <v>6</v>
      </c>
      <c r="B132" s="1790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3148908</v>
      </c>
      <c r="C132" s="1791"/>
      <c r="D132" s="1791"/>
      <c r="E132" s="1791"/>
      <c r="F132" s="1791"/>
      <c r="G132" s="1792"/>
    </row>
    <row r="133" spans="1:19" ht="15.75" customHeight="1" thickBot="1" x14ac:dyDescent="0.3">
      <c r="A133" s="1782"/>
      <c r="B133" s="1793" t="str">
        <f t="shared" ref="B133:G148" si="82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794"/>
      <c r="D133" s="1794"/>
      <c r="E133" s="1794"/>
      <c r="F133" s="1794"/>
      <c r="G133" s="1795"/>
      <c r="I133" s="166"/>
    </row>
    <row r="134" spans="1:19" ht="15.75" customHeight="1" x14ac:dyDescent="0.25">
      <c r="A134" s="1782"/>
      <c r="B134" s="1773" t="str">
        <f t="shared" si="82"/>
        <v>Setting VAC</v>
      </c>
      <c r="C134" s="1774"/>
      <c r="D134" s="1774"/>
      <c r="E134" s="1775"/>
      <c r="F134" s="549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550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796" t="s">
        <v>117</v>
      </c>
      <c r="J134" s="1797"/>
      <c r="K134" s="1797"/>
      <c r="L134" s="1798"/>
      <c r="M134" s="165"/>
      <c r="N134" s="1799" t="s">
        <v>49</v>
      </c>
      <c r="O134" s="1802" t="s">
        <v>118</v>
      </c>
      <c r="P134" s="1784" t="s">
        <v>96</v>
      </c>
    </row>
    <row r="135" spans="1:19" x14ac:dyDescent="0.25">
      <c r="A135" s="1782"/>
      <c r="B135" s="551" t="str">
        <f t="shared" si="82"/>
        <v>( V )</v>
      </c>
      <c r="C135" s="549">
        <f t="shared" si="82"/>
        <v>2018</v>
      </c>
      <c r="D135" s="549">
        <f t="shared" si="82"/>
        <v>2019</v>
      </c>
      <c r="E135" s="549">
        <f t="shared" si="82"/>
        <v>2022</v>
      </c>
      <c r="F135" s="549"/>
      <c r="G135" s="550"/>
      <c r="I135" s="552">
        <f>N137</f>
        <v>220</v>
      </c>
      <c r="J135" s="553"/>
      <c r="K135" s="554">
        <f>IF(I135="-","-",IF(I135="OL","OL",(FORECAST(I135,E136:E141,B136:B141))))</f>
        <v>7.2214010178117016E-2</v>
      </c>
      <c r="L135" s="555"/>
      <c r="M135" s="166"/>
      <c r="N135" s="1800"/>
      <c r="O135" s="1803"/>
      <c r="P135" s="1785"/>
    </row>
    <row r="136" spans="1:19" ht="16.5" customHeight="1" thickBot="1" x14ac:dyDescent="0.3">
      <c r="A136" s="1782"/>
      <c r="B136" s="551">
        <f t="shared" si="82"/>
        <v>150</v>
      </c>
      <c r="C136" s="556">
        <f t="shared" si="82"/>
        <v>0.03</v>
      </c>
      <c r="D136" s="556">
        <f t="shared" si="82"/>
        <v>-0.15</v>
      </c>
      <c r="E136" s="556">
        <f t="shared" si="82"/>
        <v>0.15</v>
      </c>
      <c r="F136" s="549">
        <f t="shared" si="82"/>
        <v>0.15</v>
      </c>
      <c r="G136" s="550">
        <f t="shared" si="82"/>
        <v>1.8</v>
      </c>
      <c r="I136" s="1787" t="s">
        <v>119</v>
      </c>
      <c r="J136" s="1788"/>
      <c r="K136" s="1788"/>
      <c r="L136" s="1789"/>
      <c r="M136" s="166"/>
      <c r="N136" s="1801"/>
      <c r="O136" s="1804"/>
      <c r="P136" s="1786"/>
    </row>
    <row r="137" spans="1:19" ht="15.75" customHeight="1" x14ac:dyDescent="0.25">
      <c r="A137" s="1782"/>
      <c r="B137" s="551">
        <f t="shared" si="82"/>
        <v>180</v>
      </c>
      <c r="C137" s="556">
        <f t="shared" si="82"/>
        <v>0</v>
      </c>
      <c r="D137" s="556">
        <f t="shared" si="82"/>
        <v>-0.11</v>
      </c>
      <c r="E137" s="556">
        <f t="shared" si="82"/>
        <v>0.17</v>
      </c>
      <c r="F137" s="549">
        <f t="shared" si="82"/>
        <v>0.14000000000000001</v>
      </c>
      <c r="G137" s="550">
        <f t="shared" si="82"/>
        <v>2.16</v>
      </c>
      <c r="I137" s="552" t="str">
        <f>N138</f>
        <v>-</v>
      </c>
      <c r="J137" s="553"/>
      <c r="K137" s="554" t="str">
        <f>IF(I137="-","-",IF(I137="OL","OL",FORECAST(I137,E152:E155,B152:B155)))</f>
        <v>-</v>
      </c>
      <c r="L137" s="555"/>
      <c r="M137" s="166"/>
      <c r="N137" s="557">
        <f>ID!E18</f>
        <v>220</v>
      </c>
      <c r="O137" s="558">
        <f>IF(N137="-","-",IF(N137="OL","OL",N137+K135))</f>
        <v>220.07221401017813</v>
      </c>
      <c r="P137" s="559">
        <f>IF(N137="-","-",O137)</f>
        <v>220.07221401017813</v>
      </c>
      <c r="Q137" s="159" t="str">
        <f>TEXT(P137,"0.0")</f>
        <v>220.1</v>
      </c>
    </row>
    <row r="138" spans="1:19" ht="15.75" customHeight="1" x14ac:dyDescent="0.25">
      <c r="A138" s="1782"/>
      <c r="B138" s="551">
        <f t="shared" si="82"/>
        <v>200</v>
      </c>
      <c r="C138" s="556">
        <f t="shared" si="82"/>
        <v>0.05</v>
      </c>
      <c r="D138" s="556">
        <f t="shared" si="82"/>
        <v>-0.1</v>
      </c>
      <c r="E138" s="556">
        <f t="shared" si="82"/>
        <v>0.1</v>
      </c>
      <c r="F138" s="549">
        <f t="shared" si="82"/>
        <v>0.1</v>
      </c>
      <c r="G138" s="550">
        <f t="shared" si="82"/>
        <v>2.4</v>
      </c>
      <c r="I138" s="1787" t="s">
        <v>120</v>
      </c>
      <c r="J138" s="1788"/>
      <c r="K138" s="1788"/>
      <c r="L138" s="1789"/>
      <c r="M138" s="166"/>
      <c r="N138" s="560" t="str">
        <f>ID!H28</f>
        <v>-</v>
      </c>
      <c r="O138" s="561" t="str">
        <f>IF(N138="-","-",IF(N138="OL","OL",N138+K137))</f>
        <v>-</v>
      </c>
      <c r="P138" s="562" t="str">
        <f>IF(N138="OL","OL",IF(N138="NC","NC",IF(N138="OR","OR",IF(N138="-","-",O138))))</f>
        <v>-</v>
      </c>
    </row>
    <row r="139" spans="1:19" ht="13" x14ac:dyDescent="0.25">
      <c r="A139" s="1782"/>
      <c r="B139" s="551">
        <f t="shared" si="82"/>
        <v>220</v>
      </c>
      <c r="C139" s="556">
        <f t="shared" si="82"/>
        <v>0.05</v>
      </c>
      <c r="D139" s="556">
        <f t="shared" si="82"/>
        <v>-0.13</v>
      </c>
      <c r="E139" s="556">
        <f t="shared" si="82"/>
        <v>7.0000000000000007E-2</v>
      </c>
      <c r="F139" s="549">
        <f t="shared" si="82"/>
        <v>0.1</v>
      </c>
      <c r="G139" s="550">
        <f t="shared" si="82"/>
        <v>2.64</v>
      </c>
      <c r="I139" s="563" t="str">
        <f>N139</f>
        <v>-</v>
      </c>
      <c r="J139" s="553"/>
      <c r="K139" s="564" t="str">
        <f>IF(I139="-","-",IF(I139="OL","OL",(FORECAST(I139,E158:E161,B158:B161))))</f>
        <v>-</v>
      </c>
      <c r="L139" s="565"/>
      <c r="M139" s="166"/>
      <c r="N139" s="560" t="str">
        <f>ID!H29</f>
        <v>-</v>
      </c>
      <c r="O139" s="566" t="str">
        <f>IF(N139="-","-",IF(N139="OL","OL",N139+K139))</f>
        <v>-</v>
      </c>
      <c r="P139" s="562" t="str">
        <f>IF(N139="OL","OL",IF(N139="NC","NC",IF(N139="-","-",O139)))</f>
        <v>-</v>
      </c>
    </row>
    <row r="140" spans="1:19" ht="13" x14ac:dyDescent="0.25">
      <c r="A140" s="1782"/>
      <c r="B140" s="551">
        <f t="shared" si="82"/>
        <v>230</v>
      </c>
      <c r="C140" s="556">
        <f t="shared" si="82"/>
        <v>-0.05</v>
      </c>
      <c r="D140" s="556">
        <f t="shared" si="82"/>
        <v>-0.15</v>
      </c>
      <c r="E140" s="556">
        <f t="shared" si="82"/>
        <v>0.08</v>
      </c>
      <c r="F140" s="549">
        <f t="shared" si="82"/>
        <v>0.11499999999999999</v>
      </c>
      <c r="G140" s="550">
        <f t="shared" si="82"/>
        <v>2.7600000000000002</v>
      </c>
      <c r="I140" s="1787" t="s">
        <v>121</v>
      </c>
      <c r="J140" s="1788"/>
      <c r="K140" s="1788"/>
      <c r="L140" s="1789"/>
      <c r="M140" s="166"/>
      <c r="N140" s="560" t="str">
        <f>ID!H30</f>
        <v>-</v>
      </c>
      <c r="O140" s="567" t="str">
        <f>IF(N140="-","-",IF(N140="OL","OL",N140+K141))</f>
        <v>-</v>
      </c>
      <c r="P140" s="568" t="str">
        <f>IF(N140="-","-",O140)</f>
        <v>-</v>
      </c>
    </row>
    <row r="141" spans="1:19" ht="12.75" customHeight="1" thickBot="1" x14ac:dyDescent="0.3">
      <c r="A141" s="1782"/>
      <c r="B141" s="551">
        <f t="shared" si="82"/>
        <v>250</v>
      </c>
      <c r="C141" s="556">
        <f t="shared" si="82"/>
        <v>9.9999999999999995E-7</v>
      </c>
      <c r="D141" s="556">
        <f t="shared" si="82"/>
        <v>9.9999999999999995E-7</v>
      </c>
      <c r="E141" s="556">
        <f t="shared" si="82"/>
        <v>9.9999999999999995E-7</v>
      </c>
      <c r="F141" s="549">
        <f t="shared" si="82"/>
        <v>0</v>
      </c>
      <c r="G141" s="550">
        <f t="shared" si="82"/>
        <v>3</v>
      </c>
      <c r="I141" s="569" t="str">
        <f>N140</f>
        <v>-</v>
      </c>
      <c r="J141" s="553"/>
      <c r="K141" s="570" t="str">
        <f>IF(I141="-","-",IF(I141="OL","OL",(FORECAST(I141,E144:E149,B144:B149))))</f>
        <v>-</v>
      </c>
      <c r="L141" s="555"/>
      <c r="M141" s="166"/>
      <c r="N141" s="560" t="str">
        <f>ID!H31</f>
        <v>-</v>
      </c>
      <c r="O141" s="566" t="str">
        <f>IF(N141="-","-",IF(N141="OL","OL",N141+K143))</f>
        <v>-</v>
      </c>
      <c r="P141" s="568" t="str">
        <f>IF(N141="-","-",O141)</f>
        <v>-</v>
      </c>
    </row>
    <row r="142" spans="1:19" ht="13.5" thickBot="1" x14ac:dyDescent="0.3">
      <c r="A142" s="1782"/>
      <c r="B142" s="1773" t="str">
        <f t="shared" si="82"/>
        <v>Current Leakage</v>
      </c>
      <c r="C142" s="1774"/>
      <c r="D142" s="1774"/>
      <c r="E142" s="1775"/>
      <c r="F142" s="549" t="str">
        <f t="shared" si="82"/>
        <v>Driff</v>
      </c>
      <c r="G142" s="550" t="str">
        <f t="shared" si="82"/>
        <v>U95</v>
      </c>
      <c r="I142" s="1787" t="s">
        <v>121</v>
      </c>
      <c r="J142" s="1788"/>
      <c r="K142" s="1788"/>
      <c r="L142" s="1789"/>
      <c r="M142" s="571" t="s">
        <v>122</v>
      </c>
      <c r="N142" s="572">
        <f>ID!R30</f>
        <v>10</v>
      </c>
      <c r="O142" s="573">
        <f>IF(N142="-","-",IF(N142="OL","OL",N142+K145))</f>
        <v>24.674821022208498</v>
      </c>
      <c r="P142" s="568">
        <f>IF(N142="-","-",O142)</f>
        <v>24.674821022208498</v>
      </c>
    </row>
    <row r="143" spans="1:19" ht="12.75" customHeight="1" x14ac:dyDescent="0.25">
      <c r="A143" s="1782"/>
      <c r="B143" s="551" t="str">
        <f t="shared" si="82"/>
        <v>( uA )</v>
      </c>
      <c r="C143" s="549">
        <f t="shared" si="82"/>
        <v>2018</v>
      </c>
      <c r="D143" s="549">
        <f t="shared" si="82"/>
        <v>2019</v>
      </c>
      <c r="E143" s="549">
        <f t="shared" si="82"/>
        <v>2022</v>
      </c>
      <c r="F143" s="549"/>
      <c r="G143" s="550"/>
      <c r="I143" s="569" t="str">
        <f>N141</f>
        <v>-</v>
      </c>
      <c r="J143" s="553"/>
      <c r="K143" s="570" t="str">
        <f>IF(I143="-","-",IF(I143="OL","OL",(FORECAST(I143,E144:E149,B144:B149))))</f>
        <v>-</v>
      </c>
      <c r="L143" s="555"/>
      <c r="M143" s="1768" t="s">
        <v>123</v>
      </c>
      <c r="N143" s="574">
        <f>P137</f>
        <v>220.07221401017813</v>
      </c>
      <c r="O143" s="575">
        <f>(FORECAST(N143,G136:G141,B136:B141))</f>
        <v>2.6408665681221377</v>
      </c>
      <c r="P143" s="576" t="s">
        <v>18</v>
      </c>
      <c r="Q143" s="159" t="str">
        <f>TEXT(O143,"0.0")</f>
        <v>2.6</v>
      </c>
    </row>
    <row r="144" spans="1:19" ht="15" thickBot="1" x14ac:dyDescent="0.4">
      <c r="A144" s="1782"/>
      <c r="B144" s="577">
        <f t="shared" si="82"/>
        <v>9.9999999999999995E-7</v>
      </c>
      <c r="C144" s="578">
        <f t="shared" si="82"/>
        <v>9.9999999999999995E-7</v>
      </c>
      <c r="D144" s="578">
        <f t="shared" si="82"/>
        <v>9.9999999999999995E-7</v>
      </c>
      <c r="E144" s="578">
        <f t="shared" si="82"/>
        <v>9.9999999999999995E-7</v>
      </c>
      <c r="F144" s="549">
        <f t="shared" si="82"/>
        <v>0</v>
      </c>
      <c r="G144" s="550">
        <f t="shared" si="82"/>
        <v>5.8999999999999999E-9</v>
      </c>
      <c r="I144" s="1770" t="s">
        <v>121</v>
      </c>
      <c r="J144" s="1771"/>
      <c r="K144" s="1771"/>
      <c r="L144" s="1772"/>
      <c r="M144" s="1769"/>
      <c r="N144" s="579" t="str">
        <f>P144&amp;FIXED(N143,1)&amp;P145&amp;FIXED(O143,1)&amp;P146&amp;P143</f>
        <v>( 220.1 ± 2.6 ) Volt</v>
      </c>
      <c r="O144" s="580"/>
      <c r="P144" s="581" t="s">
        <v>124</v>
      </c>
    </row>
    <row r="145" spans="1:17" ht="13" x14ac:dyDescent="0.25">
      <c r="A145" s="1782"/>
      <c r="B145" s="551">
        <f t="shared" si="82"/>
        <v>50</v>
      </c>
      <c r="C145" s="578">
        <f t="shared" si="82"/>
        <v>2.1</v>
      </c>
      <c r="D145" s="578">
        <f t="shared" si="82"/>
        <v>2.6</v>
      </c>
      <c r="E145" s="578">
        <f t="shared" si="82"/>
        <v>19.100000000000001</v>
      </c>
      <c r="F145" s="549">
        <f t="shared" si="82"/>
        <v>8.5</v>
      </c>
      <c r="G145" s="550">
        <f t="shared" si="82"/>
        <v>0.29499999999999998</v>
      </c>
      <c r="I145" s="582">
        <f>N142</f>
        <v>10</v>
      </c>
      <c r="J145" s="583"/>
      <c r="K145" s="584">
        <f>IF(I145="-","-",IF(I145="OL","OL",FORECAST(I145,E144:E149,B144:B149)))</f>
        <v>14.6748210222085</v>
      </c>
      <c r="L145" s="584"/>
      <c r="M145" s="166"/>
      <c r="N145" s="168"/>
      <c r="O145" s="169"/>
      <c r="P145" s="427" t="s">
        <v>125</v>
      </c>
    </row>
    <row r="146" spans="1:17" ht="13" thickBot="1" x14ac:dyDescent="0.3">
      <c r="A146" s="1782"/>
      <c r="B146" s="551">
        <f t="shared" si="82"/>
        <v>100</v>
      </c>
      <c r="C146" s="578">
        <f t="shared" si="82"/>
        <v>2.2999999999999998</v>
      </c>
      <c r="D146" s="578">
        <f t="shared" si="82"/>
        <v>2.6</v>
      </c>
      <c r="E146" s="578">
        <f t="shared" si="82"/>
        <v>18.399999999999999</v>
      </c>
      <c r="F146" s="549">
        <f t="shared" si="82"/>
        <v>8.0499999999999989</v>
      </c>
      <c r="G146" s="550">
        <f t="shared" si="82"/>
        <v>0.59</v>
      </c>
      <c r="I146" s="585"/>
      <c r="M146" s="166"/>
      <c r="N146" s="428"/>
      <c r="O146" s="428"/>
      <c r="P146" s="429" t="s">
        <v>126</v>
      </c>
    </row>
    <row r="147" spans="1:17" ht="13" thickBot="1" x14ac:dyDescent="0.3">
      <c r="A147" s="1782"/>
      <c r="B147" s="551">
        <f t="shared" si="82"/>
        <v>200</v>
      </c>
      <c r="C147" s="578">
        <f t="shared" si="82"/>
        <v>0.2</v>
      </c>
      <c r="D147" s="578">
        <f t="shared" si="82"/>
        <v>3.1</v>
      </c>
      <c r="E147" s="578">
        <f t="shared" si="82"/>
        <v>14.4</v>
      </c>
      <c r="F147" s="549">
        <f t="shared" si="82"/>
        <v>7.1000000000000005</v>
      </c>
      <c r="G147" s="550">
        <f t="shared" si="82"/>
        <v>1.18</v>
      </c>
      <c r="H147" s="586"/>
      <c r="I147" s="587"/>
      <c r="J147" s="430"/>
      <c r="K147" s="430"/>
      <c r="L147" s="431"/>
      <c r="M147" s="175"/>
      <c r="N147" s="432">
        <f>MAX(N140:N145)</f>
        <v>220.07221401017813</v>
      </c>
      <c r="O147" s="432">
        <f>MAX(P140:P142)</f>
        <v>24.674821022208498</v>
      </c>
      <c r="P147" s="433">
        <f>IF(N147=0,"-",IF(N147=N147,O147,))</f>
        <v>24.674821022208498</v>
      </c>
    </row>
    <row r="148" spans="1:17" x14ac:dyDescent="0.25">
      <c r="A148" s="1782"/>
      <c r="B148" s="551">
        <f t="shared" si="82"/>
        <v>500</v>
      </c>
      <c r="C148" s="578">
        <f t="shared" si="82"/>
        <v>2.8</v>
      </c>
      <c r="D148" s="578">
        <f t="shared" si="82"/>
        <v>3.9</v>
      </c>
      <c r="E148" s="578">
        <f t="shared" si="82"/>
        <v>6.2</v>
      </c>
      <c r="F148" s="549">
        <f t="shared" si="82"/>
        <v>1.7000000000000002</v>
      </c>
      <c r="G148" s="550">
        <f t="shared" si="82"/>
        <v>2.9499999999999997</v>
      </c>
      <c r="I148" s="434"/>
      <c r="J148" s="434"/>
      <c r="K148" s="434"/>
      <c r="L148" s="165"/>
      <c r="M148" s="165"/>
      <c r="N148" s="165"/>
      <c r="O148" s="165"/>
    </row>
    <row r="149" spans="1:17" x14ac:dyDescent="0.25">
      <c r="A149" s="1782"/>
      <c r="B149" s="551">
        <f t="shared" ref="B149:G161" si="83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578">
        <f t="shared" si="83"/>
        <v>13</v>
      </c>
      <c r="D149" s="578">
        <f t="shared" si="83"/>
        <v>5.0000000000000001E-3</v>
      </c>
      <c r="E149" s="578">
        <f t="shared" si="83"/>
        <v>-11</v>
      </c>
      <c r="F149" s="549">
        <f t="shared" si="83"/>
        <v>12</v>
      </c>
      <c r="G149" s="550">
        <f t="shared" si="83"/>
        <v>5.8999999999999995</v>
      </c>
      <c r="H149" s="588"/>
      <c r="I149" s="170"/>
      <c r="J149" s="170"/>
      <c r="K149" s="435"/>
      <c r="L149" s="166"/>
      <c r="M149" s="166"/>
      <c r="N149" s="166"/>
      <c r="O149" s="166"/>
    </row>
    <row r="150" spans="1:17" ht="12.75" customHeight="1" x14ac:dyDescent="0.3">
      <c r="A150" s="1782"/>
      <c r="B150" s="1773" t="str">
        <f t="shared" si="83"/>
        <v>Main-PE</v>
      </c>
      <c r="C150" s="1774"/>
      <c r="D150" s="1774"/>
      <c r="E150" s="1775"/>
      <c r="F150" s="549" t="str">
        <f t="shared" si="83"/>
        <v>Driff</v>
      </c>
      <c r="G150" s="550" t="str">
        <f t="shared" si="83"/>
        <v>U95</v>
      </c>
      <c r="I150" s="618"/>
      <c r="J150" s="619"/>
      <c r="K150" s="619"/>
      <c r="L150" s="620"/>
      <c r="M150" s="126"/>
      <c r="N150" s="126"/>
      <c r="O150" s="126"/>
      <c r="P150" s="589"/>
    </row>
    <row r="151" spans="1:17" x14ac:dyDescent="0.25">
      <c r="A151" s="1782"/>
      <c r="B151" s="551" t="str">
        <f t="shared" si="83"/>
        <v>( MΩ )</v>
      </c>
      <c r="C151" s="549">
        <f t="shared" si="83"/>
        <v>2018</v>
      </c>
      <c r="D151" s="549">
        <f t="shared" si="83"/>
        <v>2019</v>
      </c>
      <c r="E151" s="549">
        <f t="shared" si="83"/>
        <v>2022</v>
      </c>
      <c r="F151" s="549"/>
      <c r="G151" s="550"/>
      <c r="H151" s="588"/>
      <c r="I151" s="621"/>
      <c r="J151" s="619"/>
      <c r="K151" s="622"/>
      <c r="L151" s="620"/>
      <c r="M151" s="170"/>
      <c r="N151" s="170"/>
      <c r="O151" s="435"/>
      <c r="P151" s="590"/>
    </row>
    <row r="152" spans="1:17" ht="12.75" customHeight="1" x14ac:dyDescent="0.25">
      <c r="A152" s="1782"/>
      <c r="B152" s="551">
        <f t="shared" si="83"/>
        <v>9.9999999999999995E-7</v>
      </c>
      <c r="C152" s="549">
        <f t="shared" si="83"/>
        <v>9.9999999999999995E-7</v>
      </c>
      <c r="D152" s="578">
        <f t="shared" si="83"/>
        <v>0.1</v>
      </c>
      <c r="E152" s="578">
        <f t="shared" si="83"/>
        <v>0.1</v>
      </c>
      <c r="F152" s="549">
        <f t="shared" si="83"/>
        <v>4.9999500000000002E-2</v>
      </c>
      <c r="G152" s="550">
        <f t="shared" si="83"/>
        <v>1.7E-8</v>
      </c>
      <c r="I152" s="618"/>
      <c r="J152" s="619"/>
      <c r="K152" s="619"/>
      <c r="L152" s="620"/>
      <c r="M152" s="170"/>
      <c r="N152" s="166"/>
      <c r="O152" s="435"/>
      <c r="P152" s="591"/>
    </row>
    <row r="153" spans="1:17" x14ac:dyDescent="0.25">
      <c r="A153" s="1782"/>
      <c r="B153" s="551">
        <f t="shared" si="83"/>
        <v>20</v>
      </c>
      <c r="C153" s="549">
        <f t="shared" si="83"/>
        <v>0.1</v>
      </c>
      <c r="D153" s="549">
        <f t="shared" si="83"/>
        <v>0.1</v>
      </c>
      <c r="E153" s="549">
        <f t="shared" si="83"/>
        <v>0.1</v>
      </c>
      <c r="F153" s="549">
        <f t="shared" si="83"/>
        <v>0</v>
      </c>
      <c r="G153" s="550">
        <f t="shared" si="83"/>
        <v>0.34</v>
      </c>
      <c r="H153" s="588"/>
      <c r="I153" s="170"/>
      <c r="J153" s="170"/>
      <c r="K153" s="435"/>
      <c r="L153" s="170"/>
      <c r="M153" s="170"/>
      <c r="N153" s="170"/>
      <c r="O153" s="435"/>
      <c r="P153" s="590"/>
    </row>
    <row r="154" spans="1:17" x14ac:dyDescent="0.25">
      <c r="A154" s="1782"/>
      <c r="B154" s="551">
        <f t="shared" si="83"/>
        <v>50</v>
      </c>
      <c r="C154" s="549">
        <f t="shared" si="83"/>
        <v>0.3</v>
      </c>
      <c r="D154" s="549">
        <f t="shared" si="83"/>
        <v>0.3</v>
      </c>
      <c r="E154" s="549">
        <f t="shared" si="83"/>
        <v>0.3</v>
      </c>
      <c r="F154" s="549">
        <f t="shared" si="83"/>
        <v>0</v>
      </c>
      <c r="G154" s="550">
        <f t="shared" si="83"/>
        <v>0.85000000000000009</v>
      </c>
      <c r="L154" s="166"/>
      <c r="M154" s="166"/>
      <c r="N154" s="166"/>
      <c r="O154" s="166"/>
    </row>
    <row r="155" spans="1:17" ht="12.75" customHeight="1" x14ac:dyDescent="0.25">
      <c r="A155" s="1782"/>
      <c r="B155" s="551">
        <f t="shared" si="83"/>
        <v>100</v>
      </c>
      <c r="C155" s="549">
        <f t="shared" si="83"/>
        <v>0.9</v>
      </c>
      <c r="D155" s="549">
        <f t="shared" si="83"/>
        <v>0.6</v>
      </c>
      <c r="E155" s="549">
        <f t="shared" si="83"/>
        <v>0.6</v>
      </c>
      <c r="F155" s="549">
        <f t="shared" si="83"/>
        <v>0.15000000000000002</v>
      </c>
      <c r="G155" s="550">
        <f t="shared" si="83"/>
        <v>1.7000000000000002</v>
      </c>
      <c r="H155" s="592"/>
      <c r="I155" s="436"/>
      <c r="J155" s="436"/>
      <c r="K155" s="437"/>
      <c r="L155" s="166"/>
      <c r="M155" s="166"/>
      <c r="N155" s="166"/>
      <c r="O155" s="166"/>
    </row>
    <row r="156" spans="1:17" ht="13" x14ac:dyDescent="0.3">
      <c r="A156" s="1782"/>
      <c r="B156" s="1773" t="str">
        <f t="shared" si="83"/>
        <v>Resistance</v>
      </c>
      <c r="C156" s="1774"/>
      <c r="D156" s="1774"/>
      <c r="E156" s="1775"/>
      <c r="F156" s="549" t="str">
        <f t="shared" si="83"/>
        <v>Driff</v>
      </c>
      <c r="G156" s="550" t="str">
        <f t="shared" si="83"/>
        <v>U95</v>
      </c>
      <c r="L156" s="1776"/>
      <c r="M156" s="1776"/>
      <c r="O156" s="166"/>
    </row>
    <row r="157" spans="1:17" ht="13" x14ac:dyDescent="0.3">
      <c r="A157" s="1782"/>
      <c r="B157" s="551" t="str">
        <f t="shared" si="83"/>
        <v>( Ω )</v>
      </c>
      <c r="C157" s="549">
        <f t="shared" si="83"/>
        <v>2018</v>
      </c>
      <c r="D157" s="549">
        <f t="shared" si="83"/>
        <v>2019</v>
      </c>
      <c r="E157" s="549">
        <f t="shared" si="83"/>
        <v>2022</v>
      </c>
      <c r="F157" s="549"/>
      <c r="G157" s="550"/>
      <c r="H157" s="592"/>
      <c r="I157" s="436"/>
      <c r="J157" s="436"/>
      <c r="K157" s="437"/>
      <c r="L157" s="438"/>
      <c r="M157" s="166"/>
      <c r="N157" s="166"/>
      <c r="O157" s="166"/>
      <c r="Q157" s="166"/>
    </row>
    <row r="158" spans="1:17" x14ac:dyDescent="0.25">
      <c r="A158" s="1782"/>
      <c r="B158" s="551">
        <f t="shared" si="83"/>
        <v>0.01</v>
      </c>
      <c r="C158" s="578">
        <f t="shared" si="83"/>
        <v>9.9999999999999995E-7</v>
      </c>
      <c r="D158" s="578">
        <f t="shared" si="83"/>
        <v>9.9999999999999995E-7</v>
      </c>
      <c r="E158" s="578">
        <f t="shared" si="83"/>
        <v>9.9999999999999995E-7</v>
      </c>
      <c r="F158" s="549">
        <f t="shared" si="83"/>
        <v>0</v>
      </c>
      <c r="G158" s="550">
        <f t="shared" si="83"/>
        <v>1.2E-4</v>
      </c>
      <c r="I158" s="166"/>
      <c r="J158" s="171"/>
      <c r="K158" s="171"/>
      <c r="L158" s="171"/>
      <c r="M158" s="172"/>
      <c r="N158" s="166"/>
      <c r="O158" s="166"/>
      <c r="P158" s="528"/>
      <c r="Q158" s="166"/>
    </row>
    <row r="159" spans="1:17" x14ac:dyDescent="0.25">
      <c r="A159" s="1782"/>
      <c r="B159" s="551">
        <f t="shared" si="83"/>
        <v>0.1</v>
      </c>
      <c r="C159" s="578">
        <f t="shared" si="83"/>
        <v>1E-3</v>
      </c>
      <c r="D159" s="578">
        <f t="shared" si="83"/>
        <v>-2E-3</v>
      </c>
      <c r="E159" s="578">
        <f t="shared" si="83"/>
        <v>-3.0000000000000001E-3</v>
      </c>
      <c r="F159" s="556">
        <f t="shared" si="83"/>
        <v>2E-3</v>
      </c>
      <c r="G159" s="550">
        <f t="shared" si="83"/>
        <v>1.2000000000000001E-3</v>
      </c>
      <c r="I159" s="166"/>
      <c r="J159" s="172"/>
      <c r="K159" s="171"/>
      <c r="L159" s="172"/>
      <c r="M159" s="172"/>
      <c r="N159" s="166"/>
      <c r="O159" s="166"/>
      <c r="P159" s="528"/>
      <c r="Q159" s="166"/>
    </row>
    <row r="160" spans="1:17" ht="15.75" customHeight="1" x14ac:dyDescent="0.25">
      <c r="A160" s="1782"/>
      <c r="B160" s="551">
        <f t="shared" si="83"/>
        <v>1</v>
      </c>
      <c r="C160" s="578">
        <f t="shared" si="83"/>
        <v>2E-3</v>
      </c>
      <c r="D160" s="578">
        <f t="shared" si="83"/>
        <v>-1E-3</v>
      </c>
      <c r="E160" s="578">
        <f t="shared" si="83"/>
        <v>-7.0000000000000001E-3</v>
      </c>
      <c r="F160" s="556">
        <f t="shared" si="83"/>
        <v>4.5000000000000005E-3</v>
      </c>
      <c r="G160" s="550">
        <f t="shared" si="83"/>
        <v>1.2E-2</v>
      </c>
      <c r="I160" s="166"/>
      <c r="J160" s="171"/>
      <c r="K160" s="171"/>
      <c r="L160" s="171"/>
      <c r="M160" s="172"/>
      <c r="N160" s="166"/>
      <c r="O160" s="166"/>
      <c r="P160" s="528"/>
      <c r="Q160" s="166"/>
    </row>
    <row r="161" spans="1:38" ht="13" thickBot="1" x14ac:dyDescent="0.3">
      <c r="A161" s="1783"/>
      <c r="B161" s="593">
        <f t="shared" si="83"/>
        <v>2</v>
      </c>
      <c r="C161" s="594">
        <f t="shared" si="83"/>
        <v>0</v>
      </c>
      <c r="D161" s="594">
        <f t="shared" si="83"/>
        <v>9.9999999999999995E-7</v>
      </c>
      <c r="E161" s="594">
        <f t="shared" si="83"/>
        <v>-7.0000000000000001E-3</v>
      </c>
      <c r="F161" s="595">
        <f t="shared" si="83"/>
        <v>3.5005000000000001E-3</v>
      </c>
      <c r="G161" s="596">
        <f t="shared" si="83"/>
        <v>2.4E-2</v>
      </c>
      <c r="I161" s="166"/>
      <c r="J161" s="1777"/>
      <c r="K161" s="1777"/>
      <c r="L161" s="1777"/>
      <c r="M161" s="1777"/>
      <c r="N161" s="166"/>
      <c r="O161" s="166"/>
      <c r="P161" s="528"/>
      <c r="Q161" s="166"/>
    </row>
    <row r="162" spans="1:38" x14ac:dyDescent="0.25">
      <c r="I162" s="166"/>
      <c r="J162" s="171"/>
      <c r="K162" s="171"/>
      <c r="L162" s="171"/>
      <c r="M162" s="172"/>
      <c r="N162" s="166"/>
      <c r="O162" s="166"/>
      <c r="P162" s="528"/>
      <c r="Q162" s="166"/>
    </row>
    <row r="163" spans="1:38" x14ac:dyDescent="0.25">
      <c r="I163" s="166"/>
      <c r="J163" s="172"/>
      <c r="K163" s="171"/>
      <c r="L163" s="172"/>
      <c r="M163" s="172"/>
      <c r="N163" s="166"/>
      <c r="O163" s="166"/>
      <c r="P163" s="528"/>
      <c r="Q163" s="166"/>
    </row>
    <row r="164" spans="1:38" ht="13" thickBot="1" x14ac:dyDescent="0.3">
      <c r="I164" s="166"/>
      <c r="J164" s="171"/>
      <c r="K164" s="171"/>
      <c r="L164" s="171"/>
      <c r="M164" s="172"/>
      <c r="N164" s="166"/>
      <c r="O164" s="166"/>
      <c r="P164" s="528"/>
      <c r="Q164" s="166"/>
    </row>
    <row r="165" spans="1:38" ht="15" customHeight="1" x14ac:dyDescent="0.3">
      <c r="A165" s="597" t="str">
        <f>ID!B84</f>
        <v>Electrical Safety Analyzer, Merek : Fluke, Model : ESA 615, SN : 3148908</v>
      </c>
      <c r="B165" s="1406"/>
      <c r="C165" s="1406"/>
      <c r="D165" s="1406"/>
      <c r="E165" s="1406"/>
      <c r="F165" s="1406"/>
      <c r="G165" s="1406"/>
      <c r="H165" s="1406"/>
      <c r="I165" s="1406"/>
      <c r="J165" s="1406"/>
      <c r="K165" s="1406"/>
      <c r="L165" s="1407"/>
      <c r="N165" s="1765">
        <f>A178</f>
        <v>6</v>
      </c>
      <c r="O165" s="1766"/>
      <c r="P165" s="1766"/>
      <c r="Q165" s="1766"/>
      <c r="R165" s="1766"/>
      <c r="S165" s="1766"/>
      <c r="T165" s="1766"/>
      <c r="U165" s="1766"/>
      <c r="V165" s="1766"/>
      <c r="W165" s="1766"/>
      <c r="X165" s="1766"/>
      <c r="Y165" s="1767"/>
    </row>
    <row r="166" spans="1:38" ht="14" x14ac:dyDescent="0.3">
      <c r="A166" s="597" t="s">
        <v>127</v>
      </c>
      <c r="B166" s="598"/>
      <c r="C166" s="599"/>
      <c r="D166" s="600"/>
      <c r="E166" s="600"/>
      <c r="F166" s="600"/>
      <c r="G166" s="600"/>
      <c r="H166" s="601"/>
      <c r="I166" s="602">
        <f>C5</f>
        <v>2019</v>
      </c>
      <c r="J166" s="602">
        <f t="shared" ref="J166:K166" si="84">D5</f>
        <v>2019</v>
      </c>
      <c r="K166" s="602">
        <f t="shared" si="84"/>
        <v>2020</v>
      </c>
      <c r="L166" s="603">
        <v>1</v>
      </c>
      <c r="N166" s="604">
        <v>1</v>
      </c>
      <c r="O166" s="605" t="s">
        <v>128</v>
      </c>
      <c r="P166" s="606"/>
      <c r="Q166" s="607"/>
      <c r="R166" s="607"/>
      <c r="S166" s="607"/>
      <c r="T166" s="607"/>
      <c r="U166" s="607"/>
      <c r="V166" s="607"/>
      <c r="W166" s="607"/>
      <c r="X166" s="606"/>
      <c r="Y166" s="608"/>
    </row>
    <row r="167" spans="1:38" ht="14" x14ac:dyDescent="0.3">
      <c r="A167" s="597" t="s">
        <v>129</v>
      </c>
      <c r="B167" s="598"/>
      <c r="C167" s="599"/>
      <c r="D167" s="600"/>
      <c r="E167" s="600"/>
      <c r="F167" s="600"/>
      <c r="G167" s="600"/>
      <c r="H167" s="601"/>
      <c r="I167" s="602">
        <f>K5</f>
        <v>2017</v>
      </c>
      <c r="J167" s="602">
        <f t="shared" ref="J167:K167" si="85">L5</f>
        <v>2017</v>
      </c>
      <c r="K167" s="602">
        <f t="shared" si="85"/>
        <v>2019</v>
      </c>
      <c r="L167" s="603">
        <v>2</v>
      </c>
      <c r="N167" s="604">
        <v>2</v>
      </c>
      <c r="O167" s="605" t="s">
        <v>128</v>
      </c>
      <c r="P167" s="606"/>
      <c r="Q167" s="607"/>
      <c r="R167" s="607"/>
      <c r="S167" s="607"/>
      <c r="T167" s="607"/>
      <c r="U167" s="607"/>
      <c r="V167" s="607"/>
      <c r="W167" s="607"/>
      <c r="X167" s="606"/>
      <c r="Y167" s="608"/>
      <c r="AL167" s="176"/>
    </row>
    <row r="168" spans="1:38" ht="14" x14ac:dyDescent="0.3">
      <c r="A168" s="597" t="s">
        <v>130</v>
      </c>
      <c r="B168" s="598"/>
      <c r="C168" s="599"/>
      <c r="D168" s="600"/>
      <c r="E168" s="600"/>
      <c r="F168" s="600"/>
      <c r="G168" s="600"/>
      <c r="H168" s="601"/>
      <c r="I168" s="602">
        <f>S5</f>
        <v>2018</v>
      </c>
      <c r="J168" s="602">
        <f t="shared" ref="J168:K168" si="86">T5</f>
        <v>2021</v>
      </c>
      <c r="K168" s="602">
        <f t="shared" si="86"/>
        <v>2022</v>
      </c>
      <c r="L168" s="603">
        <v>3</v>
      </c>
      <c r="N168" s="604">
        <v>3</v>
      </c>
      <c r="O168" s="605" t="s">
        <v>128</v>
      </c>
      <c r="P168" s="606"/>
      <c r="Q168" s="607"/>
      <c r="R168" s="607"/>
      <c r="S168" s="607"/>
      <c r="T168" s="607"/>
      <c r="U168" s="607"/>
      <c r="V168" s="607"/>
      <c r="W168" s="607"/>
      <c r="X168" s="606"/>
      <c r="Y168" s="608"/>
      <c r="AL168" s="176"/>
    </row>
    <row r="169" spans="1:38" ht="14" x14ac:dyDescent="0.3">
      <c r="A169" s="597" t="s">
        <v>131</v>
      </c>
      <c r="B169" s="598"/>
      <c r="C169" s="599"/>
      <c r="D169" s="600"/>
      <c r="E169" s="600"/>
      <c r="F169" s="600"/>
      <c r="G169" s="600"/>
      <c r="H169" s="601"/>
      <c r="I169" s="602">
        <f>C36</f>
        <v>2019</v>
      </c>
      <c r="J169" s="602">
        <f t="shared" ref="J169:K169" si="87">D36</f>
        <v>2019</v>
      </c>
      <c r="K169" s="602">
        <f t="shared" si="87"/>
        <v>2021</v>
      </c>
      <c r="L169" s="603">
        <v>4</v>
      </c>
      <c r="N169" s="604">
        <v>4</v>
      </c>
      <c r="O169" s="605" t="s">
        <v>128</v>
      </c>
      <c r="P169" s="606"/>
      <c r="Q169" s="607"/>
      <c r="R169" s="607"/>
      <c r="S169" s="607"/>
      <c r="T169" s="607"/>
      <c r="U169" s="607"/>
      <c r="V169" s="607"/>
      <c r="W169" s="607"/>
      <c r="X169" s="606"/>
      <c r="Y169" s="608"/>
      <c r="AL169" s="176"/>
    </row>
    <row r="170" spans="1:38" ht="14" x14ac:dyDescent="0.3">
      <c r="A170" s="597" t="s">
        <v>132</v>
      </c>
      <c r="B170" s="599"/>
      <c r="C170" s="599"/>
      <c r="D170" s="600"/>
      <c r="E170" s="600"/>
      <c r="F170" s="600"/>
      <c r="G170" s="600"/>
      <c r="H170" s="601"/>
      <c r="I170" s="602">
        <f>K36</f>
        <v>2019</v>
      </c>
      <c r="J170" s="602">
        <f t="shared" ref="J170:K170" si="88">L36</f>
        <v>2019</v>
      </c>
      <c r="K170" s="602">
        <f t="shared" si="88"/>
        <v>2021</v>
      </c>
      <c r="L170" s="603">
        <v>5</v>
      </c>
      <c r="N170" s="604">
        <v>5</v>
      </c>
      <c r="O170" s="605" t="s">
        <v>128</v>
      </c>
      <c r="P170" s="606"/>
      <c r="Q170" s="607"/>
      <c r="R170" s="607"/>
      <c r="S170" s="607"/>
      <c r="T170" s="607"/>
      <c r="U170" s="607"/>
      <c r="V170" s="607"/>
      <c r="W170" s="607"/>
      <c r="X170" s="606"/>
      <c r="Y170" s="608"/>
      <c r="AL170" s="176"/>
    </row>
    <row r="171" spans="1:38" ht="14" x14ac:dyDescent="0.3">
      <c r="A171" s="597" t="s">
        <v>133</v>
      </c>
      <c r="B171" s="599"/>
      <c r="C171" s="599"/>
      <c r="D171" s="600"/>
      <c r="E171" s="600"/>
      <c r="F171" s="600"/>
      <c r="G171" s="600"/>
      <c r="H171" s="601"/>
      <c r="I171" s="602">
        <f>S36</f>
        <v>2018</v>
      </c>
      <c r="J171" s="602">
        <f t="shared" ref="J171:K171" si="89">T36</f>
        <v>2019</v>
      </c>
      <c r="K171" s="602">
        <f t="shared" si="89"/>
        <v>2022</v>
      </c>
      <c r="L171" s="603">
        <v>6</v>
      </c>
      <c r="N171" s="604">
        <v>6</v>
      </c>
      <c r="O171" s="605" t="s">
        <v>128</v>
      </c>
      <c r="P171" s="606"/>
      <c r="Q171" s="607"/>
      <c r="R171" s="607"/>
      <c r="S171" s="607"/>
      <c r="T171" s="607"/>
      <c r="U171" s="607"/>
      <c r="V171" s="607"/>
      <c r="W171" s="607"/>
      <c r="X171" s="606"/>
      <c r="Y171" s="608"/>
      <c r="AL171" s="176"/>
    </row>
    <row r="172" spans="1:38" ht="14" x14ac:dyDescent="0.3">
      <c r="A172" s="597" t="s">
        <v>134</v>
      </c>
      <c r="B172" s="599"/>
      <c r="C172" s="599"/>
      <c r="D172" s="600"/>
      <c r="E172" s="600"/>
      <c r="F172" s="600"/>
      <c r="G172" s="600"/>
      <c r="H172" s="601"/>
      <c r="I172" s="602">
        <f>C67</f>
        <v>2019</v>
      </c>
      <c r="J172" s="602">
        <f t="shared" ref="J172:K172" si="90">D67</f>
        <v>2020</v>
      </c>
      <c r="K172" s="602">
        <f t="shared" si="90"/>
        <v>2022</v>
      </c>
      <c r="L172" s="603">
        <v>7</v>
      </c>
      <c r="N172" s="604">
        <v>7</v>
      </c>
      <c r="O172" s="605" t="s">
        <v>128</v>
      </c>
      <c r="P172" s="606"/>
      <c r="Q172" s="607"/>
      <c r="R172" s="607"/>
      <c r="S172" s="607"/>
      <c r="T172" s="607"/>
      <c r="U172" s="607"/>
      <c r="V172" s="607"/>
      <c r="W172" s="607"/>
      <c r="X172" s="606"/>
      <c r="Y172" s="608"/>
      <c r="AL172" s="176"/>
    </row>
    <row r="173" spans="1:38" ht="14" x14ac:dyDescent="0.3">
      <c r="A173" s="597" t="s">
        <v>136</v>
      </c>
      <c r="B173" s="599"/>
      <c r="C173" s="599"/>
      <c r="D173" s="600"/>
      <c r="E173" s="600"/>
      <c r="F173" s="600"/>
      <c r="G173" s="600"/>
      <c r="H173" s="601"/>
      <c r="I173" s="609">
        <f>K67</f>
        <v>2019</v>
      </c>
      <c r="J173" s="609">
        <f t="shared" ref="J173:K173" si="91">L67</f>
        <v>2020</v>
      </c>
      <c r="K173" s="609">
        <f t="shared" si="91"/>
        <v>2022</v>
      </c>
      <c r="L173" s="603">
        <v>8</v>
      </c>
      <c r="N173" s="604">
        <v>8</v>
      </c>
      <c r="O173" s="605" t="s">
        <v>128</v>
      </c>
      <c r="P173" s="606"/>
      <c r="Q173" s="607"/>
      <c r="R173" s="607"/>
      <c r="S173" s="607"/>
      <c r="T173" s="607"/>
      <c r="U173" s="607"/>
      <c r="V173" s="607"/>
      <c r="W173" s="607"/>
      <c r="X173" s="606"/>
      <c r="Y173" s="608"/>
      <c r="AL173" s="176"/>
    </row>
    <row r="174" spans="1:38" ht="14" x14ac:dyDescent="0.3">
      <c r="A174" s="597" t="s">
        <v>135</v>
      </c>
      <c r="B174" s="599"/>
      <c r="C174" s="599"/>
      <c r="D174" s="600"/>
      <c r="E174" s="600"/>
      <c r="F174" s="600"/>
      <c r="G174" s="600"/>
      <c r="H174" s="601"/>
      <c r="I174" s="609">
        <f>S67</f>
        <v>2019</v>
      </c>
      <c r="J174" s="609">
        <f t="shared" ref="J174:K174" si="92">T67</f>
        <v>2020</v>
      </c>
      <c r="K174" s="609">
        <f t="shared" si="92"/>
        <v>2022</v>
      </c>
      <c r="L174" s="603">
        <v>9</v>
      </c>
      <c r="N174" s="604">
        <v>9</v>
      </c>
      <c r="O174" s="605" t="s">
        <v>128</v>
      </c>
      <c r="P174" s="606"/>
      <c r="Q174" s="607"/>
      <c r="R174" s="607"/>
      <c r="S174" s="607"/>
      <c r="T174" s="607"/>
      <c r="U174" s="607"/>
      <c r="V174" s="607"/>
      <c r="W174" s="607"/>
      <c r="X174" s="606"/>
      <c r="Y174" s="608"/>
      <c r="AL174" s="176"/>
    </row>
    <row r="175" spans="1:38" ht="14" x14ac:dyDescent="0.3">
      <c r="A175" s="597" t="s">
        <v>137</v>
      </c>
      <c r="B175" s="599"/>
      <c r="C175" s="599"/>
      <c r="D175" s="600"/>
      <c r="E175" s="600"/>
      <c r="F175" s="600"/>
      <c r="G175" s="600"/>
      <c r="H175" s="601"/>
      <c r="I175" s="609">
        <f>C98</f>
        <v>2019</v>
      </c>
      <c r="J175" s="609">
        <f t="shared" ref="J175:K175" si="93">D98</f>
        <v>2019</v>
      </c>
      <c r="K175" s="609">
        <f t="shared" si="93"/>
        <v>2020</v>
      </c>
      <c r="L175" s="603">
        <v>10</v>
      </c>
      <c r="M175" s="176"/>
      <c r="N175" s="604">
        <v>10</v>
      </c>
      <c r="O175" s="605" t="s">
        <v>128</v>
      </c>
      <c r="P175" s="606"/>
      <c r="Q175" s="607"/>
      <c r="R175" s="607"/>
      <c r="S175" s="607"/>
      <c r="T175" s="607"/>
      <c r="U175" s="607"/>
      <c r="V175" s="607"/>
      <c r="W175" s="607"/>
      <c r="X175" s="606"/>
      <c r="Y175" s="608"/>
      <c r="AL175" s="176"/>
    </row>
    <row r="176" spans="1:38" ht="14" x14ac:dyDescent="0.3">
      <c r="A176" s="597" t="s">
        <v>138</v>
      </c>
      <c r="B176" s="599"/>
      <c r="C176" s="599"/>
      <c r="D176" s="600"/>
      <c r="E176" s="600"/>
      <c r="F176" s="600"/>
      <c r="G176" s="600"/>
      <c r="H176" s="601"/>
      <c r="I176" s="609">
        <f>K98</f>
        <v>2019</v>
      </c>
      <c r="J176" s="609">
        <f t="shared" ref="J176:K176" si="94">L98</f>
        <v>2019</v>
      </c>
      <c r="K176" s="609">
        <f t="shared" si="94"/>
        <v>2020</v>
      </c>
      <c r="L176" s="603">
        <v>11</v>
      </c>
      <c r="N176" s="604">
        <v>11</v>
      </c>
      <c r="O176" s="605" t="s">
        <v>128</v>
      </c>
      <c r="P176" s="606"/>
      <c r="Q176" s="607"/>
      <c r="R176" s="607"/>
      <c r="S176" s="607"/>
      <c r="T176" s="607"/>
      <c r="U176" s="607"/>
      <c r="V176" s="607"/>
      <c r="W176" s="607"/>
      <c r="X176" s="606"/>
      <c r="Y176" s="608"/>
      <c r="AL176" s="176"/>
    </row>
    <row r="177" spans="1:50" ht="14" x14ac:dyDescent="0.3">
      <c r="A177" s="597" t="s">
        <v>139</v>
      </c>
      <c r="B177" s="599"/>
      <c r="C177" s="599"/>
      <c r="D177" s="600"/>
      <c r="E177" s="600"/>
      <c r="F177" s="600"/>
      <c r="G177" s="600"/>
      <c r="H177" s="601"/>
      <c r="I177" s="609">
        <f>S98</f>
        <v>2019</v>
      </c>
      <c r="J177" s="609">
        <f t="shared" ref="J177:K177" si="95">T98</f>
        <v>2019</v>
      </c>
      <c r="K177" s="609">
        <f t="shared" si="95"/>
        <v>2020</v>
      </c>
      <c r="L177" s="603">
        <v>12</v>
      </c>
      <c r="N177" s="604">
        <v>12</v>
      </c>
      <c r="O177" s="605" t="s">
        <v>128</v>
      </c>
      <c r="P177" s="606"/>
      <c r="Q177" s="607"/>
      <c r="R177" s="607"/>
      <c r="S177" s="607"/>
      <c r="T177" s="607"/>
      <c r="U177" s="607"/>
      <c r="V177" s="607"/>
      <c r="W177" s="607"/>
      <c r="X177" s="606"/>
      <c r="Y177" s="608"/>
      <c r="AL177" s="176"/>
    </row>
    <row r="178" spans="1:50" ht="15.75" customHeight="1" thickBot="1" x14ac:dyDescent="0.35">
      <c r="A178" s="597">
        <f>VLOOKUP(A165,A166:L177,12,(FALSE))</f>
        <v>6</v>
      </c>
      <c r="B178" s="1406"/>
      <c r="C178" s="1406"/>
      <c r="D178" s="1406"/>
      <c r="E178" s="1406"/>
      <c r="F178" s="1406"/>
      <c r="G178" s="1406"/>
      <c r="H178" s="1406"/>
      <c r="I178" s="1406"/>
      <c r="J178" s="1406"/>
      <c r="K178" s="1406"/>
      <c r="L178" s="1407"/>
      <c r="O178" s="610" t="str">
        <f>O177</f>
        <v>Hasil pengukuran keselamatan listrik tertelusur ke Satuan Internasional ( SI ) melalui PT. Kaliman</v>
      </c>
      <c r="P178" s="611"/>
      <c r="Q178" s="611"/>
      <c r="R178" s="611"/>
      <c r="S178" s="611"/>
      <c r="T178" s="611"/>
      <c r="U178" s="611"/>
      <c r="V178" s="611"/>
      <c r="W178" s="611"/>
      <c r="X178" s="611"/>
      <c r="Y178" s="612"/>
      <c r="AL178" s="176"/>
    </row>
    <row r="179" spans="1:50" x14ac:dyDescent="0.25">
      <c r="AL179" s="176"/>
    </row>
    <row r="180" spans="1:50" ht="14" x14ac:dyDescent="0.3">
      <c r="A180" s="613"/>
      <c r="AL180" s="176"/>
    </row>
    <row r="181" spans="1:50" x14ac:dyDescent="0.25"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76"/>
      <c r="AT181" s="176"/>
      <c r="AU181" s="176"/>
      <c r="AV181" s="176"/>
      <c r="AW181" s="176"/>
      <c r="AX181" s="176"/>
    </row>
    <row r="214" spans="27:31" x14ac:dyDescent="0.25">
      <c r="AA214" s="173"/>
      <c r="AB214" s="166"/>
      <c r="AC214" s="166"/>
      <c r="AD214" s="166"/>
      <c r="AE214" s="166"/>
    </row>
    <row r="215" spans="27:31" x14ac:dyDescent="0.25">
      <c r="AA215" s="173"/>
      <c r="AB215" s="166"/>
      <c r="AC215" s="166"/>
      <c r="AD215" s="166"/>
      <c r="AE215" s="166"/>
    </row>
    <row r="216" spans="27:31" x14ac:dyDescent="0.25">
      <c r="AA216" s="173"/>
      <c r="AB216" s="166"/>
      <c r="AC216" s="166"/>
      <c r="AD216" s="166"/>
      <c r="AE216" s="166"/>
    </row>
    <row r="217" spans="27:31" x14ac:dyDescent="0.25">
      <c r="AA217" s="173"/>
      <c r="AB217" s="166"/>
      <c r="AC217" s="166"/>
      <c r="AD217" s="166"/>
      <c r="AE217" s="166"/>
    </row>
    <row r="218" spans="27:31" x14ac:dyDescent="0.25">
      <c r="AA218" s="173"/>
      <c r="AB218" s="166"/>
      <c r="AC218" s="166"/>
      <c r="AD218" s="166"/>
      <c r="AE218" s="166"/>
    </row>
    <row r="219" spans="27:31" ht="13" thickBot="1" x14ac:dyDescent="0.3">
      <c r="AA219" s="174"/>
      <c r="AB219" s="175"/>
      <c r="AC219" s="175"/>
      <c r="AD219" s="175"/>
      <c r="AE219" s="175"/>
    </row>
  </sheetData>
  <mergeCells count="105">
    <mergeCell ref="A132:A161"/>
    <mergeCell ref="P134:P136"/>
    <mergeCell ref="I136:L136"/>
    <mergeCell ref="I138:L138"/>
    <mergeCell ref="I140:L140"/>
    <mergeCell ref="B142:E142"/>
    <mergeCell ref="I142:L142"/>
    <mergeCell ref="B132:G132"/>
    <mergeCell ref="B133:G133"/>
    <mergeCell ref="B134:E134"/>
    <mergeCell ref="I134:L134"/>
    <mergeCell ref="N134:N136"/>
    <mergeCell ref="O134:O136"/>
    <mergeCell ref="N165:Y165"/>
    <mergeCell ref="M143:M144"/>
    <mergeCell ref="I144:L144"/>
    <mergeCell ref="B150:E150"/>
    <mergeCell ref="B156:E156"/>
    <mergeCell ref="L156:M156"/>
    <mergeCell ref="J161:M161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SERT RESISTOR</vt:lpstr>
      <vt:lpstr>Sert Stopwatch</vt:lpstr>
      <vt:lpstr>LK</vt:lpstr>
      <vt:lpstr>Riwayat Revisi</vt:lpstr>
      <vt:lpstr>ID</vt:lpstr>
      <vt:lpstr>Ktps</vt:lpstr>
      <vt:lpstr>PENYELIA</vt:lpstr>
      <vt:lpstr>LH</vt:lpstr>
      <vt:lpstr>ESA</vt:lpstr>
      <vt:lpstr> LH Laragon</vt:lpstr>
      <vt:lpstr>kata-kata</vt:lpstr>
      <vt:lpstr>SCOPE</vt:lpstr>
      <vt:lpstr>Sheet1</vt:lpstr>
      <vt:lpstr>SERTIFIKAT</vt:lpstr>
      <vt:lpstr>Surat Keterangan</vt:lpstr>
      <vt:lpstr>DB Thermohygro </vt:lpstr>
      <vt:lpstr>ID!Criteria</vt:lpstr>
      <vt:lpstr>LK!Criteria</vt:lpstr>
      <vt:lpstr>' LH Laragon'!Print_Area</vt:lpstr>
      <vt:lpstr>'DB Thermohygro '!Print_Area</vt:lpstr>
      <vt:lpstr>ESA!Print_Area</vt:lpstr>
      <vt:lpstr>ID!Print_Area</vt:lpstr>
      <vt:lpstr>Ktps!Print_Area</vt:lpstr>
      <vt:lpstr>LH!Print_Area</vt:lpstr>
      <vt:lpstr>LK!Print_Area</vt:lpstr>
      <vt:lpstr>PENYELIA!Print_Area</vt:lpstr>
      <vt:lpstr>'Sert Stopwatch'!Print_Area</vt:lpstr>
      <vt:lpstr>SERTIFIKAT!Print_Area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dental 2017</dc:title>
  <dc:subject/>
  <dc:creator>BPFK Banjarbaru</dc:creator>
  <cp:keywords/>
  <dc:description/>
  <cp:lastModifiedBy>MyBook PRO K5</cp:lastModifiedBy>
  <cp:revision/>
  <cp:lastPrinted>2023-09-04T07:15:43Z</cp:lastPrinted>
  <dcterms:created xsi:type="dcterms:W3CDTF">2003-12-12T03:37:54Z</dcterms:created>
  <dcterms:modified xsi:type="dcterms:W3CDTF">2023-09-19T02:28:22Z</dcterms:modified>
  <cp:category/>
  <cp:contentStatus/>
</cp:coreProperties>
</file>