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E749B65E-31A1-463B-8675-1766AD3D254A}" xr6:coauthVersionLast="47" xr6:coauthVersionMax="47" xr10:uidLastSave="{00000000-0000-0000-0000-000000000000}"/>
  <bookViews>
    <workbookView xWindow="-110" yWindow="-110" windowWidth="19420" windowHeight="10300" firstSheet="2" activeTab="6" xr2:uid="{00000000-000D-0000-FFFF-FFFF00000000}"/>
  </bookViews>
  <sheets>
    <sheet name="Sheet1" sheetId="1" state="hidden" r:id="rId1"/>
    <sheet name="LK" sheetId="5" r:id="rId2"/>
    <sheet name="Riwayat Revisi" sheetId="16" r:id="rId3"/>
    <sheet name="ID" sheetId="4" r:id="rId4"/>
    <sheet name="LH" sheetId="9" r:id="rId5"/>
    <sheet name="BUDGETING" sheetId="2" r:id="rId6"/>
    <sheet name="PENYELIA" sheetId="6" r:id="rId7"/>
    <sheet name="DB Thermohygro" sheetId="17" state="hidden" r:id="rId8"/>
    <sheet name="SERTIFIKAT" sheetId="21" r:id="rId9"/>
    <sheet name="SURAT KETERANGAN" sheetId="19" state="hidden" r:id="rId10"/>
    <sheet name="DB SERTIFIKAT" sheetId="20" state="hidden" r:id="rId11"/>
    <sheet name="Setifikat " sheetId="14" state="hidden" r:id="rId12"/>
    <sheet name="Cetik Cetik" sheetId="10" state="hidden" r:id="rId13"/>
  </sheets>
  <definedNames>
    <definedName name="_xlnm.Print_Area" localSheetId="5">BUDGETING!$A$1:$K$90</definedName>
    <definedName name="_xlnm.Print_Area" localSheetId="7">'DB Thermohygro'!#REF!,'DB Thermohygro'!#REF!</definedName>
    <definedName name="_xlnm.Print_Area" localSheetId="3">ID!$A$1:$K$64</definedName>
    <definedName name="_xlnm.Print_Area" localSheetId="4">LH!$A$1:$M$72</definedName>
    <definedName name="_xlnm.Print_Area" localSheetId="1">LK!$A$1:$I$60</definedName>
    <definedName name="_xlnm.Print_Area" localSheetId="6">PENYELIA!$A$1:$M$67</definedName>
    <definedName name="_xlnm.Print_Area" localSheetId="9">'SURAT KETERANGAN'!$A$1:$G$33</definedName>
  </definedNames>
  <calcPr calcId="191028"/>
</workbook>
</file>

<file path=xl/calcChain.xml><?xml version="1.0" encoding="utf-8"?>
<calcChain xmlns="http://schemas.openxmlformats.org/spreadsheetml/2006/main">
  <c r="B54" i="6" l="1"/>
  <c r="B26" i="9"/>
  <c r="D16" i="9"/>
  <c r="I16" i="9"/>
  <c r="H16" i="9"/>
  <c r="F16" i="9"/>
  <c r="I15" i="9"/>
  <c r="H15" i="9"/>
  <c r="F15" i="9"/>
  <c r="K27" i="9" l="1"/>
  <c r="K31" i="9"/>
  <c r="K32" i="9" s="1"/>
  <c r="K33" i="9" s="1"/>
  <c r="K34" i="9" s="1"/>
  <c r="K35" i="9" s="1"/>
  <c r="K26" i="9"/>
  <c r="J35" i="6"/>
  <c r="J34" i="6"/>
  <c r="J33" i="6"/>
  <c r="J32" i="6"/>
  <c r="J31" i="6"/>
  <c r="J26" i="6"/>
  <c r="B45" i="21"/>
  <c r="B46" i="21" s="1"/>
  <c r="B43" i="21"/>
  <c r="D23" i="21"/>
  <c r="D20" i="21"/>
  <c r="D18" i="21"/>
  <c r="D21" i="21"/>
  <c r="D17" i="21"/>
  <c r="D12" i="21"/>
  <c r="D9" i="21"/>
  <c r="D10" i="21"/>
  <c r="D8" i="21"/>
  <c r="I26" i="6"/>
  <c r="I26" i="9" s="1"/>
  <c r="J27" i="6"/>
  <c r="I16" i="6"/>
  <c r="H16" i="6"/>
  <c r="F16" i="6"/>
  <c r="D16" i="6"/>
  <c r="I15" i="6"/>
  <c r="H15" i="6"/>
  <c r="F15" i="6"/>
  <c r="D15" i="6"/>
  <c r="A3" i="21"/>
  <c r="F6" i="21" s="1"/>
  <c r="B50" i="21"/>
  <c r="E26" i="21"/>
  <c r="I64" i="9"/>
  <c r="J71" i="9"/>
  <c r="G64" i="4" l="1"/>
  <c r="G17" i="19" l="1"/>
  <c r="A392" i="17"/>
  <c r="B83" i="6" l="1"/>
  <c r="A4" i="19" l="1"/>
  <c r="G26" i="19" l="1"/>
  <c r="B18" i="19" l="1"/>
  <c r="D11" i="19"/>
  <c r="D10" i="19"/>
  <c r="G2" i="19" l="1"/>
  <c r="D12" i="19" l="1"/>
  <c r="D8" i="6"/>
  <c r="D8" i="9" s="1"/>
  <c r="C8" i="6"/>
  <c r="C8" i="9" s="1"/>
  <c r="A8" i="6"/>
  <c r="A8" i="9" s="1"/>
  <c r="D19" i="21"/>
  <c r="B54" i="21" s="1"/>
  <c r="B55" i="21" s="1"/>
  <c r="B59" i="21" l="1"/>
  <c r="B58" i="21"/>
  <c r="G48" i="4"/>
  <c r="C35" i="6" s="1"/>
  <c r="G47" i="4"/>
  <c r="C34" i="6" s="1"/>
  <c r="G46" i="4"/>
  <c r="G45" i="4"/>
  <c r="G44" i="4"/>
  <c r="H30" i="4"/>
  <c r="C27" i="6" l="1"/>
  <c r="B57" i="21"/>
  <c r="H31" i="4"/>
  <c r="H32" i="4"/>
  <c r="H33" i="4"/>
  <c r="H34" i="4"/>
  <c r="H35" i="4"/>
  <c r="H36" i="4"/>
  <c r="H37" i="4"/>
  <c r="H38" i="4"/>
  <c r="H39" i="4"/>
  <c r="S378" i="17"/>
  <c r="S379" i="17"/>
  <c r="S377" i="17"/>
  <c r="J412" i="17"/>
  <c r="I412" i="17"/>
  <c r="J411" i="17"/>
  <c r="J410" i="17"/>
  <c r="I410" i="17"/>
  <c r="J409" i="17"/>
  <c r="I409" i="17"/>
  <c r="J408" i="17"/>
  <c r="I408" i="17"/>
  <c r="J407" i="17"/>
  <c r="I407" i="17"/>
  <c r="J406" i="17"/>
  <c r="I406" i="17"/>
  <c r="J405" i="17"/>
  <c r="I405" i="17"/>
  <c r="J404" i="17"/>
  <c r="I404" i="17"/>
  <c r="J403" i="17"/>
  <c r="I403" i="17"/>
  <c r="J402" i="17"/>
  <c r="I402" i="17"/>
  <c r="J401" i="17"/>
  <c r="I401" i="17"/>
  <c r="J400" i="17"/>
  <c r="I400" i="17"/>
  <c r="J399" i="17"/>
  <c r="I399" i="17"/>
  <c r="J398" i="17"/>
  <c r="I398" i="17"/>
  <c r="J397" i="17"/>
  <c r="I397" i="17"/>
  <c r="J396" i="17"/>
  <c r="I396" i="17"/>
  <c r="J395" i="17"/>
  <c r="I395" i="17"/>
  <c r="J394" i="17"/>
  <c r="I394" i="17"/>
  <c r="J393" i="17"/>
  <c r="I393" i="17"/>
  <c r="A413" i="17"/>
  <c r="A373" i="17" s="1"/>
  <c r="S371" i="17"/>
  <c r="R371" i="17"/>
  <c r="Q371" i="17"/>
  <c r="L371" i="17"/>
  <c r="K371" i="17"/>
  <c r="J371" i="17"/>
  <c r="E371" i="17"/>
  <c r="D371" i="17"/>
  <c r="C371" i="17"/>
  <c r="S370" i="17"/>
  <c r="R370" i="17"/>
  <c r="Q370" i="17"/>
  <c r="L370" i="17"/>
  <c r="K370" i="17"/>
  <c r="J370" i="17"/>
  <c r="E370" i="17"/>
  <c r="D370" i="17"/>
  <c r="C370" i="17"/>
  <c r="S369" i="17"/>
  <c r="R369" i="17"/>
  <c r="Q369" i="17"/>
  <c r="L369" i="17"/>
  <c r="K369" i="17"/>
  <c r="J369" i="17"/>
  <c r="E369" i="17"/>
  <c r="D369" i="17"/>
  <c r="C369" i="17"/>
  <c r="S368" i="17"/>
  <c r="R368" i="17"/>
  <c r="Q368" i="17"/>
  <c r="L368" i="17"/>
  <c r="K368" i="17"/>
  <c r="J368" i="17"/>
  <c r="E368" i="17"/>
  <c r="D368" i="17"/>
  <c r="C368" i="17"/>
  <c r="S367" i="17"/>
  <c r="R367" i="17"/>
  <c r="Q367" i="17"/>
  <c r="L367" i="17"/>
  <c r="K367" i="17"/>
  <c r="J367" i="17"/>
  <c r="E367" i="17"/>
  <c r="D367" i="17"/>
  <c r="C367" i="17"/>
  <c r="S366" i="17"/>
  <c r="R366" i="17"/>
  <c r="Q366" i="17"/>
  <c r="L366" i="17"/>
  <c r="K366" i="17"/>
  <c r="J366" i="17"/>
  <c r="E366" i="17"/>
  <c r="D366" i="17"/>
  <c r="C366" i="17"/>
  <c r="S365" i="17"/>
  <c r="R365" i="17"/>
  <c r="Q365" i="17"/>
  <c r="L365" i="17"/>
  <c r="K365" i="17"/>
  <c r="J365" i="17"/>
  <c r="E365" i="17"/>
  <c r="D365" i="17"/>
  <c r="C365" i="17"/>
  <c r="S364" i="17"/>
  <c r="R364" i="17"/>
  <c r="Q364" i="17"/>
  <c r="L364" i="17"/>
  <c r="K364" i="17"/>
  <c r="J364" i="17"/>
  <c r="E364" i="17"/>
  <c r="D364" i="17"/>
  <c r="C364" i="17"/>
  <c r="S363" i="17"/>
  <c r="R363" i="17"/>
  <c r="Q363" i="17"/>
  <c r="L363" i="17"/>
  <c r="K363" i="17"/>
  <c r="J363" i="17"/>
  <c r="E363" i="17"/>
  <c r="D363" i="17"/>
  <c r="C363" i="17"/>
  <c r="S362" i="17"/>
  <c r="R362" i="17"/>
  <c r="Q362" i="17"/>
  <c r="L362" i="17"/>
  <c r="K362" i="17"/>
  <c r="J362" i="17"/>
  <c r="E362" i="17"/>
  <c r="D362" i="17"/>
  <c r="C362" i="17"/>
  <c r="S361" i="17"/>
  <c r="R361" i="17"/>
  <c r="Q361" i="17"/>
  <c r="L361" i="17"/>
  <c r="K361" i="17"/>
  <c r="J361" i="17"/>
  <c r="E361" i="17"/>
  <c r="D361" i="17"/>
  <c r="C361" i="17"/>
  <c r="S360" i="17"/>
  <c r="R360" i="17"/>
  <c r="Q360" i="17"/>
  <c r="L360" i="17"/>
  <c r="K360" i="17"/>
  <c r="J360" i="17"/>
  <c r="E360" i="17"/>
  <c r="D360" i="17"/>
  <c r="C360" i="17"/>
  <c r="S359" i="17"/>
  <c r="R359" i="17"/>
  <c r="Q359" i="17"/>
  <c r="L359" i="17"/>
  <c r="K359" i="17"/>
  <c r="J359" i="17"/>
  <c r="E359" i="17"/>
  <c r="D359" i="17"/>
  <c r="C359" i="17"/>
  <c r="S358" i="17"/>
  <c r="R358" i="17"/>
  <c r="Q358" i="17"/>
  <c r="L358" i="17"/>
  <c r="K358" i="17"/>
  <c r="J358" i="17"/>
  <c r="E358" i="17"/>
  <c r="D358" i="17"/>
  <c r="C358" i="17"/>
  <c r="S357" i="17"/>
  <c r="R357" i="17"/>
  <c r="Q357" i="17"/>
  <c r="L357" i="17"/>
  <c r="K357" i="17"/>
  <c r="J357" i="17"/>
  <c r="E357" i="17"/>
  <c r="D357" i="17"/>
  <c r="C357" i="17"/>
  <c r="S356" i="17"/>
  <c r="R356" i="17"/>
  <c r="Q356" i="17"/>
  <c r="L356" i="17"/>
  <c r="K356" i="17"/>
  <c r="J356" i="17"/>
  <c r="E356" i="17"/>
  <c r="D356" i="17"/>
  <c r="C356" i="17"/>
  <c r="S355" i="17"/>
  <c r="R355" i="17"/>
  <c r="Q355" i="17"/>
  <c r="L355" i="17"/>
  <c r="K355" i="17"/>
  <c r="J355" i="17"/>
  <c r="E355" i="17"/>
  <c r="D355" i="17"/>
  <c r="C355" i="17"/>
  <c r="S354" i="17"/>
  <c r="R354" i="17"/>
  <c r="Q354" i="17"/>
  <c r="L354" i="17"/>
  <c r="K354" i="17"/>
  <c r="J354" i="17"/>
  <c r="E354" i="17"/>
  <c r="D354" i="17"/>
  <c r="C354" i="17"/>
  <c r="S353" i="17"/>
  <c r="R353" i="17"/>
  <c r="Q353" i="17"/>
  <c r="L353" i="17"/>
  <c r="K353" i="17"/>
  <c r="J353" i="17"/>
  <c r="E353" i="17"/>
  <c r="D353" i="17"/>
  <c r="C353" i="17"/>
  <c r="S352" i="17"/>
  <c r="R352" i="17"/>
  <c r="Q352" i="17"/>
  <c r="L352" i="17"/>
  <c r="K352" i="17"/>
  <c r="J352" i="17"/>
  <c r="E352" i="17"/>
  <c r="D352" i="17"/>
  <c r="C352" i="17"/>
  <c r="S350" i="17"/>
  <c r="R350" i="17"/>
  <c r="Q350" i="17"/>
  <c r="L350" i="17"/>
  <c r="K350" i="17"/>
  <c r="J350" i="17"/>
  <c r="E350" i="17"/>
  <c r="D350" i="17"/>
  <c r="C350" i="17"/>
  <c r="S349" i="17"/>
  <c r="R349" i="17"/>
  <c r="Q349" i="17"/>
  <c r="L349" i="17"/>
  <c r="K349" i="17"/>
  <c r="J349" i="17"/>
  <c r="E349" i="17"/>
  <c r="D349" i="17"/>
  <c r="C349" i="17"/>
  <c r="S348" i="17"/>
  <c r="R348" i="17"/>
  <c r="Q348" i="17"/>
  <c r="L348" i="17"/>
  <c r="K348" i="17"/>
  <c r="J348" i="17"/>
  <c r="E348" i="17"/>
  <c r="D348" i="17"/>
  <c r="C348" i="17"/>
  <c r="S347" i="17"/>
  <c r="R347" i="17"/>
  <c r="Q347" i="17"/>
  <c r="L347" i="17"/>
  <c r="K347" i="17"/>
  <c r="J347" i="17"/>
  <c r="E347" i="17"/>
  <c r="D347" i="17"/>
  <c r="C347" i="17"/>
  <c r="S346" i="17"/>
  <c r="R346" i="17"/>
  <c r="Q346" i="17"/>
  <c r="L346" i="17"/>
  <c r="K346" i="17"/>
  <c r="J346" i="17"/>
  <c r="E346" i="17"/>
  <c r="D346" i="17"/>
  <c r="C346" i="17"/>
  <c r="S345" i="17"/>
  <c r="R345" i="17"/>
  <c r="Q345" i="17"/>
  <c r="L345" i="17"/>
  <c r="K345" i="17"/>
  <c r="J345" i="17"/>
  <c r="E345" i="17"/>
  <c r="D345" i="17"/>
  <c r="C345" i="17"/>
  <c r="S344" i="17"/>
  <c r="R344" i="17"/>
  <c r="Q344" i="17"/>
  <c r="L344" i="17"/>
  <c r="K344" i="17"/>
  <c r="J344" i="17"/>
  <c r="E344" i="17"/>
  <c r="D344" i="17"/>
  <c r="C344" i="17"/>
  <c r="S343" i="17"/>
  <c r="R343" i="17"/>
  <c r="Q343" i="17"/>
  <c r="L343" i="17"/>
  <c r="K343" i="17"/>
  <c r="J343" i="17"/>
  <c r="E343" i="17"/>
  <c r="D343" i="17"/>
  <c r="C343" i="17"/>
  <c r="S342" i="17"/>
  <c r="R342" i="17"/>
  <c r="Q342" i="17"/>
  <c r="L342" i="17"/>
  <c r="K342" i="17"/>
  <c r="J342" i="17"/>
  <c r="E342" i="17"/>
  <c r="D342" i="17"/>
  <c r="C342" i="17"/>
  <c r="S341" i="17"/>
  <c r="R341" i="17"/>
  <c r="Q341" i="17"/>
  <c r="L341" i="17"/>
  <c r="K341" i="17"/>
  <c r="J341" i="17"/>
  <c r="E341" i="17"/>
  <c r="D341" i="17"/>
  <c r="C341" i="17"/>
  <c r="S340" i="17"/>
  <c r="R340" i="17"/>
  <c r="Q340" i="17"/>
  <c r="L340" i="17"/>
  <c r="K340" i="17"/>
  <c r="J340" i="17"/>
  <c r="E340" i="17"/>
  <c r="D340" i="17"/>
  <c r="C340" i="17"/>
  <c r="S339" i="17"/>
  <c r="R339" i="17"/>
  <c r="Q339" i="17"/>
  <c r="L339" i="17"/>
  <c r="K339" i="17"/>
  <c r="J339" i="17"/>
  <c r="E339" i="17"/>
  <c r="D339" i="17"/>
  <c r="C339" i="17"/>
  <c r="S338" i="17"/>
  <c r="R338" i="17"/>
  <c r="Q338" i="17"/>
  <c r="L338" i="17"/>
  <c r="K338" i="17"/>
  <c r="J338" i="17"/>
  <c r="E338" i="17"/>
  <c r="D338" i="17"/>
  <c r="C338" i="17"/>
  <c r="S337" i="17"/>
  <c r="R337" i="17"/>
  <c r="Q337" i="17"/>
  <c r="L337" i="17"/>
  <c r="K337" i="17"/>
  <c r="J337" i="17"/>
  <c r="E337" i="17"/>
  <c r="D337" i="17"/>
  <c r="C337" i="17"/>
  <c r="S336" i="17"/>
  <c r="R336" i="17"/>
  <c r="Q336" i="17"/>
  <c r="L336" i="17"/>
  <c r="K336" i="17"/>
  <c r="J336" i="17"/>
  <c r="E336" i="17"/>
  <c r="D336" i="17"/>
  <c r="C336" i="17"/>
  <c r="S335" i="17"/>
  <c r="R335" i="17"/>
  <c r="Q335" i="17"/>
  <c r="L335" i="17"/>
  <c r="K335" i="17"/>
  <c r="J335" i="17"/>
  <c r="E335" i="17"/>
  <c r="D335" i="17"/>
  <c r="C335" i="17"/>
  <c r="S334" i="17"/>
  <c r="R334" i="17"/>
  <c r="Q334" i="17"/>
  <c r="L334" i="17"/>
  <c r="K334" i="17"/>
  <c r="J334" i="17"/>
  <c r="E334" i="17"/>
  <c r="D334" i="17"/>
  <c r="C334" i="17"/>
  <c r="S333" i="17"/>
  <c r="R333" i="17"/>
  <c r="Q333" i="17"/>
  <c r="L333" i="17"/>
  <c r="K333" i="17"/>
  <c r="J333" i="17"/>
  <c r="E333" i="17"/>
  <c r="D333" i="17"/>
  <c r="C333" i="17"/>
  <c r="S332" i="17"/>
  <c r="R332" i="17"/>
  <c r="Q332" i="17"/>
  <c r="L332" i="17"/>
  <c r="K332" i="17"/>
  <c r="J332" i="17"/>
  <c r="E332" i="17"/>
  <c r="D332" i="17"/>
  <c r="C332" i="17"/>
  <c r="S331" i="17"/>
  <c r="R331" i="17"/>
  <c r="Q331" i="17"/>
  <c r="L331" i="17"/>
  <c r="K331" i="17"/>
  <c r="J331" i="17"/>
  <c r="E331" i="17"/>
  <c r="D331" i="17"/>
  <c r="C331" i="17"/>
  <c r="S329" i="17"/>
  <c r="R329" i="17"/>
  <c r="Q329" i="17"/>
  <c r="L329" i="17"/>
  <c r="K329" i="17"/>
  <c r="J329" i="17"/>
  <c r="E329" i="17"/>
  <c r="D329" i="17"/>
  <c r="C329" i="17"/>
  <c r="S328" i="17"/>
  <c r="R328" i="17"/>
  <c r="Q328" i="17"/>
  <c r="L328" i="17"/>
  <c r="K328" i="17"/>
  <c r="J328" i="17"/>
  <c r="E328" i="17"/>
  <c r="D328" i="17"/>
  <c r="C328" i="17"/>
  <c r="S327" i="17"/>
  <c r="R327" i="17"/>
  <c r="Q327" i="17"/>
  <c r="L327" i="17"/>
  <c r="K327" i="17"/>
  <c r="J327" i="17"/>
  <c r="E327" i="17"/>
  <c r="D327" i="17"/>
  <c r="C327" i="17"/>
  <c r="S326" i="17"/>
  <c r="R326" i="17"/>
  <c r="Q326" i="17"/>
  <c r="L326" i="17"/>
  <c r="K326" i="17"/>
  <c r="J326" i="17"/>
  <c r="E326" i="17"/>
  <c r="D326" i="17"/>
  <c r="C326" i="17"/>
  <c r="S325" i="17"/>
  <c r="R325" i="17"/>
  <c r="Q325" i="17"/>
  <c r="L325" i="17"/>
  <c r="K325" i="17"/>
  <c r="J325" i="17"/>
  <c r="E325" i="17"/>
  <c r="D325" i="17"/>
  <c r="C325" i="17"/>
  <c r="S324" i="17"/>
  <c r="R324" i="17"/>
  <c r="Q324" i="17"/>
  <c r="L324" i="17"/>
  <c r="K324" i="17"/>
  <c r="J324" i="17"/>
  <c r="E324" i="17"/>
  <c r="D324" i="17"/>
  <c r="C324" i="17"/>
  <c r="S323" i="17"/>
  <c r="R323" i="17"/>
  <c r="Q323" i="17"/>
  <c r="L323" i="17"/>
  <c r="K323" i="17"/>
  <c r="J323" i="17"/>
  <c r="E323" i="17"/>
  <c r="D323" i="17"/>
  <c r="C323" i="17"/>
  <c r="S322" i="17"/>
  <c r="R322" i="17"/>
  <c r="Q322" i="17"/>
  <c r="L322" i="17"/>
  <c r="K322" i="17"/>
  <c r="J322" i="17"/>
  <c r="E322" i="17"/>
  <c r="D322" i="17"/>
  <c r="C322" i="17"/>
  <c r="S321" i="17"/>
  <c r="R321" i="17"/>
  <c r="Q321" i="17"/>
  <c r="L321" i="17"/>
  <c r="K321" i="17"/>
  <c r="J321" i="17"/>
  <c r="E321" i="17"/>
  <c r="D321" i="17"/>
  <c r="C321" i="17"/>
  <c r="S320" i="17"/>
  <c r="R320" i="17"/>
  <c r="Q320" i="17"/>
  <c r="L320" i="17"/>
  <c r="K320" i="17"/>
  <c r="J320" i="17"/>
  <c r="E320" i="17"/>
  <c r="D320" i="17"/>
  <c r="C320" i="17"/>
  <c r="S319" i="17"/>
  <c r="R319" i="17"/>
  <c r="Q319" i="17"/>
  <c r="L319" i="17"/>
  <c r="K319" i="17"/>
  <c r="J319" i="17"/>
  <c r="E319" i="17"/>
  <c r="D319" i="17"/>
  <c r="C319" i="17"/>
  <c r="S318" i="17"/>
  <c r="R318" i="17"/>
  <c r="Q318" i="17"/>
  <c r="L318" i="17"/>
  <c r="K318" i="17"/>
  <c r="J318" i="17"/>
  <c r="E318" i="17"/>
  <c r="D318" i="17"/>
  <c r="C318" i="17"/>
  <c r="S317" i="17"/>
  <c r="R317" i="17"/>
  <c r="Q317" i="17"/>
  <c r="L317" i="17"/>
  <c r="K317" i="17"/>
  <c r="J317" i="17"/>
  <c r="E317" i="17"/>
  <c r="D317" i="17"/>
  <c r="C317" i="17"/>
  <c r="S316" i="17"/>
  <c r="R316" i="17"/>
  <c r="Q316" i="17"/>
  <c r="L316" i="17"/>
  <c r="K316" i="17"/>
  <c r="J316" i="17"/>
  <c r="E316" i="17"/>
  <c r="D316" i="17"/>
  <c r="C316" i="17"/>
  <c r="S315" i="17"/>
  <c r="R315" i="17"/>
  <c r="Q315" i="17"/>
  <c r="L315" i="17"/>
  <c r="K315" i="17"/>
  <c r="J315" i="17"/>
  <c r="E315" i="17"/>
  <c r="D315" i="17"/>
  <c r="C315" i="17"/>
  <c r="S314" i="17"/>
  <c r="R314" i="17"/>
  <c r="Q314" i="17"/>
  <c r="L314" i="17"/>
  <c r="K314" i="17"/>
  <c r="J314" i="17"/>
  <c r="E314" i="17"/>
  <c r="D314" i="17"/>
  <c r="C314" i="17"/>
  <c r="S313" i="17"/>
  <c r="R313" i="17"/>
  <c r="Q313" i="17"/>
  <c r="L313" i="17"/>
  <c r="K313" i="17"/>
  <c r="J313" i="17"/>
  <c r="E313" i="17"/>
  <c r="D313" i="17"/>
  <c r="C313" i="17"/>
  <c r="S312" i="17"/>
  <c r="R312" i="17"/>
  <c r="Q312" i="17"/>
  <c r="L312" i="17"/>
  <c r="K312" i="17"/>
  <c r="J312" i="17"/>
  <c r="E312" i="17"/>
  <c r="D312" i="17"/>
  <c r="C312" i="17"/>
  <c r="S311" i="17"/>
  <c r="R311" i="17"/>
  <c r="Q311" i="17"/>
  <c r="L311" i="17"/>
  <c r="K311" i="17"/>
  <c r="J311" i="17"/>
  <c r="E311" i="17"/>
  <c r="D311" i="17"/>
  <c r="C311" i="17"/>
  <c r="S310" i="17"/>
  <c r="R310" i="17"/>
  <c r="Q310" i="17"/>
  <c r="L310" i="17"/>
  <c r="K310" i="17"/>
  <c r="J310" i="17"/>
  <c r="E310" i="17"/>
  <c r="D310" i="17"/>
  <c r="C310" i="17"/>
  <c r="S308" i="17"/>
  <c r="R308" i="17"/>
  <c r="Q308" i="17"/>
  <c r="L308" i="17"/>
  <c r="K308" i="17"/>
  <c r="J308" i="17"/>
  <c r="E308" i="17"/>
  <c r="D308" i="17"/>
  <c r="C308" i="17"/>
  <c r="S307" i="17"/>
  <c r="R307" i="17"/>
  <c r="Q307" i="17"/>
  <c r="L307" i="17"/>
  <c r="K307" i="17"/>
  <c r="J307" i="17"/>
  <c r="E307" i="17"/>
  <c r="D307" i="17"/>
  <c r="C307" i="17"/>
  <c r="S306" i="17"/>
  <c r="R306" i="17"/>
  <c r="Q306" i="17"/>
  <c r="L306" i="17"/>
  <c r="K306" i="17"/>
  <c r="J306" i="17"/>
  <c r="E306" i="17"/>
  <c r="D306" i="17"/>
  <c r="C306" i="17"/>
  <c r="S305" i="17"/>
  <c r="R305" i="17"/>
  <c r="Q305" i="17"/>
  <c r="L305" i="17"/>
  <c r="K305" i="17"/>
  <c r="J305" i="17"/>
  <c r="E305" i="17"/>
  <c r="D305" i="17"/>
  <c r="C305" i="17"/>
  <c r="S304" i="17"/>
  <c r="R304" i="17"/>
  <c r="Q304" i="17"/>
  <c r="L304" i="17"/>
  <c r="K304" i="17"/>
  <c r="J304" i="17"/>
  <c r="E304" i="17"/>
  <c r="D304" i="17"/>
  <c r="C304" i="17"/>
  <c r="S303" i="17"/>
  <c r="R303" i="17"/>
  <c r="Q303" i="17"/>
  <c r="L303" i="17"/>
  <c r="K303" i="17"/>
  <c r="J303" i="17"/>
  <c r="E303" i="17"/>
  <c r="D303" i="17"/>
  <c r="C303" i="17"/>
  <c r="S302" i="17"/>
  <c r="R302" i="17"/>
  <c r="Q302" i="17"/>
  <c r="L302" i="17"/>
  <c r="K302" i="17"/>
  <c r="J302" i="17"/>
  <c r="E302" i="17"/>
  <c r="D302" i="17"/>
  <c r="C302" i="17"/>
  <c r="S301" i="17"/>
  <c r="R301" i="17"/>
  <c r="Q301" i="17"/>
  <c r="L301" i="17"/>
  <c r="K301" i="17"/>
  <c r="J301" i="17"/>
  <c r="E301" i="17"/>
  <c r="D301" i="17"/>
  <c r="C301" i="17"/>
  <c r="S300" i="17"/>
  <c r="R300" i="17"/>
  <c r="Q300" i="17"/>
  <c r="L300" i="17"/>
  <c r="K300" i="17"/>
  <c r="J300" i="17"/>
  <c r="E300" i="17"/>
  <c r="D300" i="17"/>
  <c r="C300" i="17"/>
  <c r="S299" i="17"/>
  <c r="R299" i="17"/>
  <c r="Q299" i="17"/>
  <c r="L299" i="17"/>
  <c r="K299" i="17"/>
  <c r="J299" i="17"/>
  <c r="E299" i="17"/>
  <c r="D299" i="17"/>
  <c r="C299" i="17"/>
  <c r="S298" i="17"/>
  <c r="R298" i="17"/>
  <c r="Q298" i="17"/>
  <c r="L298" i="17"/>
  <c r="K298" i="17"/>
  <c r="J298" i="17"/>
  <c r="E298" i="17"/>
  <c r="D298" i="17"/>
  <c r="C298" i="17"/>
  <c r="S297" i="17"/>
  <c r="R297" i="17"/>
  <c r="Q297" i="17"/>
  <c r="L297" i="17"/>
  <c r="K297" i="17"/>
  <c r="J297" i="17"/>
  <c r="E297" i="17"/>
  <c r="D297" i="17"/>
  <c r="C297" i="17"/>
  <c r="S296" i="17"/>
  <c r="R296" i="17"/>
  <c r="Q296" i="17"/>
  <c r="L296" i="17"/>
  <c r="K296" i="17"/>
  <c r="J296" i="17"/>
  <c r="E296" i="17"/>
  <c r="D296" i="17"/>
  <c r="C296" i="17"/>
  <c r="S295" i="17"/>
  <c r="R295" i="17"/>
  <c r="Q295" i="17"/>
  <c r="L295" i="17"/>
  <c r="K295" i="17"/>
  <c r="J295" i="17"/>
  <c r="E295" i="17"/>
  <c r="D295" i="17"/>
  <c r="C295" i="17"/>
  <c r="S294" i="17"/>
  <c r="R294" i="17"/>
  <c r="Q294" i="17"/>
  <c r="L294" i="17"/>
  <c r="K294" i="17"/>
  <c r="J294" i="17"/>
  <c r="E294" i="17"/>
  <c r="D294" i="17"/>
  <c r="C294" i="17"/>
  <c r="S293" i="17"/>
  <c r="R293" i="17"/>
  <c r="Q293" i="17"/>
  <c r="L293" i="17"/>
  <c r="K293" i="17"/>
  <c r="J293" i="17"/>
  <c r="E293" i="17"/>
  <c r="D293" i="17"/>
  <c r="C293" i="17"/>
  <c r="W292" i="17"/>
  <c r="S292" i="17"/>
  <c r="R292" i="17"/>
  <c r="Q292" i="17"/>
  <c r="L292" i="17"/>
  <c r="K292" i="17"/>
  <c r="J292" i="17"/>
  <c r="E292" i="17"/>
  <c r="D292" i="17"/>
  <c r="C292" i="17"/>
  <c r="W291" i="17"/>
  <c r="S291" i="17"/>
  <c r="R291" i="17"/>
  <c r="Q291" i="17"/>
  <c r="L291" i="17"/>
  <c r="K291" i="17"/>
  <c r="J291" i="17"/>
  <c r="E291" i="17"/>
  <c r="D291" i="17"/>
  <c r="C291" i="17"/>
  <c r="W290" i="17"/>
  <c r="S290" i="17"/>
  <c r="R290" i="17"/>
  <c r="Q290" i="17"/>
  <c r="L290" i="17"/>
  <c r="K290" i="17"/>
  <c r="J290" i="17"/>
  <c r="E290" i="17"/>
  <c r="D290" i="17"/>
  <c r="C290" i="17"/>
  <c r="W289" i="17"/>
  <c r="S289" i="17"/>
  <c r="R289" i="17"/>
  <c r="Q289" i="17"/>
  <c r="L289" i="17"/>
  <c r="K289" i="17"/>
  <c r="J289" i="17"/>
  <c r="E289" i="17"/>
  <c r="D289" i="17"/>
  <c r="C289" i="17"/>
  <c r="W288" i="17"/>
  <c r="W287" i="17"/>
  <c r="S287" i="17"/>
  <c r="R287" i="17"/>
  <c r="Q287" i="17"/>
  <c r="L287" i="17"/>
  <c r="K287" i="17"/>
  <c r="J287" i="17"/>
  <c r="E287" i="17"/>
  <c r="D287" i="17"/>
  <c r="C287" i="17"/>
  <c r="W286" i="17"/>
  <c r="S286" i="17"/>
  <c r="R286" i="17"/>
  <c r="Q286" i="17"/>
  <c r="L286" i="17"/>
  <c r="K286" i="17"/>
  <c r="J286" i="17"/>
  <c r="E286" i="17"/>
  <c r="D286" i="17"/>
  <c r="C286" i="17"/>
  <c r="W285" i="17"/>
  <c r="S285" i="17"/>
  <c r="R285" i="17"/>
  <c r="Q285" i="17"/>
  <c r="L285" i="17"/>
  <c r="K285" i="17"/>
  <c r="J285" i="17"/>
  <c r="E285" i="17"/>
  <c r="D285" i="17"/>
  <c r="C285" i="17"/>
  <c r="W284" i="17"/>
  <c r="S284" i="17"/>
  <c r="R284" i="17"/>
  <c r="Q284" i="17"/>
  <c r="L284" i="17"/>
  <c r="K284" i="17"/>
  <c r="J284" i="17"/>
  <c r="E284" i="17"/>
  <c r="D284" i="17"/>
  <c r="C284" i="17"/>
  <c r="W283" i="17"/>
  <c r="S283" i="17"/>
  <c r="R283" i="17"/>
  <c r="Q283" i="17"/>
  <c r="L283" i="17"/>
  <c r="K283" i="17"/>
  <c r="J283" i="17"/>
  <c r="E283" i="17"/>
  <c r="D283" i="17"/>
  <c r="C283" i="17"/>
  <c r="W282" i="17"/>
  <c r="S282" i="17"/>
  <c r="R282" i="17"/>
  <c r="Q282" i="17"/>
  <c r="L282" i="17"/>
  <c r="K282" i="17"/>
  <c r="J282" i="17"/>
  <c r="E282" i="17"/>
  <c r="D282" i="17"/>
  <c r="C282" i="17"/>
  <c r="W281" i="17"/>
  <c r="S281" i="17"/>
  <c r="R281" i="17"/>
  <c r="Q281" i="17"/>
  <c r="L281" i="17"/>
  <c r="K281" i="17"/>
  <c r="J281" i="17"/>
  <c r="E281" i="17"/>
  <c r="D281" i="17"/>
  <c r="C281" i="17"/>
  <c r="W280" i="17"/>
  <c r="S280" i="17"/>
  <c r="R280" i="17"/>
  <c r="Q280" i="17"/>
  <c r="L280" i="17"/>
  <c r="K280" i="17"/>
  <c r="J280" i="17"/>
  <c r="E280" i="17"/>
  <c r="D280" i="17"/>
  <c r="C280" i="17"/>
  <c r="W279" i="17"/>
  <c r="S279" i="17"/>
  <c r="R279" i="17"/>
  <c r="Q279" i="17"/>
  <c r="L279" i="17"/>
  <c r="K279" i="17"/>
  <c r="J279" i="17"/>
  <c r="E279" i="17"/>
  <c r="D279" i="17"/>
  <c r="C279" i="17"/>
  <c r="W278" i="17"/>
  <c r="S278" i="17"/>
  <c r="R278" i="17"/>
  <c r="Q278" i="17"/>
  <c r="L278" i="17"/>
  <c r="K278" i="17"/>
  <c r="J278" i="17"/>
  <c r="E278" i="17"/>
  <c r="D278" i="17"/>
  <c r="C278" i="17"/>
  <c r="W277" i="17"/>
  <c r="S277" i="17"/>
  <c r="R277" i="17"/>
  <c r="Q277" i="17"/>
  <c r="L277" i="17"/>
  <c r="K277" i="17"/>
  <c r="J277" i="17"/>
  <c r="E277" i="17"/>
  <c r="D277" i="17"/>
  <c r="C277" i="17"/>
  <c r="W276" i="17"/>
  <c r="S276" i="17"/>
  <c r="R276" i="17"/>
  <c r="Q276" i="17"/>
  <c r="L276" i="17"/>
  <c r="K276" i="17"/>
  <c r="J276" i="17"/>
  <c r="E276" i="17"/>
  <c r="D276" i="17"/>
  <c r="C276" i="17"/>
  <c r="W275" i="17"/>
  <c r="S275" i="17"/>
  <c r="R275" i="17"/>
  <c r="Q275" i="17"/>
  <c r="L275" i="17"/>
  <c r="K275" i="17"/>
  <c r="J275" i="17"/>
  <c r="E275" i="17"/>
  <c r="D275" i="17"/>
  <c r="C275" i="17"/>
  <c r="W274" i="17"/>
  <c r="S274" i="17"/>
  <c r="R274" i="17"/>
  <c r="Q274" i="17"/>
  <c r="L274" i="17"/>
  <c r="K274" i="17"/>
  <c r="J274" i="17"/>
  <c r="E274" i="17"/>
  <c r="D274" i="17"/>
  <c r="C274" i="17"/>
  <c r="W273" i="17"/>
  <c r="S273" i="17"/>
  <c r="R273" i="17"/>
  <c r="Q273" i="17"/>
  <c r="L273" i="17"/>
  <c r="K273" i="17"/>
  <c r="J273" i="17"/>
  <c r="E273" i="17"/>
  <c r="D273" i="17"/>
  <c r="C273" i="17"/>
  <c r="S272" i="17"/>
  <c r="R272" i="17"/>
  <c r="Q272" i="17"/>
  <c r="L272" i="17"/>
  <c r="K272" i="17"/>
  <c r="J272" i="17"/>
  <c r="E272" i="17"/>
  <c r="D272" i="17"/>
  <c r="C272" i="17"/>
  <c r="S271" i="17"/>
  <c r="R271" i="17"/>
  <c r="Q271" i="17"/>
  <c r="L271" i="17"/>
  <c r="K271" i="17"/>
  <c r="J271" i="17"/>
  <c r="E271" i="17"/>
  <c r="D271" i="17"/>
  <c r="C271" i="17"/>
  <c r="S270" i="17"/>
  <c r="R270" i="17"/>
  <c r="Q270" i="17"/>
  <c r="L270" i="17"/>
  <c r="K270" i="17"/>
  <c r="J270" i="17"/>
  <c r="E270" i="17"/>
  <c r="D270" i="17"/>
  <c r="C270" i="17"/>
  <c r="S269" i="17"/>
  <c r="R269" i="17"/>
  <c r="Q269" i="17"/>
  <c r="L269" i="17"/>
  <c r="K269" i="17"/>
  <c r="J269" i="17"/>
  <c r="E269" i="17"/>
  <c r="D269" i="17"/>
  <c r="C269" i="17"/>
  <c r="W268" i="17"/>
  <c r="S268" i="17"/>
  <c r="R268" i="17"/>
  <c r="Q268" i="17"/>
  <c r="L268" i="17"/>
  <c r="K268" i="17"/>
  <c r="J268" i="17"/>
  <c r="E268" i="17"/>
  <c r="D268" i="17"/>
  <c r="C268" i="17"/>
  <c r="W267" i="17"/>
  <c r="W266" i="17"/>
  <c r="S266" i="17"/>
  <c r="R266" i="17"/>
  <c r="Q266" i="17"/>
  <c r="L266" i="17"/>
  <c r="K266" i="17"/>
  <c r="J266" i="17"/>
  <c r="E266" i="17"/>
  <c r="D266" i="17"/>
  <c r="C266" i="17"/>
  <c r="W265" i="17"/>
  <c r="S265" i="17"/>
  <c r="R265" i="17"/>
  <c r="Q265" i="17"/>
  <c r="L265" i="17"/>
  <c r="K265" i="17"/>
  <c r="J265" i="17"/>
  <c r="E265" i="17"/>
  <c r="D265" i="17"/>
  <c r="C265" i="17"/>
  <c r="W264" i="17"/>
  <c r="S264" i="17"/>
  <c r="R264" i="17"/>
  <c r="Q264" i="17"/>
  <c r="L264" i="17"/>
  <c r="K264" i="17"/>
  <c r="J264" i="17"/>
  <c r="E264" i="17"/>
  <c r="D264" i="17"/>
  <c r="C264" i="17"/>
  <c r="W263" i="17"/>
  <c r="S263" i="17"/>
  <c r="R263" i="17"/>
  <c r="Q263" i="17"/>
  <c r="L263" i="17"/>
  <c r="K263" i="17"/>
  <c r="J263" i="17"/>
  <c r="E263" i="17"/>
  <c r="D263" i="17"/>
  <c r="C263" i="17"/>
  <c r="W262" i="17"/>
  <c r="S262" i="17"/>
  <c r="R262" i="17"/>
  <c r="Q262" i="17"/>
  <c r="L262" i="17"/>
  <c r="K262" i="17"/>
  <c r="J262" i="17"/>
  <c r="E262" i="17"/>
  <c r="D262" i="17"/>
  <c r="C262" i="17"/>
  <c r="W261" i="17"/>
  <c r="S261" i="17"/>
  <c r="R261" i="17"/>
  <c r="Q261" i="17"/>
  <c r="L261" i="17"/>
  <c r="K261" i="17"/>
  <c r="J261" i="17"/>
  <c r="E261" i="17"/>
  <c r="D261" i="17"/>
  <c r="C261" i="17"/>
  <c r="W260" i="17"/>
  <c r="S260" i="17"/>
  <c r="R260" i="17"/>
  <c r="Q260" i="17"/>
  <c r="L260" i="17"/>
  <c r="K260" i="17"/>
  <c r="J260" i="17"/>
  <c r="E260" i="17"/>
  <c r="D260" i="17"/>
  <c r="C260" i="17"/>
  <c r="W259" i="17"/>
  <c r="S259" i="17"/>
  <c r="R259" i="17"/>
  <c r="Q259" i="17"/>
  <c r="L259" i="17"/>
  <c r="K259" i="17"/>
  <c r="J259" i="17"/>
  <c r="E259" i="17"/>
  <c r="D259" i="17"/>
  <c r="C259" i="17"/>
  <c r="W258" i="17"/>
  <c r="S258" i="17"/>
  <c r="R258" i="17"/>
  <c r="Q258" i="17"/>
  <c r="L258" i="17"/>
  <c r="K258" i="17"/>
  <c r="J258" i="17"/>
  <c r="E258" i="17"/>
  <c r="D258" i="17"/>
  <c r="C258" i="17"/>
  <c r="W257" i="17"/>
  <c r="S257" i="17"/>
  <c r="R257" i="17"/>
  <c r="Q257" i="17"/>
  <c r="L257" i="17"/>
  <c r="K257" i="17"/>
  <c r="J257" i="17"/>
  <c r="E257" i="17"/>
  <c r="D257" i="17"/>
  <c r="C257" i="17"/>
  <c r="W256" i="17"/>
  <c r="S256" i="17"/>
  <c r="R256" i="17"/>
  <c r="Q256" i="17"/>
  <c r="L256" i="17"/>
  <c r="K256" i="17"/>
  <c r="J256" i="17"/>
  <c r="E256" i="17"/>
  <c r="D256" i="17"/>
  <c r="C256" i="17"/>
  <c r="W255" i="17"/>
  <c r="S255" i="17"/>
  <c r="R255" i="17"/>
  <c r="Q255" i="17"/>
  <c r="L255" i="17"/>
  <c r="K255" i="17"/>
  <c r="J255" i="17"/>
  <c r="E255" i="17"/>
  <c r="D255" i="17"/>
  <c r="C255" i="17"/>
  <c r="W254" i="17"/>
  <c r="S254" i="17"/>
  <c r="R254" i="17"/>
  <c r="Q254" i="17"/>
  <c r="L254" i="17"/>
  <c r="K254" i="17"/>
  <c r="J254" i="17"/>
  <c r="E254" i="17"/>
  <c r="D254" i="17"/>
  <c r="C254" i="17"/>
  <c r="W253" i="17"/>
  <c r="S253" i="17"/>
  <c r="R253" i="17"/>
  <c r="Q253" i="17"/>
  <c r="L253" i="17"/>
  <c r="K253" i="17"/>
  <c r="J253" i="17"/>
  <c r="E253" i="17"/>
  <c r="D253" i="17"/>
  <c r="C253" i="17"/>
  <c r="W252" i="17"/>
  <c r="S252" i="17"/>
  <c r="R252" i="17"/>
  <c r="Q252" i="17"/>
  <c r="L252" i="17"/>
  <c r="K252" i="17"/>
  <c r="J252" i="17"/>
  <c r="E252" i="17"/>
  <c r="D252" i="17"/>
  <c r="C252" i="17"/>
  <c r="W251" i="17"/>
  <c r="S251" i="17"/>
  <c r="R251" i="17"/>
  <c r="Q251" i="17"/>
  <c r="L251" i="17"/>
  <c r="K251" i="17"/>
  <c r="J251" i="17"/>
  <c r="E251" i="17"/>
  <c r="D251" i="17"/>
  <c r="C251" i="17"/>
  <c r="W250" i="17"/>
  <c r="S250" i="17"/>
  <c r="R250" i="17"/>
  <c r="Q250" i="17"/>
  <c r="L250" i="17"/>
  <c r="K250" i="17"/>
  <c r="J250" i="17"/>
  <c r="E250" i="17"/>
  <c r="D250" i="17"/>
  <c r="C250" i="17"/>
  <c r="W249" i="17"/>
  <c r="S249" i="17"/>
  <c r="R249" i="17"/>
  <c r="Q249" i="17"/>
  <c r="L249" i="17"/>
  <c r="K249" i="17"/>
  <c r="J249" i="17"/>
  <c r="E249" i="17"/>
  <c r="D249" i="17"/>
  <c r="C249" i="17"/>
  <c r="S248" i="17"/>
  <c r="R248" i="17"/>
  <c r="Q248" i="17"/>
  <c r="L248" i="17"/>
  <c r="K248" i="17"/>
  <c r="J248" i="17"/>
  <c r="E248" i="17"/>
  <c r="D248" i="17"/>
  <c r="C248" i="17"/>
  <c r="S247" i="17"/>
  <c r="R247" i="17"/>
  <c r="Q247" i="17"/>
  <c r="L247" i="17"/>
  <c r="K247" i="17"/>
  <c r="J247" i="17"/>
  <c r="E247" i="17"/>
  <c r="D247" i="17"/>
  <c r="C247" i="17"/>
  <c r="S245" i="17"/>
  <c r="R245" i="17"/>
  <c r="Q245" i="17"/>
  <c r="L245" i="17"/>
  <c r="K245" i="17"/>
  <c r="J245" i="17"/>
  <c r="E245" i="17"/>
  <c r="D245" i="17"/>
  <c r="C245" i="17"/>
  <c r="W244" i="17"/>
  <c r="S244" i="17"/>
  <c r="R244" i="17"/>
  <c r="Q244" i="17"/>
  <c r="L244" i="17"/>
  <c r="K244" i="17"/>
  <c r="J244" i="17"/>
  <c r="E244" i="17"/>
  <c r="D244" i="17"/>
  <c r="C244" i="17"/>
  <c r="W243" i="17"/>
  <c r="S243" i="17"/>
  <c r="R243" i="17"/>
  <c r="Q243" i="17"/>
  <c r="L243" i="17"/>
  <c r="K243" i="17"/>
  <c r="J243" i="17"/>
  <c r="E243" i="17"/>
  <c r="D243" i="17"/>
  <c r="C243" i="17"/>
  <c r="W242" i="17"/>
  <c r="S242" i="17"/>
  <c r="R242" i="17"/>
  <c r="Q242" i="17"/>
  <c r="L242" i="17"/>
  <c r="K242" i="17"/>
  <c r="J242" i="17"/>
  <c r="E242" i="17"/>
  <c r="D242" i="17"/>
  <c r="C242" i="17"/>
  <c r="W241" i="17"/>
  <c r="S241" i="17"/>
  <c r="R241" i="17"/>
  <c r="Q241" i="17"/>
  <c r="L241" i="17"/>
  <c r="K241" i="17"/>
  <c r="J241" i="17"/>
  <c r="E241" i="17"/>
  <c r="D241" i="17"/>
  <c r="C241" i="17"/>
  <c r="W240" i="17"/>
  <c r="S240" i="17"/>
  <c r="R240" i="17"/>
  <c r="Q240" i="17"/>
  <c r="L240" i="17"/>
  <c r="K240" i="17"/>
  <c r="J240" i="17"/>
  <c r="E240" i="17"/>
  <c r="D240" i="17"/>
  <c r="C240" i="17"/>
  <c r="W239" i="17"/>
  <c r="S239" i="17"/>
  <c r="R239" i="17"/>
  <c r="Q239" i="17"/>
  <c r="L239" i="17"/>
  <c r="K239" i="17"/>
  <c r="J239" i="17"/>
  <c r="E239" i="17"/>
  <c r="D239" i="17"/>
  <c r="C239" i="17"/>
  <c r="W238" i="17"/>
  <c r="S238" i="17"/>
  <c r="R238" i="17"/>
  <c r="Q238" i="17"/>
  <c r="L238" i="17"/>
  <c r="K238" i="17"/>
  <c r="J238" i="17"/>
  <c r="E238" i="17"/>
  <c r="D238" i="17"/>
  <c r="C238" i="17"/>
  <c r="W237" i="17"/>
  <c r="S237" i="17"/>
  <c r="R237" i="17"/>
  <c r="Q237" i="17"/>
  <c r="L237" i="17"/>
  <c r="K237" i="17"/>
  <c r="J237" i="17"/>
  <c r="E237" i="17"/>
  <c r="D237" i="17"/>
  <c r="C237" i="17"/>
  <c r="W236" i="17"/>
  <c r="S236" i="17"/>
  <c r="R236" i="17"/>
  <c r="Q236" i="17"/>
  <c r="L236" i="17"/>
  <c r="K236" i="17"/>
  <c r="J236" i="17"/>
  <c r="E236" i="17"/>
  <c r="D236" i="17"/>
  <c r="C236" i="17"/>
  <c r="W235" i="17"/>
  <c r="S235" i="17"/>
  <c r="R235" i="17"/>
  <c r="Q235" i="17"/>
  <c r="L235" i="17"/>
  <c r="K235" i="17"/>
  <c r="J235" i="17"/>
  <c r="E235" i="17"/>
  <c r="D235" i="17"/>
  <c r="C235" i="17"/>
  <c r="W234" i="17"/>
  <c r="S234" i="17"/>
  <c r="R234" i="17"/>
  <c r="Q234" i="17"/>
  <c r="L234" i="17"/>
  <c r="K234" i="17"/>
  <c r="J234" i="17"/>
  <c r="E234" i="17"/>
  <c r="D234" i="17"/>
  <c r="C234" i="17"/>
  <c r="W233" i="17"/>
  <c r="S233" i="17"/>
  <c r="R233" i="17"/>
  <c r="Q233" i="17"/>
  <c r="L233" i="17"/>
  <c r="K233" i="17"/>
  <c r="J233" i="17"/>
  <c r="E233" i="17"/>
  <c r="D233" i="17"/>
  <c r="C233" i="17"/>
  <c r="W232" i="17"/>
  <c r="S232" i="17"/>
  <c r="R232" i="17"/>
  <c r="Q232" i="17"/>
  <c r="L232" i="17"/>
  <c r="K232" i="17"/>
  <c r="J232" i="17"/>
  <c r="E232" i="17"/>
  <c r="D232" i="17"/>
  <c r="C232" i="17"/>
  <c r="W231" i="17"/>
  <c r="S231" i="17"/>
  <c r="R231" i="17"/>
  <c r="Q231" i="17"/>
  <c r="L231" i="17"/>
  <c r="K231" i="17"/>
  <c r="J231" i="17"/>
  <c r="E231" i="17"/>
  <c r="D231" i="17"/>
  <c r="C231" i="17"/>
  <c r="W230" i="17"/>
  <c r="S230" i="17"/>
  <c r="R230" i="17"/>
  <c r="Q230" i="17"/>
  <c r="L230" i="17"/>
  <c r="K230" i="17"/>
  <c r="J230" i="17"/>
  <c r="E230" i="17"/>
  <c r="D230" i="17"/>
  <c r="C230" i="17"/>
  <c r="W229" i="17"/>
  <c r="S229" i="17"/>
  <c r="R229" i="17"/>
  <c r="Q229" i="17"/>
  <c r="L229" i="17"/>
  <c r="K229" i="17"/>
  <c r="J229" i="17"/>
  <c r="E229" i="17"/>
  <c r="D229" i="17"/>
  <c r="C229" i="17"/>
  <c r="W228" i="17"/>
  <c r="S228" i="17"/>
  <c r="R228" i="17"/>
  <c r="Q228" i="17"/>
  <c r="L228" i="17"/>
  <c r="K228" i="17"/>
  <c r="J228" i="17"/>
  <c r="E228" i="17"/>
  <c r="D228" i="17"/>
  <c r="C228" i="17"/>
  <c r="W227" i="17"/>
  <c r="S227" i="17"/>
  <c r="R227" i="17"/>
  <c r="Q227" i="17"/>
  <c r="L227" i="17"/>
  <c r="K227" i="17"/>
  <c r="J227" i="17"/>
  <c r="E227" i="17"/>
  <c r="D227" i="17"/>
  <c r="C227" i="17"/>
  <c r="W226" i="17"/>
  <c r="S226" i="17"/>
  <c r="R226" i="17"/>
  <c r="Q226" i="17"/>
  <c r="L226" i="17"/>
  <c r="K226" i="17"/>
  <c r="J226" i="17"/>
  <c r="E226" i="17"/>
  <c r="D226" i="17"/>
  <c r="C226" i="17"/>
  <c r="W225" i="17"/>
  <c r="R220" i="17"/>
  <c r="T371" i="17" s="1"/>
  <c r="L220" i="17"/>
  <c r="M371" i="17" s="1"/>
  <c r="F220" i="17"/>
  <c r="F371" i="17" s="1"/>
  <c r="R219" i="17"/>
  <c r="T350" i="17" s="1"/>
  <c r="L219" i="17"/>
  <c r="M350" i="17" s="1"/>
  <c r="F219" i="17"/>
  <c r="F350" i="17" s="1"/>
  <c r="R218" i="17"/>
  <c r="T329" i="17" s="1"/>
  <c r="L218" i="17"/>
  <c r="M329" i="17" s="1"/>
  <c r="F218" i="17"/>
  <c r="F329" i="17" s="1"/>
  <c r="R217" i="17"/>
  <c r="T308" i="17" s="1"/>
  <c r="L217" i="17"/>
  <c r="M308" i="17" s="1"/>
  <c r="F217" i="17"/>
  <c r="F308" i="17" s="1"/>
  <c r="R216" i="17"/>
  <c r="T287" i="17" s="1"/>
  <c r="L216" i="17"/>
  <c r="M287" i="17" s="1"/>
  <c r="F216" i="17"/>
  <c r="F287" i="17" s="1"/>
  <c r="R215" i="17"/>
  <c r="T266" i="17" s="1"/>
  <c r="L215" i="17"/>
  <c r="M266" i="17" s="1"/>
  <c r="F215" i="17"/>
  <c r="F266" i="17" s="1"/>
  <c r="R214" i="17"/>
  <c r="T245" i="17" s="1"/>
  <c r="L214" i="17"/>
  <c r="M245" i="17" s="1"/>
  <c r="F214" i="17"/>
  <c r="F245" i="17" s="1"/>
  <c r="K213" i="17"/>
  <c r="Q213" i="17" s="1"/>
  <c r="J213" i="17"/>
  <c r="P213" i="17" s="1"/>
  <c r="H211" i="17"/>
  <c r="N211" i="17" s="1"/>
  <c r="R209" i="17"/>
  <c r="T370" i="17" s="1"/>
  <c r="L209" i="17"/>
  <c r="M370" i="17" s="1"/>
  <c r="F209" i="17"/>
  <c r="F370" i="17" s="1"/>
  <c r="R208" i="17"/>
  <c r="T349" i="17" s="1"/>
  <c r="L208" i="17"/>
  <c r="M349" i="17" s="1"/>
  <c r="F208" i="17"/>
  <c r="F349" i="17" s="1"/>
  <c r="R207" i="17"/>
  <c r="T328" i="17" s="1"/>
  <c r="L207" i="17"/>
  <c r="M328" i="17" s="1"/>
  <c r="F207" i="17"/>
  <c r="F328" i="17" s="1"/>
  <c r="R206" i="17"/>
  <c r="T307" i="17" s="1"/>
  <c r="L206" i="17"/>
  <c r="M307" i="17" s="1"/>
  <c r="F206" i="17"/>
  <c r="F307" i="17" s="1"/>
  <c r="R205" i="17"/>
  <c r="T286" i="17" s="1"/>
  <c r="L205" i="17"/>
  <c r="M286" i="17" s="1"/>
  <c r="F205" i="17"/>
  <c r="R204" i="17"/>
  <c r="T265" i="17" s="1"/>
  <c r="L204" i="17"/>
  <c r="M265" i="17" s="1"/>
  <c r="F204" i="17"/>
  <c r="F265" i="17" s="1"/>
  <c r="R203" i="17"/>
  <c r="T244" i="17" s="1"/>
  <c r="L203" i="17"/>
  <c r="M244" i="17" s="1"/>
  <c r="F203" i="17"/>
  <c r="F244" i="17" s="1"/>
  <c r="K202" i="17"/>
  <c r="Q202" i="17" s="1"/>
  <c r="J202" i="17"/>
  <c r="P202" i="17" s="1"/>
  <c r="H200" i="17"/>
  <c r="N200" i="17" s="1"/>
  <c r="R198" i="17"/>
  <c r="T369" i="17" s="1"/>
  <c r="L198" i="17"/>
  <c r="M369" i="17" s="1"/>
  <c r="F198" i="17"/>
  <c r="F369" i="17" s="1"/>
  <c r="R197" i="17"/>
  <c r="T348" i="17" s="1"/>
  <c r="L197" i="17"/>
  <c r="M348" i="17" s="1"/>
  <c r="F197" i="17"/>
  <c r="F348" i="17" s="1"/>
  <c r="R196" i="17"/>
  <c r="T327" i="17" s="1"/>
  <c r="L196" i="17"/>
  <c r="M327" i="17" s="1"/>
  <c r="F196" i="17"/>
  <c r="F327" i="17" s="1"/>
  <c r="R195" i="17"/>
  <c r="T306" i="17" s="1"/>
  <c r="L195" i="17"/>
  <c r="M306" i="17" s="1"/>
  <c r="F195" i="17"/>
  <c r="F306" i="17" s="1"/>
  <c r="R194" i="17"/>
  <c r="T285" i="17" s="1"/>
  <c r="L194" i="17"/>
  <c r="M285" i="17" s="1"/>
  <c r="F194" i="17"/>
  <c r="F286" i="17" s="1"/>
  <c r="R193" i="17"/>
  <c r="T264" i="17" s="1"/>
  <c r="L193" i="17"/>
  <c r="M264" i="17" s="1"/>
  <c r="F193" i="17"/>
  <c r="F264" i="17" s="1"/>
  <c r="R192" i="17"/>
  <c r="T243" i="17" s="1"/>
  <c r="L192" i="17"/>
  <c r="M243" i="17" s="1"/>
  <c r="F192" i="17"/>
  <c r="F243" i="17" s="1"/>
  <c r="K191" i="17"/>
  <c r="Q191" i="17" s="1"/>
  <c r="J191" i="17"/>
  <c r="P191" i="17" s="1"/>
  <c r="H189" i="17"/>
  <c r="N189" i="17" s="1"/>
  <c r="R187" i="17"/>
  <c r="T368" i="17" s="1"/>
  <c r="L187" i="17"/>
  <c r="M368" i="17" s="1"/>
  <c r="F187" i="17"/>
  <c r="F368" i="17" s="1"/>
  <c r="R186" i="17"/>
  <c r="T347" i="17" s="1"/>
  <c r="L186" i="17"/>
  <c r="M347" i="17" s="1"/>
  <c r="F186" i="17"/>
  <c r="F347" i="17" s="1"/>
  <c r="R185" i="17"/>
  <c r="T326" i="17" s="1"/>
  <c r="L185" i="17"/>
  <c r="M326" i="17" s="1"/>
  <c r="F185" i="17"/>
  <c r="F326" i="17" s="1"/>
  <c r="R184" i="17"/>
  <c r="T305" i="17" s="1"/>
  <c r="L184" i="17"/>
  <c r="M305" i="17" s="1"/>
  <c r="F184" i="17"/>
  <c r="F305" i="17" s="1"/>
  <c r="R183" i="17"/>
  <c r="T284" i="17" s="1"/>
  <c r="L183" i="17"/>
  <c r="M284" i="17" s="1"/>
  <c r="F183" i="17"/>
  <c r="F284" i="17" s="1"/>
  <c r="R182" i="17"/>
  <c r="T263" i="17" s="1"/>
  <c r="L182" i="17"/>
  <c r="M263" i="17" s="1"/>
  <c r="F182" i="17"/>
  <c r="F263" i="17" s="1"/>
  <c r="R181" i="17"/>
  <c r="T242" i="17" s="1"/>
  <c r="L181" i="17"/>
  <c r="M242" i="17" s="1"/>
  <c r="F181" i="17"/>
  <c r="F242" i="17" s="1"/>
  <c r="K180" i="17"/>
  <c r="Q180" i="17" s="1"/>
  <c r="J180" i="17"/>
  <c r="P180" i="17" s="1"/>
  <c r="H178" i="17"/>
  <c r="N178" i="17" s="1"/>
  <c r="R176" i="17"/>
  <c r="T367" i="17" s="1"/>
  <c r="L176" i="17"/>
  <c r="M367" i="17" s="1"/>
  <c r="F176" i="17"/>
  <c r="F367" i="17" s="1"/>
  <c r="R175" i="17"/>
  <c r="T346" i="17" s="1"/>
  <c r="L175" i="17"/>
  <c r="M346" i="17" s="1"/>
  <c r="F175" i="17"/>
  <c r="F346" i="17" s="1"/>
  <c r="R174" i="17"/>
  <c r="T325" i="17" s="1"/>
  <c r="L174" i="17"/>
  <c r="M325" i="17" s="1"/>
  <c r="F174" i="17"/>
  <c r="F325" i="17" s="1"/>
  <c r="R173" i="17"/>
  <c r="T304" i="17" s="1"/>
  <c r="L173" i="17"/>
  <c r="M304" i="17" s="1"/>
  <c r="F173" i="17"/>
  <c r="F304" i="17" s="1"/>
  <c r="R172" i="17"/>
  <c r="T283" i="17" s="1"/>
  <c r="L172" i="17"/>
  <c r="M283" i="17" s="1"/>
  <c r="F172" i="17"/>
  <c r="F283" i="17" s="1"/>
  <c r="R171" i="17"/>
  <c r="T262" i="17" s="1"/>
  <c r="L171" i="17"/>
  <c r="M262" i="17" s="1"/>
  <c r="F171" i="17"/>
  <c r="F262" i="17" s="1"/>
  <c r="R170" i="17"/>
  <c r="T241" i="17" s="1"/>
  <c r="L170" i="17"/>
  <c r="M241" i="17" s="1"/>
  <c r="F170" i="17"/>
  <c r="F241" i="17" s="1"/>
  <c r="K169" i="17"/>
  <c r="Q169" i="17" s="1"/>
  <c r="J169" i="17"/>
  <c r="P169" i="17" s="1"/>
  <c r="H167" i="17"/>
  <c r="N167" i="17" s="1"/>
  <c r="R165" i="17"/>
  <c r="T366" i="17" s="1"/>
  <c r="L165" i="17"/>
  <c r="M366" i="17" s="1"/>
  <c r="F165" i="17"/>
  <c r="F366" i="17" s="1"/>
  <c r="R164" i="17"/>
  <c r="T345" i="17" s="1"/>
  <c r="L164" i="17"/>
  <c r="M345" i="17" s="1"/>
  <c r="F164" i="17"/>
  <c r="F345" i="17" s="1"/>
  <c r="R163" i="17"/>
  <c r="T324" i="17" s="1"/>
  <c r="L163" i="17"/>
  <c r="M324" i="17" s="1"/>
  <c r="F163" i="17"/>
  <c r="F324" i="17" s="1"/>
  <c r="R162" i="17"/>
  <c r="T303" i="17" s="1"/>
  <c r="L162" i="17"/>
  <c r="M303" i="17" s="1"/>
  <c r="F162" i="17"/>
  <c r="F303" i="17" s="1"/>
  <c r="R161" i="17"/>
  <c r="T282" i="17" s="1"/>
  <c r="L161" i="17"/>
  <c r="M282" i="17" s="1"/>
  <c r="F161" i="17"/>
  <c r="F282" i="17" s="1"/>
  <c r="R160" i="17"/>
  <c r="T261" i="17" s="1"/>
  <c r="L160" i="17"/>
  <c r="M261" i="17" s="1"/>
  <c r="F160" i="17"/>
  <c r="F261" i="17" s="1"/>
  <c r="R159" i="17"/>
  <c r="T240" i="17" s="1"/>
  <c r="L159" i="17"/>
  <c r="M240" i="17" s="1"/>
  <c r="F159" i="17"/>
  <c r="F240" i="17" s="1"/>
  <c r="K158" i="17"/>
  <c r="Q158" i="17" s="1"/>
  <c r="J158" i="17"/>
  <c r="P158" i="17" s="1"/>
  <c r="H156" i="17"/>
  <c r="N156" i="17" s="1"/>
  <c r="R154" i="17"/>
  <c r="T365" i="17" s="1"/>
  <c r="L154" i="17"/>
  <c r="M365" i="17" s="1"/>
  <c r="F154" i="17"/>
  <c r="F365" i="17" s="1"/>
  <c r="R153" i="17"/>
  <c r="T344" i="17" s="1"/>
  <c r="L153" i="17"/>
  <c r="M344" i="17" s="1"/>
  <c r="F153" i="17"/>
  <c r="F344" i="17" s="1"/>
  <c r="R152" i="17"/>
  <c r="T323" i="17" s="1"/>
  <c r="L152" i="17"/>
  <c r="M323" i="17" s="1"/>
  <c r="F152" i="17"/>
  <c r="F323" i="17" s="1"/>
  <c r="R151" i="17"/>
  <c r="T302" i="17" s="1"/>
  <c r="L151" i="17"/>
  <c r="M302" i="17" s="1"/>
  <c r="F151" i="17"/>
  <c r="F302" i="17" s="1"/>
  <c r="R150" i="17"/>
  <c r="T281" i="17" s="1"/>
  <c r="L150" i="17"/>
  <c r="F150" i="17"/>
  <c r="F281" i="17" s="1"/>
  <c r="R149" i="17"/>
  <c r="T260" i="17" s="1"/>
  <c r="L149" i="17"/>
  <c r="M260" i="17" s="1"/>
  <c r="F149" i="17"/>
  <c r="F260" i="17" s="1"/>
  <c r="R148" i="17"/>
  <c r="T239" i="17" s="1"/>
  <c r="L148" i="17"/>
  <c r="M239" i="17" s="1"/>
  <c r="F148" i="17"/>
  <c r="F239" i="17" s="1"/>
  <c r="K147" i="17"/>
  <c r="Q147" i="17" s="1"/>
  <c r="J147" i="17"/>
  <c r="P147" i="17" s="1"/>
  <c r="H145" i="17"/>
  <c r="N145" i="17" s="1"/>
  <c r="R143" i="17"/>
  <c r="T364" i="17" s="1"/>
  <c r="L143" i="17"/>
  <c r="M364" i="17" s="1"/>
  <c r="F143" i="17"/>
  <c r="F364" i="17" s="1"/>
  <c r="R142" i="17"/>
  <c r="T343" i="17" s="1"/>
  <c r="L142" i="17"/>
  <c r="M343" i="17" s="1"/>
  <c r="F142" i="17"/>
  <c r="F343" i="17" s="1"/>
  <c r="R141" i="17"/>
  <c r="T322" i="17" s="1"/>
  <c r="L141" i="17"/>
  <c r="M322" i="17" s="1"/>
  <c r="F141" i="17"/>
  <c r="F322" i="17" s="1"/>
  <c r="R140" i="17"/>
  <c r="T301" i="17" s="1"/>
  <c r="L140" i="17"/>
  <c r="M301" i="17" s="1"/>
  <c r="F140" i="17"/>
  <c r="R139" i="17"/>
  <c r="T280" i="17" s="1"/>
  <c r="L139" i="17"/>
  <c r="M280" i="17" s="1"/>
  <c r="F139" i="17"/>
  <c r="F280" i="17" s="1"/>
  <c r="R138" i="17"/>
  <c r="T259" i="17" s="1"/>
  <c r="L138" i="17"/>
  <c r="M259" i="17" s="1"/>
  <c r="F138" i="17"/>
  <c r="F259" i="17" s="1"/>
  <c r="R137" i="17"/>
  <c r="T238" i="17" s="1"/>
  <c r="L137" i="17"/>
  <c r="M238" i="17" s="1"/>
  <c r="F137" i="17"/>
  <c r="F238" i="17" s="1"/>
  <c r="K136" i="17"/>
  <c r="Q136" i="17" s="1"/>
  <c r="J136" i="17"/>
  <c r="P136" i="17" s="1"/>
  <c r="H134" i="17"/>
  <c r="N134" i="17" s="1"/>
  <c r="R132" i="17"/>
  <c r="T363" i="17" s="1"/>
  <c r="L132" i="17"/>
  <c r="M363" i="17" s="1"/>
  <c r="F132" i="17"/>
  <c r="F363" i="17" s="1"/>
  <c r="R131" i="17"/>
  <c r="T342" i="17" s="1"/>
  <c r="L131" i="17"/>
  <c r="M342" i="17" s="1"/>
  <c r="F131" i="17"/>
  <c r="F342" i="17" s="1"/>
  <c r="R130" i="17"/>
  <c r="T321" i="17" s="1"/>
  <c r="L130" i="17"/>
  <c r="M321" i="17" s="1"/>
  <c r="F130" i="17"/>
  <c r="F321" i="17" s="1"/>
  <c r="R129" i="17"/>
  <c r="T300" i="17" s="1"/>
  <c r="L129" i="17"/>
  <c r="M300" i="17" s="1"/>
  <c r="F129" i="17"/>
  <c r="F300" i="17" s="1"/>
  <c r="R128" i="17"/>
  <c r="T279" i="17" s="1"/>
  <c r="L128" i="17"/>
  <c r="M279" i="17" s="1"/>
  <c r="F128" i="17"/>
  <c r="F279" i="17" s="1"/>
  <c r="R127" i="17"/>
  <c r="T258" i="17" s="1"/>
  <c r="L127" i="17"/>
  <c r="M258" i="17" s="1"/>
  <c r="F127" i="17"/>
  <c r="F258" i="17" s="1"/>
  <c r="R126" i="17"/>
  <c r="T237" i="17" s="1"/>
  <c r="L126" i="17"/>
  <c r="M237" i="17" s="1"/>
  <c r="F126" i="17"/>
  <c r="F237" i="17" s="1"/>
  <c r="K125" i="17"/>
  <c r="Q125" i="17" s="1"/>
  <c r="J125" i="17"/>
  <c r="P125" i="17" s="1"/>
  <c r="H123" i="17"/>
  <c r="N123" i="17" s="1"/>
  <c r="R121" i="17"/>
  <c r="T362" i="17" s="1"/>
  <c r="L121" i="17"/>
  <c r="M362" i="17" s="1"/>
  <c r="F121" i="17"/>
  <c r="F362" i="17" s="1"/>
  <c r="R120" i="17"/>
  <c r="T341" i="17" s="1"/>
  <c r="L120" i="17"/>
  <c r="M341" i="17" s="1"/>
  <c r="F120" i="17"/>
  <c r="F341" i="17" s="1"/>
  <c r="R119" i="17"/>
  <c r="T320" i="17" s="1"/>
  <c r="L119" i="17"/>
  <c r="M320" i="17" s="1"/>
  <c r="F119" i="17"/>
  <c r="F320" i="17" s="1"/>
  <c r="R118" i="17"/>
  <c r="T299" i="17" s="1"/>
  <c r="L118" i="17"/>
  <c r="M299" i="17" s="1"/>
  <c r="F118" i="17"/>
  <c r="F299" i="17" s="1"/>
  <c r="R117" i="17"/>
  <c r="T278" i="17" s="1"/>
  <c r="L117" i="17"/>
  <c r="M278" i="17" s="1"/>
  <c r="F117" i="17"/>
  <c r="F278" i="17" s="1"/>
  <c r="R116" i="17"/>
  <c r="T257" i="17" s="1"/>
  <c r="L116" i="17"/>
  <c r="M257" i="17" s="1"/>
  <c r="F116" i="17"/>
  <c r="F257" i="17" s="1"/>
  <c r="R115" i="17"/>
  <c r="T236" i="17" s="1"/>
  <c r="L115" i="17"/>
  <c r="M236" i="17" s="1"/>
  <c r="F115" i="17"/>
  <c r="F236" i="17" s="1"/>
  <c r="K114" i="17"/>
  <c r="Q114" i="17" s="1"/>
  <c r="J114" i="17"/>
  <c r="P114" i="17" s="1"/>
  <c r="H112" i="17"/>
  <c r="N112" i="17" s="1"/>
  <c r="R110" i="17"/>
  <c r="T361" i="17" s="1"/>
  <c r="L110" i="17"/>
  <c r="M361" i="17" s="1"/>
  <c r="F110" i="17"/>
  <c r="F361" i="17" s="1"/>
  <c r="R109" i="17"/>
  <c r="T340" i="17" s="1"/>
  <c r="L109" i="17"/>
  <c r="M340" i="17" s="1"/>
  <c r="F109" i="17"/>
  <c r="F340" i="17" s="1"/>
  <c r="R108" i="17"/>
  <c r="T319" i="17" s="1"/>
  <c r="L108" i="17"/>
  <c r="M319" i="17" s="1"/>
  <c r="F108" i="17"/>
  <c r="F319" i="17" s="1"/>
  <c r="R107" i="17"/>
  <c r="T298" i="17" s="1"/>
  <c r="L107" i="17"/>
  <c r="M298" i="17" s="1"/>
  <c r="F107" i="17"/>
  <c r="F298" i="17" s="1"/>
  <c r="R106" i="17"/>
  <c r="T277" i="17" s="1"/>
  <c r="L106" i="17"/>
  <c r="M277" i="17" s="1"/>
  <c r="F106" i="17"/>
  <c r="F277" i="17" s="1"/>
  <c r="R105" i="17"/>
  <c r="T256" i="17" s="1"/>
  <c r="L105" i="17"/>
  <c r="M256" i="17" s="1"/>
  <c r="F105" i="17"/>
  <c r="F256" i="17" s="1"/>
  <c r="R104" i="17"/>
  <c r="T235" i="17" s="1"/>
  <c r="L104" i="17"/>
  <c r="M235" i="17" s="1"/>
  <c r="F104" i="17"/>
  <c r="F235" i="17" s="1"/>
  <c r="K103" i="17"/>
  <c r="Q103" i="17" s="1"/>
  <c r="J103" i="17"/>
  <c r="P103" i="17" s="1"/>
  <c r="H101" i="17"/>
  <c r="N101" i="17" s="1"/>
  <c r="R99" i="17"/>
  <c r="T360" i="17" s="1"/>
  <c r="L99" i="17"/>
  <c r="M360" i="17" s="1"/>
  <c r="F99" i="17"/>
  <c r="F360" i="17" s="1"/>
  <c r="R98" i="17"/>
  <c r="T339" i="17" s="1"/>
  <c r="L98" i="17"/>
  <c r="M339" i="17" s="1"/>
  <c r="F98" i="17"/>
  <c r="F339" i="17" s="1"/>
  <c r="R97" i="17"/>
  <c r="T318" i="17" s="1"/>
  <c r="L97" i="17"/>
  <c r="M318" i="17" s="1"/>
  <c r="F97" i="17"/>
  <c r="F318" i="17" s="1"/>
  <c r="R96" i="17"/>
  <c r="T297" i="17" s="1"/>
  <c r="L96" i="17"/>
  <c r="M297" i="17" s="1"/>
  <c r="F96" i="17"/>
  <c r="F297" i="17" s="1"/>
  <c r="R95" i="17"/>
  <c r="T276" i="17" s="1"/>
  <c r="L95" i="17"/>
  <c r="M276" i="17" s="1"/>
  <c r="F95" i="17"/>
  <c r="F276" i="17" s="1"/>
  <c r="R94" i="17"/>
  <c r="T255" i="17" s="1"/>
  <c r="L94" i="17"/>
  <c r="M255" i="17" s="1"/>
  <c r="F94" i="17"/>
  <c r="F255" i="17" s="1"/>
  <c r="R93" i="17"/>
  <c r="T234" i="17" s="1"/>
  <c r="L93" i="17"/>
  <c r="M234" i="17" s="1"/>
  <c r="F93" i="17"/>
  <c r="F234" i="17" s="1"/>
  <c r="K92" i="17"/>
  <c r="Q92" i="17" s="1"/>
  <c r="J92" i="17"/>
  <c r="P92" i="17" s="1"/>
  <c r="H90" i="17"/>
  <c r="N90" i="17" s="1"/>
  <c r="R88" i="17"/>
  <c r="T359" i="17" s="1"/>
  <c r="L88" i="17"/>
  <c r="M359" i="17" s="1"/>
  <c r="F88" i="17"/>
  <c r="F359" i="17" s="1"/>
  <c r="R87" i="17"/>
  <c r="T338" i="17" s="1"/>
  <c r="L87" i="17"/>
  <c r="M338" i="17" s="1"/>
  <c r="F87" i="17"/>
  <c r="F338" i="17" s="1"/>
  <c r="R86" i="17"/>
  <c r="T317" i="17" s="1"/>
  <c r="L86" i="17"/>
  <c r="M317" i="17" s="1"/>
  <c r="F86" i="17"/>
  <c r="F317" i="17" s="1"/>
  <c r="R85" i="17"/>
  <c r="T296" i="17" s="1"/>
  <c r="L85" i="17"/>
  <c r="M296" i="17" s="1"/>
  <c r="F85" i="17"/>
  <c r="F296" i="17" s="1"/>
  <c r="R84" i="17"/>
  <c r="T275" i="17" s="1"/>
  <c r="L84" i="17"/>
  <c r="M275" i="17" s="1"/>
  <c r="F84" i="17"/>
  <c r="F275" i="17" s="1"/>
  <c r="R83" i="17"/>
  <c r="T254" i="17" s="1"/>
  <c r="L83" i="17"/>
  <c r="M254" i="17" s="1"/>
  <c r="F83" i="17"/>
  <c r="F254" i="17" s="1"/>
  <c r="R82" i="17"/>
  <c r="T233" i="17" s="1"/>
  <c r="L82" i="17"/>
  <c r="M233" i="17" s="1"/>
  <c r="F82" i="17"/>
  <c r="F233" i="17" s="1"/>
  <c r="K81" i="17"/>
  <c r="Q81" i="17" s="1"/>
  <c r="J81" i="17"/>
  <c r="P81" i="17" s="1"/>
  <c r="H79" i="17"/>
  <c r="N79" i="17" s="1"/>
  <c r="R77" i="17"/>
  <c r="T358" i="17" s="1"/>
  <c r="L77" i="17"/>
  <c r="M358" i="17" s="1"/>
  <c r="F77" i="17"/>
  <c r="F358" i="17" s="1"/>
  <c r="R76" i="17"/>
  <c r="T337" i="17" s="1"/>
  <c r="L76" i="17"/>
  <c r="M337" i="17" s="1"/>
  <c r="F76" i="17"/>
  <c r="F337" i="17" s="1"/>
  <c r="R75" i="17"/>
  <c r="T316" i="17" s="1"/>
  <c r="L75" i="17"/>
  <c r="M316" i="17" s="1"/>
  <c r="F75" i="17"/>
  <c r="F316" i="17" s="1"/>
  <c r="R74" i="17"/>
  <c r="T295" i="17" s="1"/>
  <c r="L74" i="17"/>
  <c r="M295" i="17" s="1"/>
  <c r="F74" i="17"/>
  <c r="F295" i="17" s="1"/>
  <c r="R73" i="17"/>
  <c r="T274" i="17" s="1"/>
  <c r="L73" i="17"/>
  <c r="M274" i="17" s="1"/>
  <c r="F73" i="17"/>
  <c r="F274" i="17" s="1"/>
  <c r="R72" i="17"/>
  <c r="T253" i="17" s="1"/>
  <c r="L72" i="17"/>
  <c r="M253" i="17" s="1"/>
  <c r="F72" i="17"/>
  <c r="F253" i="17" s="1"/>
  <c r="R71" i="17"/>
  <c r="T232" i="17" s="1"/>
  <c r="L71" i="17"/>
  <c r="M232" i="17" s="1"/>
  <c r="F71" i="17"/>
  <c r="F232" i="17" s="1"/>
  <c r="K70" i="17"/>
  <c r="Q70" i="17" s="1"/>
  <c r="J70" i="17"/>
  <c r="P70" i="17" s="1"/>
  <c r="H68" i="17"/>
  <c r="N68" i="17" s="1"/>
  <c r="R66" i="17"/>
  <c r="T357" i="17" s="1"/>
  <c r="L66" i="17"/>
  <c r="M357" i="17" s="1"/>
  <c r="F66" i="17"/>
  <c r="F357" i="17" s="1"/>
  <c r="R65" i="17"/>
  <c r="T336" i="17" s="1"/>
  <c r="L65" i="17"/>
  <c r="M336" i="17" s="1"/>
  <c r="F65" i="17"/>
  <c r="F336" i="17" s="1"/>
  <c r="R64" i="17"/>
  <c r="T315" i="17" s="1"/>
  <c r="L64" i="17"/>
  <c r="M315" i="17" s="1"/>
  <c r="F64" i="17"/>
  <c r="F315" i="17" s="1"/>
  <c r="R63" i="17"/>
  <c r="T294" i="17" s="1"/>
  <c r="L63" i="17"/>
  <c r="M294" i="17" s="1"/>
  <c r="F63" i="17"/>
  <c r="F294" i="17" s="1"/>
  <c r="R62" i="17"/>
  <c r="T273" i="17" s="1"/>
  <c r="L62" i="17"/>
  <c r="M273" i="17" s="1"/>
  <c r="F62" i="17"/>
  <c r="F273" i="17" s="1"/>
  <c r="R61" i="17"/>
  <c r="T252" i="17" s="1"/>
  <c r="L61" i="17"/>
  <c r="M252" i="17" s="1"/>
  <c r="F61" i="17"/>
  <c r="F252" i="17" s="1"/>
  <c r="R60" i="17"/>
  <c r="T231" i="17" s="1"/>
  <c r="L60" i="17"/>
  <c r="M231" i="17" s="1"/>
  <c r="F60" i="17"/>
  <c r="F231" i="17" s="1"/>
  <c r="K59" i="17"/>
  <c r="Q59" i="17" s="1"/>
  <c r="J59" i="17"/>
  <c r="P59" i="17" s="1"/>
  <c r="H57" i="17"/>
  <c r="N57" i="17" s="1"/>
  <c r="R55" i="17"/>
  <c r="T356" i="17" s="1"/>
  <c r="L55" i="17"/>
  <c r="M356" i="17" s="1"/>
  <c r="F55" i="17"/>
  <c r="F356" i="17" s="1"/>
  <c r="R54" i="17"/>
  <c r="T335" i="17" s="1"/>
  <c r="L54" i="17"/>
  <c r="M335" i="17" s="1"/>
  <c r="F54" i="17"/>
  <c r="F335" i="17" s="1"/>
  <c r="R53" i="17"/>
  <c r="T314" i="17" s="1"/>
  <c r="L53" i="17"/>
  <c r="M314" i="17" s="1"/>
  <c r="F53" i="17"/>
  <c r="F314" i="17" s="1"/>
  <c r="R52" i="17"/>
  <c r="T293" i="17" s="1"/>
  <c r="L52" i="17"/>
  <c r="M293" i="17" s="1"/>
  <c r="F52" i="17"/>
  <c r="F293" i="17" s="1"/>
  <c r="R51" i="17"/>
  <c r="T272" i="17" s="1"/>
  <c r="L51" i="17"/>
  <c r="M272" i="17" s="1"/>
  <c r="F51" i="17"/>
  <c r="F272" i="17" s="1"/>
  <c r="R50" i="17"/>
  <c r="T251" i="17" s="1"/>
  <c r="L50" i="17"/>
  <c r="M251" i="17" s="1"/>
  <c r="F50" i="17"/>
  <c r="F251" i="17" s="1"/>
  <c r="R49" i="17"/>
  <c r="T230" i="17" s="1"/>
  <c r="L49" i="17"/>
  <c r="M230" i="17" s="1"/>
  <c r="F49" i="17"/>
  <c r="F230" i="17" s="1"/>
  <c r="K48" i="17"/>
  <c r="Q48" i="17" s="1"/>
  <c r="J48" i="17"/>
  <c r="P48" i="17" s="1"/>
  <c r="H46" i="17"/>
  <c r="N46" i="17" s="1"/>
  <c r="R44" i="17"/>
  <c r="T355" i="17" s="1"/>
  <c r="L44" i="17"/>
  <c r="M355" i="17" s="1"/>
  <c r="F44" i="17"/>
  <c r="F355" i="17" s="1"/>
  <c r="R43" i="17"/>
  <c r="T334" i="17" s="1"/>
  <c r="L43" i="17"/>
  <c r="M334" i="17" s="1"/>
  <c r="F43" i="17"/>
  <c r="F334" i="17" s="1"/>
  <c r="R42" i="17"/>
  <c r="T313" i="17" s="1"/>
  <c r="L42" i="17"/>
  <c r="M313" i="17" s="1"/>
  <c r="F42" i="17"/>
  <c r="F313" i="17" s="1"/>
  <c r="R41" i="17"/>
  <c r="T292" i="17" s="1"/>
  <c r="L41" i="17"/>
  <c r="M292" i="17" s="1"/>
  <c r="F41" i="17"/>
  <c r="F292" i="17" s="1"/>
  <c r="R40" i="17"/>
  <c r="T271" i="17" s="1"/>
  <c r="L40" i="17"/>
  <c r="M271" i="17" s="1"/>
  <c r="F40" i="17"/>
  <c r="F271" i="17" s="1"/>
  <c r="R39" i="17"/>
  <c r="T250" i="17" s="1"/>
  <c r="L39" i="17"/>
  <c r="M250" i="17" s="1"/>
  <c r="F39" i="17"/>
  <c r="F250" i="17" s="1"/>
  <c r="R38" i="17"/>
  <c r="T229" i="17" s="1"/>
  <c r="L38" i="17"/>
  <c r="M229" i="17" s="1"/>
  <c r="F38" i="17"/>
  <c r="F229" i="17" s="1"/>
  <c r="K37" i="17"/>
  <c r="Q37" i="17" s="1"/>
  <c r="J37" i="17"/>
  <c r="P37" i="17" s="1"/>
  <c r="H35" i="17"/>
  <c r="N35" i="17" s="1"/>
  <c r="R33" i="17"/>
  <c r="T354" i="17" s="1"/>
  <c r="L33" i="17"/>
  <c r="M354" i="17" s="1"/>
  <c r="F33" i="17"/>
  <c r="F354" i="17" s="1"/>
  <c r="R32" i="17"/>
  <c r="T333" i="17" s="1"/>
  <c r="L32" i="17"/>
  <c r="M333" i="17" s="1"/>
  <c r="F32" i="17"/>
  <c r="F333" i="17" s="1"/>
  <c r="R31" i="17"/>
  <c r="T312" i="17" s="1"/>
  <c r="L31" i="17"/>
  <c r="M312" i="17" s="1"/>
  <c r="F31" i="17"/>
  <c r="F312" i="17" s="1"/>
  <c r="R30" i="17"/>
  <c r="T291" i="17" s="1"/>
  <c r="L30" i="17"/>
  <c r="M291" i="17" s="1"/>
  <c r="F30" i="17"/>
  <c r="F291" i="17" s="1"/>
  <c r="R29" i="17"/>
  <c r="T270" i="17" s="1"/>
  <c r="L29" i="17"/>
  <c r="M270" i="17" s="1"/>
  <c r="F29" i="17"/>
  <c r="F270" i="17" s="1"/>
  <c r="R28" i="17"/>
  <c r="T249" i="17" s="1"/>
  <c r="L28" i="17"/>
  <c r="M249" i="17" s="1"/>
  <c r="F28" i="17"/>
  <c r="F249" i="17" s="1"/>
  <c r="R27" i="17"/>
  <c r="T228" i="17" s="1"/>
  <c r="L27" i="17"/>
  <c r="M228" i="17" s="1"/>
  <c r="F27" i="17"/>
  <c r="F228" i="17" s="1"/>
  <c r="K26" i="17"/>
  <c r="Q26" i="17" s="1"/>
  <c r="J26" i="17"/>
  <c r="P26" i="17" s="1"/>
  <c r="H24" i="17"/>
  <c r="N24" i="17" s="1"/>
  <c r="R22" i="17"/>
  <c r="T353" i="17" s="1"/>
  <c r="L22" i="17"/>
  <c r="M353" i="17" s="1"/>
  <c r="F22" i="17"/>
  <c r="F353" i="17" s="1"/>
  <c r="R21" i="17"/>
  <c r="T332" i="17" s="1"/>
  <c r="L21" i="17"/>
  <c r="M332" i="17" s="1"/>
  <c r="F21" i="17"/>
  <c r="F332" i="17" s="1"/>
  <c r="R20" i="17"/>
  <c r="T311" i="17" s="1"/>
  <c r="L20" i="17"/>
  <c r="M310" i="17" s="1"/>
  <c r="F20" i="17"/>
  <c r="F311" i="17" s="1"/>
  <c r="R19" i="17"/>
  <c r="T290" i="17" s="1"/>
  <c r="L19" i="17"/>
  <c r="M290" i="17" s="1"/>
  <c r="F19" i="17"/>
  <c r="F290" i="17" s="1"/>
  <c r="R18" i="17"/>
  <c r="T269" i="17" s="1"/>
  <c r="L18" i="17"/>
  <c r="M269" i="17" s="1"/>
  <c r="F18" i="17"/>
  <c r="F269" i="17" s="1"/>
  <c r="R17" i="17"/>
  <c r="T248" i="17" s="1"/>
  <c r="L17" i="17"/>
  <c r="M248" i="17" s="1"/>
  <c r="F17" i="17"/>
  <c r="F248" i="17" s="1"/>
  <c r="R16" i="17"/>
  <c r="T227" i="17" s="1"/>
  <c r="L16" i="17"/>
  <c r="M227" i="17" s="1"/>
  <c r="F16" i="17"/>
  <c r="F227" i="17" s="1"/>
  <c r="K15" i="17"/>
  <c r="Q15" i="17" s="1"/>
  <c r="J15" i="17"/>
  <c r="P15" i="17" s="1"/>
  <c r="H13" i="17"/>
  <c r="N13" i="17" s="1"/>
  <c r="R11" i="17"/>
  <c r="T352" i="17" s="1"/>
  <c r="L11" i="17"/>
  <c r="M352" i="17" s="1"/>
  <c r="F11" i="17"/>
  <c r="F352" i="17" s="1"/>
  <c r="R10" i="17"/>
  <c r="T331" i="17" s="1"/>
  <c r="L10" i="17"/>
  <c r="M331" i="17" s="1"/>
  <c r="F10" i="17"/>
  <c r="F331" i="17" s="1"/>
  <c r="R9" i="17"/>
  <c r="T310" i="17" s="1"/>
  <c r="L9" i="17"/>
  <c r="F9" i="17"/>
  <c r="F310" i="17" s="1"/>
  <c r="R8" i="17"/>
  <c r="T289" i="17" s="1"/>
  <c r="L8" i="17"/>
  <c r="M289" i="17" s="1"/>
  <c r="F8" i="17"/>
  <c r="F289" i="17" s="1"/>
  <c r="R7" i="17"/>
  <c r="T268" i="17" s="1"/>
  <c r="L7" i="17"/>
  <c r="M268" i="17" s="1"/>
  <c r="F7" i="17"/>
  <c r="F268" i="17" s="1"/>
  <c r="R6" i="17"/>
  <c r="T247" i="17" s="1"/>
  <c r="L6" i="17"/>
  <c r="M247" i="17" s="1"/>
  <c r="F6" i="17"/>
  <c r="F247" i="17" s="1"/>
  <c r="R5" i="17"/>
  <c r="T226" i="17" s="1"/>
  <c r="L5" i="17"/>
  <c r="M226" i="17" s="1"/>
  <c r="F5" i="17"/>
  <c r="F226" i="17" s="1"/>
  <c r="K4" i="17"/>
  <c r="Q4" i="17" s="1"/>
  <c r="J4" i="17"/>
  <c r="P4" i="17" s="1"/>
  <c r="H2" i="17"/>
  <c r="N2" i="17" s="1"/>
  <c r="B55" i="6"/>
  <c r="B52" i="9" s="1"/>
  <c r="B56" i="6"/>
  <c r="B53" i="9" s="1"/>
  <c r="B57" i="6"/>
  <c r="B54" i="9" s="1"/>
  <c r="D7" i="6"/>
  <c r="D7" i="9" s="1"/>
  <c r="B47" i="6"/>
  <c r="B32" i="6"/>
  <c r="B32" i="9" s="1"/>
  <c r="B33" i="6"/>
  <c r="B33" i="9" s="1"/>
  <c r="B34" i="6"/>
  <c r="B34" i="9" s="1"/>
  <c r="B35" i="6"/>
  <c r="B35" i="9" s="1"/>
  <c r="B36" i="6"/>
  <c r="B37" i="6"/>
  <c r="B31" i="6"/>
  <c r="B31" i="9" s="1"/>
  <c r="H17" i="14"/>
  <c r="G17" i="14" s="1"/>
  <c r="D17" i="14"/>
  <c r="H16" i="14"/>
  <c r="G16" i="14" s="1"/>
  <c r="D16" i="14"/>
  <c r="H15" i="14"/>
  <c r="G15" i="14" s="1"/>
  <c r="D15" i="14"/>
  <c r="H14" i="14"/>
  <c r="G14" i="14" s="1"/>
  <c r="D14" i="14"/>
  <c r="H13" i="14"/>
  <c r="D13" i="14"/>
  <c r="H12" i="14"/>
  <c r="G12" i="14" s="1"/>
  <c r="D12" i="14"/>
  <c r="H11" i="14"/>
  <c r="G11" i="14" s="1"/>
  <c r="D11" i="14"/>
  <c r="H10" i="14"/>
  <c r="G10" i="14" s="1"/>
  <c r="D10" i="14"/>
  <c r="H9" i="14"/>
  <c r="G9" i="14" s="1"/>
  <c r="D9" i="14"/>
  <c r="H8" i="14"/>
  <c r="G8" i="14" s="1"/>
  <c r="D8" i="14"/>
  <c r="H7" i="14"/>
  <c r="G7" i="14" s="1"/>
  <c r="D7" i="14"/>
  <c r="H6" i="14"/>
  <c r="G6" i="14" s="1"/>
  <c r="D6" i="14"/>
  <c r="G13" i="14"/>
  <c r="H5" i="14"/>
  <c r="G5" i="14" s="1"/>
  <c r="D5" i="14"/>
  <c r="C382" i="17" l="1"/>
  <c r="F285" i="17"/>
  <c r="M281" i="17"/>
  <c r="D377" i="17"/>
  <c r="C380" i="17"/>
  <c r="F301" i="17"/>
  <c r="M311" i="17"/>
  <c r="D381" i="17"/>
  <c r="D376" i="17"/>
  <c r="C381" i="17"/>
  <c r="C376" i="17"/>
  <c r="B381" i="17"/>
  <c r="B376" i="17"/>
  <c r="D382" i="17"/>
  <c r="A381" i="17"/>
  <c r="A376" i="17"/>
  <c r="P373" i="17"/>
  <c r="A382" i="17"/>
  <c r="B380" i="17"/>
  <c r="B379" i="17"/>
  <c r="B378" i="17"/>
  <c r="B377" i="17"/>
  <c r="A380" i="17"/>
  <c r="A379" i="17"/>
  <c r="A378" i="17"/>
  <c r="A377" i="17"/>
  <c r="F373" i="17"/>
  <c r="B382" i="17"/>
  <c r="C377" i="17"/>
  <c r="D378" i="17"/>
  <c r="C378" i="17"/>
  <c r="D379" i="17"/>
  <c r="C379" i="17"/>
  <c r="D380" i="17"/>
  <c r="B373" i="17"/>
  <c r="D21" i="14"/>
  <c r="D26" i="14" s="1"/>
  <c r="D32" i="14" s="1"/>
  <c r="D39" i="14" s="1"/>
  <c r="D47" i="14" s="1"/>
  <c r="D56" i="14" s="1"/>
  <c r="D66" i="14" s="1"/>
  <c r="C21" i="14"/>
  <c r="C26" i="14" s="1"/>
  <c r="C32" i="14" s="1"/>
  <c r="C39" i="14" s="1"/>
  <c r="C47" i="14" s="1"/>
  <c r="C56" i="14" s="1"/>
  <c r="C66" i="14" s="1"/>
  <c r="B73" i="14"/>
  <c r="B62" i="14"/>
  <c r="B52" i="14"/>
  <c r="B43" i="14"/>
  <c r="B35" i="14"/>
  <c r="B28" i="14"/>
  <c r="B22" i="14"/>
  <c r="D4" i="14"/>
  <c r="F4" i="14" s="1"/>
  <c r="H4" i="14"/>
  <c r="G4" i="14" s="1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H382" i="17" l="1"/>
  <c r="I380" i="17"/>
  <c r="I379" i="17"/>
  <c r="I378" i="17"/>
  <c r="I377" i="17"/>
  <c r="G382" i="17"/>
  <c r="H380" i="17"/>
  <c r="H379" i="17"/>
  <c r="H378" i="17"/>
  <c r="H377" i="17"/>
  <c r="F382" i="17"/>
  <c r="G380" i="17"/>
  <c r="G379" i="17"/>
  <c r="G378" i="17"/>
  <c r="G377" i="17"/>
  <c r="F380" i="17"/>
  <c r="F379" i="17"/>
  <c r="F378" i="17"/>
  <c r="F377" i="17"/>
  <c r="G381" i="17"/>
  <c r="G376" i="17"/>
  <c r="I382" i="17"/>
  <c r="F381" i="17"/>
  <c r="F376" i="17"/>
  <c r="I381" i="17"/>
  <c r="I376" i="17"/>
  <c r="H381" i="17"/>
  <c r="H376" i="17"/>
  <c r="K373" i="17"/>
  <c r="C375" i="17"/>
  <c r="H375" i="17" s="1"/>
  <c r="M375" i="17" s="1"/>
  <c r="B375" i="17"/>
  <c r="G375" i="17" s="1"/>
  <c r="L375" i="17" s="1"/>
  <c r="G373" i="17"/>
  <c r="T379" i="17"/>
  <c r="N395" i="17" s="1"/>
  <c r="T378" i="17"/>
  <c r="N394" i="17" s="1"/>
  <c r="G16" i="6" s="1"/>
  <c r="G16" i="9" s="1"/>
  <c r="T377" i="17"/>
  <c r="N393" i="17" s="1"/>
  <c r="G15" i="6" s="1"/>
  <c r="G15" i="9" s="1"/>
  <c r="B51" i="14"/>
  <c r="D43" i="14"/>
  <c r="E43" i="14"/>
  <c r="F43" i="14"/>
  <c r="G43" i="14"/>
  <c r="B61" i="14"/>
  <c r="D52" i="14"/>
  <c r="E52" i="14"/>
  <c r="F52" i="14"/>
  <c r="G52" i="14"/>
  <c r="B72" i="14"/>
  <c r="G62" i="14"/>
  <c r="D62" i="14"/>
  <c r="F62" i="14"/>
  <c r="E62" i="14"/>
  <c r="G73" i="14"/>
  <c r="E73" i="14"/>
  <c r="F73" i="14"/>
  <c r="D73" i="14"/>
  <c r="B34" i="14"/>
  <c r="F28" i="14"/>
  <c r="G28" i="14"/>
  <c r="D28" i="14"/>
  <c r="E28" i="14"/>
  <c r="C73" i="14"/>
  <c r="E22" i="14"/>
  <c r="D22" i="14"/>
  <c r="C28" i="14"/>
  <c r="F22" i="14"/>
  <c r="G24" i="14" s="1"/>
  <c r="D7" i="2" s="1"/>
  <c r="C40" i="14"/>
  <c r="G22" i="14"/>
  <c r="G25" i="14" s="1"/>
  <c r="B42" i="14"/>
  <c r="F35" i="14"/>
  <c r="G35" i="14"/>
  <c r="D35" i="14"/>
  <c r="E35" i="14"/>
  <c r="C58" i="14"/>
  <c r="C42" i="14"/>
  <c r="C70" i="14"/>
  <c r="C35" i="14"/>
  <c r="C51" i="14"/>
  <c r="C67" i="14"/>
  <c r="C48" i="14"/>
  <c r="C60" i="14"/>
  <c r="C72" i="14"/>
  <c r="C41" i="14"/>
  <c r="C57" i="14"/>
  <c r="C69" i="14"/>
  <c r="C22" i="14"/>
  <c r="C34" i="14"/>
  <c r="C50" i="14"/>
  <c r="C62" i="14"/>
  <c r="C27" i="14"/>
  <c r="C43" i="14"/>
  <c r="C59" i="14"/>
  <c r="C71" i="14"/>
  <c r="C52" i="14"/>
  <c r="C68" i="14"/>
  <c r="C33" i="14"/>
  <c r="C49" i="14"/>
  <c r="C61" i="14"/>
  <c r="G23" i="14"/>
  <c r="H44" i="4" s="1"/>
  <c r="I44" i="4" s="1"/>
  <c r="B27" i="14"/>
  <c r="B79" i="2"/>
  <c r="B66" i="2"/>
  <c r="B53" i="2"/>
  <c r="B28" i="2"/>
  <c r="B15" i="2"/>
  <c r="B2" i="2"/>
  <c r="B27" i="9"/>
  <c r="S44" i="4" l="1"/>
  <c r="G31" i="6"/>
  <c r="N381" i="17"/>
  <c r="N376" i="17"/>
  <c r="M381" i="17"/>
  <c r="M376" i="17"/>
  <c r="L381" i="17"/>
  <c r="L376" i="17"/>
  <c r="N382" i="17"/>
  <c r="K381" i="17"/>
  <c r="K376" i="17"/>
  <c r="K382" i="17"/>
  <c r="L380" i="17"/>
  <c r="L379" i="17"/>
  <c r="L378" i="17"/>
  <c r="L377" i="17"/>
  <c r="K380" i="17"/>
  <c r="K379" i="17"/>
  <c r="K378" i="17"/>
  <c r="K377" i="17"/>
  <c r="M378" i="17"/>
  <c r="N379" i="17"/>
  <c r="M379" i="17"/>
  <c r="N380" i="17"/>
  <c r="M380" i="17"/>
  <c r="M382" i="17"/>
  <c r="N377" i="17"/>
  <c r="N378" i="17"/>
  <c r="L382" i="17"/>
  <c r="M377" i="17"/>
  <c r="Q373" i="17"/>
  <c r="L373" i="17"/>
  <c r="B50" i="14"/>
  <c r="G42" i="14"/>
  <c r="F42" i="14"/>
  <c r="D42" i="14"/>
  <c r="E42" i="14"/>
  <c r="B41" i="14"/>
  <c r="D34" i="14"/>
  <c r="G34" i="14"/>
  <c r="E34" i="14"/>
  <c r="F34" i="14"/>
  <c r="D72" i="14"/>
  <c r="E72" i="14"/>
  <c r="F72" i="14"/>
  <c r="G72" i="14"/>
  <c r="B71" i="14"/>
  <c r="D61" i="14"/>
  <c r="E61" i="14"/>
  <c r="F61" i="14"/>
  <c r="G61" i="14"/>
  <c r="B33" i="14"/>
  <c r="G27" i="14"/>
  <c r="G31" i="14" s="1"/>
  <c r="D17" i="2" s="1"/>
  <c r="F27" i="14"/>
  <c r="G30" i="14" s="1"/>
  <c r="D20" i="2" s="1"/>
  <c r="E27" i="14"/>
  <c r="D27" i="14"/>
  <c r="G29" i="14" s="1"/>
  <c r="H45" i="4" s="1"/>
  <c r="I45" i="4" s="1"/>
  <c r="S45" i="4" s="1"/>
  <c r="B60" i="14"/>
  <c r="G51" i="14"/>
  <c r="E51" i="14"/>
  <c r="D51" i="14"/>
  <c r="F51" i="14"/>
  <c r="B70" i="14" l="1"/>
  <c r="G60" i="14"/>
  <c r="E60" i="14"/>
  <c r="D60" i="14"/>
  <c r="F60" i="14"/>
  <c r="B49" i="14"/>
  <c r="D41" i="14"/>
  <c r="E41" i="14"/>
  <c r="F41" i="14"/>
  <c r="G41" i="14"/>
  <c r="B40" i="14"/>
  <c r="G33" i="14"/>
  <c r="G38" i="14" s="1"/>
  <c r="D30" i="2" s="1"/>
  <c r="F33" i="14"/>
  <c r="G37" i="14" s="1"/>
  <c r="D33" i="2" s="1"/>
  <c r="D33" i="14"/>
  <c r="G36" i="14" s="1"/>
  <c r="H46" i="4" s="1"/>
  <c r="I46" i="4" s="1"/>
  <c r="S46" i="4" s="1"/>
  <c r="E33" i="14"/>
  <c r="G71" i="14"/>
  <c r="D71" i="14"/>
  <c r="E71" i="14"/>
  <c r="F71" i="14"/>
  <c r="B59" i="14"/>
  <c r="D50" i="14"/>
  <c r="E50" i="14"/>
  <c r="F50" i="14"/>
  <c r="G50" i="14"/>
  <c r="E85" i="2"/>
  <c r="D85" i="2"/>
  <c r="E84" i="2"/>
  <c r="E83" i="2"/>
  <c r="E82" i="2"/>
  <c r="E72" i="2"/>
  <c r="D72" i="2"/>
  <c r="E71" i="2"/>
  <c r="E70" i="2"/>
  <c r="E69" i="2"/>
  <c r="D56" i="2"/>
  <c r="D69" i="2" s="1"/>
  <c r="B41" i="2"/>
  <c r="D47" i="2" s="1"/>
  <c r="E47" i="2"/>
  <c r="E46" i="2"/>
  <c r="E45" i="2"/>
  <c r="C26" i="6"/>
  <c r="C26" i="9" s="1"/>
  <c r="C36" i="6"/>
  <c r="C37" i="6"/>
  <c r="E31" i="4"/>
  <c r="E32" i="4"/>
  <c r="E33" i="4"/>
  <c r="E34" i="4"/>
  <c r="E35" i="4"/>
  <c r="E36" i="4"/>
  <c r="E37" i="4"/>
  <c r="E38" i="4"/>
  <c r="E39" i="4"/>
  <c r="E30" i="4"/>
  <c r="C34" i="9" l="1"/>
  <c r="B58" i="14"/>
  <c r="G49" i="14"/>
  <c r="E49" i="14"/>
  <c r="D49" i="14"/>
  <c r="F49" i="14"/>
  <c r="B69" i="14"/>
  <c r="D59" i="14"/>
  <c r="E59" i="14"/>
  <c r="F59" i="14"/>
  <c r="G59" i="14"/>
  <c r="B48" i="14"/>
  <c r="F40" i="14"/>
  <c r="G45" i="14" s="1"/>
  <c r="D46" i="2" s="1"/>
  <c r="G40" i="14"/>
  <c r="G46" i="14" s="1"/>
  <c r="D43" i="2" s="1"/>
  <c r="D40" i="14"/>
  <c r="E40" i="14"/>
  <c r="G44" i="14" s="1"/>
  <c r="H47" i="4" s="1"/>
  <c r="I47" i="4" s="1"/>
  <c r="S47" i="4" s="1"/>
  <c r="D70" i="14"/>
  <c r="E70" i="14"/>
  <c r="F70" i="14"/>
  <c r="G70" i="14"/>
  <c r="E40" i="4"/>
  <c r="D6" i="2" s="1"/>
  <c r="D19" i="2" s="1"/>
  <c r="D32" i="2" s="1"/>
  <c r="D45" i="2" s="1"/>
  <c r="G45" i="2" s="1"/>
  <c r="I45" i="2" s="1"/>
  <c r="K45" i="2" s="1"/>
  <c r="G47" i="2"/>
  <c r="I47" i="2" s="1"/>
  <c r="K47" i="2" s="1"/>
  <c r="G69" i="2"/>
  <c r="I69" i="2" s="1"/>
  <c r="K69" i="2" s="1"/>
  <c r="G72" i="2"/>
  <c r="I72" i="2" s="1"/>
  <c r="J72" i="2" s="1"/>
  <c r="G85" i="2"/>
  <c r="I85" i="2" s="1"/>
  <c r="J85" i="2" s="1"/>
  <c r="D82" i="2"/>
  <c r="B60" i="9"/>
  <c r="G69" i="14" l="1"/>
  <c r="E69" i="14"/>
  <c r="F69" i="14"/>
  <c r="D69" i="14"/>
  <c r="B57" i="14"/>
  <c r="D48" i="14"/>
  <c r="G48" i="14"/>
  <c r="G55" i="14" s="1"/>
  <c r="D55" i="2" s="1"/>
  <c r="F48" i="14"/>
  <c r="G54" i="14" s="1"/>
  <c r="D58" i="2" s="1"/>
  <c r="E48" i="14"/>
  <c r="G53" i="14" s="1"/>
  <c r="H48" i="4" s="1"/>
  <c r="I48" i="4" s="1"/>
  <c r="S48" i="4" s="1"/>
  <c r="B68" i="14"/>
  <c r="G58" i="14"/>
  <c r="D58" i="14"/>
  <c r="F58" i="14"/>
  <c r="E58" i="14"/>
  <c r="G26" i="6"/>
  <c r="J45" i="2"/>
  <c r="J69" i="2"/>
  <c r="J47" i="2"/>
  <c r="K72" i="2"/>
  <c r="K85" i="2"/>
  <c r="G82" i="2"/>
  <c r="I82" i="2" s="1"/>
  <c r="G26" i="9" l="1"/>
  <c r="B67" i="14"/>
  <c r="G57" i="14"/>
  <c r="G65" i="14" s="1"/>
  <c r="D68" i="2" s="1"/>
  <c r="F57" i="14"/>
  <c r="G64" i="14" s="1"/>
  <c r="D71" i="2" s="1"/>
  <c r="E57" i="14"/>
  <c r="G63" i="14" s="1"/>
  <c r="D57" i="14"/>
  <c r="D68" i="14"/>
  <c r="E68" i="14"/>
  <c r="F68" i="14"/>
  <c r="G68" i="14"/>
  <c r="J82" i="2"/>
  <c r="K82" i="2"/>
  <c r="F66" i="6"/>
  <c r="C66" i="6"/>
  <c r="J44" i="4" l="1"/>
  <c r="G67" i="14"/>
  <c r="G76" i="14" s="1"/>
  <c r="D81" i="2" s="1"/>
  <c r="F67" i="14"/>
  <c r="G75" i="14" s="1"/>
  <c r="D84" i="2" s="1"/>
  <c r="E67" i="14"/>
  <c r="G74" i="14" s="1"/>
  <c r="D67" i="14"/>
  <c r="R26" i="6"/>
  <c r="B26" i="4" l="1"/>
  <c r="D8" i="2"/>
  <c r="A7" i="6" l="1"/>
  <c r="A7" i="9" s="1"/>
  <c r="N24" i="4"/>
  <c r="E5" i="2" s="1"/>
  <c r="B20" i="4" l="1"/>
  <c r="D4" i="2" l="1"/>
  <c r="G36" i="6" l="1"/>
  <c r="G43" i="2"/>
  <c r="I43" i="2" s="1"/>
  <c r="G46" i="2"/>
  <c r="I46" i="2" s="1"/>
  <c r="G84" i="2"/>
  <c r="I84" i="2" s="1"/>
  <c r="G81" i="2"/>
  <c r="I81" i="2" s="1"/>
  <c r="G34" i="6"/>
  <c r="O47" i="6" s="1"/>
  <c r="G71" i="2"/>
  <c r="I71" i="2" s="1"/>
  <c r="G68" i="2"/>
  <c r="I68" i="2" s="1"/>
  <c r="V34" i="6" l="1"/>
  <c r="G34" i="9"/>
  <c r="K71" i="2"/>
  <c r="J71" i="2"/>
  <c r="K68" i="2"/>
  <c r="J68" i="2"/>
  <c r="K84" i="2"/>
  <c r="J84" i="2"/>
  <c r="K81" i="2"/>
  <c r="J81" i="2"/>
  <c r="K46" i="2"/>
  <c r="J46" i="2"/>
  <c r="J43" i="2"/>
  <c r="K43" i="2"/>
  <c r="B43" i="9"/>
  <c r="I31" i="6" l="1"/>
  <c r="B18" i="6"/>
  <c r="B18" i="9" s="1"/>
  <c r="B22" i="6"/>
  <c r="B22" i="9" s="1"/>
  <c r="B14" i="4"/>
  <c r="B14" i="6" s="1"/>
  <c r="B14" i="9" s="1"/>
  <c r="A11" i="4"/>
  <c r="A10" i="4"/>
  <c r="T34" i="6" l="1"/>
  <c r="I31" i="9"/>
  <c r="R34" i="6"/>
  <c r="S34" i="6"/>
  <c r="A11" i="6"/>
  <c r="A11" i="9"/>
  <c r="A10" i="6"/>
  <c r="A10" i="9"/>
  <c r="N23" i="4" l="1"/>
  <c r="E18" i="2" s="1"/>
  <c r="E31" i="2" s="1"/>
  <c r="E56" i="2" l="1"/>
  <c r="B52" i="6" l="1"/>
  <c r="B49" i="9" s="1"/>
  <c r="B53" i="6"/>
  <c r="B50" i="9" s="1"/>
  <c r="B51" i="9"/>
  <c r="B51" i="6"/>
  <c r="B78" i="10" l="1"/>
  <c r="B48" i="9"/>
  <c r="C78" i="10" l="1"/>
  <c r="B44" i="9" s="1"/>
  <c r="B16" i="9" l="1"/>
  <c r="G25" i="9" l="1"/>
  <c r="F18" i="4" l="1"/>
  <c r="Q379" i="17" s="1"/>
  <c r="K386" i="17" s="1"/>
  <c r="N387" i="17" l="1"/>
  <c r="L385" i="17"/>
  <c r="L387" i="17"/>
  <c r="N385" i="17"/>
  <c r="A1" i="9"/>
  <c r="M386" i="17" l="1"/>
  <c r="R379" i="17" s="1"/>
  <c r="M395" i="17" s="1"/>
  <c r="Q383" i="17" s="1"/>
  <c r="A101" i="2" l="1"/>
  <c r="D5" i="2"/>
  <c r="B63" i="6" l="1"/>
  <c r="B61" i="9" s="1"/>
  <c r="D20" i="6"/>
  <c r="D19" i="6"/>
  <c r="D5" i="6"/>
  <c r="D5" i="9" s="1"/>
  <c r="E18" i="19" s="1"/>
  <c r="D6" i="6"/>
  <c r="D6" i="9" s="1"/>
  <c r="F18" i="19" s="1"/>
  <c r="D9" i="6"/>
  <c r="D9" i="9" s="1"/>
  <c r="G18" i="19" s="1"/>
  <c r="D10" i="6"/>
  <c r="D10" i="9" s="1"/>
  <c r="D11" i="6"/>
  <c r="D11" i="9" s="1"/>
  <c r="D12" i="6"/>
  <c r="D12" i="9" s="1"/>
  <c r="D4" i="6"/>
  <c r="D4" i="9" s="1"/>
  <c r="C18" i="19" s="1"/>
  <c r="F17" i="4"/>
  <c r="Q378" i="17" s="1"/>
  <c r="F386" i="17" s="1"/>
  <c r="F16" i="4"/>
  <c r="Q377" i="17" s="1"/>
  <c r="A386" i="17" s="1"/>
  <c r="C33" i="6"/>
  <c r="D59" i="2"/>
  <c r="D34" i="2"/>
  <c r="D31" i="2"/>
  <c r="D44" i="2" s="1"/>
  <c r="D18" i="2"/>
  <c r="D21" i="2"/>
  <c r="C33" i="9" l="1"/>
  <c r="B385" i="17"/>
  <c r="B387" i="17"/>
  <c r="D387" i="17"/>
  <c r="D385" i="17"/>
  <c r="G385" i="17"/>
  <c r="G387" i="17"/>
  <c r="I385" i="17"/>
  <c r="I387" i="17"/>
  <c r="H40" i="4"/>
  <c r="G27" i="6" s="1"/>
  <c r="R27" i="6" s="1"/>
  <c r="O26" i="6" s="1"/>
  <c r="M26" i="6" s="1"/>
  <c r="D19" i="9"/>
  <c r="M19" i="6"/>
  <c r="D20" i="9"/>
  <c r="M20" i="6"/>
  <c r="C31" i="6"/>
  <c r="C35" i="9"/>
  <c r="V31" i="6" l="1"/>
  <c r="O44" i="6"/>
  <c r="C31" i="9"/>
  <c r="C386" i="17"/>
  <c r="R377" i="17" s="1"/>
  <c r="M393" i="17" s="1"/>
  <c r="H386" i="17"/>
  <c r="R378" i="17" s="1"/>
  <c r="M394" i="17" s="1"/>
  <c r="D70" i="2"/>
  <c r="G70" i="2" s="1"/>
  <c r="I70" i="2" s="1"/>
  <c r="D83" i="2"/>
  <c r="G83" i="2" s="1"/>
  <c r="I83" i="2" s="1"/>
  <c r="G27" i="9"/>
  <c r="C27" i="9"/>
  <c r="G33" i="6"/>
  <c r="O46" i="6" s="1"/>
  <c r="C32" i="6"/>
  <c r="G31" i="9"/>
  <c r="B98" i="2"/>
  <c r="G30" i="2"/>
  <c r="G17" i="2"/>
  <c r="E59" i="2"/>
  <c r="E58" i="2"/>
  <c r="E57" i="2"/>
  <c r="G55" i="2"/>
  <c r="E34" i="2"/>
  <c r="E33" i="2"/>
  <c r="E32" i="2"/>
  <c r="E21" i="2"/>
  <c r="E20" i="2"/>
  <c r="E19" i="2"/>
  <c r="E44" i="2" s="1"/>
  <c r="G44" i="2" s="1"/>
  <c r="I44" i="2" s="1"/>
  <c r="E7" i="2"/>
  <c r="Q381" i="17" l="1"/>
  <c r="D15" i="9" s="1"/>
  <c r="E15" i="6"/>
  <c r="E15" i="9" s="1"/>
  <c r="Q382" i="17"/>
  <c r="E16" i="6"/>
  <c r="E16" i="9" s="1"/>
  <c r="T31" i="6"/>
  <c r="S31" i="6"/>
  <c r="R31" i="6"/>
  <c r="C32" i="9"/>
  <c r="V33" i="6"/>
  <c r="K83" i="2"/>
  <c r="J83" i="2"/>
  <c r="K70" i="2"/>
  <c r="J70" i="2"/>
  <c r="J44" i="2"/>
  <c r="K44" i="2"/>
  <c r="G33" i="9"/>
  <c r="G35" i="6"/>
  <c r="O48" i="6" s="1"/>
  <c r="G32" i="6"/>
  <c r="O45" i="6" s="1"/>
  <c r="G18" i="2"/>
  <c r="I18" i="2" s="1"/>
  <c r="J18" i="2" s="1"/>
  <c r="G56" i="2"/>
  <c r="I56" i="2" s="1"/>
  <c r="J56" i="2" s="1"/>
  <c r="G31" i="2"/>
  <c r="I31" i="2" s="1"/>
  <c r="J31" i="2" s="1"/>
  <c r="G59" i="2"/>
  <c r="I59" i="2" s="1"/>
  <c r="J59" i="2" s="1"/>
  <c r="G21" i="2"/>
  <c r="I21" i="2" s="1"/>
  <c r="K21" i="2" s="1"/>
  <c r="G34" i="2"/>
  <c r="I34" i="2" s="1"/>
  <c r="J34" i="2" s="1"/>
  <c r="G58" i="2"/>
  <c r="I58" i="2" s="1"/>
  <c r="I55" i="2"/>
  <c r="G33" i="2"/>
  <c r="I33" i="2" s="1"/>
  <c r="I30" i="2"/>
  <c r="I17" i="2"/>
  <c r="G20" i="2"/>
  <c r="I20" i="2" s="1"/>
  <c r="T33" i="6" l="1"/>
  <c r="S33" i="6"/>
  <c r="R33" i="6"/>
  <c r="V35" i="6"/>
  <c r="T35" i="6" s="1"/>
  <c r="V32" i="6"/>
  <c r="G32" i="9"/>
  <c r="G35" i="9"/>
  <c r="K56" i="2"/>
  <c r="K31" i="2"/>
  <c r="K59" i="2"/>
  <c r="K18" i="2"/>
  <c r="J21" i="2"/>
  <c r="K34" i="2"/>
  <c r="K55" i="2"/>
  <c r="J55" i="2"/>
  <c r="J58" i="2"/>
  <c r="K58" i="2"/>
  <c r="J30" i="2"/>
  <c r="K30" i="2"/>
  <c r="J33" i="2"/>
  <c r="K33" i="2"/>
  <c r="K20" i="2"/>
  <c r="J20" i="2"/>
  <c r="J17" i="2"/>
  <c r="K17" i="2"/>
  <c r="E8" i="2"/>
  <c r="G8" i="2" s="1"/>
  <c r="I8" i="2" s="1"/>
  <c r="E6" i="2"/>
  <c r="G5" i="2"/>
  <c r="I5" i="2" s="1"/>
  <c r="G4" i="2"/>
  <c r="T32" i="6" l="1"/>
  <c r="B80" i="6" s="1"/>
  <c r="S32" i="6"/>
  <c r="R32" i="6"/>
  <c r="R35" i="6"/>
  <c r="S35" i="6"/>
  <c r="J48" i="2"/>
  <c r="K48" i="2"/>
  <c r="J73" i="2"/>
  <c r="K73" i="2"/>
  <c r="J86" i="2"/>
  <c r="K86" i="2"/>
  <c r="G7" i="2"/>
  <c r="I7" i="2" s="1"/>
  <c r="K7" i="2" s="1"/>
  <c r="I4" i="2"/>
  <c r="J8" i="2"/>
  <c r="K8" i="2"/>
  <c r="J5" i="2"/>
  <c r="K5" i="2"/>
  <c r="B81" i="6" l="1"/>
  <c r="D81" i="6" s="1"/>
  <c r="J87" i="2"/>
  <c r="J88" i="2"/>
  <c r="J89" i="2" s="1"/>
  <c r="J75" i="2"/>
  <c r="J76" i="2" s="1"/>
  <c r="J74" i="2"/>
  <c r="J50" i="2"/>
  <c r="J51" i="2" s="1"/>
  <c r="J49" i="2"/>
  <c r="D57" i="2"/>
  <c r="G57" i="2" s="1"/>
  <c r="I57" i="2" s="1"/>
  <c r="G19" i="2"/>
  <c r="I19" i="2" s="1"/>
  <c r="G6" i="2"/>
  <c r="I6" i="2" s="1"/>
  <c r="G32" i="2"/>
  <c r="I32" i="2" s="1"/>
  <c r="J32" i="2" s="1"/>
  <c r="J7" i="2"/>
  <c r="K4" i="2"/>
  <c r="J4" i="2"/>
  <c r="D80" i="6" l="1"/>
  <c r="B84" i="6" s="1"/>
  <c r="M31" i="6" s="1"/>
  <c r="J66" i="6" s="1"/>
  <c r="J90" i="2"/>
  <c r="J37" i="6" s="1"/>
  <c r="J52" i="2"/>
  <c r="J77" i="2"/>
  <c r="J19" i="2"/>
  <c r="K19" i="2"/>
  <c r="K57" i="2"/>
  <c r="J57" i="2"/>
  <c r="K32" i="2"/>
  <c r="J6" i="2"/>
  <c r="K6" i="2"/>
  <c r="J36" i="6" l="1"/>
  <c r="K34" i="6"/>
  <c r="L34" i="9" s="1"/>
  <c r="K22" i="2"/>
  <c r="J60" i="2"/>
  <c r="P47" i="6" l="1"/>
  <c r="J22" i="2"/>
  <c r="J24" i="2" s="1"/>
  <c r="J25" i="2" s="1"/>
  <c r="K60" i="2"/>
  <c r="J62" i="2" s="1"/>
  <c r="J63" i="2" s="1"/>
  <c r="K35" i="2"/>
  <c r="J35" i="2"/>
  <c r="K9" i="2"/>
  <c r="J9" i="2"/>
  <c r="J10" i="2" s="1"/>
  <c r="J61" i="2"/>
  <c r="J11" i="2" l="1"/>
  <c r="J12" i="2" s="1"/>
  <c r="J13" i="2" s="1"/>
  <c r="K31" i="6" s="1"/>
  <c r="L31" i="9" s="1"/>
  <c r="J23" i="2"/>
  <c r="J26" i="2" s="1"/>
  <c r="J64" i="2"/>
  <c r="K35" i="6" s="1"/>
  <c r="L35" i="9" s="1"/>
  <c r="J36" i="2"/>
  <c r="J37" i="2"/>
  <c r="J38" i="2" s="1"/>
  <c r="P48" i="6" l="1"/>
  <c r="K32" i="6"/>
  <c r="L32" i="9" s="1"/>
  <c r="K27" i="6"/>
  <c r="L27" i="9" s="1"/>
  <c r="J39" i="2"/>
  <c r="K33" i="6" l="1"/>
  <c r="L33" i="9" s="1"/>
  <c r="P45" i="6"/>
  <c r="K26" i="6"/>
  <c r="L26" i="9" s="1"/>
  <c r="C92" i="2" l="1"/>
  <c r="C43" i="6" s="1"/>
  <c r="P46" i="6"/>
  <c r="P44" i="6"/>
  <c r="C91" i="2"/>
  <c r="G37" i="6"/>
  <c r="B82" i="6" l="1"/>
  <c r="D82" i="6" s="1"/>
  <c r="C93" i="2"/>
  <c r="B43" i="6"/>
  <c r="B40" i="9" s="1"/>
  <c r="B61" i="4" l="1"/>
  <c r="C40" i="9"/>
  <c r="G43" i="6"/>
  <c r="B60" i="6" l="1"/>
  <c r="B57" i="9" s="1"/>
  <c r="D2" i="4"/>
  <c r="A2" i="6" s="1"/>
  <c r="A2" i="9" s="1"/>
  <c r="I43" i="6"/>
  <c r="G40" i="9"/>
  <c r="B45" i="9"/>
  <c r="I40" i="9" l="1"/>
  <c r="M4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MyBook PRO K5</author>
  </authors>
  <commentList>
    <comment ref="C28" authorId="0" shapeId="0" xr:uid="{28EE2BD1-5BAD-4DED-BD5A-688A60FCA058}">
      <text>
        <r>
          <rPr>
            <b/>
            <sz val="9"/>
            <color indexed="81"/>
            <rFont val="Tahoma"/>
            <family val="2"/>
          </rPr>
          <t>MyBook PRO K5:</t>
        </r>
        <r>
          <rPr>
            <sz val="9"/>
            <color indexed="81"/>
            <rFont val="Tahoma"/>
            <family val="2"/>
          </rPr>
          <t xml:space="preserve">
ISI MANUAL</t>
        </r>
      </text>
    </comment>
    <comment ref="F28" authorId="0" shapeId="0" xr:uid="{940B60E1-D6CD-45E4-8E89-C1A4D4B7044D}">
      <text>
        <r>
          <rPr>
            <b/>
            <sz val="9"/>
            <color indexed="81"/>
            <rFont val="Tahoma"/>
            <family val="2"/>
          </rPr>
          <t>MyBook PRO K5:</t>
        </r>
        <r>
          <rPr>
            <sz val="9"/>
            <color indexed="81"/>
            <rFont val="Tahoma"/>
            <family val="2"/>
          </rPr>
          <t xml:space="preserve">
ISI MANUAL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Syukriah,Farrah  BI-ID-J</author>
  </authors>
  <commentList>
    <comment ref="A98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
penunjukkan di timbangan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MyBook PRO K5</author>
  </authors>
  <commentList>
    <comment ref="A80" authorId="0" shapeId="0" xr:uid="{198C98CF-53AB-4995-A200-174E31A6607F}">
      <text>
        <r>
          <rPr>
            <b/>
            <sz val="9"/>
            <color indexed="81"/>
            <rFont val="Tahoma"/>
            <family val="2"/>
          </rPr>
          <t>MyBook PRO K5:</t>
        </r>
        <r>
          <rPr>
            <sz val="9"/>
            <color indexed="81"/>
            <rFont val="Tahoma"/>
            <family val="2"/>
          </rPr>
          <t xml:space="preserve">
100 kg
</t>
        </r>
      </text>
    </comment>
    <comment ref="A81" authorId="0" shapeId="0" xr:uid="{C1CB003E-FC5D-426B-A1A8-108E42F8C0EF}">
      <text>
        <r>
          <rPr>
            <b/>
            <sz val="9"/>
            <color indexed="81"/>
            <rFont val="Tahoma"/>
            <family val="2"/>
          </rPr>
          <t>MyBook PRO K5:</t>
        </r>
        <r>
          <rPr>
            <sz val="9"/>
            <color indexed="81"/>
            <rFont val="Tahoma"/>
            <family val="2"/>
          </rPr>
          <t xml:space="preserve">
120kg</t>
        </r>
      </text>
    </comment>
    <comment ref="A82" authorId="0" shapeId="0" xr:uid="{D6CF5746-8CE1-478A-8468-84EA534FBE80}">
      <text>
        <r>
          <rPr>
            <b/>
            <sz val="9"/>
            <color indexed="81"/>
            <rFont val="Tahoma"/>
            <family val="2"/>
          </rPr>
          <t>MyBook PRO K5:</t>
        </r>
        <r>
          <rPr>
            <sz val="9"/>
            <color indexed="81"/>
            <rFont val="Tahoma"/>
            <family val="2"/>
          </rPr>
          <t xml:space="preserve">
140 kg
</t>
        </r>
      </text>
    </comment>
  </commentList>
</comments>
</file>

<file path=xl/sharedStrings.xml><?xml version="1.0" encoding="utf-8"?>
<sst xmlns="http://schemas.openxmlformats.org/spreadsheetml/2006/main" count="1807" uniqueCount="611">
  <si>
    <t>Kalibrasi anak timbangan</t>
  </si>
  <si>
    <t>Temperature</t>
  </si>
  <si>
    <r>
      <t xml:space="preserve">: 18,88 - 19,75 </t>
    </r>
    <r>
      <rPr>
        <sz val="11"/>
        <color theme="1"/>
        <rFont val="Arial"/>
        <family val="2"/>
      </rPr>
      <t>°</t>
    </r>
    <r>
      <rPr>
        <sz val="11"/>
        <color theme="1"/>
        <rFont val="Calibri"/>
        <family val="2"/>
        <charset val="1"/>
        <scheme val="minor"/>
      </rPr>
      <t>c</t>
    </r>
  </si>
  <si>
    <t>Relative Humidity</t>
  </si>
  <si>
    <t>: 61,2% - 60,9%</t>
  </si>
  <si>
    <t>Pressure (mmHg)</t>
  </si>
  <si>
    <t>: 755 - 755</t>
  </si>
  <si>
    <t>Nomor seri</t>
  </si>
  <si>
    <t>01 - 1117309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</si>
  <si>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charset val="1"/>
      </rPr>
      <t>k (F1)</t>
    </r>
  </si>
  <si>
    <t>g</t>
  </si>
  <si>
    <t>Ue</t>
  </si>
  <si>
    <t>mg</t>
  </si>
  <si>
    <t>Nominal</t>
  </si>
  <si>
    <t>Standard</t>
  </si>
  <si>
    <t>Balance Used</t>
  </si>
  <si>
    <t>Unit</t>
  </si>
  <si>
    <t>UUT</t>
  </si>
  <si>
    <t>S1</t>
  </si>
  <si>
    <t>T1</t>
  </si>
  <si>
    <t>T2</t>
  </si>
  <si>
    <t>S2</t>
  </si>
  <si>
    <t>Class</t>
  </si>
  <si>
    <t>SN/Marker</t>
  </si>
  <si>
    <t>100 g</t>
  </si>
  <si>
    <t>F1</t>
  </si>
  <si>
    <t>XS204</t>
  </si>
  <si>
    <t>gram</t>
  </si>
  <si>
    <t>M1</t>
  </si>
  <si>
    <t>N/A</t>
  </si>
  <si>
    <t>LEMBAR KERJA TIMBANGAN DEWASA</t>
  </si>
  <si>
    <t xml:space="preserve">Nomor Sertifikat / Surat Keterangan : 78 /…………/…………-…………/ E - </t>
  </si>
  <si>
    <t>Merek</t>
  </si>
  <si>
    <t>:</t>
  </si>
  <si>
    <t>Model/Type</t>
  </si>
  <si>
    <t>No. Seri</t>
  </si>
  <si>
    <t xml:space="preserve">Resolusi </t>
  </si>
  <si>
    <t>kg</t>
  </si>
  <si>
    <t>( Digital / Analog )</t>
  </si>
  <si>
    <t>Tanggal Kalibrasi</t>
  </si>
  <si>
    <t>Tempat Kalibrasi</t>
  </si>
  <si>
    <t>Nama Ruang</t>
  </si>
  <si>
    <t>Metode Kerja</t>
  </si>
  <si>
    <t>I.</t>
  </si>
  <si>
    <t>Kondisi Ruang</t>
  </si>
  <si>
    <t>1. Suhu</t>
  </si>
  <si>
    <t>awal:</t>
  </si>
  <si>
    <t>akhir:</t>
  </si>
  <si>
    <t>2. Kelembaban</t>
  </si>
  <si>
    <t>II.</t>
  </si>
  <si>
    <t>Pemeriksaan Kondisi Fisik dan Fungsi alat</t>
  </si>
  <si>
    <t>1. Fisik</t>
  </si>
  <si>
    <t>2. Fungsi</t>
  </si>
  <si>
    <t>III.</t>
  </si>
  <si>
    <t>Pengukuran Kinerja</t>
  </si>
  <si>
    <r>
      <t xml:space="preserve">A. Daya Ulang Pembacaan Pembacaan </t>
    </r>
    <r>
      <rPr>
        <b/>
        <sz val="12"/>
        <color theme="1"/>
        <rFont val="Calibri"/>
        <family val="2"/>
        <scheme val="minor"/>
      </rPr>
      <t>( Toleransi ≤ 3 kali resolusi )</t>
    </r>
  </si>
  <si>
    <t>Reading No.</t>
  </si>
  <si>
    <t>Load :      kg</t>
  </si>
  <si>
    <t>Load :       kg</t>
  </si>
  <si>
    <t xml:space="preserve">Note :  </t>
  </si>
  <si>
    <t>1. Load 60 kg: 100 kg</t>
  </si>
  <si>
    <t>z1 (kg)</t>
  </si>
  <si>
    <t>m1 (kg)</t>
  </si>
  <si>
    <t>2. Load 60 kg: 120 kg</t>
  </si>
  <si>
    <t>3. Load 80 kg: 140 kg</t>
  </si>
  <si>
    <r>
      <t xml:space="preserve">B. Penyimpangan Penunjukan </t>
    </r>
    <r>
      <rPr>
        <b/>
        <sz val="12"/>
        <color theme="1"/>
        <rFont val="Calibri"/>
        <family val="2"/>
        <scheme val="minor"/>
      </rPr>
      <t>( Toleransi ≤ 10 kali resolusi )</t>
    </r>
  </si>
  <si>
    <t>Massa (kg)</t>
  </si>
  <si>
    <t>z1</t>
  </si>
  <si>
    <t>m1</t>
  </si>
  <si>
    <t>m2</t>
  </si>
  <si>
    <t>z2</t>
  </si>
  <si>
    <t>Penggunaan Standar</t>
  </si>
  <si>
    <t>Note : Sesuaikan SN anak timbangan dengan urutan yang ada di LK</t>
  </si>
  <si>
    <t>IV.</t>
  </si>
  <si>
    <t>Keterangan</t>
  </si>
  <si>
    <t>-</t>
  </si>
  <si>
    <t>V.</t>
  </si>
  <si>
    <t>Alat ukur yang digunakan</t>
  </si>
  <si>
    <t>[20kg] Anak Timbangan Standar, Merk: Sartorius, Type : YCW7254-AC-00</t>
  </si>
  <si>
    <t>SN : ( BI2 / BI3 / BI5 / BI6 / BI7 / BIN / BIP / BIQ / BIR / BIS / BIT / BIU / BIW / BIX )</t>
  </si>
  <si>
    <t>Thermohygrometer, Merek : KIMO, KH-210-AO SN: 14082463, 15062872, 15062874, 15062875, 15062873</t>
  </si>
  <si>
    <t>Thermohygrometer, Merek : SEKONIC, ST-50A SN : HE 21-000669, HE 21-000670</t>
  </si>
  <si>
    <t>Thermohygrometer, Merek : Greisinger , GFTB 200 SN : 34903051, 34903053, 34903046, 34904091</t>
  </si>
  <si>
    <t>VI.</t>
  </si>
  <si>
    <t>Kesimpulan</t>
  </si>
  <si>
    <r>
      <t xml:space="preserve">Alat yang dikalibrasi dalam </t>
    </r>
    <r>
      <rPr>
        <b/>
        <sz val="11"/>
        <color theme="1"/>
        <rFont val="Calibri"/>
        <family val="2"/>
        <scheme val="minor"/>
      </rPr>
      <t>BATAS  / MELEBIHI</t>
    </r>
    <r>
      <rPr>
        <sz val="11"/>
        <color theme="1"/>
        <rFont val="Calibri"/>
        <family val="2"/>
        <scheme val="minor"/>
      </rPr>
      <t xml:space="preserve">  toleransi dan dinyatakan </t>
    </r>
    <r>
      <rPr>
        <b/>
        <sz val="11"/>
        <color theme="1"/>
        <rFont val="Calibri"/>
        <family val="2"/>
        <scheme val="minor"/>
      </rPr>
      <t>LAIK PAKAI / TIDAK LAIK PAKAI</t>
    </r>
  </si>
  <si>
    <t>VII.</t>
  </si>
  <si>
    <t xml:space="preserve">Petugas Kalibrasi </t>
  </si>
  <si>
    <t>No.</t>
  </si>
  <si>
    <t>Tanggal</t>
  </si>
  <si>
    <t>Revisi</t>
  </si>
  <si>
    <t>Oleh</t>
  </si>
  <si>
    <t>Awal</t>
  </si>
  <si>
    <t>Akhir</t>
  </si>
  <si>
    <t>9 Agustus 2021</t>
  </si>
  <si>
    <t>Update list dan sertifikat thermohygro</t>
  </si>
  <si>
    <t>DONE</t>
  </si>
  <si>
    <t>Hamdan</t>
  </si>
  <si>
    <t>Pada sheet LK, Input data, penyelia dan LHK bagian kesimpulan, nama petugas, dan data alat masih berbeda apakah pengujian atau kalibrasi</t>
  </si>
  <si>
    <t>Input melebihi batas, scoring tidak berubah kecuali titik 20 kg</t>
  </si>
  <si>
    <t>26 Agustus 2021</t>
  </si>
  <si>
    <t>Alat yang dikalibrasi melebihi batas toleransi dan dinyatakan TIDAK LAIK PAKAI,  dimana hasil atau skor akhir dibawah 70 % berdasarkan Keputusan Direktur Jenderal Pelayanan Kesehatan No : HK.02.02/V/5771/2018</t>
  </si>
  <si>
    <t>Alat yang dikalibrasi melebihi batas toleransi dan dinyatakan TIDAK LAIK PAKAI,  dimana hasil atau skor akhir dibawah 70 % berdasarkan Keputusan Direktur Jenderal Pelayanan Kesehatan No : HK.02.02/V/0412/2020</t>
  </si>
  <si>
    <t>Venna</t>
  </si>
  <si>
    <t>MK 051-18</t>
  </si>
  <si>
    <t>MK 141-19</t>
  </si>
  <si>
    <t>Pada daya ulang pembacaan m-z masih belum tertulis</t>
  </si>
  <si>
    <t>Diman</t>
  </si>
  <si>
    <t>Penulisan untuk standar masih menggunakan desimal</t>
  </si>
  <si>
    <t>Timbangan bayi</t>
  </si>
  <si>
    <t>Timbangan Dewasa</t>
  </si>
  <si>
    <t>14 Desember 2021</t>
  </si>
  <si>
    <t>Error ketika titik 140 diberi (-)</t>
  </si>
  <si>
    <t>10 Februari 2022</t>
  </si>
  <si>
    <t>Menambahkan Sheet Cetak Sertifikat</t>
  </si>
  <si>
    <t>Alpian</t>
  </si>
  <si>
    <t>1 Februari 2023</t>
  </si>
  <si>
    <t>Revisi presentase penilaian di 100,120,140</t>
  </si>
  <si>
    <t>Perbaikan Perhitungan LOP</t>
  </si>
  <si>
    <t>1.2.2023</t>
  </si>
  <si>
    <t>List thermohygro tidak link, list pemeriksaan kondisi fisik tidak ada pilihan tidak baik</t>
  </si>
  <si>
    <t>Done</t>
  </si>
  <si>
    <t>7.5.23</t>
  </si>
  <si>
    <t>Pngukuran sampai 100 kg</t>
  </si>
  <si>
    <t>29.5.23</t>
  </si>
  <si>
    <t>Ketidakpastian dari Koreksi Maksimum</t>
  </si>
  <si>
    <t>Ketidakpastian Maksimum</t>
  </si>
  <si>
    <t>Rev 11 : 29.5.2023</t>
  </si>
  <si>
    <t>INPUT DATA TIMBANGAN DEWASA</t>
  </si>
  <si>
    <t>3 / I - 17 / E - 015.36 DL</t>
  </si>
  <si>
    <t>Resolusi</t>
  </si>
  <si>
    <t>Digital</t>
  </si>
  <si>
    <t>Tanggal Penerimaan Alat</t>
  </si>
  <si>
    <t>laboratorium kalibrasi lpfk banjarbaru</t>
  </si>
  <si>
    <t>Baik</t>
  </si>
  <si>
    <t>Tidak Baik</t>
  </si>
  <si>
    <t>awal</t>
  </si>
  <si>
    <t>akhir</t>
  </si>
  <si>
    <t>mean</t>
  </si>
  <si>
    <t>3. Tekanan Ruangan</t>
  </si>
  <si>
    <t>Distribusi</t>
  </si>
  <si>
    <t>Divisor</t>
  </si>
  <si>
    <t>Analog</t>
  </si>
  <si>
    <t>segi 3</t>
  </si>
  <si>
    <t>segi 4</t>
  </si>
  <si>
    <t>A. Daya Ulang Pembacaan</t>
  </si>
  <si>
    <t>Load : 60 kg</t>
  </si>
  <si>
    <t>Load : 100 kg</t>
  </si>
  <si>
    <t>m-z (kg)</t>
  </si>
  <si>
    <t>Load : 80 kg</t>
  </si>
  <si>
    <t>Load : 120 kg</t>
  </si>
  <si>
    <t>Load : 140 kg</t>
  </si>
  <si>
    <t>SD</t>
  </si>
  <si>
    <t>B. Penyimpangan Penunjukan</t>
  </si>
  <si>
    <t>Mass (kg)</t>
  </si>
  <si>
    <t>Rata -rata pembacaan
((m1-z1)+(m2-z2))/2</t>
  </si>
  <si>
    <t>Massa konvensional</t>
  </si>
  <si>
    <t>Koreksi
(mc-rata rata pembacaan)</t>
  </si>
  <si>
    <t>Koreksi maksimum (kg)</t>
  </si>
  <si>
    <t>Absolute koreksi</t>
  </si>
  <si>
    <t>Anak Timbangan Standar, Merk: Sartorius, Type : YCW7254-AC-00 (BIR)</t>
  </si>
  <si>
    <t>Anak Timbangan Standar, Merk: Sartorius, Type : YCW7254-AC-00 (BIP)</t>
  </si>
  <si>
    <t>Anak Timbangan Standar, Merk: Sartorius, Type : YCW7254-AC-00 (BI3)</t>
  </si>
  <si>
    <t>Anak Timbangan Standar, Merk: Sartorius, Type : YCW7254-AC-00 (BI5)</t>
  </si>
  <si>
    <t>Anak Timbangan Standar, Merk: Sartorius, Type : YCW7254-AC-00 (BIQ)</t>
  </si>
  <si>
    <t>Anak Timbangan Standar, Merk: Sartorius, Type : YCW7254-AC-00 (BIU)</t>
  </si>
  <si>
    <t>Thermohygrolight, Merek : EXTECH, Model : SD700, SN : A.100615</t>
  </si>
  <si>
    <t>Siti Fathul Jannah</t>
  </si>
  <si>
    <t>Uncertainty Budget</t>
  </si>
  <si>
    <t>Titik ukur</t>
  </si>
  <si>
    <t>Component</t>
  </si>
  <si>
    <t>Distrribution</t>
  </si>
  <si>
    <r>
      <t>U</t>
    </r>
    <r>
      <rPr>
        <b/>
        <vertAlign val="subscript"/>
        <sz val="11"/>
        <rFont val="Calibri"/>
        <family val="2"/>
        <scheme val="minor"/>
      </rPr>
      <t>i</t>
    </r>
  </si>
  <si>
    <r>
      <t>V</t>
    </r>
    <r>
      <rPr>
        <b/>
        <vertAlign val="subscript"/>
        <sz val="11"/>
        <rFont val="Calibri"/>
        <family val="2"/>
        <scheme val="minor"/>
      </rPr>
      <t>i</t>
    </r>
  </si>
  <si>
    <r>
      <t>u</t>
    </r>
    <r>
      <rPr>
        <b/>
        <vertAlign val="subscript"/>
        <sz val="11"/>
        <rFont val="Calibri"/>
        <family val="2"/>
        <scheme val="minor"/>
      </rPr>
      <t>i</t>
    </r>
  </si>
  <si>
    <r>
      <t>c</t>
    </r>
    <r>
      <rPr>
        <b/>
        <vertAlign val="subscript"/>
        <sz val="11"/>
        <rFont val="Calibri"/>
        <family val="2"/>
        <scheme val="minor"/>
      </rPr>
      <t>i</t>
    </r>
  </si>
  <si>
    <r>
      <t>u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c</t>
    </r>
    <r>
      <rPr>
        <b/>
        <vertAlign val="subscript"/>
        <sz val="11"/>
        <rFont val="Calibri"/>
        <family val="2"/>
        <scheme val="minor"/>
      </rPr>
      <t>i</t>
    </r>
  </si>
  <si>
    <r>
      <t>(u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c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)</t>
    </r>
    <r>
      <rPr>
        <b/>
        <vertAlign val="superscript"/>
        <sz val="11"/>
        <rFont val="Calibri"/>
        <family val="2"/>
        <scheme val="minor"/>
      </rPr>
      <t>2</t>
    </r>
  </si>
  <si>
    <r>
      <t>(C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u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)</t>
    </r>
    <r>
      <rPr>
        <b/>
        <vertAlign val="superscript"/>
        <sz val="11"/>
        <rFont val="Calibri"/>
        <family val="2"/>
        <scheme val="minor"/>
      </rPr>
      <t>4</t>
    </r>
    <r>
      <rPr>
        <b/>
        <sz val="11"/>
        <rFont val="Calibri"/>
        <family val="2"/>
        <scheme val="minor"/>
      </rPr>
      <t>/v</t>
    </r>
    <r>
      <rPr>
        <b/>
        <vertAlign val="subscript"/>
        <sz val="11"/>
        <rFont val="Calibri"/>
        <family val="2"/>
        <scheme val="minor"/>
      </rPr>
      <t>i</t>
    </r>
  </si>
  <si>
    <t>Sertifikat Massa Standar</t>
  </si>
  <si>
    <t>normal</t>
  </si>
  <si>
    <t>rectangular</t>
  </si>
  <si>
    <t>Daya Ulang Pembacaan</t>
  </si>
  <si>
    <t>t-student</t>
  </si>
  <si>
    <t>Instability / Drif</t>
  </si>
  <si>
    <t>Buoyancy</t>
  </si>
  <si>
    <t>Jumlah</t>
  </si>
  <si>
    <t>Ketidakpastian baku</t>
  </si>
  <si>
    <t>Derajat kebebasan effektiv. Veff</t>
  </si>
  <si>
    <t>Faktor cakupan, k, untuk TK 95%</t>
  </si>
  <si>
    <t>Ketidak pastian U = k.uc</t>
  </si>
  <si>
    <t>Koreksi maksimum</t>
  </si>
  <si>
    <t>Ketidak pastian maksimum</t>
  </si>
  <si>
    <t>LOP</t>
  </si>
  <si>
    <t>y</t>
  </si>
  <si>
    <t>ax+b</t>
  </si>
  <si>
    <t>Persamaan regresi</t>
  </si>
  <si>
    <t>x</t>
  </si>
  <si>
    <t>+</t>
  </si>
  <si>
    <t>HASIL KALIBRASI TIMBANGAN DEWASA</t>
  </si>
  <si>
    <t xml:space="preserve">2. Kelembaban </t>
  </si>
  <si>
    <t>Score</t>
  </si>
  <si>
    <t>Standar (kg)</t>
  </si>
  <si>
    <t>Pembacaan Alat (kg)</t>
  </si>
  <si>
    <t>Ketidakpastian Pengukuran</t>
  </si>
  <si>
    <t>Koreksi</t>
  </si>
  <si>
    <t>Secore</t>
  </si>
  <si>
    <t>Absolut</t>
  </si>
  <si>
    <t>C. Limit Of Performance</t>
  </si>
  <si>
    <t xml:space="preserve"> Limit of Perfomance</t>
  </si>
  <si>
    <t>Hasil</t>
  </si>
  <si>
    <t>ABS Koreksi</t>
  </si>
  <si>
    <t>Ketidakpastian pengukuran pada tingkat kepercayaan 95% dengan faktor cakupan k = 2</t>
  </si>
  <si>
    <t>Petugas Kalibrasi</t>
  </si>
  <si>
    <t>Nama</t>
  </si>
  <si>
    <t>Paraf</t>
  </si>
  <si>
    <t>Dibuat :</t>
  </si>
  <si>
    <t>Diperiksa :</t>
  </si>
  <si>
    <t>C. Evaluasi Kinerja Timbangan Dewasa Berdasarkan LOP</t>
  </si>
  <si>
    <t>Menyetujui,</t>
  </si>
  <si>
    <t>Kepala Instalasi Laboratorium</t>
  </si>
  <si>
    <t>Pengujian dan Kalibrasi</t>
  </si>
  <si>
    <t>Choirul Huda, S.Tr.Kes</t>
  </si>
  <si>
    <t>Halaman 2 dari 2 halaman</t>
  </si>
  <si>
    <t>NIP 198008062010121001</t>
  </si>
  <si>
    <t>Farid Wajidi, SKM</t>
  </si>
  <si>
    <t>NIP 196712101990031012</t>
  </si>
  <si>
    <t>SERTIFIKAT KALIBRASI</t>
  </si>
  <si>
    <t>Bulan</t>
  </si>
  <si>
    <t>Tahun</t>
  </si>
  <si>
    <t>Agustus</t>
  </si>
  <si>
    <t>Model / Tipe</t>
  </si>
  <si>
    <t>Nomor Seri</t>
  </si>
  <si>
    <t>Kapasitas</t>
  </si>
  <si>
    <t>Nama Pemilik      :</t>
  </si>
  <si>
    <t xml:space="preserve">Identitas Pemilik     : </t>
  </si>
  <si>
    <t>Alamat Pemilik</t>
  </si>
  <si>
    <t>Laboratorium Kalibrasi LPFK Banjarbaru</t>
  </si>
  <si>
    <t>Banjarbaru,</t>
  </si>
  <si>
    <t>Kepala Loka Pengamanan</t>
  </si>
  <si>
    <t>Fasilitas Kesehatan Banjarbaru</t>
  </si>
  <si>
    <t>Yuni Irmawati, SKM., MA</t>
  </si>
  <si>
    <t>NIP 197806222002122001</t>
  </si>
  <si>
    <t>SURAT KETERANGAN</t>
  </si>
  <si>
    <t xml:space="preserve">Dengan ini kami sampaikan bahwa setelah dilakukan pengujian / kalibrasi alat kesehatan oleh tim Loka Pengamanan Fasilitas Kesehatan Banjarbaru, </t>
  </si>
  <si>
    <t>Nama Pemilik Alat</t>
  </si>
  <si>
    <t>Alamat</t>
  </si>
  <si>
    <t>Nomor Order</t>
  </si>
  <si>
    <t>Bahwa alat kesehatan tersebut dibawah ini :</t>
  </si>
  <si>
    <t>Nama Alat</t>
  </si>
  <si>
    <t>Merk</t>
  </si>
  <si>
    <t>Model</t>
  </si>
  <si>
    <t>Serial Number</t>
  </si>
  <si>
    <t>1.</t>
  </si>
  <si>
    <r>
      <t xml:space="preserve">Dinyatakan </t>
    </r>
    <r>
      <rPr>
        <b/>
        <i/>
        <u/>
        <sz val="12"/>
        <color theme="1"/>
        <rFont val="Times New Roman"/>
        <family val="1"/>
      </rPr>
      <t xml:space="preserve">tidak aman untuk pelayanan </t>
    </r>
    <r>
      <rPr>
        <sz val="12"/>
        <color theme="1"/>
        <rFont val="Times New Roman"/>
        <family val="1"/>
      </rPr>
      <t>dikarenakan pembacaan alat melebihi batas toleransi maksimal yang diijinkan (Hasil Terlampir).</t>
    </r>
  </si>
  <si>
    <t>Demikian surat keterangan ini dibuat, untuk dapat digunakan bilamana diperlukan.</t>
  </si>
  <si>
    <t xml:space="preserve">           Banjarbaru,</t>
  </si>
  <si>
    <t>Kepala LPFK Banjarbaru</t>
  </si>
  <si>
    <t>No</t>
  </si>
  <si>
    <t>Kode Alat</t>
  </si>
  <si>
    <t>Kode MK</t>
  </si>
  <si>
    <t>Suction Pump</t>
  </si>
  <si>
    <t>T.S - 046 - 18 / REV : 1</t>
  </si>
  <si>
    <t>MK 046 - 18</t>
  </si>
  <si>
    <t>Januari</t>
  </si>
  <si>
    <t>Analitical Balance</t>
  </si>
  <si>
    <t>GM.S - 004-18 / REV : 1</t>
  </si>
  <si>
    <t>MK 004 - 18</t>
  </si>
  <si>
    <t xml:space="preserve">Februari </t>
  </si>
  <si>
    <t>Anasthesi Ventilator</t>
  </si>
  <si>
    <t>FV. S - 09 / REV : 0</t>
  </si>
  <si>
    <t>FV.MK - 09</t>
  </si>
  <si>
    <t xml:space="preserve">Maret </t>
  </si>
  <si>
    <t>Audiometer</t>
  </si>
  <si>
    <t>OA.S - 007-18 / REV : 1</t>
  </si>
  <si>
    <t>MK 007 - 18</t>
  </si>
  <si>
    <t xml:space="preserve">April </t>
  </si>
  <si>
    <t>Autoclave</t>
  </si>
  <si>
    <t>SH.S - 01 / REV : 0</t>
  </si>
  <si>
    <t>SH.MK - 01</t>
  </si>
  <si>
    <t>Mei</t>
  </si>
  <si>
    <t>Baby Incubator</t>
  </si>
  <si>
    <t>SH.S - 02 / REV : 0</t>
  </si>
  <si>
    <t>SH.MK - 02</t>
  </si>
  <si>
    <t>Juni</t>
  </si>
  <si>
    <t>Patient Monitor</t>
  </si>
  <si>
    <t>KL.S - 05 / REV : 0</t>
  </si>
  <si>
    <t>KL.MK - 05</t>
  </si>
  <si>
    <t xml:space="preserve">Juli </t>
  </si>
  <si>
    <t>Blood Bank</t>
  </si>
  <si>
    <t>SH.S - 03 / REV : 0</t>
  </si>
  <si>
    <t>SH.MK - 03</t>
  </si>
  <si>
    <t>Blood Pressure Monitor</t>
  </si>
  <si>
    <t>T.S 014-18 / REV : 1</t>
  </si>
  <si>
    <t>MK 014 - 18</t>
  </si>
  <si>
    <t>September</t>
  </si>
  <si>
    <t>Centrifuge</t>
  </si>
  <si>
    <t>WF.S - 016-18 / REV : 0</t>
  </si>
  <si>
    <t>MK 016 - 18</t>
  </si>
  <si>
    <t xml:space="preserve">Oktober </t>
  </si>
  <si>
    <t>Centrifuge Refrigerator</t>
  </si>
  <si>
    <t>November</t>
  </si>
  <si>
    <t>CPAP</t>
  </si>
  <si>
    <t>FV.S 017-18 / REV : 0</t>
  </si>
  <si>
    <t>MK 017-18</t>
  </si>
  <si>
    <t>Desember</t>
  </si>
  <si>
    <t>CTG</t>
  </si>
  <si>
    <t>OA.S - 015-18 / REV : 1</t>
  </si>
  <si>
    <t>MK 015 - 18</t>
  </si>
  <si>
    <t>Defibrillator</t>
  </si>
  <si>
    <t>KL.S - 03 / REV : 0</t>
  </si>
  <si>
    <t>KL.MK - 03</t>
  </si>
  <si>
    <t>Defibrillator Monitor</t>
  </si>
  <si>
    <t>KL.S - 14 / REV : 0</t>
  </si>
  <si>
    <t>KL.MK - 14</t>
  </si>
  <si>
    <t>Defibrillator with ECG</t>
  </si>
  <si>
    <t>Dental Unit</t>
  </si>
  <si>
    <t>GM.S - 03 / REV : 0</t>
  </si>
  <si>
    <t>GM.MK - 03</t>
  </si>
  <si>
    <t>Fetal Doppler</t>
  </si>
  <si>
    <t>OA.S - 024 - 18 / REV : 1</t>
  </si>
  <si>
    <t>MK 024 - 18</t>
  </si>
  <si>
    <t>Electrocardiograph</t>
  </si>
  <si>
    <t>KL.S - 020-18 / REV : 0</t>
  </si>
  <si>
    <t>MK 020 - 18</t>
  </si>
  <si>
    <t>EEG</t>
  </si>
  <si>
    <t>KL.S - 021-18 / REV : 1</t>
  </si>
  <si>
    <t>MK 021 - 18</t>
  </si>
  <si>
    <t>Elektro Stimulator</t>
  </si>
  <si>
    <t>KL.S - 11 / REV : 0</t>
  </si>
  <si>
    <t>KL.MK - 11</t>
  </si>
  <si>
    <t>Electrosurgery Unit</t>
  </si>
  <si>
    <t>KL.S - 06 / REV : 0</t>
  </si>
  <si>
    <t>KL.MK - 06</t>
  </si>
  <si>
    <t>Examination Lamp</t>
  </si>
  <si>
    <t>OA.S - 04 / REV : 0</t>
  </si>
  <si>
    <t>OA.MK - 04</t>
  </si>
  <si>
    <t>Flowmeter</t>
  </si>
  <si>
    <t>FV.S - 025-18 / REV : 0</t>
  </si>
  <si>
    <t>MK 025 - 18</t>
  </si>
  <si>
    <t>Hemodialisa</t>
  </si>
  <si>
    <t>FV.S - 12 / REV : 0</t>
  </si>
  <si>
    <t>FV.MK - 12</t>
  </si>
  <si>
    <t>Head Lamp</t>
  </si>
  <si>
    <t>OA.S - 011 / REV : 0</t>
  </si>
  <si>
    <t>OA.MK - 011</t>
  </si>
  <si>
    <t>Heart Rate Monitor</t>
  </si>
  <si>
    <t>Infant Warmer</t>
  </si>
  <si>
    <t>SH.S - 04 / REV : 0</t>
  </si>
  <si>
    <t>SH.MK - 04</t>
  </si>
  <si>
    <t>Infusion Pump</t>
  </si>
  <si>
    <t>FV.S - 027-18 / REV : 0</t>
  </si>
  <si>
    <t>MK 027-18</t>
  </si>
  <si>
    <t>Inkubator Laboratorium</t>
  </si>
  <si>
    <t>SH.S - 028 - 18 / REV : 1</t>
  </si>
  <si>
    <t>MK 028 - 18</t>
  </si>
  <si>
    <t>Laboratorium Refrigerator</t>
  </si>
  <si>
    <t>SH.S - 07 / REV : 0</t>
  </si>
  <si>
    <t>SH.MK - 07</t>
  </si>
  <si>
    <t>Rotator</t>
  </si>
  <si>
    <t>WF.S - 040-18 / REV : 1</t>
  </si>
  <si>
    <t>MK 040-18</t>
  </si>
  <si>
    <t>Lampu Operasi (Ceiling Type)</t>
  </si>
  <si>
    <t>OA.S - 029-18 / REV : 0</t>
  </si>
  <si>
    <t>MK 029 - 18</t>
  </si>
  <si>
    <t>Lampu Operasi (Mobile Type)</t>
  </si>
  <si>
    <t>OA.S - 06 / REV : 0</t>
  </si>
  <si>
    <t>OA.MK - 06 (IEC 60601 - 2 41)</t>
  </si>
  <si>
    <t>Anesthesi Unit</t>
  </si>
  <si>
    <t>FV.S - 07 / REV : 0</t>
  </si>
  <si>
    <t>FV.MK - 07</t>
  </si>
  <si>
    <t>Mikropipet Fixed</t>
  </si>
  <si>
    <t>FV.S - 114-19 / REV : 0</t>
  </si>
  <si>
    <t>MK 114 - 2019</t>
  </si>
  <si>
    <t>Mikropipet Variable</t>
  </si>
  <si>
    <t>FV.S - 13 / REV : 0</t>
  </si>
  <si>
    <t>FV.MK - 13</t>
  </si>
  <si>
    <t>Nebulizer</t>
  </si>
  <si>
    <t>FV.S - 035-18 / REV : 0</t>
  </si>
  <si>
    <t>MK 035 - 18</t>
  </si>
  <si>
    <t>Oxygen Concentrator</t>
  </si>
  <si>
    <t>FV.S - 037-18 / REV : 0</t>
  </si>
  <si>
    <t>MK 037 - 18</t>
  </si>
  <si>
    <t>Oven</t>
  </si>
  <si>
    <t>SH.S - 036-18 /REV : 0</t>
  </si>
  <si>
    <t>MK 036 - 18</t>
  </si>
  <si>
    <t>Phototherapy</t>
  </si>
  <si>
    <t>OA.S - 038-18 / REV : 0</t>
  </si>
  <si>
    <t>MK 038 - 18</t>
  </si>
  <si>
    <t>Pulse Oxymeter</t>
  </si>
  <si>
    <t>OA.S - 041-18 / REV : 1</t>
  </si>
  <si>
    <t>MK 041-18</t>
  </si>
  <si>
    <t>Short Wave Diathermi</t>
  </si>
  <si>
    <t>Sphygmomanometer</t>
  </si>
  <si>
    <t>T.S - 042 - 18 / REV : 1</t>
  </si>
  <si>
    <t>MK 042 - 18</t>
  </si>
  <si>
    <t>Spirometer</t>
  </si>
  <si>
    <t>FV.S - 04 / REV : 0</t>
  </si>
  <si>
    <t>FV.MK - 04</t>
  </si>
  <si>
    <t>Sterilisator Basah</t>
  </si>
  <si>
    <t>SH.LHU - 08 / REV.0</t>
  </si>
  <si>
    <t>SH.MK - 08</t>
  </si>
  <si>
    <t>Sterilisator Kering</t>
  </si>
  <si>
    <t>SH.S - 044-18 / REV : 1</t>
  </si>
  <si>
    <t>MK 044 - 18</t>
  </si>
  <si>
    <t>Suction Thorax</t>
  </si>
  <si>
    <t>Syringe Pump</t>
  </si>
  <si>
    <t>FV.S - 047-18 / REV : 0</t>
  </si>
  <si>
    <t>MK 047 - 18</t>
  </si>
  <si>
    <t>Thermometer Klinik</t>
  </si>
  <si>
    <t>SH.S - 11 / REV : 0</t>
  </si>
  <si>
    <t>SH.MK - 11</t>
  </si>
  <si>
    <t>Timbangan Bayi</t>
  </si>
  <si>
    <t>GM.S - 051-18 / REV : 0</t>
  </si>
  <si>
    <t>Traction Unit</t>
  </si>
  <si>
    <t>GM.S - 07 / REV : 1</t>
  </si>
  <si>
    <t>GM.MK - 07</t>
  </si>
  <si>
    <t>Treadmill</t>
  </si>
  <si>
    <t>WF.S - 054-18 / REV : 1</t>
  </si>
  <si>
    <t>MK 054 - 18</t>
  </si>
  <si>
    <t>Treadmill with ECG</t>
  </si>
  <si>
    <t>Ultrasound Therapy</t>
  </si>
  <si>
    <t>KL.MK - 10</t>
  </si>
  <si>
    <t>USG</t>
  </si>
  <si>
    <t>OA.S - 065 - 18 / REV : 0</t>
  </si>
  <si>
    <t>MK 065 - 18</t>
  </si>
  <si>
    <t>UV Lamp</t>
  </si>
  <si>
    <t>UV Sterilizer</t>
  </si>
  <si>
    <t>OA.S - 067 - 18 / REV : 0</t>
  </si>
  <si>
    <t>MK 067 - 18</t>
  </si>
  <si>
    <t>Vacuum Extractor</t>
  </si>
  <si>
    <t>Vaporizer</t>
  </si>
  <si>
    <t>FV.S - 08 / REV : 0</t>
  </si>
  <si>
    <t>FV.MK - 08 (ECRI 436 - 20010301)</t>
  </si>
  <si>
    <t>Ventilator</t>
  </si>
  <si>
    <t>FV.S - 10 / REV : 0</t>
  </si>
  <si>
    <t>FV.MK - 10</t>
  </si>
  <si>
    <t>Wall Suction</t>
  </si>
  <si>
    <t>T.S - 04 / REV : 0</t>
  </si>
  <si>
    <t>T.MK - 04 (ECRI 459 - 20010301)</t>
  </si>
  <si>
    <t>Water Bath</t>
  </si>
  <si>
    <t>SH.S - 09 / REV : 0</t>
  </si>
  <si>
    <t>SK.MK - 09</t>
  </si>
  <si>
    <t>Mikropipet Multi Channel</t>
  </si>
  <si>
    <t>Parafin Bath</t>
  </si>
  <si>
    <t>Stirrer</t>
  </si>
  <si>
    <t>Medical Freezer</t>
  </si>
  <si>
    <t>Blood Warmer</t>
  </si>
  <si>
    <t>SH.S - 081 - 2019 / REV :0</t>
  </si>
  <si>
    <t>MK 081 - 2019</t>
  </si>
  <si>
    <r>
      <t>Defibrillator with ECG with SPO</t>
    </r>
    <r>
      <rPr>
        <sz val="11"/>
        <color theme="1"/>
        <rFont val="Calibri"/>
        <family val="2"/>
      </rPr>
      <t>₂</t>
    </r>
  </si>
  <si>
    <t>Bedside Monitor with Defibrillator</t>
  </si>
  <si>
    <t>KL. S - 14 / REV : 0</t>
  </si>
  <si>
    <t>HFNC</t>
  </si>
  <si>
    <t>FV.S - 14 / REV : 0</t>
  </si>
  <si>
    <t>FV.MK - 14</t>
  </si>
  <si>
    <t>GM.S - 141-2019 / REV : 0</t>
  </si>
  <si>
    <t>MK 141 - 19</t>
  </si>
  <si>
    <t>INPUT SERTIFIKAT THERMOHYGROMETER</t>
  </si>
  <si>
    <t>KOREKSI KIMO THERMOHYGROMETER 15062873</t>
  </si>
  <si>
    <t>U95</t>
  </si>
  <si>
    <t>Suhu</t>
  </si>
  <si>
    <t>DRIFT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</si>
  <si>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</si>
  <si>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</si>
  <si>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</si>
  <si>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%RH</t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</si>
  <si>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</si>
  <si>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</si>
  <si>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</si>
  <si>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</si>
  <si>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</si>
  <si>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</si>
  <si>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</si>
  <si>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</si>
  <si>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</si>
  <si>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</si>
  <si>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</si>
  <si>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</si>
  <si>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</si>
  <si>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</si>
  <si>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</si>
  <si>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</si>
  <si>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</si>
  <si>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</si>
  <si>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</si>
  <si>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</si>
  <si>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</si>
  <si>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</si>
  <si>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</si>
  <si>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</si>
  <si>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</si>
  <si>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</si>
  <si>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INTERPOLASI KOREKSI SUHU</t>
  </si>
  <si>
    <t>INTERPOLASI KOREKSI KELEMBABAN</t>
  </si>
  <si>
    <t>INTERPOLASI KOREKSI TEKANAN</t>
  </si>
  <si>
    <t>Konversi TEXT</t>
  </si>
  <si>
    <t xml:space="preserve">Thermohygrolight, Merek : KIMO, Model : KH-210-AO, SN : 15062873 </t>
  </si>
  <si>
    <t xml:space="preserve"> °C</t>
  </si>
  <si>
    <t xml:space="preserve">Thermohygrolight, Merek : KIMO, Model : KH-210-AO, SN : 15062874 </t>
  </si>
  <si>
    <t xml:space="preserve"> %RH</t>
  </si>
  <si>
    <t>Thermohygrolight, Merek : KIMO, Model : KH-210-AO, SN : 14082463</t>
  </si>
  <si>
    <t xml:space="preserve"> hPa</t>
  </si>
  <si>
    <t xml:space="preserve">Thermohygrolight, Merek : KIMO, Model : KH-210-AO, SN : 15062872 </t>
  </si>
  <si>
    <t xml:space="preserve">( </t>
  </si>
  <si>
    <t xml:space="preserve"> ± </t>
  </si>
  <si>
    <t xml:space="preserve"> )</t>
  </si>
  <si>
    <t xml:space="preserve">Thermohygrolight, Merek : KIMO, Model : KH-210-AO, SN : 15062875 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</si>
  <si>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</si>
  <si>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</si>
  <si>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</si>
  <si>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</si>
  <si>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</si>
  <si>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</si>
  <si>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</si>
  <si>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</si>
  <si>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</si>
  <si>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</si>
  <si>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</si>
  <si>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</si>
  <si>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</si>
  <si>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Anak Timbangan</t>
  </si>
  <si>
    <t>Massa</t>
  </si>
  <si>
    <t>Sertifikat 1</t>
  </si>
  <si>
    <t>Sertifikat 2</t>
  </si>
  <si>
    <t>MK</t>
  </si>
  <si>
    <t>Drift</t>
  </si>
  <si>
    <t>Anak Timbangan Standar, Merk: Sartorius, Type : YCW7254-AC-00 (BI2)</t>
  </si>
  <si>
    <t>Anak Timbangan Standar, Merk: Sartorius, Type : YCW7254-AC-00 (BI6)</t>
  </si>
  <si>
    <t>Anak Timbangan Standar, Merk: Sartorius, Type : YCW7254-AC-00 (BI7)</t>
  </si>
  <si>
    <t>Anak Timbangan Standar, Merk: Sartorius, Type : YCW7254-AC-00 (BIN)</t>
  </si>
  <si>
    <t>Anak Timbangan Standar, Merk: Sartorius, Type : YCW7254-AC-00 (BIS)</t>
  </si>
  <si>
    <t>Anak Timbangan Standar, Merk: Sartorius, Type : YCW7254-AC-00 (BIT)</t>
  </si>
  <si>
    <t>Anak Timbangan Standar, Merk: Sartorius, Type : YCW7254-AC-00 (BIW)</t>
  </si>
  <si>
    <t>Anak Timbangan Standar, Merk: Sartorius, Type : YCW7254-AC-00 (BIX)</t>
  </si>
  <si>
    <t>20 KG</t>
  </si>
  <si>
    <t>40 KG</t>
  </si>
  <si>
    <t>60 KG</t>
  </si>
  <si>
    <t>80 KG</t>
  </si>
  <si>
    <t>100 KG</t>
  </si>
  <si>
    <t>120 KG</t>
  </si>
  <si>
    <t>140 KG</t>
  </si>
  <si>
    <t xml:space="preserve">Nomor Sertifikat : 51 /      / I - 17 / E - 000.00 DL   </t>
  </si>
  <si>
    <t xml:space="preserve">Nomor Surat Keterangan : 51 / M -    / I - 17 / E - 000.00 DL   </t>
  </si>
  <si>
    <t xml:space="preserve">Nomor Sertifikat : 10 /      / I - 17 / E - 000.00 DL   </t>
  </si>
  <si>
    <t xml:space="preserve">Nomor Surat Keterangan : 10 / M -    / I - 17 / E - 000.00 DL   </t>
  </si>
  <si>
    <t>Alat yang dikalibrasi dalam batas toleransi dan dinyatakan LAIK PAKAI, dimana hasil atau skor akhir sama dengan atau melampaui 70 % berdasarkan Keputusan Direktur Jenderal Pelayanan Kesehatan No : HK.02.02/V/0412/2020</t>
  </si>
  <si>
    <t>Alat yang di  kalibrasi melebihi batas toleransi dan dinyatakan TIDAK LAIK PAKAI</t>
  </si>
  <si>
    <t>Alat yang di kalibrasi dalam batas toleransi dan dinyatakan LAIK PAKAI</t>
  </si>
  <si>
    <t xml:space="preserve">Nomor Sertifikat : 78 / </t>
  </si>
  <si>
    <t xml:space="preserve">Nomor Surat Keterangan : 78 / M - </t>
  </si>
  <si>
    <t>Achmad Fauzan Adzim</t>
  </si>
  <si>
    <t>Choirul Huda</t>
  </si>
  <si>
    <t>Dany Firmanto</t>
  </si>
  <si>
    <t>Donny Martha</t>
  </si>
  <si>
    <t>Fatimah Novrianisa</t>
  </si>
  <si>
    <t>Fikry Faradinna</t>
  </si>
  <si>
    <t>Gusti Arya Dinata</t>
  </si>
  <si>
    <t>Hamdan Syarif</t>
  </si>
  <si>
    <t>Hary Ernanto</t>
  </si>
  <si>
    <t>Isra Mahensa</t>
  </si>
  <si>
    <t>Muhammad Arrizal Septiawan</t>
  </si>
  <si>
    <t>Muhammad Iqbal Saiful Rahman</t>
  </si>
  <si>
    <t>Muhammad Irfan Husnuzhzhan</t>
  </si>
  <si>
    <t>Muhammad Zaenuri Sugiasmoro</t>
  </si>
  <si>
    <t>Rangga Setya Hantoko</t>
  </si>
  <si>
    <t>Septia Khairunnisa</t>
  </si>
  <si>
    <t>Taufik Priawan</t>
  </si>
  <si>
    <t>Venna Filosofia</t>
  </si>
  <si>
    <t>Wardimanul Abrar</t>
  </si>
  <si>
    <t>Ryan Rama Chaesar R</t>
  </si>
  <si>
    <t>Ahmad Ghazali</t>
  </si>
  <si>
    <t>Sholihatussa'diah</t>
  </si>
  <si>
    <t>Anak Timbangan Standar, Merek: HÄFNER, Tipe: 7.MEHM-210 (2790715)</t>
  </si>
  <si>
    <t>Anak Timbangan Standar, Merek: HÄFNER, Tipe: 7.MEHM-210 (1060716)</t>
  </si>
  <si>
    <t>Anak Timbangan Standar, Merek: HÄFNER, Tipe: 7.MEHM-210 (1840819)</t>
  </si>
  <si>
    <t>Anak Timbangan Standar, Merek: HÄFNER, Tipe: 7.MEHM-210 (1850819)</t>
  </si>
  <si>
    <t>Hasil pengukuran timbangan bayi tertelusur ke SNSU</t>
  </si>
  <si>
    <t>Hasil pengukuran timbangan bayi tertelusur ke MASSCAL - Jerman</t>
  </si>
  <si>
    <t>Hasil pengukuran timbangan dewasa tertelusur ke SARTORIUS - Deutschland</t>
  </si>
  <si>
    <t>Nama Alat            :</t>
  </si>
  <si>
    <t>Nomor Order                        :</t>
  </si>
  <si>
    <t xml:space="preserve"> </t>
  </si>
  <si>
    <t>Mars</t>
  </si>
  <si>
    <t>Nama Ruang Kalibrasi</t>
  </si>
  <si>
    <t xml:space="preserve">Tanggal Penerimaan Alat </t>
  </si>
  <si>
    <t>Penanggungjawab Kalibrasi</t>
  </si>
  <si>
    <t>Lokasi Kalibrasi</t>
  </si>
  <si>
    <t>Hasil Kalibrasi</t>
  </si>
  <si>
    <t>Laik Pakai, disarankan untuk dikalibrasi ulang pada tanggal…......</t>
  </si>
  <si>
    <t>NOMOR ORDER</t>
  </si>
  <si>
    <t>KUNCI KOP SERTIFIKAT</t>
  </si>
  <si>
    <t>PENENTU KOP SERTIFIKAT</t>
  </si>
  <si>
    <t>BAHAN</t>
  </si>
  <si>
    <t>SERTIFIKAT PENGUJIAN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</si>
  <si>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</si>
  <si>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</si>
  <si>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</si>
  <si>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</si>
  <si>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</si>
  <si>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</si>
  <si>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</si>
  <si>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</si>
  <si>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Simpangan Baku (kg)</t>
  </si>
  <si>
    <t>Ketidakpastian Pengukuran (kg)</t>
  </si>
  <si>
    <t>Koreksi (kg)</t>
  </si>
  <si>
    <t>Toleransi (≤ 3 kali resolusi) (kg)</t>
  </si>
  <si>
    <t>Toleransi (≤ 10 kali resolusi) (kg)</t>
  </si>
  <si>
    <t xml:space="preserve">Ketidakpastian maksimum (kg) </t>
  </si>
  <si>
    <t>GM.141-19</t>
  </si>
  <si>
    <t>Ketidakpastian maksimum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</si>
</sst>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0.0000"/>
    <numFmt numFmtId="165" formatCode="0.000000"/>
    <numFmt numFmtId="166" formatCode="0.000"/>
    <numFmt numFmtId="167" formatCode="0.00000"/>
    <numFmt numFmtId="168" formatCode="0.000\ 000"/>
    <numFmt numFmtId="169" formatCode="0.0"/>
    <numFmt numFmtId="170" formatCode="\±\ 0.00"/>
    <numFmt numFmtId="171" formatCode="\±\ 0.0"/>
    <numFmt numFmtId="172" formatCode="\±\ \ \ 0.0\ \ &quot;°C&quot;"/>
    <numFmt numFmtId="173" formatCode="\±\ \ \ 0.0\ \ &quot;%RH&quot;"/>
    <numFmt numFmtId="174" formatCode="0.0000000"/>
    <numFmt numFmtId="175" formatCode="0.00\ &quot;kg&quot;"/>
    <numFmt numFmtId="176" formatCode="&quot;(&quot;\ \ 0.00\ &quot;kg )&quot;"/>
    <numFmt numFmtId="177" formatCode="0\ &quot;%&quot;"/>
    <numFmt numFmtId="178" formatCode="0.00000000"/>
    <numFmt numFmtId="179" formatCode="&quot;Dibuat : &quot;"/>
    <numFmt numFmtId="180" formatCode="0.0\ &quot;%&quot;"/>
    <numFmt numFmtId="181" formatCode="[$-421]dd\ mmmm\ yyyy;@"/>
    <numFmt numFmtId="182" formatCode="[$-C09]d\ mmmm\ yyyy;@"/>
  </numFmts>
  <fonts count="7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u/>
      <sz val="14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8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sz val="8"/>
      <name val="Arial"/>
      <family val="2"/>
    </font>
    <font>
      <b/>
      <sz val="14"/>
      <name val="Times New Roman"/>
      <family val="1"/>
    </font>
    <font>
      <b/>
      <sz val="8"/>
      <name val="Times New Roman"/>
      <family val="1"/>
    </font>
    <font>
      <b/>
      <i/>
      <sz val="10"/>
      <name val="Arial"/>
      <family val="2"/>
    </font>
    <font>
      <b/>
      <i/>
      <sz val="11"/>
      <name val="Times New Roman"/>
      <family val="1"/>
    </font>
    <font>
      <b/>
      <sz val="11"/>
      <name val="Calibri"/>
      <family val="2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b/>
      <sz val="9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charset val="1"/>
      <scheme val="minor"/>
    </font>
    <font>
      <b/>
      <u/>
      <sz val="14"/>
      <color theme="1"/>
      <name val="Arial"/>
      <family val="2"/>
    </font>
    <font>
      <u/>
      <sz val="1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Arial"/>
      <family val="2"/>
    </font>
    <font>
      <u/>
      <sz val="11"/>
      <name val="Arial"/>
      <family val="2"/>
    </font>
    <font>
      <sz val="13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34998626667073579"/>
      <name val="Arial"/>
      <family val="2"/>
    </font>
    <font>
      <i/>
      <sz val="8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0"/>
      <name val="Arial"/>
      <family val="2"/>
    </font>
    <font>
      <sz val="11"/>
      <color theme="0" tint="-0.249977111117893"/>
      <name val="Calibri"/>
      <family val="2"/>
      <charset val="1"/>
      <scheme val="minor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b/>
      <u/>
      <sz val="18"/>
      <color theme="1"/>
      <name val="Times New Roman"/>
      <family val="1"/>
    </font>
    <font>
      <sz val="8"/>
      <color theme="1"/>
      <name val="Times New Roman"/>
      <family val="1"/>
    </font>
    <font>
      <b/>
      <u/>
      <sz val="24"/>
      <name val="Times New Roman"/>
      <family val="1"/>
    </font>
    <font>
      <b/>
      <sz val="9"/>
      <color indexed="81"/>
      <name val="Tahoma"/>
      <family val="2"/>
    </font>
    <font>
      <sz val="11"/>
      <color theme="0" tint="-0.34998626667073579"/>
      <name val="Arial"/>
      <family val="2"/>
    </font>
    <font>
      <b/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472C4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16" fillId="0" borderId="0"/>
    <xf numFmtId="0" fontId="16" fillId="0" borderId="0"/>
    <xf numFmtId="0" fontId="16" fillId="0" borderId="0"/>
    <xf numFmtId="9" fontId="44" fillId="0" borderId="0" applyFont="0" applyFill="0" applyBorder="0" applyAlignment="0" applyProtection="0"/>
    <xf numFmtId="0" fontId="54" fillId="0" borderId="0"/>
    <xf numFmtId="0" fontId="16" fillId="0" borderId="0"/>
    <xf numFmtId="0" fontId="61" fillId="0" borderId="0"/>
    <xf numFmtId="0" fontId="16" fillId="0" borderId="0"/>
  </cellStyleXfs>
  <cellXfs count="77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7" fillId="0" borderId="0" xfId="0" applyFon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9" fillId="0" borderId="10" xfId="0" applyFont="1" applyBorder="1"/>
    <xf numFmtId="0" fontId="9" fillId="0" borderId="11" xfId="0" applyFont="1" applyBorder="1"/>
    <xf numFmtId="167" fontId="9" fillId="0" borderId="11" xfId="0" applyNumberFormat="1" applyFont="1" applyBorder="1"/>
    <xf numFmtId="0" fontId="9" fillId="0" borderId="12" xfId="0" applyFont="1" applyBorder="1"/>
    <xf numFmtId="0" fontId="9" fillId="0" borderId="13" xfId="0" applyFont="1" applyBorder="1"/>
    <xf numFmtId="2" fontId="9" fillId="0" borderId="0" xfId="0" applyNumberFormat="1" applyFont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166" fontId="9" fillId="0" borderId="16" xfId="0" applyNumberFormat="1" applyFont="1" applyBorder="1"/>
    <xf numFmtId="0" fontId="9" fillId="0" borderId="17" xfId="0" applyFont="1" applyBorder="1"/>
    <xf numFmtId="0" fontId="10" fillId="0" borderId="0" xfId="0" applyFont="1" applyAlignment="1">
      <alignment wrapText="1"/>
    </xf>
    <xf numFmtId="167" fontId="10" fillId="0" borderId="0" xfId="0" applyNumberFormat="1" applyFont="1"/>
    <xf numFmtId="0" fontId="10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7" fontId="10" fillId="0" borderId="1" xfId="0" applyNumberFormat="1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22" xfId="1" applyFont="1" applyBorder="1" applyAlignment="1">
      <alignment horizontal="center" vertical="center"/>
    </xf>
    <xf numFmtId="0" fontId="24" fillId="0" borderId="25" xfId="1" applyFont="1" applyBorder="1" applyAlignment="1">
      <alignment vertical="center" wrapText="1"/>
    </xf>
    <xf numFmtId="0" fontId="9" fillId="0" borderId="26" xfId="1" applyFont="1" applyBorder="1" applyAlignment="1">
      <alignment vertical="center" wrapText="1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0" borderId="27" xfId="0" applyFont="1" applyBorder="1"/>
    <xf numFmtId="0" fontId="21" fillId="0" borderId="29" xfId="0" applyFont="1" applyBorder="1"/>
    <xf numFmtId="2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2" fontId="21" fillId="0" borderId="29" xfId="0" applyNumberFormat="1" applyFont="1" applyBorder="1" applyAlignment="1">
      <alignment horizontal="center" vertical="center"/>
    </xf>
    <xf numFmtId="2" fontId="21" fillId="0" borderId="27" xfId="1" applyNumberFormat="1" applyFont="1" applyBorder="1" applyAlignment="1">
      <alignment horizontal="center" vertical="center"/>
    </xf>
    <xf numFmtId="169" fontId="21" fillId="0" borderId="5" xfId="1" applyNumberFormat="1" applyFont="1" applyBorder="1" applyAlignment="1">
      <alignment horizontal="center" vertical="center"/>
    </xf>
    <xf numFmtId="169" fontId="10" fillId="0" borderId="26" xfId="1" applyNumberFormat="1" applyFont="1" applyBorder="1" applyAlignment="1">
      <alignment vertical="center"/>
    </xf>
    <xf numFmtId="0" fontId="21" fillId="0" borderId="27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171" fontId="21" fillId="0" borderId="30" xfId="0" applyNumberFormat="1" applyFont="1" applyBorder="1" applyAlignment="1">
      <alignment horizontal="center" vertical="center"/>
    </xf>
    <xf numFmtId="171" fontId="21" fillId="0" borderId="31" xfId="0" applyNumberFormat="1" applyFont="1" applyBorder="1" applyAlignment="1">
      <alignment horizontal="center" vertical="center"/>
    </xf>
    <xf numFmtId="2" fontId="21" fillId="0" borderId="27" xfId="0" applyNumberFormat="1" applyFont="1" applyBorder="1"/>
    <xf numFmtId="2" fontId="21" fillId="0" borderId="30" xfId="1" applyNumberFormat="1" applyFont="1" applyBorder="1" applyAlignment="1">
      <alignment horizontal="center" vertical="center"/>
    </xf>
    <xf numFmtId="169" fontId="21" fillId="0" borderId="32" xfId="1" applyNumberFormat="1" applyFont="1" applyBorder="1" applyAlignment="1">
      <alignment horizontal="center" vertical="center"/>
    </xf>
    <xf numFmtId="169" fontId="21" fillId="0" borderId="1" xfId="0" applyNumberFormat="1" applyFont="1" applyBorder="1" applyAlignment="1">
      <alignment horizontal="center"/>
    </xf>
    <xf numFmtId="2" fontId="21" fillId="0" borderId="1" xfId="0" applyNumberFormat="1" applyFont="1" applyBorder="1" applyAlignment="1">
      <alignment horizontal="center"/>
    </xf>
    <xf numFmtId="169" fontId="21" fillId="0" borderId="29" xfId="0" applyNumberFormat="1" applyFont="1" applyBorder="1" applyAlignment="1">
      <alignment horizontal="center"/>
    </xf>
    <xf numFmtId="0" fontId="21" fillId="0" borderId="30" xfId="0" applyFont="1" applyBorder="1"/>
    <xf numFmtId="2" fontId="21" fillId="0" borderId="33" xfId="0" applyNumberFormat="1" applyFont="1" applyBorder="1" applyAlignment="1">
      <alignment horizontal="center" vertical="center"/>
    </xf>
    <xf numFmtId="0" fontId="21" fillId="0" borderId="33" xfId="0" applyFont="1" applyBorder="1"/>
    <xf numFmtId="2" fontId="21" fillId="0" borderId="31" xfId="0" applyNumberFormat="1" applyFont="1" applyBorder="1" applyAlignment="1">
      <alignment horizontal="center" vertical="center"/>
    </xf>
    <xf numFmtId="0" fontId="22" fillId="3" borderId="0" xfId="0" applyFont="1" applyFill="1" applyAlignment="1" applyProtection="1">
      <alignment horizontal="left" vertical="top"/>
      <protection hidden="1"/>
    </xf>
    <xf numFmtId="0" fontId="21" fillId="0" borderId="30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2" borderId="0" xfId="0" applyFont="1" applyFill="1" applyAlignment="1" applyProtection="1">
      <alignment vertical="top"/>
      <protection hidden="1"/>
    </xf>
    <xf numFmtId="0" fontId="24" fillId="0" borderId="23" xfId="1" applyFont="1" applyBorder="1" applyAlignment="1">
      <alignment vertical="center" wrapText="1"/>
    </xf>
    <xf numFmtId="0" fontId="20" fillId="0" borderId="27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69" fontId="21" fillId="0" borderId="29" xfId="1" applyNumberFormat="1" applyFont="1" applyBorder="1" applyAlignment="1">
      <alignment horizontal="center" vertical="center"/>
    </xf>
    <xf numFmtId="0" fontId="22" fillId="0" borderId="0" xfId="0" applyFont="1" applyProtection="1">
      <protection locked="0"/>
    </xf>
    <xf numFmtId="0" fontId="21" fillId="0" borderId="27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169" fontId="21" fillId="0" borderId="31" xfId="1" applyNumberFormat="1" applyFont="1" applyBorder="1" applyAlignment="1">
      <alignment horizontal="center" vertical="center"/>
    </xf>
    <xf numFmtId="169" fontId="25" fillId="0" borderId="27" xfId="3" applyNumberFormat="1" applyFont="1" applyBorder="1" applyAlignment="1" applyProtection="1">
      <alignment horizontal="center" vertical="center" wrapText="1"/>
      <protection hidden="1"/>
    </xf>
    <xf numFmtId="169" fontId="25" fillId="0" borderId="1" xfId="3" applyNumberFormat="1" applyFont="1" applyBorder="1" applyAlignment="1" applyProtection="1">
      <alignment horizontal="center" vertical="center"/>
      <protection hidden="1"/>
    </xf>
    <xf numFmtId="169" fontId="25" fillId="0" borderId="1" xfId="3" applyNumberFormat="1" applyFont="1" applyBorder="1" applyAlignment="1" applyProtection="1">
      <alignment horizontal="center" vertical="center" wrapText="1"/>
      <protection hidden="1"/>
    </xf>
    <xf numFmtId="169" fontId="25" fillId="0" borderId="29" xfId="3" applyNumberFormat="1" applyFont="1" applyBorder="1" applyAlignment="1" applyProtection="1">
      <alignment horizontal="center" vertical="center"/>
      <protection hidden="1"/>
    </xf>
    <xf numFmtId="169" fontId="25" fillId="0" borderId="29" xfId="3" applyNumberFormat="1" applyFont="1" applyBorder="1" applyAlignment="1" applyProtection="1">
      <alignment horizontal="center" vertical="center" wrapText="1"/>
      <protection hidden="1"/>
    </xf>
    <xf numFmtId="169" fontId="21" fillId="0" borderId="27" xfId="0" applyNumberFormat="1" applyFont="1" applyBorder="1" applyAlignment="1" applyProtection="1">
      <alignment horizontal="center"/>
      <protection hidden="1"/>
    </xf>
    <xf numFmtId="0" fontId="21" fillId="0" borderId="29" xfId="0" applyFont="1" applyBorder="1" applyAlignment="1" applyProtection="1">
      <alignment horizontal="center"/>
      <protection hidden="1"/>
    </xf>
    <xf numFmtId="169" fontId="21" fillId="0" borderId="30" xfId="0" applyNumberFormat="1" applyFont="1" applyBorder="1" applyAlignment="1" applyProtection="1">
      <alignment horizontal="center"/>
      <protection hidden="1"/>
    </xf>
    <xf numFmtId="0" fontId="21" fillId="0" borderId="33" xfId="0" applyFont="1" applyBorder="1" applyAlignment="1" applyProtection="1">
      <alignment horizontal="center"/>
      <protection hidden="1"/>
    </xf>
    <xf numFmtId="169" fontId="25" fillId="0" borderId="33" xfId="3" applyNumberFormat="1" applyFont="1" applyBorder="1" applyAlignment="1" applyProtection="1">
      <alignment horizontal="center" vertical="center" wrapText="1"/>
      <protection hidden="1"/>
    </xf>
    <xf numFmtId="0" fontId="21" fillId="0" borderId="31" xfId="0" applyFont="1" applyBorder="1" applyAlignment="1" applyProtection="1">
      <alignment horizontal="center"/>
      <protection hidden="1"/>
    </xf>
    <xf numFmtId="0" fontId="21" fillId="0" borderId="0" xfId="1" applyFont="1"/>
    <xf numFmtId="0" fontId="22" fillId="0" borderId="0" xfId="0" applyFont="1" applyAlignment="1">
      <alignment horizontal="center" vertical="center"/>
    </xf>
    <xf numFmtId="0" fontId="22" fillId="0" borderId="0" xfId="1" applyFont="1"/>
    <xf numFmtId="0" fontId="22" fillId="0" borderId="0" xfId="1" applyFont="1" applyAlignment="1">
      <alignment horizontal="center" vertical="center"/>
    </xf>
    <xf numFmtId="0" fontId="21" fillId="0" borderId="0" xfId="1" applyFont="1" applyAlignment="1">
      <alignment horizontal="right"/>
    </xf>
    <xf numFmtId="0" fontId="22" fillId="0" borderId="0" xfId="1" applyFont="1" applyAlignment="1">
      <alignment horizontal="right"/>
    </xf>
    <xf numFmtId="0" fontId="21" fillId="0" borderId="0" xfId="1" applyFont="1" applyAlignment="1">
      <alignment horizontal="center"/>
    </xf>
    <xf numFmtId="0" fontId="22" fillId="0" borderId="0" xfId="1" applyFont="1" applyAlignment="1">
      <alignment horizontal="center"/>
    </xf>
    <xf numFmtId="169" fontId="22" fillId="0" borderId="0" xfId="0" applyNumberFormat="1" applyFont="1" applyAlignment="1">
      <alignment horizontal="left"/>
    </xf>
    <xf numFmtId="0" fontId="21" fillId="0" borderId="1" xfId="0" applyFont="1" applyBorder="1" applyAlignment="1" applyProtection="1">
      <alignment horizontal="center"/>
      <protection hidden="1"/>
    </xf>
    <xf numFmtId="169" fontId="21" fillId="0" borderId="1" xfId="0" applyNumberFormat="1" applyFont="1" applyBorder="1" applyAlignment="1" applyProtection="1">
      <alignment horizontal="center"/>
      <protection hidden="1"/>
    </xf>
    <xf numFmtId="169" fontId="21" fillId="0" borderId="33" xfId="0" applyNumberFormat="1" applyFont="1" applyBorder="1" applyAlignment="1" applyProtection="1">
      <alignment horizontal="center"/>
      <protection hidden="1"/>
    </xf>
    <xf numFmtId="169" fontId="22" fillId="0" borderId="0" xfId="0" applyNumberFormat="1" applyFont="1"/>
    <xf numFmtId="0" fontId="21" fillId="0" borderId="9" xfId="0" applyFont="1" applyBorder="1"/>
    <xf numFmtId="171" fontId="21" fillId="0" borderId="34" xfId="0" applyNumberFormat="1" applyFont="1" applyBorder="1" applyAlignment="1">
      <alignment horizontal="center" vertical="center"/>
    </xf>
    <xf numFmtId="0" fontId="26" fillId="0" borderId="0" xfId="1" applyFont="1" applyAlignment="1">
      <alignment horizontal="center" vertical="center"/>
    </xf>
    <xf numFmtId="169" fontId="27" fillId="0" borderId="0" xfId="1" applyNumberFormat="1" applyFont="1" applyAlignment="1">
      <alignment horizontal="center" vertical="center"/>
    </xf>
    <xf numFmtId="0" fontId="28" fillId="0" borderId="0" xfId="1" applyFont="1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22" fillId="0" borderId="1" xfId="0" applyFont="1" applyBorder="1"/>
    <xf numFmtId="171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31" fillId="0" borderId="5" xfId="0" applyFont="1" applyBorder="1" applyAlignment="1" applyProtection="1">
      <alignment horizontal="left" vertical="center"/>
      <protection locked="0"/>
    </xf>
    <xf numFmtId="0" fontId="41" fillId="0" borderId="0" xfId="0" applyFont="1" applyAlignment="1">
      <alignment horizontal="center" vertical="center"/>
    </xf>
    <xf numFmtId="0" fontId="27" fillId="3" borderId="0" xfId="0" applyFont="1" applyFill="1" applyAlignment="1">
      <alignment vertical="center"/>
    </xf>
    <xf numFmtId="0" fontId="0" fillId="3" borderId="0" xfId="0" applyFill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41" fillId="3" borderId="0" xfId="1" applyFont="1" applyFill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43" fillId="3" borderId="0" xfId="1" applyFont="1" applyFill="1" applyAlignment="1" applyProtection="1">
      <alignment vertical="center"/>
      <protection locked="0"/>
    </xf>
    <xf numFmtId="0" fontId="9" fillId="0" borderId="1" xfId="0" applyFont="1" applyBorder="1" applyAlignment="1">
      <alignment horizontal="left"/>
    </xf>
    <xf numFmtId="165" fontId="10" fillId="0" borderId="1" xfId="0" applyNumberFormat="1" applyFont="1" applyBorder="1" applyAlignment="1">
      <alignment horizontal="center"/>
    </xf>
    <xf numFmtId="174" fontId="10" fillId="0" borderId="1" xfId="0" applyNumberFormat="1" applyFont="1" applyBorder="1" applyAlignment="1">
      <alignment horizontal="center"/>
    </xf>
    <xf numFmtId="178" fontId="10" fillId="0" borderId="1" xfId="0" applyNumberFormat="1" applyFont="1" applyBorder="1" applyAlignment="1">
      <alignment horizontal="center"/>
    </xf>
    <xf numFmtId="0" fontId="6" fillId="8" borderId="1" xfId="0" applyFont="1" applyFill="1" applyBorder="1"/>
    <xf numFmtId="0" fontId="0" fillId="8" borderId="1" xfId="0" applyFill="1" applyBorder="1"/>
    <xf numFmtId="0" fontId="0" fillId="5" borderId="1" xfId="0" applyFill="1" applyBorder="1"/>
    <xf numFmtId="178" fontId="0" fillId="5" borderId="1" xfId="0" applyNumberFormat="1" applyFill="1" applyBorder="1"/>
    <xf numFmtId="0" fontId="21" fillId="3" borderId="0" xfId="0" applyFont="1" applyFill="1" applyAlignment="1">
      <alignment vertical="center"/>
    </xf>
    <xf numFmtId="1" fontId="10" fillId="0" borderId="1" xfId="0" applyNumberFormat="1" applyFont="1" applyBorder="1" applyAlignment="1">
      <alignment horizontal="center"/>
    </xf>
    <xf numFmtId="179" fontId="31" fillId="0" borderId="5" xfId="0" applyNumberFormat="1" applyFont="1" applyBorder="1" applyAlignment="1" applyProtection="1">
      <alignment horizontal="left" vertical="center"/>
      <protection locked="0"/>
    </xf>
    <xf numFmtId="0" fontId="46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8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72" fontId="4" fillId="0" borderId="0" xfId="0" applyNumberFormat="1" applyFont="1" applyAlignment="1">
      <alignment vertical="center"/>
    </xf>
    <xf numFmtId="173" fontId="4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left" vertical="center"/>
    </xf>
    <xf numFmtId="0" fontId="49" fillId="0" borderId="0" xfId="0" applyFont="1" applyAlignment="1">
      <alignment vertical="center"/>
    </xf>
    <xf numFmtId="177" fontId="49" fillId="0" borderId="0" xfId="0" applyNumberFormat="1" applyFont="1" applyAlignment="1">
      <alignment horizontal="center" vertical="center"/>
    </xf>
    <xf numFmtId="0" fontId="42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16" fillId="0" borderId="0" xfId="1" applyAlignment="1" applyProtection="1">
      <alignment vertical="center"/>
      <protection locked="0"/>
    </xf>
    <xf numFmtId="0" fontId="50" fillId="0" borderId="0" xfId="1" applyFont="1" applyAlignment="1" applyProtection="1">
      <alignment vertical="center"/>
      <protection locked="0"/>
    </xf>
    <xf numFmtId="0" fontId="41" fillId="0" borderId="0" xfId="1" applyFont="1" applyAlignment="1" applyProtection="1">
      <alignment vertical="center"/>
      <protection locked="0"/>
    </xf>
    <xf numFmtId="0" fontId="4" fillId="8" borderId="0" xfId="0" applyFont="1" applyFill="1" applyAlignment="1" applyProtection="1">
      <alignment horizontal="right" vertical="center"/>
      <protection locked="0"/>
    </xf>
    <xf numFmtId="0" fontId="13" fillId="8" borderId="1" xfId="0" applyFont="1" applyFill="1" applyBorder="1" applyAlignment="1" applyProtection="1">
      <alignment vertical="center"/>
      <protection locked="0"/>
    </xf>
    <xf numFmtId="169" fontId="4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175" fontId="4" fillId="0" borderId="0" xfId="0" applyNumberFormat="1" applyFont="1" applyAlignment="1">
      <alignment vertical="center"/>
    </xf>
    <xf numFmtId="175" fontId="4" fillId="0" borderId="0" xfId="0" applyNumberFormat="1" applyFont="1" applyAlignment="1" applyProtection="1">
      <alignment vertical="center"/>
      <protection locked="0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52" fillId="3" borderId="0" xfId="0" applyFont="1" applyFill="1" applyAlignment="1" applyProtection="1">
      <alignment vertical="center"/>
      <protection locked="0"/>
    </xf>
    <xf numFmtId="0" fontId="52" fillId="3" borderId="0" xfId="0" applyFont="1" applyFill="1" applyAlignment="1" applyProtection="1">
      <alignment vertical="center"/>
      <protection locked="0" hidden="1"/>
    </xf>
    <xf numFmtId="0" fontId="52" fillId="3" borderId="0" xfId="0" applyFont="1" applyFill="1" applyAlignment="1" applyProtection="1">
      <alignment horizontal="center" vertical="center"/>
      <protection locked="0"/>
    </xf>
    <xf numFmtId="0" fontId="53" fillId="3" borderId="0" xfId="1" applyFont="1" applyFill="1" applyAlignment="1" applyProtection="1">
      <alignment vertical="center"/>
      <protection locked="0"/>
    </xf>
    <xf numFmtId="0" fontId="52" fillId="0" borderId="0" xfId="0" applyFont="1" applyAlignment="1" applyProtection="1">
      <alignment vertical="center"/>
      <protection locked="0"/>
    </xf>
    <xf numFmtId="166" fontId="52" fillId="0" borderId="0" xfId="0" applyNumberFormat="1" applyFont="1" applyAlignment="1" applyProtection="1">
      <alignment vertical="center"/>
      <protection locked="0"/>
    </xf>
    <xf numFmtId="0" fontId="31" fillId="0" borderId="0" xfId="1" applyFont="1" applyAlignment="1" applyProtection="1">
      <alignment horizontal="right"/>
      <protection locked="0"/>
    </xf>
    <xf numFmtId="0" fontId="31" fillId="0" borderId="0" xfId="1" applyFont="1" applyAlignment="1" applyProtection="1">
      <alignment vertical="center"/>
      <protection locked="0"/>
    </xf>
    <xf numFmtId="0" fontId="0" fillId="8" borderId="13" xfId="0" applyFill="1" applyBorder="1"/>
    <xf numFmtId="0" fontId="21" fillId="8" borderId="0" xfId="0" applyFont="1" applyFill="1"/>
    <xf numFmtId="0" fontId="21" fillId="9" borderId="0" xfId="0" applyFont="1" applyFill="1"/>
    <xf numFmtId="0" fontId="4" fillId="9" borderId="14" xfId="0" applyFont="1" applyFill="1" applyBorder="1" applyAlignment="1" applyProtection="1">
      <alignment vertical="center"/>
      <protection locked="0"/>
    </xf>
    <xf numFmtId="0" fontId="21" fillId="7" borderId="0" xfId="0" applyFont="1" applyFill="1"/>
    <xf numFmtId="0" fontId="4" fillId="4" borderId="0" xfId="0" applyFont="1" applyFill="1" applyAlignment="1" applyProtection="1">
      <alignment vertical="center"/>
      <protection locked="0"/>
    </xf>
    <xf numFmtId="0" fontId="42" fillId="0" borderId="1" xfId="0" applyFont="1" applyBorder="1" applyAlignment="1">
      <alignment horizontal="center" vertical="center" wrapText="1"/>
    </xf>
    <xf numFmtId="165" fontId="4" fillId="1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80" fontId="4" fillId="8" borderId="0" xfId="0" applyNumberFormat="1" applyFont="1" applyFill="1" applyAlignment="1" applyProtection="1">
      <alignment horizontal="right" vertical="center"/>
      <protection locked="0"/>
    </xf>
    <xf numFmtId="0" fontId="0" fillId="3" borderId="0" xfId="0" applyFill="1"/>
    <xf numFmtId="0" fontId="6" fillId="3" borderId="0" xfId="0" applyFont="1" applyFill="1" applyAlignment="1">
      <alignment horizontal="center" vertical="center"/>
    </xf>
    <xf numFmtId="178" fontId="0" fillId="3" borderId="0" xfId="0" applyNumberForma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vertical="center" textRotation="90" wrapText="1"/>
    </xf>
    <xf numFmtId="0" fontId="0" fillId="3" borderId="0" xfId="0" applyFill="1" applyAlignment="1">
      <alignment wrapText="1"/>
    </xf>
    <xf numFmtId="0" fontId="6" fillId="3" borderId="0" xfId="0" applyFont="1" applyFill="1" applyAlignment="1">
      <alignment vertical="center"/>
    </xf>
    <xf numFmtId="0" fontId="6" fillId="0" borderId="0" xfId="0" applyFont="1"/>
    <xf numFmtId="0" fontId="6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/>
    <xf numFmtId="178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0" fontId="0" fillId="3" borderId="1" xfId="0" quotePrefix="1" applyFill="1" applyBorder="1" applyAlignment="1">
      <alignment vertical="center" wrapText="1"/>
    </xf>
    <xf numFmtId="178" fontId="0" fillId="5" borderId="0" xfId="0" applyNumberFormat="1" applyFill="1"/>
    <xf numFmtId="0" fontId="0" fillId="12" borderId="1" xfId="0" applyFill="1" applyBorder="1"/>
    <xf numFmtId="0" fontId="0" fillId="0" borderId="1" xfId="0" applyBorder="1" applyAlignment="1">
      <alignment wrapText="1"/>
    </xf>
    <xf numFmtId="0" fontId="42" fillId="0" borderId="5" xfId="0" applyFont="1" applyBorder="1" applyAlignment="1" applyProtection="1">
      <alignment vertical="center"/>
      <protection locked="0"/>
    </xf>
    <xf numFmtId="180" fontId="4" fillId="0" borderId="0" xfId="0" applyNumberFormat="1" applyFont="1" applyAlignment="1" applyProtection="1">
      <alignment vertical="center"/>
      <protection locked="0"/>
    </xf>
    <xf numFmtId="0" fontId="49" fillId="3" borderId="0" xfId="0" applyFont="1" applyFill="1" applyAlignment="1">
      <alignment vertical="center"/>
    </xf>
    <xf numFmtId="0" fontId="57" fillId="3" borderId="0" xfId="0" applyFont="1" applyFill="1" applyAlignment="1">
      <alignment vertical="center"/>
    </xf>
    <xf numFmtId="0" fontId="57" fillId="8" borderId="0" xfId="0" applyFont="1" applyFill="1" applyAlignment="1">
      <alignment horizontal="center" vertical="center"/>
    </xf>
    <xf numFmtId="177" fontId="57" fillId="8" borderId="0" xfId="0" applyNumberFormat="1" applyFont="1" applyFill="1" applyAlignment="1">
      <alignment horizontal="center" vertical="center"/>
    </xf>
    <xf numFmtId="0" fontId="57" fillId="8" borderId="0" xfId="0" applyFont="1" applyFill="1" applyAlignment="1" applyProtection="1">
      <alignment horizontal="right" vertical="center"/>
      <protection locked="0"/>
    </xf>
    <xf numFmtId="177" fontId="57" fillId="8" borderId="0" xfId="4" applyNumberFormat="1" applyFont="1" applyFill="1" applyAlignment="1" applyProtection="1">
      <alignment horizontal="right" vertical="center"/>
      <protection locked="0"/>
    </xf>
    <xf numFmtId="0" fontId="57" fillId="8" borderId="0" xfId="0" applyFont="1" applyFill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56" fillId="3" borderId="0" xfId="0" applyFont="1" applyFill="1" applyAlignment="1">
      <alignment vertical="center"/>
    </xf>
    <xf numFmtId="16" fontId="55" fillId="3" borderId="0" xfId="0" quotePrefix="1" applyNumberFormat="1" applyFont="1" applyFill="1" applyAlignment="1">
      <alignment vertical="center"/>
    </xf>
    <xf numFmtId="0" fontId="59" fillId="0" borderId="0" xfId="0" applyFont="1" applyAlignment="1">
      <alignment horizontal="right" vertical="center"/>
    </xf>
    <xf numFmtId="0" fontId="59" fillId="0" borderId="0" xfId="0" applyFont="1" applyAlignment="1">
      <alignment horizontal="right" vertical="top"/>
    </xf>
    <xf numFmtId="0" fontId="60" fillId="0" borderId="0" xfId="0" applyFont="1" applyAlignment="1">
      <alignment vertical="top"/>
    </xf>
    <xf numFmtId="0" fontId="59" fillId="0" borderId="0" xfId="0" applyFont="1" applyAlignment="1">
      <alignment vertical="center"/>
    </xf>
    <xf numFmtId="164" fontId="59" fillId="0" borderId="0" xfId="0" applyNumberFormat="1" applyFont="1" applyAlignment="1">
      <alignment vertical="center"/>
    </xf>
    <xf numFmtId="181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0" fontId="16" fillId="0" borderId="5" xfId="1" applyBorder="1" applyAlignment="1">
      <alignment horizontal="center" vertical="center" wrapText="1"/>
    </xf>
    <xf numFmtId="0" fontId="16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0" fillId="0" borderId="1" xfId="0" quotePrefix="1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/>
    <xf numFmtId="0" fontId="61" fillId="0" borderId="0" xfId="7"/>
    <xf numFmtId="0" fontId="61" fillId="0" borderId="38" xfId="7" applyBorder="1"/>
    <xf numFmtId="0" fontId="13" fillId="6" borderId="27" xfId="7" applyFont="1" applyFill="1" applyBorder="1" applyAlignment="1">
      <alignment horizontal="center" vertical="center"/>
    </xf>
    <xf numFmtId="169" fontId="13" fillId="7" borderId="29" xfId="7" applyNumberFormat="1" applyFont="1" applyFill="1" applyBorder="1" applyAlignment="1">
      <alignment horizontal="center" vertical="center"/>
    </xf>
    <xf numFmtId="0" fontId="34" fillId="7" borderId="1" xfId="7" applyFont="1" applyFill="1" applyBorder="1" applyAlignment="1">
      <alignment horizontal="center" vertical="center"/>
    </xf>
    <xf numFmtId="0" fontId="34" fillId="6" borderId="1" xfId="7" applyFont="1" applyFill="1" applyBorder="1" applyAlignment="1">
      <alignment horizontal="center" vertical="center"/>
    </xf>
    <xf numFmtId="0" fontId="13" fillId="0" borderId="27" xfId="7" applyFont="1" applyBorder="1" applyAlignment="1">
      <alignment horizontal="center" vertical="center"/>
    </xf>
    <xf numFmtId="169" fontId="61" fillId="7" borderId="1" xfId="7" applyNumberFormat="1" applyFill="1" applyBorder="1" applyAlignment="1">
      <alignment horizontal="center" vertical="center"/>
    </xf>
    <xf numFmtId="169" fontId="16" fillId="7" borderId="1" xfId="7" applyNumberFormat="1" applyFont="1" applyFill="1" applyBorder="1" applyAlignment="1">
      <alignment horizontal="center" vertical="center"/>
    </xf>
    <xf numFmtId="2" fontId="16" fillId="6" borderId="29" xfId="7" applyNumberFormat="1" applyFont="1" applyFill="1" applyBorder="1" applyAlignment="1">
      <alignment horizontal="center"/>
    </xf>
    <xf numFmtId="169" fontId="61" fillId="7" borderId="52" xfId="7" applyNumberFormat="1" applyFill="1" applyBorder="1" applyAlignment="1">
      <alignment horizontal="center" vertical="center"/>
    </xf>
    <xf numFmtId="169" fontId="16" fillId="7" borderId="3" xfId="7" quotePrefix="1" applyNumberFormat="1" applyFont="1" applyFill="1" applyBorder="1" applyAlignment="1">
      <alignment horizontal="center" vertical="center"/>
    </xf>
    <xf numFmtId="0" fontId="13" fillId="6" borderId="30" xfId="7" applyFont="1" applyFill="1" applyBorder="1" applyAlignment="1">
      <alignment horizontal="center" vertical="center"/>
    </xf>
    <xf numFmtId="169" fontId="13" fillId="7" borderId="31" xfId="7" applyNumberFormat="1" applyFont="1" applyFill="1" applyBorder="1" applyAlignment="1">
      <alignment horizontal="center" vertical="center"/>
    </xf>
    <xf numFmtId="169" fontId="61" fillId="7" borderId="27" xfId="7" applyNumberFormat="1" applyFill="1" applyBorder="1" applyAlignment="1">
      <alignment horizontal="center" vertical="center"/>
    </xf>
    <xf numFmtId="169" fontId="16" fillId="7" borderId="1" xfId="7" quotePrefix="1" applyNumberFormat="1" applyFont="1" applyFill="1" applyBorder="1" applyAlignment="1">
      <alignment horizontal="center" vertical="center"/>
    </xf>
    <xf numFmtId="169" fontId="61" fillId="7" borderId="1" xfId="7" applyNumberFormat="1" applyFill="1" applyBorder="1" applyAlignment="1">
      <alignment horizontal="center"/>
    </xf>
    <xf numFmtId="169" fontId="16" fillId="7" borderId="1" xfId="7" quotePrefix="1" applyNumberFormat="1" applyFont="1" applyFill="1" applyBorder="1" applyAlignment="1">
      <alignment horizontal="center"/>
    </xf>
    <xf numFmtId="0" fontId="16" fillId="7" borderId="1" xfId="7" quotePrefix="1" applyFont="1" applyFill="1" applyBorder="1" applyAlignment="1">
      <alignment horizontal="center"/>
    </xf>
    <xf numFmtId="169" fontId="61" fillId="7" borderId="54" xfId="7" applyNumberFormat="1" applyFill="1" applyBorder="1" applyAlignment="1">
      <alignment horizontal="center"/>
    </xf>
    <xf numFmtId="0" fontId="13" fillId="0" borderId="30" xfId="7" applyFont="1" applyBorder="1" applyAlignment="1">
      <alignment horizontal="center" vertical="center"/>
    </xf>
    <xf numFmtId="169" fontId="61" fillId="7" borderId="33" xfId="7" applyNumberFormat="1" applyFill="1" applyBorder="1" applyAlignment="1">
      <alignment horizontal="center"/>
    </xf>
    <xf numFmtId="0" fontId="16" fillId="7" borderId="33" xfId="7" quotePrefix="1" applyFont="1" applyFill="1" applyBorder="1" applyAlignment="1">
      <alignment horizontal="center"/>
    </xf>
    <xf numFmtId="2" fontId="16" fillId="6" borderId="31" xfId="7" applyNumberFormat="1" applyFont="1" applyFill="1" applyBorder="1" applyAlignment="1">
      <alignment horizontal="center"/>
    </xf>
    <xf numFmtId="0" fontId="61" fillId="0" borderId="6" xfId="7" applyBorder="1"/>
    <xf numFmtId="169" fontId="61" fillId="7" borderId="55" xfId="7" applyNumberFormat="1" applyFill="1" applyBorder="1" applyAlignment="1">
      <alignment horizontal="center"/>
    </xf>
    <xf numFmtId="169" fontId="16" fillId="7" borderId="33" xfId="7" quotePrefix="1" applyNumberFormat="1" applyFont="1" applyFill="1" applyBorder="1" applyAlignment="1">
      <alignment horizontal="center"/>
    </xf>
    <xf numFmtId="0" fontId="61" fillId="0" borderId="26" xfId="7" applyBorder="1"/>
    <xf numFmtId="0" fontId="61" fillId="0" borderId="39" xfId="7" applyBorder="1"/>
    <xf numFmtId="0" fontId="18" fillId="0" borderId="0" xfId="7" applyFont="1"/>
    <xf numFmtId="0" fontId="13" fillId="7" borderId="29" xfId="7" applyFont="1" applyFill="1" applyBorder="1" applyAlignment="1">
      <alignment horizontal="center" vertical="center"/>
    </xf>
    <xf numFmtId="0" fontId="61" fillId="0" borderId="0" xfId="7" applyAlignment="1">
      <alignment horizontal="center"/>
    </xf>
    <xf numFmtId="0" fontId="34" fillId="7" borderId="49" xfId="7" applyFont="1" applyFill="1" applyBorder="1" applyAlignment="1">
      <alignment horizontal="center" vertical="center"/>
    </xf>
    <xf numFmtId="0" fontId="34" fillId="6" borderId="49" xfId="7" applyFont="1" applyFill="1" applyBorder="1" applyAlignment="1">
      <alignment horizontal="center" vertical="center"/>
    </xf>
    <xf numFmtId="169" fontId="16" fillId="7" borderId="3" xfId="7" applyNumberFormat="1" applyFont="1" applyFill="1" applyBorder="1" applyAlignment="1">
      <alignment horizontal="center" vertical="center"/>
    </xf>
    <xf numFmtId="2" fontId="16" fillId="6" borderId="53" xfId="7" applyNumberFormat="1" applyFont="1" applyFill="1" applyBorder="1" applyAlignment="1">
      <alignment horizontal="center"/>
    </xf>
    <xf numFmtId="0" fontId="61" fillId="3" borderId="26" xfId="7" applyFill="1" applyBorder="1" applyAlignment="1">
      <alignment horizontal="center" vertical="center"/>
    </xf>
    <xf numFmtId="169" fontId="61" fillId="3" borderId="0" xfId="7" applyNumberFormat="1" applyFill="1" applyAlignment="1">
      <alignment horizontal="center"/>
    </xf>
    <xf numFmtId="0" fontId="16" fillId="3" borderId="0" xfId="7" quotePrefix="1" applyFont="1" applyFill="1" applyAlignment="1">
      <alignment horizontal="center"/>
    </xf>
    <xf numFmtId="166" fontId="16" fillId="3" borderId="0" xfId="7" applyNumberFormat="1" applyFont="1" applyFill="1" applyAlignment="1">
      <alignment horizontal="center"/>
    </xf>
    <xf numFmtId="0" fontId="61" fillId="3" borderId="0" xfId="7" applyFill="1"/>
    <xf numFmtId="169" fontId="61" fillId="7" borderId="3" xfId="7" applyNumberFormat="1" applyFill="1" applyBorder="1" applyAlignment="1">
      <alignment horizontal="center" vertical="center"/>
    </xf>
    <xf numFmtId="0" fontId="13" fillId="7" borderId="31" xfId="7" applyFont="1" applyFill="1" applyBorder="1" applyAlignment="1">
      <alignment horizontal="center" vertical="center"/>
    </xf>
    <xf numFmtId="1" fontId="61" fillId="7" borderId="52" xfId="7" applyNumberFormat="1" applyFill="1" applyBorder="1" applyAlignment="1">
      <alignment horizontal="center" vertical="center"/>
    </xf>
    <xf numFmtId="1" fontId="61" fillId="7" borderId="27" xfId="7" applyNumberFormat="1" applyFill="1" applyBorder="1" applyAlignment="1">
      <alignment horizontal="center" vertical="center"/>
    </xf>
    <xf numFmtId="1" fontId="61" fillId="7" borderId="54" xfId="7" applyNumberFormat="1" applyFill="1" applyBorder="1" applyAlignment="1">
      <alignment horizontal="center"/>
    </xf>
    <xf numFmtId="1" fontId="61" fillId="7" borderId="55" xfId="7" applyNumberFormat="1" applyFill="1" applyBorder="1" applyAlignment="1">
      <alignment horizontal="center"/>
    </xf>
    <xf numFmtId="169" fontId="16" fillId="7" borderId="55" xfId="7" quotePrefix="1" applyNumberFormat="1" applyFont="1" applyFill="1" applyBorder="1" applyAlignment="1">
      <alignment horizontal="center"/>
    </xf>
    <xf numFmtId="2" fontId="16" fillId="3" borderId="0" xfId="7" applyNumberFormat="1" applyFont="1" applyFill="1" applyAlignment="1">
      <alignment horizontal="center"/>
    </xf>
    <xf numFmtId="0" fontId="34" fillId="7" borderId="49" xfId="7" quotePrefix="1" applyFont="1" applyFill="1" applyBorder="1" applyAlignment="1">
      <alignment horizontal="center" vertical="center"/>
    </xf>
    <xf numFmtId="166" fontId="16" fillId="7" borderId="3" xfId="7" applyNumberFormat="1" applyFont="1" applyFill="1" applyBorder="1" applyAlignment="1">
      <alignment horizontal="center" vertical="center"/>
    </xf>
    <xf numFmtId="166" fontId="16" fillId="7" borderId="1" xfId="7" applyNumberFormat="1" applyFont="1" applyFill="1" applyBorder="1" applyAlignment="1">
      <alignment horizontal="center" vertical="center"/>
    </xf>
    <xf numFmtId="169" fontId="16" fillId="7" borderId="56" xfId="7" applyNumberFormat="1" applyFont="1" applyFill="1" applyBorder="1" applyAlignment="1">
      <alignment horizontal="center" vertical="center"/>
    </xf>
    <xf numFmtId="1" fontId="16" fillId="7" borderId="52" xfId="7" applyNumberFormat="1" applyFont="1" applyFill="1" applyBorder="1" applyAlignment="1">
      <alignment horizontal="center" vertical="center"/>
    </xf>
    <xf numFmtId="1" fontId="16" fillId="7" borderId="27" xfId="7" applyNumberFormat="1" applyFont="1" applyFill="1" applyBorder="1" applyAlignment="1">
      <alignment horizontal="center" vertical="center"/>
    </xf>
    <xf numFmtId="1" fontId="16" fillId="7" borderId="54" xfId="7" applyNumberFormat="1" applyFont="1" applyFill="1" applyBorder="1" applyAlignment="1">
      <alignment horizontal="center"/>
    </xf>
    <xf numFmtId="1" fontId="16" fillId="7" borderId="55" xfId="7" applyNumberFormat="1" applyFont="1" applyFill="1" applyBorder="1" applyAlignment="1">
      <alignment horizontal="center"/>
    </xf>
    <xf numFmtId="169" fontId="16" fillId="7" borderId="55" xfId="7" applyNumberFormat="1" applyFont="1" applyFill="1" applyBorder="1" applyAlignment="1">
      <alignment horizontal="center" vertical="center"/>
    </xf>
    <xf numFmtId="169" fontId="16" fillId="7" borderId="55" xfId="7" applyNumberFormat="1" applyFont="1" applyFill="1" applyBorder="1" applyAlignment="1">
      <alignment horizontal="center"/>
    </xf>
    <xf numFmtId="169" fontId="16" fillId="7" borderId="33" xfId="7" applyNumberFormat="1" applyFont="1" applyFill="1" applyBorder="1" applyAlignment="1">
      <alignment horizontal="center"/>
    </xf>
    <xf numFmtId="0" fontId="61" fillId="0" borderId="43" xfId="7" applyBorder="1" applyAlignment="1">
      <alignment horizontal="center" vertical="center"/>
    </xf>
    <xf numFmtId="169" fontId="16" fillId="0" borderId="0" xfId="7" applyNumberFormat="1" applyFont="1" applyAlignment="1">
      <alignment horizontal="center"/>
    </xf>
    <xf numFmtId="169" fontId="61" fillId="0" borderId="0" xfId="7" applyNumberFormat="1" applyAlignment="1">
      <alignment horizontal="center"/>
    </xf>
    <xf numFmtId="0" fontId="16" fillId="0" borderId="0" xfId="7" quotePrefix="1" applyFont="1" applyAlignment="1">
      <alignment horizontal="center"/>
    </xf>
    <xf numFmtId="2" fontId="16" fillId="0" borderId="0" xfId="7" applyNumberFormat="1" applyFont="1" applyAlignment="1">
      <alignment horizontal="center"/>
    </xf>
    <xf numFmtId="169" fontId="16" fillId="0" borderId="0" xfId="7" quotePrefix="1" applyNumberFormat="1" applyFont="1" applyAlignment="1">
      <alignment horizontal="center"/>
    </xf>
    <xf numFmtId="0" fontId="18" fillId="5" borderId="43" xfId="7" applyFont="1" applyFill="1" applyBorder="1"/>
    <xf numFmtId="0" fontId="33" fillId="3" borderId="38" xfId="2" applyFont="1" applyFill="1" applyBorder="1" applyAlignment="1">
      <alignment vertical="center"/>
    </xf>
    <xf numFmtId="0" fontId="33" fillId="3" borderId="38" xfId="2" applyFont="1" applyFill="1" applyBorder="1" applyAlignment="1">
      <alignment horizontal="center" vertical="center"/>
    </xf>
    <xf numFmtId="0" fontId="38" fillId="6" borderId="1" xfId="7" applyFont="1" applyFill="1" applyBorder="1" applyAlignment="1">
      <alignment horizontal="center" vertical="center"/>
    </xf>
    <xf numFmtId="0" fontId="35" fillId="6" borderId="1" xfId="2" applyFont="1" applyFill="1" applyBorder="1" applyAlignment="1">
      <alignment horizontal="center" vertical="center"/>
    </xf>
    <xf numFmtId="0" fontId="37" fillId="8" borderId="27" xfId="7" applyFont="1" applyFill="1" applyBorder="1" applyAlignment="1">
      <alignment horizontal="center" vertical="center"/>
    </xf>
    <xf numFmtId="169" fontId="37" fillId="8" borderId="29" xfId="7" applyNumberFormat="1" applyFont="1" applyFill="1" applyBorder="1" applyAlignment="1">
      <alignment horizontal="center" vertical="center"/>
    </xf>
    <xf numFmtId="0" fontId="18" fillId="6" borderId="1" xfId="7" applyFont="1" applyFill="1" applyBorder="1" applyAlignment="1">
      <alignment horizontal="center" vertical="center"/>
    </xf>
    <xf numFmtId="2" fontId="18" fillId="6" borderId="1" xfId="7" applyNumberFormat="1" applyFont="1" applyFill="1" applyBorder="1" applyAlignment="1">
      <alignment horizontal="center" vertical="center"/>
    </xf>
    <xf numFmtId="2" fontId="18" fillId="6" borderId="29" xfId="7" applyNumberFormat="1" applyFont="1" applyFill="1" applyBorder="1" applyAlignment="1">
      <alignment horizontal="center" vertical="center"/>
    </xf>
    <xf numFmtId="0" fontId="37" fillId="8" borderId="27" xfId="7" applyFont="1" applyFill="1" applyBorder="1" applyAlignment="1">
      <alignment horizontal="center"/>
    </xf>
    <xf numFmtId="0" fontId="37" fillId="8" borderId="29" xfId="7" applyFont="1" applyFill="1" applyBorder="1" applyAlignment="1">
      <alignment horizontal="center" vertical="center"/>
    </xf>
    <xf numFmtId="0" fontId="37" fillId="8" borderId="29" xfId="7" applyFont="1" applyFill="1" applyBorder="1" applyAlignment="1">
      <alignment horizontal="center"/>
    </xf>
    <xf numFmtId="2" fontId="18" fillId="6" borderId="1" xfId="7" applyNumberFormat="1" applyFont="1" applyFill="1" applyBorder="1" applyAlignment="1">
      <alignment horizontal="center"/>
    </xf>
    <xf numFmtId="2" fontId="18" fillId="6" borderId="29" xfId="7" applyNumberFormat="1" applyFont="1" applyFill="1" applyBorder="1" applyAlignment="1">
      <alignment horizontal="center"/>
    </xf>
    <xf numFmtId="169" fontId="13" fillId="8" borderId="29" xfId="7" applyNumberFormat="1" applyFont="1" applyFill="1" applyBorder="1" applyAlignment="1">
      <alignment horizontal="center"/>
    </xf>
    <xf numFmtId="0" fontId="37" fillId="8" borderId="30" xfId="7" applyFont="1" applyFill="1" applyBorder="1" applyAlignment="1">
      <alignment horizontal="center" vertical="center"/>
    </xf>
    <xf numFmtId="169" fontId="13" fillId="8" borderId="31" xfId="7" applyNumberFormat="1" applyFont="1" applyFill="1" applyBorder="1" applyAlignment="1">
      <alignment horizontal="center"/>
    </xf>
    <xf numFmtId="0" fontId="18" fillId="6" borderId="33" xfId="7" applyFont="1" applyFill="1" applyBorder="1" applyAlignment="1">
      <alignment horizontal="center" vertical="center"/>
    </xf>
    <xf numFmtId="2" fontId="18" fillId="6" borderId="33" xfId="7" applyNumberFormat="1" applyFont="1" applyFill="1" applyBorder="1" applyAlignment="1">
      <alignment horizontal="center"/>
    </xf>
    <xf numFmtId="0" fontId="18" fillId="0" borderId="6" xfId="7" applyFont="1" applyBorder="1"/>
    <xf numFmtId="2" fontId="18" fillId="6" borderId="31" xfId="7" applyNumberFormat="1" applyFont="1" applyFill="1" applyBorder="1" applyAlignment="1">
      <alignment horizontal="center"/>
    </xf>
    <xf numFmtId="0" fontId="18" fillId="0" borderId="0" xfId="7" applyFont="1" applyAlignment="1">
      <alignment horizontal="center" vertical="center"/>
    </xf>
    <xf numFmtId="0" fontId="18" fillId="3" borderId="58" xfId="7" applyFont="1" applyFill="1" applyBorder="1" applyAlignment="1">
      <alignment horizontal="center" vertical="center"/>
    </xf>
    <xf numFmtId="0" fontId="18" fillId="3" borderId="4" xfId="7" applyFont="1" applyFill="1" applyBorder="1" applyAlignment="1">
      <alignment horizontal="center" vertical="center"/>
    </xf>
    <xf numFmtId="2" fontId="18" fillId="3" borderId="14" xfId="7" applyNumberFormat="1" applyFont="1" applyFill="1" applyBorder="1" applyAlignment="1">
      <alignment horizontal="center"/>
    </xf>
    <xf numFmtId="2" fontId="18" fillId="3" borderId="42" xfId="7" applyNumberFormat="1" applyFont="1" applyFill="1" applyBorder="1" applyAlignment="1">
      <alignment horizontal="center"/>
    </xf>
    <xf numFmtId="0" fontId="18" fillId="3" borderId="0" xfId="7" applyFont="1" applyFill="1"/>
    <xf numFmtId="2" fontId="18" fillId="3" borderId="4" xfId="7" applyNumberFormat="1" applyFont="1" applyFill="1" applyBorder="1" applyAlignment="1">
      <alignment horizontal="center"/>
    </xf>
    <xf numFmtId="2" fontId="18" fillId="3" borderId="59" xfId="7" applyNumberFormat="1" applyFont="1" applyFill="1" applyBorder="1" applyAlignment="1">
      <alignment horizontal="center"/>
    </xf>
    <xf numFmtId="0" fontId="18" fillId="6" borderId="24" xfId="7" applyFont="1" applyFill="1" applyBorder="1" applyAlignment="1">
      <alignment horizontal="center" vertical="center"/>
    </xf>
    <xf numFmtId="2" fontId="18" fillId="6" borderId="24" xfId="7" applyNumberFormat="1" applyFont="1" applyFill="1" applyBorder="1" applyAlignment="1">
      <alignment horizontal="center"/>
    </xf>
    <xf numFmtId="0" fontId="18" fillId="0" borderId="38" xfId="7" applyFont="1" applyBorder="1"/>
    <xf numFmtId="2" fontId="18" fillId="6" borderId="23" xfId="7" applyNumberFormat="1" applyFont="1" applyFill="1" applyBorder="1" applyAlignment="1">
      <alignment horizontal="center"/>
    </xf>
    <xf numFmtId="169" fontId="40" fillId="8" borderId="29" xfId="7" applyNumberFormat="1" applyFont="1" applyFill="1" applyBorder="1" applyAlignment="1">
      <alignment horizontal="center" vertical="center"/>
    </xf>
    <xf numFmtId="2" fontId="18" fillId="6" borderId="33" xfId="7" applyNumberFormat="1" applyFont="1" applyFill="1" applyBorder="1" applyAlignment="1">
      <alignment horizontal="center" vertical="center"/>
    </xf>
    <xf numFmtId="2" fontId="18" fillId="6" borderId="31" xfId="7" applyNumberFormat="1" applyFont="1" applyFill="1" applyBorder="1" applyAlignment="1">
      <alignment horizontal="center" vertical="center"/>
    </xf>
    <xf numFmtId="2" fontId="18" fillId="3" borderId="13" xfId="7" applyNumberFormat="1" applyFont="1" applyFill="1" applyBorder="1" applyAlignment="1">
      <alignment horizontal="center" vertical="center"/>
    </xf>
    <xf numFmtId="2" fontId="18" fillId="3" borderId="59" xfId="7" applyNumberFormat="1" applyFont="1" applyFill="1" applyBorder="1" applyAlignment="1">
      <alignment horizontal="center" vertical="center"/>
    </xf>
    <xf numFmtId="2" fontId="18" fillId="6" borderId="24" xfId="7" applyNumberFormat="1" applyFont="1" applyFill="1" applyBorder="1" applyAlignment="1">
      <alignment horizontal="center" vertical="center"/>
    </xf>
    <xf numFmtId="2" fontId="18" fillId="6" borderId="23" xfId="7" applyNumberFormat="1" applyFont="1" applyFill="1" applyBorder="1" applyAlignment="1">
      <alignment horizontal="center" vertical="center"/>
    </xf>
    <xf numFmtId="169" fontId="37" fillId="8" borderId="29" xfId="7" applyNumberFormat="1" applyFont="1" applyFill="1" applyBorder="1" applyAlignment="1">
      <alignment horizontal="center"/>
    </xf>
    <xf numFmtId="0" fontId="18" fillId="3" borderId="14" xfId="7" applyFont="1" applyFill="1" applyBorder="1" applyAlignment="1">
      <alignment horizontal="center" vertical="center"/>
    </xf>
    <xf numFmtId="0" fontId="18" fillId="3" borderId="26" xfId="7" applyFont="1" applyFill="1" applyBorder="1" applyAlignment="1">
      <alignment horizontal="center" vertical="center"/>
    </xf>
    <xf numFmtId="0" fontId="18" fillId="0" borderId="26" xfId="7" applyFont="1" applyBorder="1" applyAlignment="1">
      <alignment horizontal="center" vertical="center"/>
    </xf>
    <xf numFmtId="0" fontId="18" fillId="3" borderId="0" xfId="7" applyFont="1" applyFill="1" applyAlignment="1">
      <alignment horizontal="center" vertical="center"/>
    </xf>
    <xf numFmtId="0" fontId="33" fillId="3" borderId="22" xfId="2" applyFont="1" applyFill="1" applyBorder="1" applyAlignment="1">
      <alignment horizontal="center" vertical="center"/>
    </xf>
    <xf numFmtId="0" fontId="33" fillId="3" borderId="38" xfId="2" applyFont="1" applyFill="1" applyBorder="1" applyAlignment="1">
      <alignment horizontal="left" vertical="center" wrapText="1"/>
    </xf>
    <xf numFmtId="0" fontId="38" fillId="3" borderId="27" xfId="7" applyFont="1" applyFill="1" applyBorder="1" applyAlignment="1">
      <alignment horizontal="center" vertical="center"/>
    </xf>
    <xf numFmtId="0" fontId="35" fillId="3" borderId="27" xfId="2" applyFont="1" applyFill="1" applyBorder="1" applyAlignment="1">
      <alignment horizontal="center" vertical="center"/>
    </xf>
    <xf numFmtId="0" fontId="38" fillId="3" borderId="1" xfId="7" applyFont="1" applyFill="1" applyBorder="1" applyAlignment="1">
      <alignment horizontal="center" vertical="center"/>
    </xf>
    <xf numFmtId="0" fontId="39" fillId="3" borderId="27" xfId="2" applyFont="1" applyFill="1" applyBorder="1" applyAlignment="1">
      <alignment horizontal="center" vertical="center"/>
    </xf>
    <xf numFmtId="169" fontId="18" fillId="3" borderId="27" xfId="7" applyNumberFormat="1" applyFont="1" applyFill="1" applyBorder="1" applyAlignment="1">
      <alignment horizontal="center" vertical="center"/>
    </xf>
    <xf numFmtId="169" fontId="18" fillId="3" borderId="1" xfId="7" applyNumberFormat="1" applyFont="1" applyFill="1" applyBorder="1" applyAlignment="1">
      <alignment horizontal="center" vertical="center"/>
    </xf>
    <xf numFmtId="169" fontId="18" fillId="3" borderId="29" xfId="7" applyNumberFormat="1" applyFont="1" applyFill="1" applyBorder="1" applyAlignment="1">
      <alignment horizontal="center" vertical="center"/>
    </xf>
    <xf numFmtId="1" fontId="18" fillId="3" borderId="27" xfId="7" applyNumberFormat="1" applyFont="1" applyFill="1" applyBorder="1" applyAlignment="1">
      <alignment horizontal="center"/>
    </xf>
    <xf numFmtId="169" fontId="18" fillId="7" borderId="1" xfId="7" applyNumberFormat="1" applyFont="1" applyFill="1" applyBorder="1" applyAlignment="1">
      <alignment horizontal="center"/>
    </xf>
    <xf numFmtId="169" fontId="18" fillId="3" borderId="1" xfId="7" applyNumberFormat="1" applyFont="1" applyFill="1" applyBorder="1" applyAlignment="1">
      <alignment horizontal="center"/>
    </xf>
    <xf numFmtId="169" fontId="18" fillId="3" borderId="29" xfId="2" applyNumberFormat="1" applyFont="1" applyFill="1" applyBorder="1" applyAlignment="1">
      <alignment horizontal="center"/>
    </xf>
    <xf numFmtId="164" fontId="18" fillId="3" borderId="26" xfId="2" applyNumberFormat="1" applyFont="1" applyFill="1" applyBorder="1" applyAlignment="1">
      <alignment horizontal="center"/>
    </xf>
    <xf numFmtId="0" fontId="16" fillId="0" borderId="30" xfId="7" applyFont="1" applyBorder="1" applyAlignment="1">
      <alignment horizontal="center" vertical="center"/>
    </xf>
    <xf numFmtId="169" fontId="61" fillId="7" borderId="33" xfId="7" applyNumberFormat="1" applyFill="1" applyBorder="1" applyAlignment="1">
      <alignment horizontal="center" vertical="center"/>
    </xf>
    <xf numFmtId="169" fontId="61" fillId="0" borderId="33" xfId="7" applyNumberFormat="1" applyBorder="1" applyAlignment="1">
      <alignment horizontal="center" vertical="center"/>
    </xf>
    <xf numFmtId="169" fontId="18" fillId="3" borderId="31" xfId="2" applyNumberFormat="1" applyFont="1" applyFill="1" applyBorder="1" applyAlignment="1">
      <alignment horizontal="center"/>
    </xf>
    <xf numFmtId="0" fontId="37" fillId="3" borderId="0" xfId="2" applyFont="1" applyFill="1"/>
    <xf numFmtId="0" fontId="61" fillId="0" borderId="42" xfId="7" applyBorder="1"/>
    <xf numFmtId="0" fontId="39" fillId="3" borderId="0" xfId="2" applyFont="1" applyFill="1"/>
    <xf numFmtId="0" fontId="61" fillId="7" borderId="24" xfId="7" applyFill="1" applyBorder="1"/>
    <xf numFmtId="0" fontId="61" fillId="7" borderId="23" xfId="7" applyFill="1" applyBorder="1"/>
    <xf numFmtId="169" fontId="18" fillId="3" borderId="30" xfId="7" applyNumberFormat="1" applyFont="1" applyFill="1" applyBorder="1" applyAlignment="1">
      <alignment horizontal="center" vertical="center"/>
    </xf>
    <xf numFmtId="169" fontId="18" fillId="3" borderId="33" xfId="7" applyNumberFormat="1" applyFont="1" applyFill="1" applyBorder="1" applyAlignment="1">
      <alignment horizontal="center" vertical="center"/>
    </xf>
    <xf numFmtId="169" fontId="18" fillId="3" borderId="31" xfId="7" applyNumberFormat="1" applyFont="1" applyFill="1" applyBorder="1" applyAlignment="1">
      <alignment horizontal="center" vertical="center"/>
    </xf>
    <xf numFmtId="0" fontId="61" fillId="7" borderId="1" xfId="7" applyFill="1" applyBorder="1"/>
    <xf numFmtId="0" fontId="61" fillId="7" borderId="29" xfId="7" applyFill="1" applyBorder="1"/>
    <xf numFmtId="0" fontId="18" fillId="3" borderId="26" xfId="7" applyFont="1" applyFill="1" applyBorder="1"/>
    <xf numFmtId="0" fontId="61" fillId="7" borderId="33" xfId="7" applyFill="1" applyBorder="1"/>
    <xf numFmtId="0" fontId="61" fillId="7" borderId="31" xfId="7" applyFill="1" applyBorder="1"/>
    <xf numFmtId="0" fontId="33" fillId="3" borderId="0" xfId="2" applyFont="1" applyFill="1" applyAlignment="1">
      <alignment vertical="center"/>
    </xf>
    <xf numFmtId="164" fontId="39" fillId="3" borderId="0" xfId="2" applyNumberFormat="1" applyFont="1" applyFill="1" applyAlignment="1">
      <alignment horizontal="center"/>
    </xf>
    <xf numFmtId="0" fontId="33" fillId="3" borderId="22" xfId="7" applyFont="1" applyFill="1" applyBorder="1" applyAlignment="1">
      <alignment horizontal="center" vertical="center"/>
    </xf>
    <xf numFmtId="169" fontId="33" fillId="3" borderId="24" xfId="7" applyNumberFormat="1" applyFont="1" applyFill="1" applyBorder="1" applyAlignment="1">
      <alignment horizontal="center"/>
    </xf>
    <xf numFmtId="169" fontId="33" fillId="3" borderId="23" xfId="7" applyNumberFormat="1" applyFont="1" applyFill="1" applyBorder="1" applyAlignment="1">
      <alignment horizontal="center"/>
    </xf>
    <xf numFmtId="0" fontId="38" fillId="3" borderId="0" xfId="7" applyFont="1" applyFill="1" applyAlignment="1">
      <alignment vertical="center"/>
    </xf>
    <xf numFmtId="0" fontId="33" fillId="3" borderId="52" xfId="7" applyFont="1" applyFill="1" applyBorder="1" applyAlignment="1">
      <alignment horizontal="center" vertical="center"/>
    </xf>
    <xf numFmtId="169" fontId="33" fillId="3" borderId="27" xfId="7" applyNumberFormat="1" applyFont="1" applyFill="1" applyBorder="1" applyAlignment="1">
      <alignment horizontal="center" vertical="center"/>
    </xf>
    <xf numFmtId="169" fontId="33" fillId="3" borderId="1" xfId="7" applyNumberFormat="1" applyFont="1" applyFill="1" applyBorder="1" applyAlignment="1">
      <alignment horizontal="center"/>
    </xf>
    <xf numFmtId="169" fontId="33" fillId="3" borderId="29" xfId="7" applyNumberFormat="1" applyFont="1" applyFill="1" applyBorder="1" applyAlignment="1">
      <alignment horizontal="center"/>
    </xf>
    <xf numFmtId="0" fontId="33" fillId="3" borderId="30" xfId="7" applyFont="1" applyFill="1" applyBorder="1" applyAlignment="1">
      <alignment horizontal="center" vertical="center"/>
    </xf>
    <xf numFmtId="169" fontId="33" fillId="3" borderId="56" xfId="7" applyNumberFormat="1" applyFont="1" applyFill="1" applyBorder="1" applyAlignment="1">
      <alignment horizontal="center"/>
    </xf>
    <xf numFmtId="169" fontId="33" fillId="3" borderId="33" xfId="7" applyNumberFormat="1" applyFont="1" applyFill="1" applyBorder="1" applyAlignment="1">
      <alignment horizontal="center"/>
    </xf>
    <xf numFmtId="169" fontId="33" fillId="3" borderId="61" xfId="7" applyNumberFormat="1" applyFont="1" applyFill="1" applyBorder="1" applyAlignment="1">
      <alignment horizontal="center"/>
    </xf>
    <xf numFmtId="166" fontId="18" fillId="3" borderId="6" xfId="7" applyNumberFormat="1" applyFont="1" applyFill="1" applyBorder="1" applyAlignment="1">
      <alignment horizontal="center"/>
    </xf>
    <xf numFmtId="0" fontId="18" fillId="3" borderId="6" xfId="7" applyFont="1" applyFill="1" applyBorder="1"/>
    <xf numFmtId="2" fontId="18" fillId="3" borderId="6" xfId="2" applyNumberFormat="1" applyFont="1" applyFill="1" applyBorder="1" applyAlignment="1">
      <alignment horizontal="center"/>
    </xf>
    <xf numFmtId="0" fontId="61" fillId="0" borderId="44" xfId="7" applyBorder="1"/>
    <xf numFmtId="0" fontId="18" fillId="6" borderId="54" xfId="7" applyFont="1" applyFill="1" applyBorder="1" applyAlignment="1">
      <alignment vertical="center"/>
    </xf>
    <xf numFmtId="0" fontId="18" fillId="6" borderId="7" xfId="7" applyFont="1" applyFill="1" applyBorder="1" applyAlignment="1">
      <alignment horizontal="center" vertical="center"/>
    </xf>
    <xf numFmtId="0" fontId="18" fillId="6" borderId="7" xfId="7" applyFont="1" applyFill="1" applyBorder="1" applyAlignment="1">
      <alignment vertical="center"/>
    </xf>
    <xf numFmtId="0" fontId="18" fillId="6" borderId="9" xfId="7" applyFont="1" applyFill="1" applyBorder="1" applyAlignment="1">
      <alignment vertical="center"/>
    </xf>
    <xf numFmtId="0" fontId="18" fillId="6" borderId="5" xfId="7" applyFont="1" applyFill="1" applyBorder="1" applyAlignment="1">
      <alignment vertical="center"/>
    </xf>
    <xf numFmtId="0" fontId="18" fillId="6" borderId="22" xfId="7" applyFont="1" applyFill="1" applyBorder="1" applyAlignment="1">
      <alignment horizontal="center" vertical="center"/>
    </xf>
    <xf numFmtId="0" fontId="18" fillId="6" borderId="23" xfId="7" applyFont="1" applyFill="1" applyBorder="1" applyAlignment="1">
      <alignment horizontal="center" vertical="center"/>
    </xf>
    <xf numFmtId="0" fontId="18" fillId="6" borderId="28" xfId="7" applyFont="1" applyFill="1" applyBorder="1" applyAlignment="1">
      <alignment horizontal="center" vertical="center"/>
    </xf>
    <xf numFmtId="0" fontId="17" fillId="3" borderId="27" xfId="2" applyFont="1" applyFill="1" applyBorder="1" applyAlignment="1">
      <alignment horizontal="center" vertical="center"/>
    </xf>
    <xf numFmtId="0" fontId="17" fillId="3" borderId="1" xfId="2" applyFont="1" applyFill="1" applyBorder="1" applyAlignment="1">
      <alignment horizontal="center" vertical="center"/>
    </xf>
    <xf numFmtId="0" fontId="27" fillId="0" borderId="29" xfId="7" applyFont="1" applyBorder="1" applyAlignment="1">
      <alignment vertical="center"/>
    </xf>
    <xf numFmtId="0" fontId="18" fillId="6" borderId="27" xfId="7" applyFont="1" applyFill="1" applyBorder="1" applyAlignment="1">
      <alignment horizontal="center" vertical="center"/>
    </xf>
    <xf numFmtId="0" fontId="18" fillId="6" borderId="29" xfId="7" applyFont="1" applyFill="1" applyBorder="1" applyAlignment="1">
      <alignment horizontal="center" vertical="center"/>
    </xf>
    <xf numFmtId="0" fontId="52" fillId="0" borderId="29" xfId="7" applyFont="1" applyBorder="1" applyAlignment="1">
      <alignment horizontal="left" vertical="center"/>
    </xf>
    <xf numFmtId="0" fontId="18" fillId="3" borderId="30" xfId="7" applyFont="1" applyFill="1" applyBorder="1"/>
    <xf numFmtId="2" fontId="27" fillId="0" borderId="33" xfId="7" applyNumberFormat="1" applyFont="1" applyBorder="1" applyAlignment="1">
      <alignment horizontal="center" vertical="center"/>
    </xf>
    <xf numFmtId="2" fontId="27" fillId="0" borderId="31" xfId="7" applyNumberFormat="1" applyFont="1" applyBorder="1" applyAlignment="1">
      <alignment horizontal="center" vertical="center"/>
    </xf>
    <xf numFmtId="0" fontId="18" fillId="6" borderId="11" xfId="7" applyFont="1" applyFill="1" applyBorder="1" applyAlignment="1">
      <alignment horizontal="center" vertical="center"/>
    </xf>
    <xf numFmtId="0" fontId="18" fillId="6" borderId="11" xfId="7" applyFont="1" applyFill="1" applyBorder="1" applyAlignment="1">
      <alignment vertical="center"/>
    </xf>
    <xf numFmtId="0" fontId="18" fillId="6" borderId="12" xfId="7" applyFont="1" applyFill="1" applyBorder="1" applyAlignment="1">
      <alignment vertical="center"/>
    </xf>
    <xf numFmtId="0" fontId="18" fillId="6" borderId="10" xfId="7" applyFont="1" applyFill="1" applyBorder="1" applyAlignment="1">
      <alignment vertical="center"/>
    </xf>
    <xf numFmtId="0" fontId="18" fillId="6" borderId="65" xfId="7" applyFont="1" applyFill="1" applyBorder="1" applyAlignment="1">
      <alignment horizontal="left" vertical="center"/>
    </xf>
    <xf numFmtId="0" fontId="18" fillId="6" borderId="30" xfId="7" applyFont="1" applyFill="1" applyBorder="1" applyAlignment="1">
      <alignment horizontal="center" vertical="center"/>
    </xf>
    <xf numFmtId="0" fontId="18" fillId="6" borderId="31" xfId="7" applyFont="1" applyFill="1" applyBorder="1" applyAlignment="1">
      <alignment horizontal="center" vertical="center"/>
    </xf>
    <xf numFmtId="0" fontId="62" fillId="0" borderId="0" xfId="0" applyFont="1"/>
    <xf numFmtId="2" fontId="63" fillId="10" borderId="1" xfId="0" applyNumberFormat="1" applyFont="1" applyFill="1" applyBorder="1" applyAlignment="1" applyProtection="1">
      <alignment horizontal="center" vertical="center"/>
      <protection locked="0"/>
    </xf>
    <xf numFmtId="0" fontId="63" fillId="4" borderId="0" xfId="0" applyFont="1" applyFill="1" applyAlignment="1" applyProtection="1">
      <alignment vertical="center"/>
      <protection locked="0"/>
    </xf>
    <xf numFmtId="0" fontId="63" fillId="4" borderId="0" xfId="0" quotePrefix="1" applyFont="1" applyFill="1" applyAlignment="1" applyProtection="1">
      <alignment vertical="center"/>
      <protection locked="0"/>
    </xf>
    <xf numFmtId="0" fontId="63" fillId="4" borderId="0" xfId="0" applyFont="1" applyFill="1" applyAlignment="1" applyProtection="1">
      <alignment horizontal="left" vertical="center"/>
      <protection locked="0"/>
    </xf>
    <xf numFmtId="169" fontId="63" fillId="4" borderId="1" xfId="0" applyNumberFormat="1" applyFont="1" applyFill="1" applyBorder="1" applyAlignment="1" applyProtection="1">
      <alignment horizontal="center" vertical="center"/>
      <protection locked="0"/>
    </xf>
    <xf numFmtId="0" fontId="41" fillId="0" borderId="1" xfId="0" applyFont="1" applyBorder="1" applyAlignment="1">
      <alignment horizontal="center" vertical="center"/>
    </xf>
    <xf numFmtId="0" fontId="42" fillId="0" borderId="5" xfId="0" applyFont="1" applyBorder="1" applyAlignment="1">
      <alignment vertical="center"/>
    </xf>
    <xf numFmtId="0" fontId="42" fillId="0" borderId="7" xfId="0" applyFont="1" applyBorder="1" applyAlignment="1">
      <alignment vertical="center"/>
    </xf>
    <xf numFmtId="0" fontId="42" fillId="0" borderId="9" xfId="0" applyFont="1" applyBorder="1" applyAlignment="1">
      <alignment vertical="center"/>
    </xf>
    <xf numFmtId="168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0" fontId="4" fillId="8" borderId="0" xfId="0" applyFont="1" applyFill="1" applyAlignment="1" applyProtection="1">
      <alignment vertical="center"/>
      <protection locked="0"/>
    </xf>
    <xf numFmtId="0" fontId="4" fillId="0" borderId="0" xfId="0" quotePrefix="1" applyFont="1" applyAlignment="1" applyProtection="1">
      <alignment horizontal="right" vertical="center"/>
      <protection locked="0"/>
    </xf>
    <xf numFmtId="0" fontId="16" fillId="0" borderId="0" xfId="2"/>
    <xf numFmtId="0" fontId="68" fillId="0" borderId="1" xfId="2" applyFont="1" applyBorder="1"/>
    <xf numFmtId="0" fontId="68" fillId="0" borderId="1" xfId="2" applyFont="1" applyBorder="1" applyAlignment="1">
      <alignment horizontal="left"/>
    </xf>
    <xf numFmtId="0" fontId="68" fillId="0" borderId="0" xfId="2" applyFont="1" applyAlignment="1">
      <alignment horizontal="left"/>
    </xf>
    <xf numFmtId="0" fontId="68" fillId="0" borderId="0" xfId="2" applyFont="1"/>
    <xf numFmtId="0" fontId="16" fillId="0" borderId="66" xfId="2" applyBorder="1"/>
    <xf numFmtId="0" fontId="16" fillId="0" borderId="0" xfId="2" quotePrefix="1"/>
    <xf numFmtId="17" fontId="16" fillId="0" borderId="0" xfId="2" quotePrefix="1" applyNumberFormat="1"/>
    <xf numFmtId="0" fontId="17" fillId="0" borderId="0" xfId="2" applyFont="1"/>
    <xf numFmtId="0" fontId="17" fillId="13" borderId="66" xfId="2" applyFont="1" applyFill="1" applyBorder="1"/>
    <xf numFmtId="0" fontId="17" fillId="9" borderId="5" xfId="2" applyFont="1" applyFill="1" applyBorder="1"/>
    <xf numFmtId="0" fontId="17" fillId="9" borderId="1" xfId="2" applyFont="1" applyFill="1" applyBorder="1"/>
    <xf numFmtId="0" fontId="65" fillId="0" borderId="0" xfId="2" applyFont="1" applyAlignment="1">
      <alignment horizontal="center" vertical="center" wrapText="1"/>
    </xf>
    <xf numFmtId="0" fontId="73" fillId="0" borderId="0" xfId="2" applyFont="1" applyAlignment="1">
      <alignment horizontal="right"/>
    </xf>
    <xf numFmtId="0" fontId="16" fillId="0" borderId="0" xfId="2" applyAlignment="1">
      <alignment horizontal="left" vertical="center" wrapText="1"/>
    </xf>
    <xf numFmtId="0" fontId="16" fillId="0" borderId="0" xfId="2" applyAlignment="1">
      <alignment horizontal="center" vertical="center"/>
    </xf>
    <xf numFmtId="0" fontId="16" fillId="0" borderId="0" xfId="2" applyAlignment="1">
      <alignment horizontal="center" vertical="center" wrapText="1"/>
    </xf>
    <xf numFmtId="17" fontId="16" fillId="0" borderId="0" xfId="2" applyNumberFormat="1" applyAlignment="1">
      <alignment horizontal="center" vertical="center"/>
    </xf>
    <xf numFmtId="0" fontId="16" fillId="0" borderId="0" xfId="2" applyAlignment="1">
      <alignment horizontal="left" vertical="center"/>
    </xf>
    <xf numFmtId="0" fontId="69" fillId="0" borderId="0" xfId="2" applyFont="1" applyAlignment="1">
      <alignment horizontal="left" vertical="center" wrapText="1"/>
    </xf>
    <xf numFmtId="0" fontId="16" fillId="0" borderId="0" xfId="2" quotePrefix="1" applyAlignment="1">
      <alignment horizontal="center" vertical="center"/>
    </xf>
    <xf numFmtId="0" fontId="69" fillId="0" borderId="0" xfId="2" applyFont="1"/>
    <xf numFmtId="0" fontId="69" fillId="0" borderId="0" xfId="2" applyFont="1" applyAlignment="1">
      <alignment vertical="top"/>
    </xf>
    <xf numFmtId="0" fontId="69" fillId="0" borderId="0" xfId="2" applyFont="1" applyAlignment="1">
      <alignment vertical="center"/>
    </xf>
    <xf numFmtId="0" fontId="16" fillId="0" borderId="0" xfId="2" applyAlignment="1">
      <alignment horizontal="center"/>
    </xf>
    <xf numFmtId="0" fontId="69" fillId="0" borderId="1" xfId="2" applyFont="1" applyBorder="1" applyAlignment="1">
      <alignment horizontal="center" vertical="center"/>
    </xf>
    <xf numFmtId="0" fontId="69" fillId="0" borderId="1" xfId="2" quotePrefix="1" applyFont="1" applyBorder="1" applyAlignment="1">
      <alignment horizontal="center" vertical="center"/>
    </xf>
    <xf numFmtId="0" fontId="69" fillId="0" borderId="9" xfId="2" applyFont="1" applyBorder="1" applyAlignment="1">
      <alignment horizontal="center" vertical="center" wrapText="1"/>
    </xf>
    <xf numFmtId="0" fontId="69" fillId="0" borderId="1" xfId="2" applyFont="1" applyBorder="1" applyAlignment="1">
      <alignment horizontal="center" vertical="center" wrapText="1"/>
    </xf>
    <xf numFmtId="11" fontId="69" fillId="0" borderId="1" xfId="2" applyNumberFormat="1" applyFont="1" applyBorder="1" applyAlignment="1">
      <alignment horizontal="center" vertical="center" wrapText="1"/>
    </xf>
    <xf numFmtId="0" fontId="69" fillId="0" borderId="0" xfId="2" quotePrefix="1" applyFont="1" applyAlignment="1">
      <alignment vertical="center"/>
    </xf>
    <xf numFmtId="0" fontId="69" fillId="0" borderId="0" xfId="2" applyFont="1" applyAlignment="1">
      <alignment horizontal="left" vertical="center"/>
    </xf>
    <xf numFmtId="0" fontId="69" fillId="0" borderId="0" xfId="2" applyFont="1" applyAlignment="1">
      <alignment horizontal="center" vertical="center"/>
    </xf>
    <xf numFmtId="181" fontId="69" fillId="0" borderId="0" xfId="2" applyNumberFormat="1" applyFont="1" applyAlignment="1">
      <alignment horizontal="left" vertical="center"/>
    </xf>
    <xf numFmtId="170" fontId="4" fillId="0" borderId="0" xfId="0" applyNumberFormat="1" applyFont="1" applyAlignment="1" applyProtection="1">
      <alignment vertical="center"/>
      <protection locked="0"/>
    </xf>
    <xf numFmtId="0" fontId="51" fillId="4" borderId="0" xfId="0" applyFont="1" applyFill="1" applyAlignment="1">
      <alignment vertical="center"/>
    </xf>
    <xf numFmtId="0" fontId="4" fillId="0" borderId="0" xfId="0" applyFont="1" applyAlignment="1">
      <alignment horizontal="right" vertical="center"/>
    </xf>
    <xf numFmtId="0" fontId="42" fillId="0" borderId="1" xfId="0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169" fontId="4" fillId="4" borderId="1" xfId="0" applyNumberFormat="1" applyFont="1" applyFill="1" applyBorder="1" applyAlignment="1">
      <alignment horizontal="center" vertical="center"/>
    </xf>
    <xf numFmtId="0" fontId="42" fillId="0" borderId="1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164" fontId="42" fillId="0" borderId="3" xfId="0" applyNumberFormat="1" applyFont="1" applyBorder="1" applyAlignment="1">
      <alignment horizontal="center" vertical="center"/>
    </xf>
    <xf numFmtId="167" fontId="42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2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9" fontId="4" fillId="10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1" fillId="0" borderId="0" xfId="0" applyFont="1" applyAlignment="1" applyProtection="1">
      <alignment horizontal="right" vertical="center"/>
      <protection hidden="1"/>
    </xf>
    <xf numFmtId="176" fontId="4" fillId="0" borderId="4" xfId="0" applyNumberFormat="1" applyFont="1" applyBorder="1" applyAlignment="1">
      <alignment vertical="top"/>
    </xf>
    <xf numFmtId="176" fontId="4" fillId="0" borderId="3" xfId="0" applyNumberFormat="1" applyFont="1" applyBorder="1" applyAlignment="1">
      <alignment vertical="top"/>
    </xf>
    <xf numFmtId="0" fontId="76" fillId="8" borderId="0" xfId="0" applyFont="1" applyFill="1" applyAlignment="1" applyProtection="1">
      <alignment horizontal="right" vertical="center"/>
      <protection locked="0"/>
    </xf>
    <xf numFmtId="180" fontId="76" fillId="8" borderId="0" xfId="0" applyNumberFormat="1" applyFont="1" applyFill="1" applyAlignment="1" applyProtection="1">
      <alignment horizontal="right"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18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169" fontId="2" fillId="0" borderId="0" xfId="0" applyNumberFormat="1" applyFont="1" applyAlignment="1">
      <alignment horizontal="left" vertical="center"/>
    </xf>
    <xf numFmtId="0" fontId="2" fillId="0" borderId="19" xfId="0" applyFont="1" applyBorder="1" applyAlignment="1">
      <alignment vertical="center"/>
    </xf>
    <xf numFmtId="164" fontId="2" fillId="0" borderId="0" xfId="0" applyNumberFormat="1" applyFont="1" applyAlignment="1">
      <alignment horizontal="left" vertical="center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8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6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66" fillId="0" borderId="0" xfId="0" applyFont="1"/>
    <xf numFmtId="0" fontId="67" fillId="0" borderId="5" xfId="0" applyFont="1" applyBorder="1" applyAlignment="1">
      <alignment horizontal="left" vertical="top"/>
    </xf>
    <xf numFmtId="0" fontId="67" fillId="0" borderId="9" xfId="0" applyFont="1" applyBorder="1" applyAlignment="1">
      <alignment vertical="top"/>
    </xf>
    <xf numFmtId="0" fontId="67" fillId="0" borderId="0" xfId="0" applyFont="1"/>
    <xf numFmtId="0" fontId="66" fillId="0" borderId="5" xfId="0" applyFont="1" applyBorder="1" applyAlignment="1">
      <alignment vertical="top"/>
    </xf>
    <xf numFmtId="0" fontId="66" fillId="0" borderId="7" xfId="0" applyFont="1" applyBorder="1"/>
    <xf numFmtId="0" fontId="66" fillId="0" borderId="9" xfId="0" applyFont="1" applyBorder="1" applyAlignment="1">
      <alignment horizontal="left" vertical="top"/>
    </xf>
    <xf numFmtId="0" fontId="66" fillId="0" borderId="0" xfId="0" applyFont="1" applyAlignment="1">
      <alignment horizontal="left"/>
    </xf>
    <xf numFmtId="0" fontId="39" fillId="0" borderId="5" xfId="8" applyFont="1" applyBorder="1" applyAlignment="1">
      <alignment vertical="top"/>
    </xf>
    <xf numFmtId="0" fontId="66" fillId="0" borderId="9" xfId="0" applyFont="1" applyBorder="1"/>
    <xf numFmtId="0" fontId="39" fillId="0" borderId="9" xfId="8" applyFont="1" applyBorder="1" applyAlignment="1" applyProtection="1">
      <alignment vertical="top"/>
      <protection locked="0"/>
    </xf>
    <xf numFmtId="0" fontId="66" fillId="0" borderId="0" xfId="0" applyFont="1" applyAlignment="1">
      <alignment vertical="top"/>
    </xf>
    <xf numFmtId="181" fontId="66" fillId="0" borderId="0" xfId="0" applyNumberFormat="1" applyFont="1"/>
    <xf numFmtId="0" fontId="67" fillId="0" borderId="0" xfId="0" applyFont="1" applyAlignment="1">
      <alignment vertical="top"/>
    </xf>
    <xf numFmtId="0" fontId="66" fillId="0" borderId="0" xfId="0" applyFont="1" applyAlignment="1">
      <alignment horizontal="left" vertical="top"/>
    </xf>
    <xf numFmtId="0" fontId="39" fillId="0" borderId="0" xfId="8" applyFont="1" applyAlignment="1">
      <alignment vertical="top" wrapText="1"/>
    </xf>
    <xf numFmtId="0" fontId="39" fillId="0" borderId="0" xfId="8" applyFont="1" applyAlignment="1">
      <alignment horizontal="justify" vertical="center" wrapText="1"/>
    </xf>
    <xf numFmtId="0" fontId="13" fillId="0" borderId="0" xfId="8" applyFont="1"/>
    <xf numFmtId="0" fontId="13" fillId="0" borderId="41" xfId="8" applyFont="1" applyBorder="1"/>
    <xf numFmtId="0" fontId="66" fillId="0" borderId="38" xfId="0" applyFont="1" applyBorder="1"/>
    <xf numFmtId="0" fontId="66" fillId="0" borderId="40" xfId="0" applyFont="1" applyBorder="1"/>
    <xf numFmtId="0" fontId="13" fillId="0" borderId="26" xfId="8" applyFont="1" applyBorder="1"/>
    <xf numFmtId="0" fontId="66" fillId="0" borderId="42" xfId="0" applyFont="1" applyBorder="1"/>
    <xf numFmtId="0" fontId="13" fillId="0" borderId="26" xfId="8" applyFont="1" applyBorder="1" applyAlignment="1">
      <alignment wrapText="1"/>
    </xf>
    <xf numFmtId="0" fontId="13" fillId="0" borderId="42" xfId="8" applyFont="1" applyBorder="1"/>
    <xf numFmtId="0" fontId="67" fillId="0" borderId="0" xfId="8" applyFont="1" applyAlignment="1">
      <alignment horizontal="left" vertical="top" wrapText="1"/>
    </xf>
    <xf numFmtId="0" fontId="67" fillId="0" borderId="26" xfId="8" applyFont="1" applyBorder="1" applyAlignment="1">
      <alignment wrapText="1"/>
    </xf>
    <xf numFmtId="0" fontId="67" fillId="0" borderId="26" xfId="8" applyFont="1" applyBorder="1"/>
    <xf numFmtId="0" fontId="67" fillId="0" borderId="43" xfId="8" applyFont="1" applyBorder="1"/>
    <xf numFmtId="0" fontId="66" fillId="0" borderId="6" xfId="0" applyFont="1" applyBorder="1"/>
    <xf numFmtId="0" fontId="66" fillId="0" borderId="44" xfId="0" applyFont="1" applyBorder="1"/>
    <xf numFmtId="0" fontId="64" fillId="4" borderId="0" xfId="0" applyFont="1" applyFill="1" applyAlignment="1" applyProtection="1">
      <alignment vertical="center"/>
      <protection locked="0"/>
    </xf>
    <xf numFmtId="2" fontId="4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vertical="center"/>
    </xf>
    <xf numFmtId="172" fontId="4" fillId="0" borderId="5" xfId="0" applyNumberFormat="1" applyFont="1" applyBorder="1" applyAlignment="1" applyProtection="1">
      <alignment horizontal="right" vertical="center"/>
      <protection locked="0"/>
    </xf>
    <xf numFmtId="14" fontId="63" fillId="4" borderId="0" xfId="0" applyNumberFormat="1" applyFont="1" applyFill="1" applyAlignment="1" applyProtection="1">
      <alignment horizontal="left" vertical="center"/>
      <protection locked="0"/>
    </xf>
    <xf numFmtId="181" fontId="66" fillId="0" borderId="0" xfId="0" applyNumberFormat="1" applyFont="1" applyAlignment="1">
      <alignment horizontal="center" vertical="center"/>
    </xf>
    <xf numFmtId="172" fontId="4" fillId="0" borderId="0" xfId="0" applyNumberFormat="1" applyFont="1" applyAlignment="1" applyProtection="1">
      <alignment horizontal="right" vertical="center"/>
      <protection locked="0"/>
    </xf>
    <xf numFmtId="2" fontId="4" fillId="0" borderId="5" xfId="0" applyNumberFormat="1" applyFont="1" applyBorder="1" applyAlignment="1">
      <alignment horizontal="right" vertical="center"/>
    </xf>
    <xf numFmtId="166" fontId="4" fillId="0" borderId="9" xfId="0" applyNumberFormat="1" applyFont="1" applyBorder="1" applyAlignment="1">
      <alignment horizontal="left" vertical="center"/>
    </xf>
    <xf numFmtId="166" fontId="4" fillId="0" borderId="9" xfId="0" applyNumberFormat="1" applyFont="1" applyBorder="1" applyAlignment="1">
      <alignment horizontal="left" vertical="center" wrapText="1"/>
    </xf>
    <xf numFmtId="166" fontId="9" fillId="0" borderId="1" xfId="0" applyNumberFormat="1" applyFont="1" applyBorder="1" applyAlignment="1">
      <alignment horizontal="center"/>
    </xf>
    <xf numFmtId="169" fontId="4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8" fillId="3" borderId="13" xfId="0" applyFont="1" applyFill="1" applyBorder="1" applyAlignment="1">
      <alignment horizontal="right" vertical="top" wrapText="1"/>
    </xf>
    <xf numFmtId="0" fontId="58" fillId="3" borderId="0" xfId="0" applyFont="1" applyFill="1" applyAlignment="1">
      <alignment horizontal="right" vertical="top" wrapText="1"/>
    </xf>
    <xf numFmtId="0" fontId="19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1" fillId="0" borderId="0" xfId="0" applyFont="1" applyAlignment="1" applyProtection="1">
      <alignment horizontal="left" vertical="center"/>
      <protection locked="0"/>
    </xf>
    <xf numFmtId="0" fontId="42" fillId="0" borderId="1" xfId="0" applyFont="1" applyBorder="1" applyAlignment="1" applyProtection="1">
      <alignment horizontal="center" vertical="center"/>
      <protection locked="0"/>
    </xf>
    <xf numFmtId="0" fontId="45" fillId="0" borderId="0" xfId="0" applyFont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4" borderId="0" xfId="0" applyFont="1" applyFill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51" fillId="4" borderId="0" xfId="0" applyFont="1" applyFill="1" applyAlignment="1">
      <alignment horizontal="right" vertical="center"/>
    </xf>
    <xf numFmtId="0" fontId="42" fillId="12" borderId="5" xfId="0" applyFont="1" applyFill="1" applyBorder="1" applyAlignment="1" applyProtection="1">
      <alignment horizontal="center" vertical="center"/>
      <protection locked="0"/>
    </xf>
    <xf numFmtId="0" fontId="42" fillId="12" borderId="7" xfId="0" applyFont="1" applyFill="1" applyBorder="1" applyAlignment="1" applyProtection="1">
      <alignment horizontal="center" vertical="center"/>
      <protection locked="0"/>
    </xf>
    <xf numFmtId="0" fontId="42" fillId="12" borderId="9" xfId="0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locked="0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81" fontId="4" fillId="0" borderId="0" xfId="0" applyNumberFormat="1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175" fontId="4" fillId="0" borderId="0" xfId="0" applyNumberFormat="1" applyFont="1" applyAlignment="1" applyProtection="1">
      <alignment horizontal="right" vertical="center"/>
      <protection locked="0"/>
    </xf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81" fontId="4" fillId="0" borderId="0" xfId="0" applyNumberFormat="1" applyFont="1" applyAlignment="1">
      <alignment horizontal="left" vertical="center"/>
    </xf>
    <xf numFmtId="166" fontId="4" fillId="0" borderId="7" xfId="0" applyNumberFormat="1" applyFont="1" applyBorder="1" applyAlignment="1">
      <alignment horizontal="left" vertical="center"/>
    </xf>
    <xf numFmtId="166" fontId="4" fillId="0" borderId="9" xfId="0" applyNumberFormat="1" applyFont="1" applyBorder="1" applyAlignment="1">
      <alignment horizontal="left" vertical="center"/>
    </xf>
    <xf numFmtId="169" fontId="4" fillId="0" borderId="2" xfId="0" applyNumberFormat="1" applyFont="1" applyBorder="1" applyAlignment="1">
      <alignment horizontal="center" vertical="center"/>
    </xf>
    <xf numFmtId="169" fontId="4" fillId="0" borderId="4" xfId="0" applyNumberFormat="1" applyFont="1" applyBorder="1" applyAlignment="1">
      <alignment horizontal="center" vertical="center"/>
    </xf>
    <xf numFmtId="0" fontId="49" fillId="0" borderId="13" xfId="0" applyFont="1" applyBorder="1" applyAlignment="1">
      <alignment horizontal="center" vertical="center"/>
    </xf>
    <xf numFmtId="0" fontId="31" fillId="0" borderId="5" xfId="0" applyFont="1" applyBorder="1" applyAlignment="1" applyProtection="1">
      <alignment vertical="center"/>
      <protection locked="0"/>
    </xf>
    <xf numFmtId="0" fontId="31" fillId="0" borderId="7" xfId="0" applyFont="1" applyBorder="1" applyAlignment="1" applyProtection="1">
      <alignment vertical="center"/>
      <protection locked="0"/>
    </xf>
    <xf numFmtId="0" fontId="31" fillId="0" borderId="9" xfId="0" applyFont="1" applyBorder="1" applyAlignment="1" applyProtection="1">
      <alignment vertical="center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left" vertical="top"/>
      <protection locked="0"/>
    </xf>
    <xf numFmtId="0" fontId="14" fillId="0" borderId="7" xfId="0" applyFont="1" applyBorder="1" applyAlignment="1" applyProtection="1">
      <alignment horizontal="left" vertical="top"/>
      <protection locked="0"/>
    </xf>
    <xf numFmtId="0" fontId="14" fillId="0" borderId="9" xfId="0" applyFont="1" applyBorder="1" applyAlignment="1" applyProtection="1">
      <alignment horizontal="left" vertical="top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7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177" fontId="14" fillId="8" borderId="1" xfId="0" applyNumberFormat="1" applyFont="1" applyFill="1" applyBorder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77" fontId="4" fillId="8" borderId="0" xfId="0" applyNumberFormat="1" applyFont="1" applyFill="1" applyAlignment="1" applyProtection="1">
      <alignment horizontal="center" vertical="center"/>
      <protection locked="0"/>
    </xf>
    <xf numFmtId="180" fontId="4" fillId="0" borderId="0" xfId="0" applyNumberFormat="1" applyFont="1" applyAlignment="1" applyProtection="1">
      <alignment horizontal="center" vertical="center"/>
      <protection locked="0"/>
    </xf>
    <xf numFmtId="177" fontId="4" fillId="0" borderId="0" xfId="0" applyNumberFormat="1" applyFont="1" applyAlignment="1" applyProtection="1">
      <alignment horizontal="center" vertical="center"/>
      <protection locked="0"/>
    </xf>
    <xf numFmtId="170" fontId="4" fillId="0" borderId="5" xfId="0" applyNumberFormat="1" applyFont="1" applyBorder="1" applyAlignment="1">
      <alignment horizontal="center" vertical="center"/>
    </xf>
    <xf numFmtId="170" fontId="4" fillId="0" borderId="7" xfId="0" applyNumberFormat="1" applyFont="1" applyBorder="1" applyAlignment="1">
      <alignment horizontal="center" vertical="center"/>
    </xf>
    <xf numFmtId="170" fontId="4" fillId="0" borderId="9" xfId="0" applyNumberFormat="1" applyFont="1" applyBorder="1" applyAlignment="1">
      <alignment horizontal="center" vertical="center"/>
    </xf>
    <xf numFmtId="180" fontId="4" fillId="8" borderId="3" xfId="0" applyNumberFormat="1" applyFont="1" applyFill="1" applyBorder="1" applyAlignment="1" applyProtection="1">
      <alignment horizontal="center" vertical="center"/>
      <protection locked="0"/>
    </xf>
    <xf numFmtId="180" fontId="4" fillId="8" borderId="1" xfId="0" applyNumberFormat="1" applyFont="1" applyFill="1" applyBorder="1" applyAlignment="1" applyProtection="1">
      <alignment horizontal="center" vertical="center"/>
      <protection locked="0"/>
    </xf>
    <xf numFmtId="0" fontId="34" fillId="6" borderId="1" xfId="7" applyFont="1" applyFill="1" applyBorder="1" applyAlignment="1">
      <alignment horizontal="center" vertical="center"/>
    </xf>
    <xf numFmtId="0" fontId="34" fillId="6" borderId="29" xfId="7" applyFont="1" applyFill="1" applyBorder="1" applyAlignment="1">
      <alignment horizontal="center" vertical="center"/>
    </xf>
    <xf numFmtId="0" fontId="34" fillId="6" borderId="27" xfId="7" applyFont="1" applyFill="1" applyBorder="1" applyAlignment="1">
      <alignment horizontal="center" vertical="center"/>
    </xf>
    <xf numFmtId="0" fontId="35" fillId="6" borderId="27" xfId="2" applyFont="1" applyFill="1" applyBorder="1" applyAlignment="1">
      <alignment horizontal="center" vertical="center"/>
    </xf>
    <xf numFmtId="0" fontId="35" fillId="6" borderId="1" xfId="2" applyFont="1" applyFill="1" applyBorder="1" applyAlignment="1">
      <alignment horizontal="center" vertical="center"/>
    </xf>
    <xf numFmtId="0" fontId="36" fillId="6" borderId="27" xfId="2" applyFont="1" applyFill="1" applyBorder="1" applyAlignment="1">
      <alignment horizontal="center" vertical="center"/>
    </xf>
    <xf numFmtId="0" fontId="32" fillId="5" borderId="26" xfId="7" applyFont="1" applyFill="1" applyBorder="1" applyAlignment="1">
      <alignment horizontal="center" vertical="center"/>
    </xf>
    <xf numFmtId="0" fontId="32" fillId="5" borderId="0" xfId="7" applyFont="1" applyFill="1" applyAlignment="1">
      <alignment horizontal="center" vertical="center"/>
    </xf>
    <xf numFmtId="0" fontId="61" fillId="0" borderId="41" xfId="7" applyBorder="1" applyAlignment="1">
      <alignment horizontal="center" vertical="center"/>
    </xf>
    <xf numFmtId="0" fontId="61" fillId="0" borderId="26" xfId="7" applyBorder="1" applyAlignment="1">
      <alignment horizontal="center" vertical="center"/>
    </xf>
    <xf numFmtId="0" fontId="61" fillId="0" borderId="43" xfId="7" applyBorder="1" applyAlignment="1">
      <alignment horizontal="center" vertical="center"/>
    </xf>
    <xf numFmtId="0" fontId="33" fillId="6" borderId="22" xfId="2" applyFont="1" applyFill="1" applyBorder="1" applyAlignment="1">
      <alignment horizontal="center" vertical="center"/>
    </xf>
    <xf numFmtId="0" fontId="33" fillId="6" borderId="24" xfId="2" applyFont="1" applyFill="1" applyBorder="1" applyAlignment="1">
      <alignment horizontal="center" vertical="center"/>
    </xf>
    <xf numFmtId="0" fontId="33" fillId="6" borderId="23" xfId="2" applyFont="1" applyFill="1" applyBorder="1" applyAlignment="1">
      <alignment horizontal="center" vertical="center"/>
    </xf>
    <xf numFmtId="1" fontId="14" fillId="6" borderId="22" xfId="7" applyNumberFormat="1" applyFont="1" applyFill="1" applyBorder="1" applyAlignment="1">
      <alignment horizontal="center" vertical="center"/>
    </xf>
    <xf numFmtId="1" fontId="14" fillId="6" borderId="23" xfId="7" applyNumberFormat="1" applyFont="1" applyFill="1" applyBorder="1" applyAlignment="1">
      <alignment horizontal="center" vertical="center"/>
    </xf>
    <xf numFmtId="0" fontId="34" fillId="6" borderId="37" xfId="7" applyFont="1" applyFill="1" applyBorder="1" applyAlignment="1">
      <alignment horizontal="center" vertical="center"/>
    </xf>
    <xf numFmtId="0" fontId="34" fillId="6" borderId="47" xfId="7" applyFont="1" applyFill="1" applyBorder="1" applyAlignment="1">
      <alignment horizontal="center" vertical="center"/>
    </xf>
    <xf numFmtId="0" fontId="34" fillId="6" borderId="48" xfId="7" applyFont="1" applyFill="1" applyBorder="1" applyAlignment="1">
      <alignment horizontal="center" vertical="center"/>
    </xf>
    <xf numFmtId="0" fontId="34" fillId="6" borderId="39" xfId="7" applyFont="1" applyFill="1" applyBorder="1" applyAlignment="1">
      <alignment horizontal="center" vertical="center"/>
    </xf>
    <xf numFmtId="0" fontId="34" fillId="6" borderId="45" xfId="7" applyFont="1" applyFill="1" applyBorder="1" applyAlignment="1">
      <alignment horizontal="center" vertical="center"/>
    </xf>
    <xf numFmtId="0" fontId="34" fillId="6" borderId="50" xfId="7" applyFont="1" applyFill="1" applyBorder="1" applyAlignment="1">
      <alignment horizontal="center" vertical="center"/>
    </xf>
    <xf numFmtId="0" fontId="35" fillId="6" borderId="37" xfId="2" applyFont="1" applyFill="1" applyBorder="1" applyAlignment="1">
      <alignment horizontal="center" vertical="center"/>
    </xf>
    <xf numFmtId="0" fontId="35" fillId="6" borderId="47" xfId="2" applyFont="1" applyFill="1" applyBorder="1" applyAlignment="1">
      <alignment horizontal="center" vertical="center"/>
    </xf>
    <xf numFmtId="0" fontId="36" fillId="6" borderId="43" xfId="2" applyFont="1" applyFill="1" applyBorder="1" applyAlignment="1">
      <alignment horizontal="center" vertical="center"/>
    </xf>
    <xf numFmtId="0" fontId="35" fillId="6" borderId="51" xfId="2" applyFont="1" applyFill="1" applyBorder="1" applyAlignment="1">
      <alignment horizontal="center" vertical="center"/>
    </xf>
    <xf numFmtId="0" fontId="61" fillId="0" borderId="45" xfId="7" applyBorder="1" applyAlignment="1">
      <alignment horizontal="center" vertical="center"/>
    </xf>
    <xf numFmtId="0" fontId="61" fillId="0" borderId="46" xfId="7" applyBorder="1" applyAlignment="1">
      <alignment horizontal="center" vertical="center"/>
    </xf>
    <xf numFmtId="0" fontId="61" fillId="0" borderId="50" xfId="7" applyBorder="1" applyAlignment="1">
      <alignment horizontal="center" vertical="center"/>
    </xf>
    <xf numFmtId="0" fontId="33" fillId="6" borderId="41" xfId="2" applyFont="1" applyFill="1" applyBorder="1" applyAlignment="1">
      <alignment horizontal="center" vertical="center"/>
    </xf>
    <xf numFmtId="0" fontId="33" fillId="6" borderId="38" xfId="2" applyFont="1" applyFill="1" applyBorder="1" applyAlignment="1">
      <alignment horizontal="center" vertical="center"/>
    </xf>
    <xf numFmtId="0" fontId="33" fillId="6" borderId="40" xfId="2" applyFont="1" applyFill="1" applyBorder="1" applyAlignment="1">
      <alignment horizontal="center" vertical="center"/>
    </xf>
    <xf numFmtId="0" fontId="33" fillId="6" borderId="37" xfId="2" applyFont="1" applyFill="1" applyBorder="1" applyAlignment="1">
      <alignment horizontal="center" vertical="center"/>
    </xf>
    <xf numFmtId="0" fontId="33" fillId="6" borderId="39" xfId="2" applyFont="1" applyFill="1" applyBorder="1" applyAlignment="1">
      <alignment horizontal="center" vertical="center"/>
    </xf>
    <xf numFmtId="0" fontId="33" fillId="6" borderId="57" xfId="2" applyFont="1" applyFill="1" applyBorder="1" applyAlignment="1">
      <alignment horizontal="center" vertical="center"/>
    </xf>
    <xf numFmtId="0" fontId="37" fillId="6" borderId="22" xfId="7" applyFont="1" applyFill="1" applyBorder="1" applyAlignment="1">
      <alignment horizontal="center" vertical="center"/>
    </xf>
    <xf numFmtId="0" fontId="37" fillId="6" borderId="27" xfId="7" applyFont="1" applyFill="1" applyBorder="1" applyAlignment="1">
      <alignment horizontal="center" vertical="center"/>
    </xf>
    <xf numFmtId="0" fontId="37" fillId="6" borderId="24" xfId="7" applyFont="1" applyFill="1" applyBorder="1" applyAlignment="1">
      <alignment horizontal="center" vertical="center" wrapText="1"/>
    </xf>
    <xf numFmtId="0" fontId="37" fillId="6" borderId="1" xfId="7" applyFont="1" applyFill="1" applyBorder="1" applyAlignment="1">
      <alignment horizontal="center" vertical="center" wrapText="1"/>
    </xf>
    <xf numFmtId="0" fontId="37" fillId="6" borderId="24" xfId="7" applyFont="1" applyFill="1" applyBorder="1" applyAlignment="1">
      <alignment horizontal="center" vertical="center"/>
    </xf>
    <xf numFmtId="0" fontId="37" fillId="6" borderId="1" xfId="7" applyFont="1" applyFill="1" applyBorder="1" applyAlignment="1">
      <alignment horizontal="center" vertical="center"/>
    </xf>
    <xf numFmtId="1" fontId="33" fillId="8" borderId="22" xfId="7" applyNumberFormat="1" applyFont="1" applyFill="1" applyBorder="1" applyAlignment="1">
      <alignment horizontal="center" vertical="center"/>
    </xf>
    <xf numFmtId="1" fontId="33" fillId="8" borderId="23" xfId="7" applyNumberFormat="1" applyFont="1" applyFill="1" applyBorder="1" applyAlignment="1">
      <alignment horizontal="center" vertical="center"/>
    </xf>
    <xf numFmtId="0" fontId="38" fillId="6" borderId="1" xfId="7" applyFont="1" applyFill="1" applyBorder="1" applyAlignment="1">
      <alignment horizontal="center" vertical="center"/>
    </xf>
    <xf numFmtId="0" fontId="38" fillId="6" borderId="29" xfId="7" applyFont="1" applyFill="1" applyBorder="1" applyAlignment="1">
      <alignment horizontal="center" vertical="center"/>
    </xf>
    <xf numFmtId="0" fontId="37" fillId="8" borderId="27" xfId="7" applyFont="1" applyFill="1" applyBorder="1" applyAlignment="1">
      <alignment horizontal="center" vertical="center"/>
    </xf>
    <xf numFmtId="0" fontId="37" fillId="8" borderId="29" xfId="7" applyFont="1" applyFill="1" applyBorder="1" applyAlignment="1">
      <alignment horizontal="center" vertical="center"/>
    </xf>
    <xf numFmtId="0" fontId="18" fillId="5" borderId="0" xfId="7" applyFont="1" applyFill="1" applyAlignment="1">
      <alignment horizontal="center"/>
    </xf>
    <xf numFmtId="0" fontId="18" fillId="6" borderId="22" xfId="7" applyFont="1" applyFill="1" applyBorder="1" applyAlignment="1">
      <alignment horizontal="center" vertical="center"/>
    </xf>
    <xf numFmtId="0" fontId="18" fillId="6" borderId="27" xfId="7" applyFont="1" applyFill="1" applyBorder="1" applyAlignment="1">
      <alignment horizontal="center" vertical="center"/>
    </xf>
    <xf numFmtId="0" fontId="18" fillId="6" borderId="30" xfId="7" applyFont="1" applyFill="1" applyBorder="1" applyAlignment="1">
      <alignment horizontal="center" vertical="center"/>
    </xf>
    <xf numFmtId="0" fontId="18" fillId="6" borderId="24" xfId="7" applyFont="1" applyFill="1" applyBorder="1" applyAlignment="1">
      <alignment horizontal="center" vertical="center"/>
    </xf>
    <xf numFmtId="0" fontId="18" fillId="6" borderId="1" xfId="7" applyFont="1" applyFill="1" applyBorder="1" applyAlignment="1">
      <alignment horizontal="center" vertical="center"/>
    </xf>
    <xf numFmtId="0" fontId="18" fillId="6" borderId="33" xfId="7" applyFont="1" applyFill="1" applyBorder="1" applyAlignment="1">
      <alignment horizontal="center" vertical="center"/>
    </xf>
    <xf numFmtId="0" fontId="18" fillId="6" borderId="60" xfId="7" applyFont="1" applyFill="1" applyBorder="1" applyAlignment="1">
      <alignment horizontal="center" vertical="center"/>
    </xf>
    <xf numFmtId="0" fontId="18" fillId="6" borderId="58" xfId="7" applyFont="1" applyFill="1" applyBorder="1" applyAlignment="1">
      <alignment horizontal="center" vertical="center"/>
    </xf>
    <xf numFmtId="0" fontId="18" fillId="6" borderId="62" xfId="7" applyFont="1" applyFill="1" applyBorder="1" applyAlignment="1">
      <alignment horizontal="center" vertical="center"/>
    </xf>
    <xf numFmtId="0" fontId="18" fillId="6" borderId="2" xfId="7" applyFont="1" applyFill="1" applyBorder="1" applyAlignment="1">
      <alignment horizontal="center" vertical="center"/>
    </xf>
    <xf numFmtId="0" fontId="18" fillId="6" borderId="4" xfId="7" applyFont="1" applyFill="1" applyBorder="1" applyAlignment="1">
      <alignment horizontal="center" vertical="center"/>
    </xf>
    <xf numFmtId="0" fontId="18" fillId="6" borderId="56" xfId="7" applyFont="1" applyFill="1" applyBorder="1" applyAlignment="1">
      <alignment horizontal="center" vertical="center"/>
    </xf>
    <xf numFmtId="0" fontId="18" fillId="6" borderId="63" xfId="7" applyFont="1" applyFill="1" applyBorder="1" applyAlignment="1">
      <alignment horizontal="center" vertical="center"/>
    </xf>
    <xf numFmtId="0" fontId="18" fillId="6" borderId="64" xfId="7" applyFont="1" applyFill="1" applyBorder="1" applyAlignment="1">
      <alignment horizontal="center" vertical="center"/>
    </xf>
    <xf numFmtId="0" fontId="33" fillId="3" borderId="1" xfId="7" applyFont="1" applyFill="1" applyBorder="1" applyAlignment="1">
      <alignment horizontal="center" vertical="center" wrapText="1"/>
    </xf>
    <xf numFmtId="0" fontId="37" fillId="3" borderId="29" xfId="2" applyFont="1" applyFill="1" applyBorder="1" applyAlignment="1">
      <alignment horizontal="center" vertical="center" wrapText="1"/>
    </xf>
    <xf numFmtId="0" fontId="18" fillId="3" borderId="22" xfId="7" applyFont="1" applyFill="1" applyBorder="1" applyAlignment="1">
      <alignment horizontal="center" vertical="center"/>
    </xf>
    <xf numFmtId="0" fontId="18" fillId="3" borderId="27" xfId="7" applyFont="1" applyFill="1" applyBorder="1" applyAlignment="1">
      <alignment horizontal="center" vertical="center"/>
    </xf>
    <xf numFmtId="0" fontId="18" fillId="3" borderId="30" xfId="7" applyFont="1" applyFill="1" applyBorder="1" applyAlignment="1">
      <alignment horizontal="center" vertical="center"/>
    </xf>
    <xf numFmtId="0" fontId="33" fillId="3" borderId="24" xfId="2" applyFont="1" applyFill="1" applyBorder="1" applyAlignment="1">
      <alignment horizontal="left" vertical="center" wrapText="1"/>
    </xf>
    <xf numFmtId="0" fontId="33" fillId="3" borderId="23" xfId="2" applyFont="1" applyFill="1" applyBorder="1" applyAlignment="1">
      <alignment horizontal="left" vertical="center" wrapText="1"/>
    </xf>
    <xf numFmtId="0" fontId="38" fillId="3" borderId="1" xfId="7" applyFont="1" applyFill="1" applyBorder="1" applyAlignment="1">
      <alignment horizontal="center" vertical="center"/>
    </xf>
    <xf numFmtId="0" fontId="38" fillId="3" borderId="29" xfId="7" applyFont="1" applyFill="1" applyBorder="1" applyAlignment="1">
      <alignment horizontal="center" vertical="center"/>
    </xf>
    <xf numFmtId="0" fontId="33" fillId="3" borderId="37" xfId="7" applyFont="1" applyFill="1" applyBorder="1" applyAlignment="1">
      <alignment horizontal="center" vertical="center"/>
    </xf>
    <xf numFmtId="0" fontId="33" fillId="3" borderId="39" xfId="7" applyFont="1" applyFill="1" applyBorder="1" applyAlignment="1">
      <alignment horizontal="center" vertical="center"/>
    </xf>
    <xf numFmtId="0" fontId="33" fillId="3" borderId="57" xfId="7" applyFont="1" applyFill="1" applyBorder="1" applyAlignment="1">
      <alignment horizontal="center" vertical="center"/>
    </xf>
    <xf numFmtId="0" fontId="37" fillId="7" borderId="20" xfId="7" applyFont="1" applyFill="1" applyBorder="1" applyAlignment="1">
      <alignment horizontal="center" vertical="center"/>
    </xf>
    <xf numFmtId="0" fontId="37" fillId="7" borderId="8" xfId="7" applyFont="1" applyFill="1" applyBorder="1" applyAlignment="1">
      <alignment horizontal="center" vertical="center"/>
    </xf>
    <xf numFmtId="0" fontId="37" fillId="7" borderId="38" xfId="7" applyFont="1" applyFill="1" applyBorder="1" applyAlignment="1">
      <alignment horizontal="center" vertical="center"/>
    </xf>
    <xf numFmtId="0" fontId="37" fillId="7" borderId="21" xfId="7" applyFont="1" applyFill="1" applyBorder="1" applyAlignment="1">
      <alignment horizontal="center" vertical="center"/>
    </xf>
    <xf numFmtId="0" fontId="37" fillId="3" borderId="22" xfId="2" applyFont="1" applyFill="1" applyBorder="1" applyAlignment="1">
      <alignment horizontal="center" vertical="center"/>
    </xf>
    <xf numFmtId="0" fontId="37" fillId="3" borderId="24" xfId="2" applyFont="1" applyFill="1" applyBorder="1" applyAlignment="1">
      <alignment horizontal="center" vertical="center"/>
    </xf>
    <xf numFmtId="0" fontId="37" fillId="3" borderId="23" xfId="2" applyFont="1" applyFill="1" applyBorder="1" applyAlignment="1">
      <alignment horizontal="center" vertical="center"/>
    </xf>
    <xf numFmtId="0" fontId="37" fillId="6" borderId="30" xfId="7" applyFont="1" applyFill="1" applyBorder="1" applyAlignment="1">
      <alignment horizontal="center" vertical="center"/>
    </xf>
    <xf numFmtId="0" fontId="37" fillId="6" borderId="33" xfId="7" applyFont="1" applyFill="1" applyBorder="1" applyAlignment="1">
      <alignment horizontal="center" vertical="center"/>
    </xf>
    <xf numFmtId="0" fontId="37" fillId="6" borderId="56" xfId="7" applyFont="1" applyFill="1" applyBorder="1" applyAlignment="1">
      <alignment horizontal="center" vertical="center"/>
    </xf>
    <xf numFmtId="0" fontId="37" fillId="6" borderId="31" xfId="7" applyFont="1" applyFill="1" applyBorder="1" applyAlignment="1">
      <alignment horizontal="center" vertical="center"/>
    </xf>
    <xf numFmtId="0" fontId="33" fillId="3" borderId="27" xfId="7" applyFont="1" applyFill="1" applyBorder="1" applyAlignment="1">
      <alignment horizontal="center" vertical="center" wrapText="1"/>
    </xf>
    <xf numFmtId="0" fontId="39" fillId="0" borderId="0" xfId="8" applyFont="1" applyAlignment="1">
      <alignment horizontal="left" vertical="center" wrapText="1"/>
    </xf>
    <xf numFmtId="0" fontId="66" fillId="0" borderId="0" xfId="0" applyFont="1" applyAlignment="1">
      <alignment horizontal="left" vertical="top"/>
    </xf>
    <xf numFmtId="181" fontId="39" fillId="0" borderId="0" xfId="8" applyNumberFormat="1" applyFont="1" applyAlignment="1">
      <alignment horizontal="left" vertical="top" wrapText="1"/>
    </xf>
    <xf numFmtId="0" fontId="74" fillId="0" borderId="0" xfId="8" applyFont="1" applyAlignment="1" applyProtection="1">
      <alignment horizontal="center" vertical="center"/>
      <protection locked="0"/>
    </xf>
    <xf numFmtId="0" fontId="39" fillId="0" borderId="0" xfId="8" applyFont="1" applyAlignment="1">
      <alignment horizontal="center"/>
    </xf>
    <xf numFmtId="0" fontId="77" fillId="0" borderId="0" xfId="0" applyFont="1" applyAlignment="1">
      <alignment horizontal="right"/>
    </xf>
    <xf numFmtId="0" fontId="39" fillId="0" borderId="0" xfId="8" applyFont="1" applyAlignment="1" applyProtection="1">
      <alignment horizontal="left" vertical="center" wrapText="1"/>
      <protection locked="0"/>
    </xf>
    <xf numFmtId="0" fontId="39" fillId="0" borderId="5" xfId="8" applyFont="1" applyBorder="1" applyAlignment="1">
      <alignment horizontal="left" vertical="top" wrapText="1"/>
    </xf>
    <xf numFmtId="0" fontId="39" fillId="0" borderId="7" xfId="8" applyFont="1" applyBorder="1" applyAlignment="1">
      <alignment horizontal="left" vertical="top" wrapText="1"/>
    </xf>
    <xf numFmtId="0" fontId="70" fillId="0" borderId="0" xfId="2" applyFont="1" applyAlignment="1">
      <alignment horizontal="center"/>
    </xf>
    <xf numFmtId="0" fontId="69" fillId="0" borderId="0" xfId="2" applyFont="1" applyAlignment="1">
      <alignment horizontal="center"/>
    </xf>
    <xf numFmtId="11" fontId="66" fillId="0" borderId="0" xfId="2" quotePrefix="1" applyNumberFormat="1" applyFont="1" applyAlignment="1">
      <alignment horizontal="center" vertical="center"/>
    </xf>
    <xf numFmtId="0" fontId="66" fillId="0" borderId="0" xfId="2" applyFont="1" applyAlignment="1">
      <alignment horizontal="center" vertical="center"/>
    </xf>
    <xf numFmtId="0" fontId="69" fillId="0" borderId="5" xfId="2" applyFont="1" applyBorder="1" applyAlignment="1">
      <alignment horizontal="center" vertical="center"/>
    </xf>
    <xf numFmtId="0" fontId="69" fillId="0" borderId="9" xfId="2" applyFont="1" applyBorder="1" applyAlignment="1">
      <alignment horizontal="center" vertical="center"/>
    </xf>
    <xf numFmtId="0" fontId="69" fillId="0" borderId="5" xfId="2" applyFont="1" applyBorder="1" applyAlignment="1">
      <alignment horizontal="center" vertical="center" wrapText="1"/>
    </xf>
    <xf numFmtId="0" fontId="69" fillId="0" borderId="9" xfId="2" applyFont="1" applyBorder="1" applyAlignment="1">
      <alignment horizontal="center" vertical="center" wrapText="1"/>
    </xf>
    <xf numFmtId="0" fontId="69" fillId="0" borderId="0" xfId="2" applyFont="1" applyAlignment="1">
      <alignment horizontal="left" vertical="center"/>
    </xf>
    <xf numFmtId="0" fontId="69" fillId="0" borderId="0" xfId="2" applyFont="1" applyAlignment="1">
      <alignment horizontal="left" vertical="center" wrapText="1"/>
    </xf>
    <xf numFmtId="0" fontId="67" fillId="0" borderId="0" xfId="2" quotePrefix="1" applyFont="1" applyAlignment="1">
      <alignment horizontal="center" vertical="center" wrapText="1"/>
    </xf>
    <xf numFmtId="0" fontId="16" fillId="0" borderId="0" xfId="2" applyAlignment="1">
      <alignment horizontal="center" vertical="center"/>
    </xf>
    <xf numFmtId="0" fontId="72" fillId="0" borderId="0" xfId="2" applyFont="1" applyAlignment="1">
      <alignment horizontal="center" vertical="center"/>
    </xf>
    <xf numFmtId="182" fontId="66" fillId="0" borderId="0" xfId="2" quotePrefix="1" applyNumberFormat="1" applyFont="1" applyAlignment="1">
      <alignment horizontal="center" vertical="center"/>
    </xf>
    <xf numFmtId="182" fontId="66" fillId="0" borderId="0" xfId="2" applyNumberFormat="1" applyFont="1" applyAlignment="1">
      <alignment horizontal="center" vertical="center"/>
    </xf>
    <xf numFmtId="0" fontId="70" fillId="0" borderId="0" xfId="2" applyFont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8" fontId="0" fillId="11" borderId="2" xfId="0" applyNumberFormat="1" applyFill="1" applyBorder="1" applyAlignment="1">
      <alignment horizontal="center"/>
    </xf>
    <xf numFmtId="178" fontId="0" fillId="11" borderId="3" xfId="0" applyNumberFormat="1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20" fillId="0" borderId="20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0" fillId="0" borderId="5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0" fontId="21" fillId="0" borderId="35" xfId="0" applyFont="1" applyBorder="1" applyAlignment="1">
      <alignment horizontal="center"/>
    </xf>
  </cellXfs>
  <cellStyles count="9">
    <cellStyle name="Normal" xfId="0" builtinId="0"/>
    <cellStyle name="Normal 2" xfId="2" xr:uid="{00000000-0005-0000-0000-000001000000}"/>
    <cellStyle name="Normal 2 2" xfId="6" xr:uid="{00000000-0005-0000-0000-000002000000}"/>
    <cellStyle name="Normal 2 3" xfId="8" xr:uid="{181FF375-6719-47B7-A650-098DC05328D9}"/>
    <cellStyle name="Normal 3" xfId="5" xr:uid="{00000000-0005-0000-0000-000003000000}"/>
    <cellStyle name="Normal 4" xfId="7" xr:uid="{00000000-0005-0000-0000-000004000000}"/>
    <cellStyle name="Normal_Daftar kelistrikan (ecg)" xfId="1" xr:uid="{00000000-0005-0000-0000-000005000000}"/>
    <cellStyle name="Normal_THERMOHYGRO 2010" xfId="3" xr:uid="{00000000-0005-0000-0000-000006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microsoft.com/office/2017/10/relationships/person" Target="persons/pers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17/10/relationships/person" Target="persons/pers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BUDGETING!#REF!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3-4127-938D-7CAEA2B36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763400"/>
        <c:axId val="344769672"/>
      </c:barChart>
      <c:catAx>
        <c:axId val="3447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344769672"/>
        <c:crosses val="autoZero"/>
        <c:auto val="1"/>
        <c:lblAlgn val="ctr"/>
        <c:lblOffset val="100"/>
        <c:noMultiLvlLbl val="0"/>
      </c:catAx>
      <c:valAx>
        <c:axId val="34476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763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92</xdr:row>
      <xdr:rowOff>0</xdr:rowOff>
    </xdr:from>
    <xdr:to>
      <xdr:col>9</xdr:col>
      <xdr:colOff>47625</xdr:colOff>
      <xdr:row>100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C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C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C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C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C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C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C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C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105" name="Object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C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106" name="Object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C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13" Type="http://schemas.openxmlformats.org/officeDocument/2006/relationships/oleObject" Target="../embeddings/oleObject10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4.bin"/><Relationship Id="rId12" Type="http://schemas.openxmlformats.org/officeDocument/2006/relationships/oleObject" Target="../embeddings/oleObject9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Relationship Id="rId6" Type="http://schemas.openxmlformats.org/officeDocument/2006/relationships/oleObject" Target="../embeddings/oleObject3.bin"/><Relationship Id="rId11" Type="http://schemas.openxmlformats.org/officeDocument/2006/relationships/oleObject" Target="../embeddings/oleObject8.bin"/><Relationship Id="rId5" Type="http://schemas.openxmlformats.org/officeDocument/2006/relationships/oleObject" Target="../embeddings/oleObject2.bin"/><Relationship Id="rId10" Type="http://schemas.openxmlformats.org/officeDocument/2006/relationships/oleObject" Target="../embeddings/oleObject7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G13" sqref="G13"/>
    </sheetView>
  </sheetViews>
  <sheetFormatPr defaultRowHeight="14.5" x14ac:dyDescent="0.35"/>
  <cols>
    <col min="3" max="3" width="15" bestFit="1" customWidth="1"/>
    <col min="6" max="6" width="10.54296875" bestFit="1" customWidth="1"/>
  </cols>
  <sheetData>
    <row r="1" spans="1:10" x14ac:dyDescent="0.35">
      <c r="A1" t="s">
        <v>0</v>
      </c>
    </row>
    <row r="2" spans="1:10" x14ac:dyDescent="0.35">
      <c r="A2" t="s">
        <v>1</v>
      </c>
      <c r="C2" t="s">
        <v>2</v>
      </c>
    </row>
    <row r="3" spans="1:10" x14ac:dyDescent="0.35">
      <c r="A3" t="s">
        <v>3</v>
      </c>
      <c r="C3" t="s">
        <v>4</v>
      </c>
    </row>
    <row r="4" spans="1:10" x14ac:dyDescent="0.35">
      <c r="A4" t="s">
        <v>5</v>
      </c>
      <c r="C4" t="s">
        <v>6</v>
      </c>
    </row>
    <row r="6" spans="1:10" x14ac:dyDescent="0.35">
      <c r="A6" t="s">
        <v>7</v>
      </c>
      <c r="C6" s="4" t="s">
        <v>8</v>
      </c>
    </row>
    <row r="7" spans="1:10" x14ac:dyDescent="0.35">
      <c r="A7" s="3" t="s">
        <v>9</v>
      </c>
      <c r="C7">
        <v>100.00004</v>
      </c>
      <c r="D7" t="s">
        <v>10</v>
      </c>
    </row>
    <row r="8" spans="1:10" x14ac:dyDescent="0.35">
      <c r="A8" t="s">
        <v>11</v>
      </c>
      <c r="C8">
        <v>0.15</v>
      </c>
      <c r="D8" t="s">
        <v>12</v>
      </c>
    </row>
    <row r="10" spans="1:10" x14ac:dyDescent="0.35">
      <c r="A10" s="545" t="s">
        <v>13</v>
      </c>
      <c r="B10" s="545" t="s">
        <v>14</v>
      </c>
      <c r="C10" s="545" t="s">
        <v>15</v>
      </c>
      <c r="D10" s="545" t="s">
        <v>16</v>
      </c>
      <c r="E10" s="544" t="s">
        <v>17</v>
      </c>
      <c r="F10" s="544"/>
      <c r="G10" s="544" t="s">
        <v>18</v>
      </c>
      <c r="H10" s="544" t="s">
        <v>19</v>
      </c>
      <c r="I10" s="544" t="s">
        <v>20</v>
      </c>
      <c r="J10" s="544" t="s">
        <v>21</v>
      </c>
    </row>
    <row r="11" spans="1:10" x14ac:dyDescent="0.35">
      <c r="A11" s="545"/>
      <c r="B11" s="545"/>
      <c r="C11" s="545"/>
      <c r="D11" s="545"/>
      <c r="E11" s="1" t="s">
        <v>22</v>
      </c>
      <c r="F11" s="1" t="s">
        <v>23</v>
      </c>
      <c r="G11" s="544"/>
      <c r="H11" s="544"/>
      <c r="I11" s="544"/>
      <c r="J11" s="544"/>
    </row>
    <row r="12" spans="1:10" x14ac:dyDescent="0.35">
      <c r="A12" s="544" t="s">
        <v>24</v>
      </c>
      <c r="B12" s="544" t="s">
        <v>25</v>
      </c>
      <c r="C12" s="544" t="s">
        <v>26</v>
      </c>
      <c r="D12" s="544" t="s">
        <v>27</v>
      </c>
      <c r="E12" s="544" t="s">
        <v>28</v>
      </c>
      <c r="F12" s="544" t="s">
        <v>29</v>
      </c>
      <c r="G12" s="2">
        <v>100.0001</v>
      </c>
      <c r="H12" s="2">
        <v>100.0421</v>
      </c>
      <c r="I12" s="2">
        <v>100.042</v>
      </c>
      <c r="J12" s="2">
        <v>100</v>
      </c>
    </row>
    <row r="13" spans="1:10" x14ac:dyDescent="0.35">
      <c r="A13" s="544"/>
      <c r="B13" s="544"/>
      <c r="C13" s="544"/>
      <c r="D13" s="544"/>
      <c r="E13" s="544"/>
      <c r="F13" s="544"/>
      <c r="G13" s="2">
        <v>99.999899999999997</v>
      </c>
      <c r="H13" s="2">
        <v>100.0421</v>
      </c>
      <c r="I13" s="2">
        <v>100.042</v>
      </c>
      <c r="J13" s="2">
        <v>100</v>
      </c>
    </row>
  </sheetData>
  <mergeCells count="15">
    <mergeCell ref="H10:H11"/>
    <mergeCell ref="I10:I11"/>
    <mergeCell ref="J10:J11"/>
    <mergeCell ref="A12:A13"/>
    <mergeCell ref="B12:B13"/>
    <mergeCell ref="C12:C13"/>
    <mergeCell ref="D12:D13"/>
    <mergeCell ref="E12:E13"/>
    <mergeCell ref="F12:F13"/>
    <mergeCell ref="A10:A11"/>
    <mergeCell ref="B10:B11"/>
    <mergeCell ref="C10:C11"/>
    <mergeCell ref="D10:D11"/>
    <mergeCell ref="E10:F10"/>
    <mergeCell ref="G10:G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2:K33"/>
  <sheetViews>
    <sheetView view="pageBreakPreview" zoomScaleNormal="100" zoomScaleSheetLayoutView="100" workbookViewId="0">
      <selection activeCell="I17" sqref="I17"/>
    </sheetView>
  </sheetViews>
  <sheetFormatPr defaultColWidth="9.1796875" defaultRowHeight="12.5" x14ac:dyDescent="0.25"/>
  <cols>
    <col min="1" max="1" width="4.81640625" style="424" customWidth="1"/>
    <col min="2" max="2" width="19.453125" style="424" customWidth="1"/>
    <col min="3" max="3" width="1.453125" style="424" customWidth="1"/>
    <col min="4" max="4" width="12" style="424" customWidth="1"/>
    <col min="5" max="5" width="19" style="424" customWidth="1"/>
    <col min="6" max="7" width="18.7265625" style="424" customWidth="1"/>
    <col min="8" max="8" width="9.1796875" style="424"/>
    <col min="9" max="9" width="23" style="424" bestFit="1" customWidth="1"/>
    <col min="10" max="10" width="9.7265625" style="424" bestFit="1" customWidth="1"/>
    <col min="11" max="11" width="8.81640625" style="424" customWidth="1"/>
    <col min="12" max="16384" width="9.1796875" style="424"/>
  </cols>
  <sheetData>
    <row r="2" spans="1:11" x14ac:dyDescent="0.25">
      <c r="G2" s="437" t="e">
        <f>VLOOKUP(B18,'DB SERTIFIKAT'!$B$2:$C$73,2,FALSE)</f>
        <v>#REF!</v>
      </c>
      <c r="I2" s="438"/>
      <c r="J2" s="738"/>
      <c r="K2" s="738"/>
    </row>
    <row r="3" spans="1:11" ht="22.5" x14ac:dyDescent="0.25">
      <c r="A3" s="739" t="s">
        <v>243</v>
      </c>
      <c r="B3" s="739"/>
      <c r="C3" s="739"/>
      <c r="D3" s="739"/>
      <c r="E3" s="739"/>
      <c r="F3" s="739"/>
      <c r="G3" s="739"/>
      <c r="I3" s="436"/>
      <c r="J3" s="740"/>
      <c r="K3" s="741"/>
    </row>
    <row r="4" spans="1:11" ht="15" x14ac:dyDescent="0.25">
      <c r="A4" s="742" t="str">
        <f>"Nomor : 78 /"&amp;" M - "&amp;ID!I2</f>
        <v>Nomor : 78 / M - 3 / I - 17 / E - 015.36 DL</v>
      </c>
      <c r="B4" s="742"/>
      <c r="C4" s="742"/>
      <c r="D4" s="742"/>
      <c r="E4" s="742"/>
      <c r="F4" s="742"/>
      <c r="G4" s="742"/>
      <c r="I4" s="440"/>
      <c r="J4" s="441"/>
      <c r="K4" s="439"/>
    </row>
    <row r="5" spans="1:11" x14ac:dyDescent="0.25">
      <c r="I5" s="440"/>
      <c r="J5" s="439"/>
      <c r="K5" s="439"/>
    </row>
    <row r="6" spans="1:11" x14ac:dyDescent="0.25">
      <c r="I6" s="442"/>
      <c r="J6" s="439"/>
      <c r="K6" s="439"/>
    </row>
    <row r="7" spans="1:11" ht="32.25" customHeight="1" x14ac:dyDescent="0.25">
      <c r="A7" s="736" t="s">
        <v>244</v>
      </c>
      <c r="B7" s="736"/>
      <c r="C7" s="736"/>
      <c r="D7" s="736"/>
      <c r="E7" s="736"/>
      <c r="F7" s="736"/>
      <c r="G7" s="736"/>
      <c r="I7" s="442"/>
      <c r="J7" s="444"/>
      <c r="K7" s="439"/>
    </row>
    <row r="8" spans="1:11" ht="15.5" x14ac:dyDescent="0.25">
      <c r="A8" s="443"/>
      <c r="B8" s="443"/>
      <c r="C8" s="443"/>
      <c r="D8" s="443"/>
      <c r="E8" s="443"/>
      <c r="F8" s="443"/>
      <c r="G8" s="443"/>
      <c r="I8" s="442"/>
      <c r="J8" s="439"/>
      <c r="K8" s="439"/>
    </row>
    <row r="9" spans="1:11" x14ac:dyDescent="0.25">
      <c r="I9" s="442"/>
      <c r="J9" s="439"/>
      <c r="K9" s="439"/>
    </row>
    <row r="10" spans="1:11" ht="15.5" x14ac:dyDescent="0.35">
      <c r="A10" s="445" t="s">
        <v>245</v>
      </c>
      <c r="C10" s="445" t="s">
        <v>33</v>
      </c>
      <c r="D10" s="736" t="e">
        <f>#REF!</f>
        <v>#REF!</v>
      </c>
      <c r="E10" s="736"/>
      <c r="F10" s="736"/>
      <c r="G10" s="736"/>
      <c r="I10" s="442"/>
      <c r="J10" s="737"/>
      <c r="K10" s="737"/>
    </row>
    <row r="11" spans="1:11" ht="30" customHeight="1" x14ac:dyDescent="0.25">
      <c r="A11" s="446" t="s">
        <v>246</v>
      </c>
      <c r="C11" s="446" t="s">
        <v>33</v>
      </c>
      <c r="D11" s="736" t="e">
        <f>#REF!</f>
        <v>#REF!</v>
      </c>
      <c r="E11" s="736"/>
      <c r="F11" s="736"/>
      <c r="G11" s="736"/>
      <c r="I11" s="442"/>
      <c r="J11" s="737"/>
      <c r="K11" s="737"/>
    </row>
    <row r="12" spans="1:11" ht="15.5" x14ac:dyDescent="0.35">
      <c r="A12" s="445" t="s">
        <v>247</v>
      </c>
      <c r="C12" s="445" t="s">
        <v>33</v>
      </c>
      <c r="D12" s="445" t="e">
        <f>#REF!</f>
        <v>#REF!</v>
      </c>
      <c r="I12" s="442"/>
      <c r="J12" s="729"/>
      <c r="K12" s="730"/>
    </row>
    <row r="15" spans="1:11" ht="15.5" x14ac:dyDescent="0.25">
      <c r="A15" s="447" t="s">
        <v>248</v>
      </c>
      <c r="F15" s="448"/>
    </row>
    <row r="17" spans="1:7" ht="22.5" customHeight="1" x14ac:dyDescent="0.25">
      <c r="A17" s="449" t="s">
        <v>88</v>
      </c>
      <c r="B17" s="449" t="s">
        <v>249</v>
      </c>
      <c r="C17" s="731" t="s">
        <v>250</v>
      </c>
      <c r="D17" s="732"/>
      <c r="E17" s="449" t="s">
        <v>251</v>
      </c>
      <c r="F17" s="449" t="s">
        <v>252</v>
      </c>
      <c r="G17" s="449">
        <f>I11</f>
        <v>0</v>
      </c>
    </row>
    <row r="18" spans="1:7" ht="30.75" customHeight="1" x14ac:dyDescent="0.25">
      <c r="A18" s="450" t="s">
        <v>253</v>
      </c>
      <c r="B18" s="451" t="e">
        <f>#REF!</f>
        <v>#REF!</v>
      </c>
      <c r="C18" s="733" t="e">
        <f>#REF!</f>
        <v>#REF!</v>
      </c>
      <c r="D18" s="734"/>
      <c r="E18" s="452" t="e">
        <f>#REF!</f>
        <v>#REF!</v>
      </c>
      <c r="F18" s="453" t="e">
        <f>#REF!</f>
        <v>#REF!</v>
      </c>
      <c r="G18" s="449" t="e">
        <f>#REF!</f>
        <v>#REF!</v>
      </c>
    </row>
    <row r="19" spans="1:7" ht="15.5" x14ac:dyDescent="0.25">
      <c r="A19" s="454"/>
      <c r="C19" s="448"/>
      <c r="D19" s="448"/>
    </row>
    <row r="21" spans="1:7" ht="30.75" customHeight="1" x14ac:dyDescent="0.25">
      <c r="A21" s="736" t="s">
        <v>254</v>
      </c>
      <c r="B21" s="736"/>
      <c r="C21" s="736"/>
      <c r="D21" s="736"/>
      <c r="E21" s="736"/>
      <c r="F21" s="736"/>
      <c r="G21" s="736"/>
    </row>
    <row r="23" spans="1:7" ht="15.5" x14ac:dyDescent="0.25">
      <c r="A23" s="735" t="s">
        <v>255</v>
      </c>
      <c r="B23" s="735"/>
      <c r="C23" s="735"/>
      <c r="D23" s="735"/>
      <c r="E23" s="735"/>
      <c r="F23" s="735"/>
      <c r="G23" s="735"/>
    </row>
    <row r="24" spans="1:7" ht="15.5" x14ac:dyDescent="0.25">
      <c r="A24" s="455"/>
      <c r="B24" s="455"/>
      <c r="C24" s="455"/>
      <c r="D24" s="455"/>
      <c r="E24" s="455"/>
      <c r="F24" s="455"/>
      <c r="G24" s="455"/>
    </row>
    <row r="26" spans="1:7" ht="15.5" x14ac:dyDescent="0.25">
      <c r="F26" s="456" t="s">
        <v>256</v>
      </c>
      <c r="G26" s="457">
        <f ca="1">TODAY()</f>
        <v>45183</v>
      </c>
    </row>
    <row r="27" spans="1:7" ht="15.5" x14ac:dyDescent="0.35">
      <c r="F27" s="728" t="s">
        <v>257</v>
      </c>
      <c r="G27" s="728"/>
    </row>
    <row r="32" spans="1:7" ht="15" x14ac:dyDescent="0.3">
      <c r="F32" s="727" t="s">
        <v>241</v>
      </c>
      <c r="G32" s="727"/>
    </row>
    <row r="33" spans="6:7" ht="15.5" x14ac:dyDescent="0.35">
      <c r="F33" s="728" t="s">
        <v>242</v>
      </c>
      <c r="G33" s="728"/>
    </row>
  </sheetData>
  <mergeCells count="17">
    <mergeCell ref="D10:G10"/>
    <mergeCell ref="J10:K10"/>
    <mergeCell ref="D11:G11"/>
    <mergeCell ref="J11:K11"/>
    <mergeCell ref="J2:K2"/>
    <mergeCell ref="A3:G3"/>
    <mergeCell ref="J3:K3"/>
    <mergeCell ref="A4:G4"/>
    <mergeCell ref="A7:G7"/>
    <mergeCell ref="F32:G32"/>
    <mergeCell ref="F33:G33"/>
    <mergeCell ref="J12:K12"/>
    <mergeCell ref="C17:D17"/>
    <mergeCell ref="C18:D18"/>
    <mergeCell ref="A23:G23"/>
    <mergeCell ref="F27:G27"/>
    <mergeCell ref="A21:G21"/>
  </mergeCells>
  <pageMargins left="0.6" right="0.3" top="1.5" bottom="0.75" header="0.3" footer="0.3"/>
  <pageSetup paperSize="9" scale="99" orientation="portrait" r:id="rId1"/>
  <colBreaks count="1" manualBreakCount="1">
    <brk id="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3"/>
  <sheetViews>
    <sheetView topLeftCell="C1" workbookViewId="0">
      <selection activeCell="F7" sqref="F7"/>
    </sheetView>
  </sheetViews>
  <sheetFormatPr defaultColWidth="9.1796875" defaultRowHeight="12.5" x14ac:dyDescent="0.25"/>
  <cols>
    <col min="1" max="1" width="9.1796875" style="424"/>
    <col min="2" max="2" width="30.26953125" style="424" bestFit="1" customWidth="1"/>
    <col min="3" max="3" width="24.54296875" style="424" bestFit="1" customWidth="1"/>
    <col min="4" max="4" width="32.54296875" style="424" bestFit="1" customWidth="1"/>
    <col min="5" max="5" width="9.81640625" style="424" customWidth="1"/>
    <col min="6" max="6" width="30.1796875" style="424" bestFit="1" customWidth="1"/>
    <col min="7" max="7" width="9.1796875" style="424"/>
    <col min="8" max="8" width="15.453125" style="424" bestFit="1" customWidth="1"/>
    <col min="9" max="9" width="9.1796875" style="424"/>
    <col min="10" max="10" width="11.7265625" style="424" bestFit="1" customWidth="1"/>
    <col min="11" max="16384" width="9.1796875" style="424"/>
  </cols>
  <sheetData>
    <row r="1" spans="1:15" ht="14" x14ac:dyDescent="0.3">
      <c r="A1" s="435" t="s">
        <v>258</v>
      </c>
      <c r="B1" s="435" t="s">
        <v>249</v>
      </c>
      <c r="C1" s="435" t="s">
        <v>259</v>
      </c>
      <c r="D1" s="434" t="s">
        <v>260</v>
      </c>
      <c r="E1" s="432"/>
      <c r="F1" s="433" t="s">
        <v>228</v>
      </c>
      <c r="H1" s="432"/>
      <c r="J1" s="432"/>
    </row>
    <row r="2" spans="1:15" ht="14" x14ac:dyDescent="0.3">
      <c r="A2" s="425">
        <v>1</v>
      </c>
      <c r="B2" s="425" t="s">
        <v>261</v>
      </c>
      <c r="C2" s="425" t="s">
        <v>262</v>
      </c>
      <c r="D2" s="426" t="s">
        <v>263</v>
      </c>
      <c r="F2" s="429" t="s">
        <v>264</v>
      </c>
    </row>
    <row r="3" spans="1:15" ht="14" x14ac:dyDescent="0.3">
      <c r="A3" s="425">
        <v>2</v>
      </c>
      <c r="B3" s="425" t="s">
        <v>265</v>
      </c>
      <c r="C3" s="425" t="s">
        <v>266</v>
      </c>
      <c r="D3" s="425" t="s">
        <v>267</v>
      </c>
      <c r="F3" s="429" t="s">
        <v>268</v>
      </c>
    </row>
    <row r="4" spans="1:15" ht="14" x14ac:dyDescent="0.3">
      <c r="A4" s="425">
        <v>3</v>
      </c>
      <c r="B4" s="425" t="s">
        <v>269</v>
      </c>
      <c r="C4" s="425" t="s">
        <v>270</v>
      </c>
      <c r="D4" s="425" t="s">
        <v>271</v>
      </c>
      <c r="F4" s="429" t="s">
        <v>272</v>
      </c>
    </row>
    <row r="5" spans="1:15" ht="14" x14ac:dyDescent="0.3">
      <c r="A5" s="425">
        <v>4</v>
      </c>
      <c r="B5" s="425" t="s">
        <v>273</v>
      </c>
      <c r="C5" s="425" t="s">
        <v>274</v>
      </c>
      <c r="D5" s="426" t="s">
        <v>275</v>
      </c>
      <c r="F5" s="429" t="s">
        <v>276</v>
      </c>
      <c r="H5" s="431"/>
    </row>
    <row r="6" spans="1:15" ht="14" x14ac:dyDescent="0.3">
      <c r="A6" s="425">
        <v>5</v>
      </c>
      <c r="B6" s="425" t="s">
        <v>277</v>
      </c>
      <c r="C6" s="425" t="s">
        <v>278</v>
      </c>
      <c r="D6" s="426" t="s">
        <v>279</v>
      </c>
      <c r="F6" s="429" t="s">
        <v>280</v>
      </c>
    </row>
    <row r="7" spans="1:15" ht="14" x14ac:dyDescent="0.3">
      <c r="A7" s="425">
        <v>6</v>
      </c>
      <c r="B7" s="425" t="s">
        <v>281</v>
      </c>
      <c r="C7" s="425" t="s">
        <v>282</v>
      </c>
      <c r="D7" s="426" t="s">
        <v>283</v>
      </c>
      <c r="F7" s="429" t="s">
        <v>284</v>
      </c>
    </row>
    <row r="8" spans="1:15" ht="14" x14ac:dyDescent="0.3">
      <c r="A8" s="425">
        <v>7</v>
      </c>
      <c r="B8" s="425" t="s">
        <v>285</v>
      </c>
      <c r="C8" s="425" t="s">
        <v>286</v>
      </c>
      <c r="D8" s="426" t="s">
        <v>287</v>
      </c>
      <c r="F8" s="429" t="s">
        <v>288</v>
      </c>
    </row>
    <row r="9" spans="1:15" ht="14" x14ac:dyDescent="0.3">
      <c r="A9" s="425">
        <v>8</v>
      </c>
      <c r="B9" s="425" t="s">
        <v>289</v>
      </c>
      <c r="C9" s="425" t="s">
        <v>290</v>
      </c>
      <c r="D9" s="425" t="s">
        <v>291</v>
      </c>
      <c r="F9" s="429" t="s">
        <v>230</v>
      </c>
    </row>
    <row r="10" spans="1:15" ht="14" x14ac:dyDescent="0.3">
      <c r="A10" s="425">
        <v>9</v>
      </c>
      <c r="B10" s="425" t="s">
        <v>292</v>
      </c>
      <c r="C10" s="425" t="s">
        <v>293</v>
      </c>
      <c r="D10" s="426" t="s">
        <v>294</v>
      </c>
      <c r="F10" s="429" t="s">
        <v>295</v>
      </c>
      <c r="H10" s="431"/>
    </row>
    <row r="11" spans="1:15" ht="14" x14ac:dyDescent="0.3">
      <c r="A11" s="425">
        <v>10</v>
      </c>
      <c r="B11" s="425" t="s">
        <v>296</v>
      </c>
      <c r="C11" s="425" t="s">
        <v>297</v>
      </c>
      <c r="D11" s="425" t="s">
        <v>298</v>
      </c>
      <c r="F11" s="429" t="s">
        <v>299</v>
      </c>
      <c r="L11" s="428"/>
      <c r="M11" s="427"/>
      <c r="N11" s="428"/>
      <c r="O11" s="427"/>
    </row>
    <row r="12" spans="1:15" ht="14" x14ac:dyDescent="0.3">
      <c r="A12" s="425">
        <v>11</v>
      </c>
      <c r="B12" s="425" t="s">
        <v>300</v>
      </c>
      <c r="C12" s="425" t="s">
        <v>297</v>
      </c>
      <c r="D12" s="425" t="s">
        <v>298</v>
      </c>
      <c r="F12" s="429" t="s">
        <v>301</v>
      </c>
      <c r="H12" s="430"/>
    </row>
    <row r="13" spans="1:15" ht="14" x14ac:dyDescent="0.3">
      <c r="A13" s="425">
        <v>12</v>
      </c>
      <c r="B13" s="425" t="s">
        <v>302</v>
      </c>
      <c r="C13" s="425" t="s">
        <v>303</v>
      </c>
      <c r="D13" s="426" t="s">
        <v>304</v>
      </c>
      <c r="F13" s="429" t="s">
        <v>305</v>
      </c>
    </row>
    <row r="14" spans="1:15" ht="14" x14ac:dyDescent="0.3">
      <c r="A14" s="425">
        <v>13</v>
      </c>
      <c r="B14" s="425" t="s">
        <v>306</v>
      </c>
      <c r="C14" s="425" t="s">
        <v>307</v>
      </c>
      <c r="D14" s="426" t="s">
        <v>308</v>
      </c>
    </row>
    <row r="15" spans="1:15" ht="14" x14ac:dyDescent="0.3">
      <c r="A15" s="425">
        <v>14</v>
      </c>
      <c r="B15" s="425" t="s">
        <v>309</v>
      </c>
      <c r="C15" s="425" t="s">
        <v>310</v>
      </c>
      <c r="D15" s="426" t="s">
        <v>311</v>
      </c>
      <c r="L15" s="428"/>
      <c r="M15" s="428"/>
      <c r="N15" s="428"/>
      <c r="O15" s="427"/>
    </row>
    <row r="16" spans="1:15" ht="14" x14ac:dyDescent="0.3">
      <c r="A16" s="425">
        <v>15</v>
      </c>
      <c r="B16" s="425" t="s">
        <v>312</v>
      </c>
      <c r="C16" s="425" t="s">
        <v>313</v>
      </c>
      <c r="D16" s="426" t="s">
        <v>314</v>
      </c>
      <c r="L16" s="428"/>
      <c r="M16" s="428"/>
    </row>
    <row r="17" spans="1:14" ht="14" x14ac:dyDescent="0.3">
      <c r="A17" s="425">
        <v>16</v>
      </c>
      <c r="B17" s="425" t="s">
        <v>315</v>
      </c>
      <c r="C17" s="425" t="s">
        <v>310</v>
      </c>
      <c r="D17" s="426" t="s">
        <v>311</v>
      </c>
    </row>
    <row r="18" spans="1:14" ht="14" x14ac:dyDescent="0.3">
      <c r="A18" s="425">
        <v>17</v>
      </c>
      <c r="B18" s="425" t="s">
        <v>316</v>
      </c>
      <c r="C18" s="425" t="s">
        <v>317</v>
      </c>
      <c r="D18" s="425" t="s">
        <v>318</v>
      </c>
    </row>
    <row r="19" spans="1:14" ht="14" x14ac:dyDescent="0.3">
      <c r="A19" s="425">
        <v>18</v>
      </c>
      <c r="B19" s="425" t="s">
        <v>319</v>
      </c>
      <c r="C19" s="425" t="s">
        <v>320</v>
      </c>
      <c r="D19" s="426" t="s">
        <v>321</v>
      </c>
    </row>
    <row r="20" spans="1:14" ht="14" x14ac:dyDescent="0.3">
      <c r="A20" s="425">
        <v>19</v>
      </c>
      <c r="B20" s="425" t="s">
        <v>322</v>
      </c>
      <c r="C20" s="425" t="s">
        <v>323</v>
      </c>
      <c r="D20" s="426" t="s">
        <v>324</v>
      </c>
    </row>
    <row r="21" spans="1:14" ht="14" x14ac:dyDescent="0.3">
      <c r="A21" s="425">
        <v>20</v>
      </c>
      <c r="B21" s="425" t="s">
        <v>325</v>
      </c>
      <c r="C21" s="425" t="s">
        <v>326</v>
      </c>
      <c r="D21" s="425" t="s">
        <v>327</v>
      </c>
    </row>
    <row r="22" spans="1:14" ht="14" x14ac:dyDescent="0.3">
      <c r="A22" s="425">
        <v>21</v>
      </c>
      <c r="B22" s="425" t="s">
        <v>328</v>
      </c>
      <c r="C22" s="425" t="s">
        <v>329</v>
      </c>
      <c r="D22" s="425" t="s">
        <v>330</v>
      </c>
    </row>
    <row r="23" spans="1:14" ht="14" x14ac:dyDescent="0.3">
      <c r="A23" s="425">
        <v>22</v>
      </c>
      <c r="B23" s="425" t="s">
        <v>331</v>
      </c>
      <c r="C23" s="425" t="s">
        <v>332</v>
      </c>
      <c r="D23" s="426" t="s">
        <v>333</v>
      </c>
    </row>
    <row r="24" spans="1:14" ht="14" x14ac:dyDescent="0.3">
      <c r="A24" s="425">
        <v>23</v>
      </c>
      <c r="B24" s="425" t="s">
        <v>334</v>
      </c>
      <c r="C24" s="425" t="s">
        <v>335</v>
      </c>
      <c r="D24" s="426" t="s">
        <v>336</v>
      </c>
    </row>
    <row r="25" spans="1:14" ht="14" x14ac:dyDescent="0.3">
      <c r="A25" s="425">
        <v>24</v>
      </c>
      <c r="B25" s="425" t="s">
        <v>337</v>
      </c>
      <c r="C25" s="425" t="s">
        <v>338</v>
      </c>
      <c r="D25" s="426" t="s">
        <v>339</v>
      </c>
      <c r="G25" s="427"/>
      <c r="K25" s="428"/>
      <c r="L25" s="427"/>
      <c r="M25" s="428"/>
      <c r="N25" s="427"/>
    </row>
    <row r="26" spans="1:14" ht="14" x14ac:dyDescent="0.3">
      <c r="A26" s="425">
        <v>25</v>
      </c>
      <c r="B26" s="425" t="s">
        <v>340</v>
      </c>
      <c r="C26" s="425" t="s">
        <v>341</v>
      </c>
      <c r="D26" s="425" t="s">
        <v>342</v>
      </c>
    </row>
    <row r="27" spans="1:14" ht="14" x14ac:dyDescent="0.3">
      <c r="A27" s="425">
        <v>26</v>
      </c>
      <c r="B27" s="425" t="s">
        <v>343</v>
      </c>
      <c r="C27" s="425" t="s">
        <v>344</v>
      </c>
      <c r="D27" s="425" t="s">
        <v>345</v>
      </c>
      <c r="F27" s="428"/>
      <c r="G27" s="427"/>
    </row>
    <row r="28" spans="1:14" ht="14" x14ac:dyDescent="0.3">
      <c r="A28" s="425">
        <v>27</v>
      </c>
      <c r="B28" s="425" t="s">
        <v>346</v>
      </c>
      <c r="C28" s="425"/>
      <c r="D28" s="425"/>
    </row>
    <row r="29" spans="1:14" ht="14" x14ac:dyDescent="0.3">
      <c r="A29" s="425">
        <v>28</v>
      </c>
      <c r="B29" s="425" t="s">
        <v>347</v>
      </c>
      <c r="C29" s="425" t="s">
        <v>348</v>
      </c>
      <c r="D29" s="426" t="s">
        <v>349</v>
      </c>
    </row>
    <row r="30" spans="1:14" ht="14" x14ac:dyDescent="0.3">
      <c r="A30" s="425">
        <v>29</v>
      </c>
      <c r="B30" s="425" t="s">
        <v>350</v>
      </c>
      <c r="C30" s="425" t="s">
        <v>351</v>
      </c>
      <c r="D30" s="426" t="s">
        <v>352</v>
      </c>
      <c r="F30" s="428"/>
      <c r="G30" s="427"/>
    </row>
    <row r="31" spans="1:14" ht="14" x14ac:dyDescent="0.3">
      <c r="A31" s="425">
        <v>30</v>
      </c>
      <c r="B31" s="425" t="s">
        <v>353</v>
      </c>
      <c r="C31" s="425" t="s">
        <v>354</v>
      </c>
      <c r="D31" s="425" t="s">
        <v>355</v>
      </c>
      <c r="G31" s="428"/>
    </row>
    <row r="32" spans="1:14" ht="14" x14ac:dyDescent="0.3">
      <c r="A32" s="425">
        <v>31</v>
      </c>
      <c r="B32" s="425" t="s">
        <v>356</v>
      </c>
      <c r="C32" s="425" t="s">
        <v>357</v>
      </c>
      <c r="D32" s="425" t="s">
        <v>358</v>
      </c>
      <c r="G32" s="428"/>
    </row>
    <row r="33" spans="1:7" ht="14" x14ac:dyDescent="0.3">
      <c r="A33" s="425">
        <v>32</v>
      </c>
      <c r="B33" s="425" t="s">
        <v>359</v>
      </c>
      <c r="C33" s="425" t="s">
        <v>360</v>
      </c>
      <c r="D33" s="425" t="s">
        <v>361</v>
      </c>
      <c r="F33" s="428"/>
      <c r="G33" s="428"/>
    </row>
    <row r="34" spans="1:7" ht="14" x14ac:dyDescent="0.3">
      <c r="A34" s="425">
        <v>33</v>
      </c>
      <c r="B34" s="425" t="s">
        <v>362</v>
      </c>
      <c r="C34" s="425" t="s">
        <v>363</v>
      </c>
      <c r="D34" s="426" t="s">
        <v>364</v>
      </c>
      <c r="F34" s="428"/>
      <c r="G34" s="428"/>
    </row>
    <row r="35" spans="1:7" ht="14" x14ac:dyDescent="0.3">
      <c r="A35" s="425">
        <v>34</v>
      </c>
      <c r="B35" s="425" t="s">
        <v>365</v>
      </c>
      <c r="C35" s="425" t="s">
        <v>366</v>
      </c>
      <c r="D35" s="425" t="s">
        <v>367</v>
      </c>
      <c r="G35" s="428"/>
    </row>
    <row r="36" spans="1:7" ht="14" x14ac:dyDescent="0.3">
      <c r="A36" s="425">
        <v>35</v>
      </c>
      <c r="B36" s="425" t="s">
        <v>368</v>
      </c>
      <c r="C36" s="425" t="s">
        <v>369</v>
      </c>
      <c r="D36" s="426" t="s">
        <v>370</v>
      </c>
      <c r="G36" s="428"/>
    </row>
    <row r="37" spans="1:7" ht="14" x14ac:dyDescent="0.3">
      <c r="A37" s="425">
        <v>36</v>
      </c>
      <c r="B37" s="425" t="s">
        <v>371</v>
      </c>
      <c r="C37" s="425" t="s">
        <v>372</v>
      </c>
      <c r="D37" s="425" t="s">
        <v>373</v>
      </c>
      <c r="G37" s="428"/>
    </row>
    <row r="38" spans="1:7" ht="14" x14ac:dyDescent="0.3">
      <c r="A38" s="425">
        <v>37</v>
      </c>
      <c r="B38" s="425" t="s">
        <v>374</v>
      </c>
      <c r="C38" s="425" t="s">
        <v>375</v>
      </c>
      <c r="D38" s="425" t="s">
        <v>376</v>
      </c>
      <c r="G38" s="428"/>
    </row>
    <row r="39" spans="1:7" ht="14" x14ac:dyDescent="0.3">
      <c r="A39" s="425">
        <v>38</v>
      </c>
      <c r="B39" s="425" t="s">
        <v>377</v>
      </c>
      <c r="C39" s="425" t="s">
        <v>378</v>
      </c>
      <c r="D39" s="426" t="s">
        <v>379</v>
      </c>
      <c r="F39" s="428"/>
      <c r="G39" s="427"/>
    </row>
    <row r="40" spans="1:7" ht="14" x14ac:dyDescent="0.3">
      <c r="A40" s="425">
        <v>39</v>
      </c>
      <c r="B40" s="425" t="s">
        <v>380</v>
      </c>
      <c r="C40" s="425" t="s">
        <v>381</v>
      </c>
      <c r="D40" s="425" t="s">
        <v>382</v>
      </c>
    </row>
    <row r="41" spans="1:7" ht="14" x14ac:dyDescent="0.3">
      <c r="A41" s="425">
        <v>40</v>
      </c>
      <c r="B41" s="425" t="s">
        <v>383</v>
      </c>
      <c r="C41" s="425" t="s">
        <v>384</v>
      </c>
      <c r="D41" s="425" t="s">
        <v>385</v>
      </c>
    </row>
    <row r="42" spans="1:7" ht="14" x14ac:dyDescent="0.3">
      <c r="A42" s="425">
        <v>41</v>
      </c>
      <c r="B42" s="425" t="s">
        <v>386</v>
      </c>
      <c r="C42" s="425" t="s">
        <v>387</v>
      </c>
      <c r="D42" s="425" t="s">
        <v>388</v>
      </c>
    </row>
    <row r="43" spans="1:7" ht="14" x14ac:dyDescent="0.3">
      <c r="A43" s="425">
        <v>42</v>
      </c>
      <c r="B43" s="425" t="s">
        <v>389</v>
      </c>
      <c r="C43" s="425" t="s">
        <v>390</v>
      </c>
      <c r="D43" s="425" t="s">
        <v>391</v>
      </c>
    </row>
    <row r="44" spans="1:7" ht="14" x14ac:dyDescent="0.3">
      <c r="A44" s="425">
        <v>43</v>
      </c>
      <c r="B44" s="425" t="s">
        <v>392</v>
      </c>
      <c r="C44" s="425"/>
      <c r="D44" s="425"/>
    </row>
    <row r="45" spans="1:7" ht="14" x14ac:dyDescent="0.3">
      <c r="A45" s="425">
        <v>44</v>
      </c>
      <c r="B45" s="425" t="s">
        <v>393</v>
      </c>
      <c r="C45" s="425" t="s">
        <v>394</v>
      </c>
      <c r="D45" s="426" t="s">
        <v>395</v>
      </c>
    </row>
    <row r="46" spans="1:7" ht="14" x14ac:dyDescent="0.3">
      <c r="A46" s="425">
        <v>45</v>
      </c>
      <c r="B46" s="425" t="s">
        <v>396</v>
      </c>
      <c r="C46" s="425" t="s">
        <v>397</v>
      </c>
      <c r="D46" s="426" t="s">
        <v>398</v>
      </c>
    </row>
    <row r="47" spans="1:7" ht="14" x14ac:dyDescent="0.3">
      <c r="A47" s="425">
        <v>46</v>
      </c>
      <c r="B47" s="425" t="s">
        <v>399</v>
      </c>
      <c r="C47" s="425" t="s">
        <v>400</v>
      </c>
      <c r="D47" s="425" t="s">
        <v>401</v>
      </c>
    </row>
    <row r="48" spans="1:7" ht="14" x14ac:dyDescent="0.3">
      <c r="A48" s="425">
        <v>47</v>
      </c>
      <c r="B48" s="425" t="s">
        <v>402</v>
      </c>
      <c r="C48" s="425" t="s">
        <v>403</v>
      </c>
      <c r="D48" s="426" t="s">
        <v>404</v>
      </c>
    </row>
    <row r="49" spans="1:7" ht="14" x14ac:dyDescent="0.3">
      <c r="A49" s="425">
        <v>48</v>
      </c>
      <c r="B49" s="425" t="s">
        <v>405</v>
      </c>
      <c r="C49" s="425"/>
      <c r="D49" s="425"/>
    </row>
    <row r="50" spans="1:7" ht="14" x14ac:dyDescent="0.3">
      <c r="A50" s="425">
        <v>49</v>
      </c>
      <c r="B50" s="425" t="s">
        <v>406</v>
      </c>
      <c r="C50" s="425" t="s">
        <v>407</v>
      </c>
      <c r="D50" s="426" t="s">
        <v>408</v>
      </c>
      <c r="F50" s="428"/>
      <c r="G50" s="427"/>
    </row>
    <row r="51" spans="1:7" ht="14" x14ac:dyDescent="0.3">
      <c r="A51" s="425">
        <v>50</v>
      </c>
      <c r="B51" s="425" t="s">
        <v>409</v>
      </c>
      <c r="C51" s="425" t="s">
        <v>410</v>
      </c>
      <c r="D51" s="425" t="s">
        <v>411</v>
      </c>
    </row>
    <row r="52" spans="1:7" ht="14" x14ac:dyDescent="0.3">
      <c r="A52" s="425">
        <v>51</v>
      </c>
      <c r="B52" s="425" t="s">
        <v>412</v>
      </c>
      <c r="C52" s="425" t="s">
        <v>413</v>
      </c>
      <c r="D52" s="426" t="s">
        <v>104</v>
      </c>
      <c r="F52" s="428"/>
      <c r="G52" s="427"/>
    </row>
    <row r="53" spans="1:7" ht="14" x14ac:dyDescent="0.3">
      <c r="A53" s="425">
        <v>52</v>
      </c>
      <c r="B53" s="425" t="s">
        <v>414</v>
      </c>
      <c r="C53" s="425" t="s">
        <v>415</v>
      </c>
      <c r="D53" s="426" t="s">
        <v>416</v>
      </c>
    </row>
    <row r="54" spans="1:7" ht="14" x14ac:dyDescent="0.3">
      <c r="A54" s="425">
        <v>53</v>
      </c>
      <c r="B54" s="425" t="s">
        <v>417</v>
      </c>
      <c r="C54" s="425" t="s">
        <v>418</v>
      </c>
      <c r="D54" s="425" t="s">
        <v>419</v>
      </c>
    </row>
    <row r="55" spans="1:7" ht="14" x14ac:dyDescent="0.3">
      <c r="A55" s="425">
        <v>54</v>
      </c>
      <c r="B55" s="425" t="s">
        <v>420</v>
      </c>
      <c r="C55" s="425" t="s">
        <v>418</v>
      </c>
      <c r="D55" s="425" t="s">
        <v>419</v>
      </c>
    </row>
    <row r="56" spans="1:7" ht="14" x14ac:dyDescent="0.3">
      <c r="A56" s="425">
        <v>55</v>
      </c>
      <c r="B56" s="425" t="s">
        <v>421</v>
      </c>
      <c r="C56" s="425" t="s">
        <v>329</v>
      </c>
      <c r="D56" s="425" t="s">
        <v>422</v>
      </c>
    </row>
    <row r="57" spans="1:7" ht="14" x14ac:dyDescent="0.3">
      <c r="A57" s="425">
        <v>56</v>
      </c>
      <c r="B57" s="425" t="s">
        <v>423</v>
      </c>
      <c r="C57" s="425" t="s">
        <v>424</v>
      </c>
      <c r="D57" s="426" t="s">
        <v>425</v>
      </c>
      <c r="F57" s="428"/>
      <c r="G57" s="427"/>
    </row>
    <row r="58" spans="1:7" ht="14" x14ac:dyDescent="0.3">
      <c r="A58" s="425">
        <v>57</v>
      </c>
      <c r="B58" s="425" t="s">
        <v>426</v>
      </c>
      <c r="C58" s="425"/>
      <c r="D58" s="425"/>
    </row>
    <row r="59" spans="1:7" ht="14" x14ac:dyDescent="0.3">
      <c r="A59" s="425">
        <v>58</v>
      </c>
      <c r="B59" s="425" t="s">
        <v>427</v>
      </c>
      <c r="C59" s="425" t="s">
        <v>428</v>
      </c>
      <c r="D59" s="425" t="s">
        <v>429</v>
      </c>
    </row>
    <row r="60" spans="1:7" ht="14" x14ac:dyDescent="0.3">
      <c r="A60" s="425">
        <v>59</v>
      </c>
      <c r="B60" s="425" t="s">
        <v>430</v>
      </c>
      <c r="C60" s="425"/>
      <c r="D60" s="425"/>
    </row>
    <row r="61" spans="1:7" ht="14" x14ac:dyDescent="0.3">
      <c r="A61" s="425">
        <v>60</v>
      </c>
      <c r="B61" s="425" t="s">
        <v>431</v>
      </c>
      <c r="C61" s="425" t="s">
        <v>432</v>
      </c>
      <c r="D61" s="426" t="s">
        <v>433</v>
      </c>
    </row>
    <row r="62" spans="1:7" ht="14" x14ac:dyDescent="0.3">
      <c r="A62" s="425">
        <v>61</v>
      </c>
      <c r="B62" s="425" t="s">
        <v>434</v>
      </c>
      <c r="C62" s="425" t="s">
        <v>435</v>
      </c>
      <c r="D62" s="425" t="s">
        <v>436</v>
      </c>
    </row>
    <row r="63" spans="1:7" ht="14" x14ac:dyDescent="0.3">
      <c r="A63" s="425">
        <v>62</v>
      </c>
      <c r="B63" s="425" t="s">
        <v>437</v>
      </c>
      <c r="C63" s="425" t="s">
        <v>438</v>
      </c>
      <c r="D63" s="426" t="s">
        <v>439</v>
      </c>
    </row>
    <row r="64" spans="1:7" ht="14" x14ac:dyDescent="0.3">
      <c r="A64" s="425">
        <v>63</v>
      </c>
      <c r="B64" s="425" t="s">
        <v>440</v>
      </c>
      <c r="C64" s="425" t="s">
        <v>441</v>
      </c>
      <c r="D64" s="425" t="s">
        <v>442</v>
      </c>
    </row>
    <row r="65" spans="1:4" ht="14" x14ac:dyDescent="0.3">
      <c r="A65" s="425">
        <v>64</v>
      </c>
      <c r="B65" s="425" t="s">
        <v>443</v>
      </c>
      <c r="C65" s="425"/>
      <c r="D65" s="425"/>
    </row>
    <row r="66" spans="1:4" ht="14" x14ac:dyDescent="0.3">
      <c r="A66" s="425">
        <v>65</v>
      </c>
      <c r="B66" s="425" t="s">
        <v>444</v>
      </c>
      <c r="C66" s="425"/>
      <c r="D66" s="425"/>
    </row>
    <row r="67" spans="1:4" ht="14" x14ac:dyDescent="0.3">
      <c r="A67" s="425">
        <v>66</v>
      </c>
      <c r="B67" s="425" t="s">
        <v>445</v>
      </c>
      <c r="C67" s="425"/>
      <c r="D67" s="425"/>
    </row>
    <row r="68" spans="1:4" ht="14" x14ac:dyDescent="0.3">
      <c r="A68" s="425">
        <v>67</v>
      </c>
      <c r="B68" s="425" t="s">
        <v>446</v>
      </c>
      <c r="C68" s="425"/>
      <c r="D68" s="425"/>
    </row>
    <row r="69" spans="1:4" ht="14" x14ac:dyDescent="0.3">
      <c r="A69" s="425">
        <v>68</v>
      </c>
      <c r="B69" s="425" t="s">
        <v>447</v>
      </c>
      <c r="C69" s="425" t="s">
        <v>448</v>
      </c>
      <c r="D69" s="425" t="s">
        <v>449</v>
      </c>
    </row>
    <row r="70" spans="1:4" ht="14.5" x14ac:dyDescent="0.35">
      <c r="A70" s="425">
        <v>71</v>
      </c>
      <c r="B70" s="425" t="s">
        <v>450</v>
      </c>
      <c r="C70" s="425" t="s">
        <v>313</v>
      </c>
      <c r="D70" s="426" t="s">
        <v>314</v>
      </c>
    </row>
    <row r="71" spans="1:4" ht="14" x14ac:dyDescent="0.3">
      <c r="A71" s="425">
        <v>70</v>
      </c>
      <c r="B71" s="425" t="s">
        <v>451</v>
      </c>
      <c r="C71" s="425" t="s">
        <v>452</v>
      </c>
      <c r="D71" s="425" t="s">
        <v>314</v>
      </c>
    </row>
    <row r="72" spans="1:4" ht="14" x14ac:dyDescent="0.3">
      <c r="A72" s="425">
        <v>76</v>
      </c>
      <c r="B72" s="425" t="s">
        <v>453</v>
      </c>
      <c r="C72" s="425" t="s">
        <v>454</v>
      </c>
      <c r="D72" s="426" t="s">
        <v>455</v>
      </c>
    </row>
    <row r="73" spans="1:4" ht="14" x14ac:dyDescent="0.3">
      <c r="A73" s="425">
        <v>78</v>
      </c>
      <c r="B73" s="425" t="s">
        <v>110</v>
      </c>
      <c r="C73" s="425" t="s">
        <v>456</v>
      </c>
      <c r="D73" s="425" t="s">
        <v>457</v>
      </c>
    </row>
  </sheetData>
  <sheetProtection algorithmName="SHA-512" hashValue="wetwAUMwdMCrHP/a7eONzwTjWpMSy092+hCcJWGecgr6piTf6MIBwkyVf9DpkuZ2MK7T9wHq4c3dcPnH5GR/EA==" saltValue="p0bU38W9TrzglC77hSfQV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P76"/>
  <sheetViews>
    <sheetView zoomScale="73" zoomScaleNormal="137" workbookViewId="0">
      <selection activeCell="G20" sqref="G20"/>
    </sheetView>
  </sheetViews>
  <sheetFormatPr defaultRowHeight="14.5" x14ac:dyDescent="0.35"/>
  <cols>
    <col min="1" max="1" width="4.54296875" customWidth="1"/>
    <col min="2" max="2" width="66.453125" customWidth="1"/>
    <col min="3" max="3" width="11" bestFit="1" customWidth="1"/>
    <col min="4" max="4" width="13.7265625" customWidth="1"/>
    <col min="5" max="5" width="12.54296875" bestFit="1" customWidth="1"/>
    <col min="6" max="6" width="12.453125" customWidth="1"/>
    <col min="7" max="7" width="16.26953125" customWidth="1"/>
    <col min="8" max="8" width="17.1796875" customWidth="1"/>
    <col min="9" max="9" width="12.453125" customWidth="1"/>
    <col min="10" max="10" width="13.1796875" customWidth="1"/>
    <col min="11" max="11" width="12.453125" customWidth="1"/>
    <col min="13" max="13" width="10.453125" bestFit="1" customWidth="1"/>
    <col min="15" max="15" width="11.54296875" customWidth="1"/>
    <col min="16" max="16" width="10.81640625" customWidth="1"/>
  </cols>
  <sheetData>
    <row r="1" spans="1:16" x14ac:dyDescent="0.35">
      <c r="B1" s="187"/>
      <c r="C1" s="188"/>
      <c r="D1" s="188"/>
      <c r="E1" s="182"/>
      <c r="F1" s="182"/>
      <c r="G1" s="188"/>
      <c r="H1" s="188"/>
      <c r="I1" s="182"/>
      <c r="J1" s="187"/>
      <c r="K1" s="757"/>
      <c r="L1" s="757"/>
      <c r="M1" s="758"/>
      <c r="N1" s="758"/>
      <c r="O1" s="757"/>
      <c r="P1" s="757"/>
    </row>
    <row r="2" spans="1:16" x14ac:dyDescent="0.35">
      <c r="A2" s="743" t="s">
        <v>258</v>
      </c>
      <c r="B2" s="745" t="s">
        <v>521</v>
      </c>
      <c r="C2" s="747" t="s">
        <v>522</v>
      </c>
      <c r="D2" s="745" t="s">
        <v>523</v>
      </c>
      <c r="E2" s="745" t="s">
        <v>524</v>
      </c>
      <c r="F2" s="745" t="s">
        <v>525</v>
      </c>
      <c r="G2" s="749" t="s">
        <v>526</v>
      </c>
      <c r="H2" s="751" t="s">
        <v>460</v>
      </c>
      <c r="I2" s="753" t="s">
        <v>229</v>
      </c>
      <c r="J2" s="754"/>
      <c r="K2" s="757"/>
      <c r="L2" s="757"/>
      <c r="M2" s="183"/>
      <c r="N2" s="183"/>
      <c r="O2" s="757"/>
      <c r="P2" s="757"/>
    </row>
    <row r="3" spans="1:16" ht="14.5" customHeight="1" x14ac:dyDescent="0.35">
      <c r="A3" s="744"/>
      <c r="B3" s="746"/>
      <c r="C3" s="748"/>
      <c r="D3" s="746"/>
      <c r="E3" s="746"/>
      <c r="F3" s="746"/>
      <c r="G3" s="750"/>
      <c r="H3" s="752"/>
      <c r="I3" s="755"/>
      <c r="J3" s="756"/>
      <c r="K3" s="182"/>
      <c r="L3" s="182"/>
      <c r="M3" s="182"/>
      <c r="N3" s="182"/>
      <c r="O3" s="184"/>
      <c r="P3" s="182"/>
    </row>
    <row r="4" spans="1:16" x14ac:dyDescent="0.35">
      <c r="A4" s="197">
        <v>1</v>
      </c>
      <c r="B4" s="1" t="s">
        <v>527</v>
      </c>
      <c r="C4" s="191">
        <v>20</v>
      </c>
      <c r="D4" s="194">
        <f>276/1000000</f>
        <v>2.7599999999999999E-4</v>
      </c>
      <c r="E4" s="192"/>
      <c r="F4" s="192">
        <f>C4+D4</f>
        <v>20.000275999999999</v>
      </c>
      <c r="G4" s="192">
        <f>(1/3)*H4</f>
        <v>9.9999999999999991E-5</v>
      </c>
      <c r="H4" s="193">
        <f t="shared" ref="H4:H17" si="0">300/1000000</f>
        <v>2.9999999999999997E-4</v>
      </c>
      <c r="I4" s="192">
        <v>2021</v>
      </c>
      <c r="J4" s="195" t="s">
        <v>75</v>
      </c>
      <c r="K4" s="185"/>
      <c r="L4" s="182"/>
      <c r="M4" s="182"/>
      <c r="N4" s="182"/>
      <c r="O4" s="184"/>
      <c r="P4" s="182"/>
    </row>
    <row r="5" spans="1:16" x14ac:dyDescent="0.35">
      <c r="A5" s="197">
        <v>2</v>
      </c>
      <c r="B5" s="1" t="s">
        <v>162</v>
      </c>
      <c r="C5" s="191">
        <v>20</v>
      </c>
      <c r="D5" s="192">
        <f>246/1000000</f>
        <v>2.4600000000000002E-4</v>
      </c>
      <c r="E5" s="192"/>
      <c r="F5" s="192">
        <f t="shared" ref="F5:F17" si="1">C5+D5</f>
        <v>20.000246000000001</v>
      </c>
      <c r="G5" s="192">
        <f t="shared" ref="G5:G17" si="2">(1/3)*H5</f>
        <v>9.9999999999999991E-5</v>
      </c>
      <c r="H5" s="193">
        <f t="shared" si="0"/>
        <v>2.9999999999999997E-4</v>
      </c>
      <c r="I5" s="192">
        <v>2021</v>
      </c>
      <c r="J5" s="191" t="s">
        <v>75</v>
      </c>
      <c r="K5" s="182"/>
      <c r="L5" s="182"/>
      <c r="M5" s="182"/>
      <c r="N5" s="182"/>
      <c r="O5" s="184"/>
      <c r="P5" s="182"/>
    </row>
    <row r="6" spans="1:16" x14ac:dyDescent="0.35">
      <c r="A6" s="197">
        <v>3</v>
      </c>
      <c r="B6" s="1" t="s">
        <v>163</v>
      </c>
      <c r="C6" s="191">
        <v>20</v>
      </c>
      <c r="D6" s="194">
        <f>251/1000000</f>
        <v>2.5099999999999998E-4</v>
      </c>
      <c r="E6" s="192"/>
      <c r="F6" s="192">
        <f t="shared" si="1"/>
        <v>20.000250999999999</v>
      </c>
      <c r="G6" s="192">
        <f t="shared" si="2"/>
        <v>9.9999999999999991E-5</v>
      </c>
      <c r="H6" s="193">
        <f t="shared" si="0"/>
        <v>2.9999999999999997E-4</v>
      </c>
      <c r="I6" s="192">
        <v>2021</v>
      </c>
      <c r="J6" s="191" t="s">
        <v>75</v>
      </c>
      <c r="K6" s="185"/>
      <c r="L6" s="182"/>
      <c r="M6" s="182"/>
      <c r="N6" s="182"/>
      <c r="O6" s="184"/>
      <c r="P6" s="182"/>
    </row>
    <row r="7" spans="1:16" x14ac:dyDescent="0.35">
      <c r="A7" s="197">
        <v>4</v>
      </c>
      <c r="B7" s="1" t="s">
        <v>528</v>
      </c>
      <c r="C7" s="191">
        <v>20</v>
      </c>
      <c r="D7" s="192">
        <f>226/1000000</f>
        <v>2.2599999999999999E-4</v>
      </c>
      <c r="E7" s="192"/>
      <c r="F7" s="192">
        <f t="shared" si="1"/>
        <v>20.000226000000001</v>
      </c>
      <c r="G7" s="192">
        <f t="shared" si="2"/>
        <v>9.9999999999999991E-5</v>
      </c>
      <c r="H7" s="193">
        <f t="shared" si="0"/>
        <v>2.9999999999999997E-4</v>
      </c>
      <c r="I7" s="192">
        <v>2021</v>
      </c>
      <c r="J7" s="191" t="s">
        <v>75</v>
      </c>
      <c r="K7" s="182"/>
      <c r="L7" s="182"/>
      <c r="M7" s="182"/>
      <c r="N7" s="182"/>
      <c r="O7" s="184"/>
      <c r="P7" s="182"/>
    </row>
    <row r="8" spans="1:16" x14ac:dyDescent="0.35">
      <c r="A8" s="197">
        <v>5</v>
      </c>
      <c r="B8" s="198" t="s">
        <v>529</v>
      </c>
      <c r="C8" s="191">
        <v>20</v>
      </c>
      <c r="D8" s="194">
        <f>201/1000000</f>
        <v>2.0100000000000001E-4</v>
      </c>
      <c r="E8" s="192"/>
      <c r="F8" s="192">
        <f t="shared" si="1"/>
        <v>20.000201000000001</v>
      </c>
      <c r="G8" s="192">
        <f t="shared" si="2"/>
        <v>9.9999999999999991E-5</v>
      </c>
      <c r="H8" s="193">
        <f t="shared" si="0"/>
        <v>2.9999999999999997E-4</v>
      </c>
      <c r="I8" s="192">
        <v>2021</v>
      </c>
      <c r="J8" s="191" t="s">
        <v>75</v>
      </c>
      <c r="K8" s="185"/>
      <c r="L8" s="182"/>
      <c r="M8" s="182"/>
      <c r="N8" s="182"/>
      <c r="O8" s="184"/>
      <c r="P8" s="182"/>
    </row>
    <row r="9" spans="1:16" x14ac:dyDescent="0.35">
      <c r="A9" s="197">
        <v>6</v>
      </c>
      <c r="B9" s="1" t="s">
        <v>530</v>
      </c>
      <c r="C9" s="191">
        <v>20</v>
      </c>
      <c r="D9" s="194">
        <f>536/1000000</f>
        <v>5.3600000000000002E-4</v>
      </c>
      <c r="E9" s="192"/>
      <c r="F9" s="192">
        <f t="shared" si="1"/>
        <v>20.000536</v>
      </c>
      <c r="G9" s="192">
        <f t="shared" si="2"/>
        <v>9.9999999999999991E-5</v>
      </c>
      <c r="H9" s="193">
        <f t="shared" si="0"/>
        <v>2.9999999999999997E-4</v>
      </c>
      <c r="I9" s="192">
        <v>2021</v>
      </c>
      <c r="J9" s="191" t="s">
        <v>75</v>
      </c>
      <c r="K9" s="185"/>
      <c r="L9" s="182"/>
      <c r="M9" s="182"/>
      <c r="N9" s="182"/>
      <c r="O9" s="184"/>
      <c r="P9" s="182"/>
    </row>
    <row r="10" spans="1:16" x14ac:dyDescent="0.35">
      <c r="A10" s="197">
        <v>7</v>
      </c>
      <c r="B10" s="1" t="s">
        <v>161</v>
      </c>
      <c r="C10" s="191">
        <v>20</v>
      </c>
      <c r="D10" s="194">
        <f>346/1000000</f>
        <v>3.4600000000000001E-4</v>
      </c>
      <c r="E10" s="192"/>
      <c r="F10" s="192">
        <f t="shared" si="1"/>
        <v>20.000346</v>
      </c>
      <c r="G10" s="192">
        <f t="shared" si="2"/>
        <v>9.9999999999999991E-5</v>
      </c>
      <c r="H10" s="193">
        <f t="shared" si="0"/>
        <v>2.9999999999999997E-4</v>
      </c>
      <c r="I10" s="192">
        <v>2021</v>
      </c>
      <c r="J10" s="191" t="s">
        <v>75</v>
      </c>
      <c r="K10" s="185"/>
      <c r="L10" s="182"/>
      <c r="M10" s="182"/>
      <c r="N10" s="182"/>
      <c r="O10" s="184"/>
      <c r="P10" s="182"/>
    </row>
    <row r="11" spans="1:16" x14ac:dyDescent="0.35">
      <c r="A11" s="197">
        <v>8</v>
      </c>
      <c r="B11" s="1" t="s">
        <v>164</v>
      </c>
      <c r="C11" s="191">
        <v>20</v>
      </c>
      <c r="D11" s="194">
        <f>296/1000000</f>
        <v>2.9599999999999998E-4</v>
      </c>
      <c r="E11" s="192"/>
      <c r="F11" s="192">
        <f t="shared" si="1"/>
        <v>20.000295999999999</v>
      </c>
      <c r="G11" s="192">
        <f t="shared" si="2"/>
        <v>9.9999999999999991E-5</v>
      </c>
      <c r="H11" s="193">
        <f t="shared" si="0"/>
        <v>2.9999999999999997E-4</v>
      </c>
      <c r="I11" s="192">
        <v>2021</v>
      </c>
      <c r="J11" s="191" t="s">
        <v>75</v>
      </c>
      <c r="K11" s="185"/>
      <c r="L11" s="182"/>
      <c r="M11" s="182"/>
      <c r="N11" s="182"/>
      <c r="O11" s="184"/>
      <c r="P11" s="182"/>
    </row>
    <row r="12" spans="1:16" x14ac:dyDescent="0.35">
      <c r="A12" s="197">
        <v>9</v>
      </c>
      <c r="B12" s="1" t="s">
        <v>160</v>
      </c>
      <c r="C12" s="191">
        <v>20</v>
      </c>
      <c r="D12" s="194">
        <f>256/1000000</f>
        <v>2.5599999999999999E-4</v>
      </c>
      <c r="E12" s="192"/>
      <c r="F12" s="192">
        <f t="shared" si="1"/>
        <v>20.000256</v>
      </c>
      <c r="G12" s="192">
        <f t="shared" si="2"/>
        <v>9.9999999999999991E-5</v>
      </c>
      <c r="H12" s="193">
        <f t="shared" si="0"/>
        <v>2.9999999999999997E-4</v>
      </c>
      <c r="I12" s="192">
        <v>2021</v>
      </c>
      <c r="J12" s="191" t="s">
        <v>75</v>
      </c>
      <c r="K12" s="185"/>
      <c r="L12" s="182"/>
      <c r="M12" s="182"/>
      <c r="N12" s="182"/>
      <c r="O12" s="184"/>
      <c r="P12" s="182"/>
    </row>
    <row r="13" spans="1:16" x14ac:dyDescent="0.35">
      <c r="A13" s="197">
        <v>10</v>
      </c>
      <c r="B13" s="1" t="s">
        <v>531</v>
      </c>
      <c r="C13" s="191">
        <v>20</v>
      </c>
      <c r="D13" s="192">
        <f>281/1000000</f>
        <v>2.81E-4</v>
      </c>
      <c r="E13" s="192"/>
      <c r="F13" s="192">
        <f t="shared" si="1"/>
        <v>20.000281000000001</v>
      </c>
      <c r="G13" s="192">
        <f t="shared" si="2"/>
        <v>9.9999999999999991E-5</v>
      </c>
      <c r="H13" s="193">
        <f t="shared" si="0"/>
        <v>2.9999999999999997E-4</v>
      </c>
      <c r="I13" s="192">
        <v>2021</v>
      </c>
      <c r="J13" s="191" t="s">
        <v>75</v>
      </c>
      <c r="K13" s="182"/>
      <c r="L13" s="182"/>
      <c r="M13" s="182"/>
      <c r="N13" s="182"/>
      <c r="O13" s="182"/>
      <c r="P13" s="182"/>
    </row>
    <row r="14" spans="1:16" x14ac:dyDescent="0.35">
      <c r="A14" s="197">
        <v>11</v>
      </c>
      <c r="B14" s="1" t="s">
        <v>532</v>
      </c>
      <c r="C14" s="191">
        <v>20</v>
      </c>
      <c r="D14" s="499">
        <f>231/1000000</f>
        <v>2.31E-4</v>
      </c>
      <c r="E14" s="190"/>
      <c r="F14" s="192">
        <f t="shared" si="1"/>
        <v>20.000230999999999</v>
      </c>
      <c r="G14" s="192">
        <f t="shared" si="2"/>
        <v>9.9999999999999991E-5</v>
      </c>
      <c r="H14" s="499">
        <f t="shared" si="0"/>
        <v>2.9999999999999997E-4</v>
      </c>
      <c r="I14" s="192">
        <v>2021</v>
      </c>
      <c r="J14" s="191" t="s">
        <v>75</v>
      </c>
      <c r="K14" s="757"/>
      <c r="L14" s="757"/>
      <c r="M14" s="758"/>
      <c r="N14" s="758"/>
      <c r="O14" s="757"/>
      <c r="P14" s="757"/>
    </row>
    <row r="15" spans="1:16" x14ac:dyDescent="0.35">
      <c r="A15" s="197">
        <v>12</v>
      </c>
      <c r="B15" s="1" t="s">
        <v>165</v>
      </c>
      <c r="C15" s="191">
        <v>20</v>
      </c>
      <c r="D15" s="499">
        <f>221/1000000</f>
        <v>2.2100000000000001E-4</v>
      </c>
      <c r="E15" s="190"/>
      <c r="F15" s="192">
        <f t="shared" si="1"/>
        <v>20.000221</v>
      </c>
      <c r="G15" s="192">
        <f t="shared" si="2"/>
        <v>9.9999999999999991E-5</v>
      </c>
      <c r="H15" s="499">
        <f t="shared" si="0"/>
        <v>2.9999999999999997E-4</v>
      </c>
      <c r="I15" s="192">
        <v>2021</v>
      </c>
      <c r="J15" s="191" t="s">
        <v>75</v>
      </c>
      <c r="K15" s="757"/>
      <c r="L15" s="757"/>
      <c r="M15" s="183"/>
      <c r="N15" s="183"/>
      <c r="O15" s="757"/>
      <c r="P15" s="757"/>
    </row>
    <row r="16" spans="1:16" x14ac:dyDescent="0.35">
      <c r="A16" s="197">
        <v>13</v>
      </c>
      <c r="B16" s="1" t="s">
        <v>533</v>
      </c>
      <c r="C16" s="191">
        <v>20</v>
      </c>
      <c r="D16" s="192">
        <f>181/1000000</f>
        <v>1.8100000000000001E-4</v>
      </c>
      <c r="E16" s="192"/>
      <c r="F16" s="192">
        <f t="shared" si="1"/>
        <v>20.000181000000001</v>
      </c>
      <c r="G16" s="192">
        <f t="shared" si="2"/>
        <v>9.9999999999999991E-5</v>
      </c>
      <c r="H16" s="193">
        <f t="shared" si="0"/>
        <v>2.9999999999999997E-4</v>
      </c>
      <c r="I16" s="192">
        <v>2021</v>
      </c>
      <c r="J16" s="191" t="s">
        <v>75</v>
      </c>
      <c r="K16" s="182"/>
      <c r="L16" s="182"/>
      <c r="M16" s="182"/>
      <c r="N16" s="182"/>
      <c r="O16" s="184"/>
      <c r="P16" s="182"/>
    </row>
    <row r="17" spans="1:16" x14ac:dyDescent="0.35">
      <c r="A17" s="197">
        <v>14</v>
      </c>
      <c r="B17" s="1" t="s">
        <v>534</v>
      </c>
      <c r="C17" s="191">
        <v>20</v>
      </c>
      <c r="D17" s="194">
        <f>251/1000000</f>
        <v>2.5099999999999998E-4</v>
      </c>
      <c r="E17" s="192"/>
      <c r="F17" s="192">
        <f t="shared" si="1"/>
        <v>20.000250999999999</v>
      </c>
      <c r="G17" s="192">
        <f t="shared" si="2"/>
        <v>9.9999999999999991E-5</v>
      </c>
      <c r="H17" s="193">
        <f t="shared" si="0"/>
        <v>2.9999999999999997E-4</v>
      </c>
      <c r="I17" s="192">
        <v>2021</v>
      </c>
      <c r="J17" s="191" t="s">
        <v>75</v>
      </c>
      <c r="K17" s="185"/>
      <c r="L17" s="182"/>
      <c r="M17" s="182"/>
      <c r="N17" s="182"/>
      <c r="O17" s="184"/>
      <c r="P17" s="182"/>
    </row>
    <row r="18" spans="1:16" ht="14.5" customHeight="1" x14ac:dyDescent="0.35">
      <c r="B18" s="186"/>
      <c r="C18" s="182"/>
      <c r="D18" s="182"/>
      <c r="E18" s="182"/>
      <c r="F18" s="182"/>
      <c r="G18" s="184"/>
      <c r="H18" s="182"/>
      <c r="I18" s="182"/>
      <c r="J18" s="186"/>
      <c r="K18" s="182"/>
      <c r="L18" s="182"/>
      <c r="M18" s="182"/>
      <c r="N18" s="182"/>
      <c r="O18" s="184"/>
      <c r="P18" s="182"/>
    </row>
    <row r="20" spans="1:16" x14ac:dyDescent="0.35">
      <c r="B20" s="189"/>
      <c r="C20" s="189"/>
      <c r="D20" s="189"/>
      <c r="E20" s="189"/>
      <c r="F20" s="189"/>
    </row>
    <row r="21" spans="1:16" x14ac:dyDescent="0.35">
      <c r="B21" s="127" t="s">
        <v>535</v>
      </c>
      <c r="C21" s="127" t="str">
        <f>D2</f>
        <v>Sertifikat 1</v>
      </c>
      <c r="D21" s="127" t="str">
        <f>E2</f>
        <v>Sertifikat 2</v>
      </c>
      <c r="E21" s="127" t="s">
        <v>525</v>
      </c>
      <c r="F21" s="127" t="s">
        <v>526</v>
      </c>
      <c r="G21" s="127" t="s">
        <v>460</v>
      </c>
    </row>
    <row r="22" spans="1:16" x14ac:dyDescent="0.35">
      <c r="B22" s="128" t="str">
        <f>ID!B51</f>
        <v>Anak Timbangan Standar, Merk: Sartorius, Type : YCW7254-AC-00 (BIQ)</v>
      </c>
      <c r="C22" s="128">
        <f>VLOOKUP($B$22,$B$4:$H$17,2,FALSE)</f>
        <v>20</v>
      </c>
      <c r="D22" s="128">
        <f>VLOOKUP(B22,$B$4:$H$17,3,FALSE)</f>
        <v>2.9599999999999998E-4</v>
      </c>
      <c r="E22" s="128">
        <f>VLOOKUP(B22,$B$4:$H$17,5,FALSE)</f>
        <v>20.000295999999999</v>
      </c>
      <c r="F22" s="128">
        <f>VLOOKUP(B22,$B$4:$H$17,6,FALSE)</f>
        <v>9.9999999999999991E-5</v>
      </c>
      <c r="G22" s="128">
        <f>VLOOKUP(B22,$B$4:$H$17,7,FALSE)</f>
        <v>2.9999999999999997E-4</v>
      </c>
    </row>
    <row r="23" spans="1:16" x14ac:dyDescent="0.35">
      <c r="F23" s="129" t="s">
        <v>525</v>
      </c>
      <c r="G23" s="130">
        <f>E22</f>
        <v>20.000295999999999</v>
      </c>
    </row>
    <row r="24" spans="1:16" x14ac:dyDescent="0.35">
      <c r="F24" s="129" t="s">
        <v>462</v>
      </c>
      <c r="G24" s="130">
        <f>F22</f>
        <v>9.9999999999999991E-5</v>
      </c>
    </row>
    <row r="25" spans="1:16" x14ac:dyDescent="0.35">
      <c r="F25" s="129" t="s">
        <v>460</v>
      </c>
      <c r="G25" s="130">
        <f>G22</f>
        <v>2.9999999999999997E-4</v>
      </c>
    </row>
    <row r="26" spans="1:16" x14ac:dyDescent="0.35">
      <c r="B26" s="127" t="s">
        <v>536</v>
      </c>
      <c r="C26" s="127" t="str">
        <f>C21</f>
        <v>Sertifikat 1</v>
      </c>
      <c r="D26" s="127" t="str">
        <f>D21</f>
        <v>Sertifikat 2</v>
      </c>
      <c r="E26" s="127" t="s">
        <v>525</v>
      </c>
      <c r="F26" s="127" t="s">
        <v>526</v>
      </c>
      <c r="G26" s="127" t="s">
        <v>460</v>
      </c>
    </row>
    <row r="27" spans="1:16" x14ac:dyDescent="0.35">
      <c r="B27" s="128" t="str">
        <f>B22</f>
        <v>Anak Timbangan Standar, Merk: Sartorius, Type : YCW7254-AC-00 (BIQ)</v>
      </c>
      <c r="C27" s="128">
        <f t="shared" ref="C27:C28" si="3">VLOOKUP($B$22,$B$4:$H$17,2,FALSE)</f>
        <v>20</v>
      </c>
      <c r="D27" s="128">
        <f>VLOOKUP(B27,$B$4:$H$17,3,FALSE)</f>
        <v>2.9599999999999998E-4</v>
      </c>
      <c r="E27" s="128">
        <f>VLOOKUP(B27,$B$4:$H$17,5,FALSE)</f>
        <v>20.000295999999999</v>
      </c>
      <c r="F27" s="128">
        <f>VLOOKUP(B27,$B$4:$H$17,6,FALSE)</f>
        <v>9.9999999999999991E-5</v>
      </c>
      <c r="G27" s="128">
        <f>VLOOKUP(B27,$B$4:$H$17,7,FALSE)</f>
        <v>2.9999999999999997E-4</v>
      </c>
    </row>
    <row r="28" spans="1:16" x14ac:dyDescent="0.35">
      <c r="B28" s="128" t="str">
        <f>ID!B52</f>
        <v>Anak Timbangan Standar, Merk: Sartorius, Type : YCW7254-AC-00 (BIT)</v>
      </c>
      <c r="C28" s="128">
        <f t="shared" si="3"/>
        <v>20</v>
      </c>
      <c r="D28" s="128">
        <f>VLOOKUP(B28,$B$4:$H$17,3,FALSE)</f>
        <v>2.31E-4</v>
      </c>
      <c r="E28" s="128">
        <f>VLOOKUP(B28,$B$4:$H$17,5,FALSE)</f>
        <v>20.000230999999999</v>
      </c>
      <c r="F28" s="128">
        <f>VLOOKUP(B28,$B$4:$H$17,6,FALSE)</f>
        <v>9.9999999999999991E-5</v>
      </c>
      <c r="G28" s="128">
        <f>VLOOKUP(B28,$B$4:$H$17,7,FALSE)</f>
        <v>2.9999999999999997E-4</v>
      </c>
    </row>
    <row r="29" spans="1:16" x14ac:dyDescent="0.35">
      <c r="F29" s="129" t="s">
        <v>525</v>
      </c>
      <c r="G29" s="130">
        <f>SUM(C27:D28)</f>
        <v>40.000526999999998</v>
      </c>
    </row>
    <row r="30" spans="1:16" x14ac:dyDescent="0.35">
      <c r="F30" s="129" t="s">
        <v>462</v>
      </c>
      <c r="G30" s="130">
        <f>SUM(F27:F28)</f>
        <v>1.9999999999999998E-4</v>
      </c>
    </row>
    <row r="31" spans="1:16" x14ac:dyDescent="0.35">
      <c r="F31" s="129" t="s">
        <v>460</v>
      </c>
      <c r="G31" s="130">
        <f>SUM(G27:G28)</f>
        <v>5.9999999999999995E-4</v>
      </c>
    </row>
    <row r="32" spans="1:16" x14ac:dyDescent="0.35">
      <c r="B32" s="127" t="s">
        <v>537</v>
      </c>
      <c r="C32" s="127" t="str">
        <f>C26</f>
        <v>Sertifikat 1</v>
      </c>
      <c r="D32" s="127" t="str">
        <f>D26</f>
        <v>Sertifikat 2</v>
      </c>
      <c r="E32" s="127" t="s">
        <v>525</v>
      </c>
      <c r="F32" s="127" t="s">
        <v>526</v>
      </c>
      <c r="G32" s="127" t="s">
        <v>460</v>
      </c>
    </row>
    <row r="33" spans="2:7" x14ac:dyDescent="0.35">
      <c r="B33" s="128" t="str">
        <f>B27</f>
        <v>Anak Timbangan Standar, Merk: Sartorius, Type : YCW7254-AC-00 (BIQ)</v>
      </c>
      <c r="C33" s="128">
        <f>VLOOKUP($B$22,$B$4:$H$17,2,FALSE)</f>
        <v>20</v>
      </c>
      <c r="D33" s="128">
        <f>VLOOKUP(B33,$B$4:$H$17,3,FALSE)</f>
        <v>2.9599999999999998E-4</v>
      </c>
      <c r="E33" s="128">
        <f>VLOOKUP(B33,$B$4:$H$17,5,FALSE)</f>
        <v>20.000295999999999</v>
      </c>
      <c r="F33" s="128">
        <f>VLOOKUP(B33,$B$4:$H$17,6,FALSE)</f>
        <v>9.9999999999999991E-5</v>
      </c>
      <c r="G33" s="128">
        <f>VLOOKUP(B33,$B$4:$H$17,7,FALSE)</f>
        <v>2.9999999999999997E-4</v>
      </c>
    </row>
    <row r="34" spans="2:7" x14ac:dyDescent="0.35">
      <c r="B34" s="128" t="str">
        <f>B28</f>
        <v>Anak Timbangan Standar, Merk: Sartorius, Type : YCW7254-AC-00 (BIT)</v>
      </c>
      <c r="C34" s="128">
        <f>VLOOKUP($B$22,$B$4:$H$17,2,FALSE)</f>
        <v>20</v>
      </c>
      <c r="D34" s="128">
        <f t="shared" ref="D34:D35" si="4">VLOOKUP(B34,$B$4:$H$17,3,FALSE)</f>
        <v>2.31E-4</v>
      </c>
      <c r="E34" s="128">
        <f t="shared" ref="E34:E35" si="5">VLOOKUP(B34,$B$4:$H$17,5,FALSE)</f>
        <v>20.000230999999999</v>
      </c>
      <c r="F34" s="128">
        <f t="shared" ref="F34:F35" si="6">VLOOKUP(B34,$B$4:$H$17,6,FALSE)</f>
        <v>9.9999999999999991E-5</v>
      </c>
      <c r="G34" s="128">
        <f t="shared" ref="G34:G35" si="7">VLOOKUP(B34,$B$4:$H$17,7,FALSE)</f>
        <v>2.9999999999999997E-4</v>
      </c>
    </row>
    <row r="35" spans="2:7" x14ac:dyDescent="0.35">
      <c r="B35" s="128" t="str">
        <f>ID!B53</f>
        <v>Anak Timbangan Standar, Merk: Sartorius, Type : YCW7254-AC-00 (BIP)</v>
      </c>
      <c r="C35" s="128">
        <f>VLOOKUP($B$22,$B$4:$H$17,2,FALSE)</f>
        <v>20</v>
      </c>
      <c r="D35" s="128">
        <f t="shared" si="4"/>
        <v>3.4600000000000001E-4</v>
      </c>
      <c r="E35" s="128">
        <f t="shared" si="5"/>
        <v>20.000346</v>
      </c>
      <c r="F35" s="128">
        <f t="shared" si="6"/>
        <v>9.9999999999999991E-5</v>
      </c>
      <c r="G35" s="128">
        <f t="shared" si="7"/>
        <v>2.9999999999999997E-4</v>
      </c>
    </row>
    <row r="36" spans="2:7" x14ac:dyDescent="0.35">
      <c r="F36" s="129" t="s">
        <v>525</v>
      </c>
      <c r="G36" s="130">
        <f>SUM(C33:D35)</f>
        <v>60.000872999999999</v>
      </c>
    </row>
    <row r="37" spans="2:7" x14ac:dyDescent="0.35">
      <c r="F37" s="129" t="s">
        <v>462</v>
      </c>
      <c r="G37" s="130">
        <f>SUM(F33:F35)</f>
        <v>2.9999999999999997E-4</v>
      </c>
    </row>
    <row r="38" spans="2:7" x14ac:dyDescent="0.35">
      <c r="F38" s="129" t="s">
        <v>460</v>
      </c>
      <c r="G38" s="130">
        <f>SUM(G33:G35)</f>
        <v>8.9999999999999998E-4</v>
      </c>
    </row>
    <row r="39" spans="2:7" x14ac:dyDescent="0.35">
      <c r="B39" s="127" t="s">
        <v>538</v>
      </c>
      <c r="C39" s="127" t="str">
        <f>C32</f>
        <v>Sertifikat 1</v>
      </c>
      <c r="D39" s="127" t="str">
        <f>D32</f>
        <v>Sertifikat 2</v>
      </c>
      <c r="E39" s="127" t="s">
        <v>525</v>
      </c>
      <c r="F39" s="127" t="s">
        <v>526</v>
      </c>
      <c r="G39" s="127" t="s">
        <v>460</v>
      </c>
    </row>
    <row r="40" spans="2:7" x14ac:dyDescent="0.35">
      <c r="B40" s="127" t="str">
        <f>B33</f>
        <v>Anak Timbangan Standar, Merk: Sartorius, Type : YCW7254-AC-00 (BIQ)</v>
      </c>
      <c r="C40" s="128">
        <f t="shared" ref="C40:C43" si="8">VLOOKUP($B$22,$B$4:$H$17,2,FALSE)</f>
        <v>20</v>
      </c>
      <c r="D40" s="128">
        <f t="shared" ref="D40" si="9">VLOOKUP(B40,$B$4:$H$17,3,FALSE)</f>
        <v>2.9599999999999998E-4</v>
      </c>
      <c r="E40" s="128">
        <f>VLOOKUP(B40,$B$4:$H$17,5,FALSE)</f>
        <v>20.000295999999999</v>
      </c>
      <c r="F40" s="128">
        <f>VLOOKUP(B40,$B$4:$H$17,6,FALSE)</f>
        <v>9.9999999999999991E-5</v>
      </c>
      <c r="G40" s="128">
        <f>VLOOKUP(B40,$B$4:$H$17,7,FALSE)</f>
        <v>2.9999999999999997E-4</v>
      </c>
    </row>
    <row r="41" spans="2:7" x14ac:dyDescent="0.35">
      <c r="B41" s="127" t="str">
        <f>B34</f>
        <v>Anak Timbangan Standar, Merk: Sartorius, Type : YCW7254-AC-00 (BIT)</v>
      </c>
      <c r="C41" s="128">
        <f t="shared" si="8"/>
        <v>20</v>
      </c>
      <c r="D41" s="128">
        <f t="shared" ref="D41:D43" si="10">VLOOKUP(B41,$B$4:$H$17,3,FALSE)</f>
        <v>2.31E-4</v>
      </c>
      <c r="E41" s="128">
        <f t="shared" ref="E41:E43" si="11">VLOOKUP(B41,$B$4:$H$17,5,FALSE)</f>
        <v>20.000230999999999</v>
      </c>
      <c r="F41" s="128">
        <f t="shared" ref="F41:F43" si="12">VLOOKUP(B41,$B$4:$H$17,6,FALSE)</f>
        <v>9.9999999999999991E-5</v>
      </c>
      <c r="G41" s="128">
        <f t="shared" ref="G41:G43" si="13">VLOOKUP(B41,$B$4:$H$17,7,FALSE)</f>
        <v>2.9999999999999997E-4</v>
      </c>
    </row>
    <row r="42" spans="2:7" x14ac:dyDescent="0.35">
      <c r="B42" s="127" t="str">
        <f>B35</f>
        <v>Anak Timbangan Standar, Merk: Sartorius, Type : YCW7254-AC-00 (BIP)</v>
      </c>
      <c r="C42" s="128">
        <f t="shared" si="8"/>
        <v>20</v>
      </c>
      <c r="D42" s="128">
        <f t="shared" si="10"/>
        <v>3.4600000000000001E-4</v>
      </c>
      <c r="E42" s="128">
        <f t="shared" si="11"/>
        <v>20.000346</v>
      </c>
      <c r="F42" s="128">
        <f t="shared" si="12"/>
        <v>9.9999999999999991E-5</v>
      </c>
      <c r="G42" s="128">
        <f t="shared" si="13"/>
        <v>2.9999999999999997E-4</v>
      </c>
    </row>
    <row r="43" spans="2:7" x14ac:dyDescent="0.35">
      <c r="B43" s="128" t="str">
        <f>ID!B54</f>
        <v>Anak Timbangan Standar, Merk: Sartorius, Type : YCW7254-AC-00 (BIR)</v>
      </c>
      <c r="C43" s="128">
        <f t="shared" si="8"/>
        <v>20</v>
      </c>
      <c r="D43" s="128">
        <f t="shared" si="10"/>
        <v>2.5599999999999999E-4</v>
      </c>
      <c r="E43" s="128">
        <f t="shared" si="11"/>
        <v>20.000256</v>
      </c>
      <c r="F43" s="128">
        <f t="shared" si="12"/>
        <v>9.9999999999999991E-5</v>
      </c>
      <c r="G43" s="128">
        <f t="shared" si="13"/>
        <v>2.9999999999999997E-4</v>
      </c>
    </row>
    <row r="44" spans="2:7" x14ac:dyDescent="0.35">
      <c r="F44" s="129" t="s">
        <v>525</v>
      </c>
      <c r="G44" s="130">
        <f>SUM(E40:E43)</f>
        <v>80.001128999999992</v>
      </c>
    </row>
    <row r="45" spans="2:7" x14ac:dyDescent="0.35">
      <c r="F45" s="129" t="s">
        <v>462</v>
      </c>
      <c r="G45" s="130">
        <f>SUM(F40:F43)</f>
        <v>3.9999999999999996E-4</v>
      </c>
    </row>
    <row r="46" spans="2:7" x14ac:dyDescent="0.35">
      <c r="F46" s="129" t="s">
        <v>460</v>
      </c>
      <c r="G46" s="130">
        <f>SUM(G40:G43)</f>
        <v>1.1999999999999999E-3</v>
      </c>
    </row>
    <row r="47" spans="2:7" x14ac:dyDescent="0.35">
      <c r="B47" s="127" t="s">
        <v>539</v>
      </c>
      <c r="C47" s="127" t="str">
        <f>C39</f>
        <v>Sertifikat 1</v>
      </c>
      <c r="D47" s="127" t="str">
        <f>D39</f>
        <v>Sertifikat 2</v>
      </c>
      <c r="E47" s="127" t="s">
        <v>525</v>
      </c>
      <c r="F47" s="127" t="s">
        <v>526</v>
      </c>
      <c r="G47" s="127" t="s">
        <v>460</v>
      </c>
    </row>
    <row r="48" spans="2:7" x14ac:dyDescent="0.35">
      <c r="B48" s="127" t="str">
        <f>B40</f>
        <v>Anak Timbangan Standar, Merk: Sartorius, Type : YCW7254-AC-00 (BIQ)</v>
      </c>
      <c r="C48" s="128">
        <f>VLOOKUP($B$22,$B$4:$H$17,2,FALSE)</f>
        <v>20</v>
      </c>
      <c r="D48" s="128">
        <f>VLOOKUP(B48,$B$4:$H$17,3,FALSE)</f>
        <v>2.9599999999999998E-4</v>
      </c>
      <c r="E48" s="128">
        <f>VLOOKUP(B48,$B$4:$H$17,5,FALSE)</f>
        <v>20.000295999999999</v>
      </c>
      <c r="F48" s="128">
        <f>VLOOKUP(B48,$B$4:$H$17,6,FALSE)</f>
        <v>9.9999999999999991E-5</v>
      </c>
      <c r="G48" s="128">
        <f>VLOOKUP(B48,$B$4:$H$17,7,FALSE)</f>
        <v>2.9999999999999997E-4</v>
      </c>
    </row>
    <row r="49" spans="2:7" x14ac:dyDescent="0.35">
      <c r="B49" s="127" t="str">
        <f>B41</f>
        <v>Anak Timbangan Standar, Merk: Sartorius, Type : YCW7254-AC-00 (BIT)</v>
      </c>
      <c r="C49" s="128">
        <f t="shared" ref="C49:C52" si="14">VLOOKUP($B$22,$B$4:$H$17,2,FALSE)</f>
        <v>20</v>
      </c>
      <c r="D49" s="128">
        <f t="shared" ref="D49:D52" si="15">VLOOKUP(B49,$B$4:$H$17,3,FALSE)</f>
        <v>2.31E-4</v>
      </c>
      <c r="E49" s="128">
        <f t="shared" ref="E49:E52" si="16">VLOOKUP(B49,$B$4:$H$17,5,FALSE)</f>
        <v>20.000230999999999</v>
      </c>
      <c r="F49" s="128">
        <f t="shared" ref="F49:F52" si="17">VLOOKUP(B49,$B$4:$H$17,6,FALSE)</f>
        <v>9.9999999999999991E-5</v>
      </c>
      <c r="G49" s="128">
        <f t="shared" ref="G49:G52" si="18">VLOOKUP(B49,$B$4:$H$17,7,FALSE)</f>
        <v>2.9999999999999997E-4</v>
      </c>
    </row>
    <row r="50" spans="2:7" x14ac:dyDescent="0.35">
      <c r="B50" s="127" t="str">
        <f>B42</f>
        <v>Anak Timbangan Standar, Merk: Sartorius, Type : YCW7254-AC-00 (BIP)</v>
      </c>
      <c r="C50" s="128">
        <f t="shared" si="14"/>
        <v>20</v>
      </c>
      <c r="D50" s="128">
        <f t="shared" si="15"/>
        <v>3.4600000000000001E-4</v>
      </c>
      <c r="E50" s="128">
        <f t="shared" si="16"/>
        <v>20.000346</v>
      </c>
      <c r="F50" s="128">
        <f t="shared" si="17"/>
        <v>9.9999999999999991E-5</v>
      </c>
      <c r="G50" s="128">
        <f t="shared" si="18"/>
        <v>2.9999999999999997E-4</v>
      </c>
    </row>
    <row r="51" spans="2:7" x14ac:dyDescent="0.35">
      <c r="B51" s="127" t="str">
        <f>B43</f>
        <v>Anak Timbangan Standar, Merk: Sartorius, Type : YCW7254-AC-00 (BIR)</v>
      </c>
      <c r="C51" s="128">
        <f t="shared" si="14"/>
        <v>20</v>
      </c>
      <c r="D51" s="128">
        <f t="shared" si="15"/>
        <v>2.5599999999999999E-4</v>
      </c>
      <c r="E51" s="128">
        <f t="shared" si="16"/>
        <v>20.000256</v>
      </c>
      <c r="F51" s="128">
        <f t="shared" si="17"/>
        <v>9.9999999999999991E-5</v>
      </c>
      <c r="G51" s="128">
        <f t="shared" si="18"/>
        <v>2.9999999999999997E-4</v>
      </c>
    </row>
    <row r="52" spans="2:7" x14ac:dyDescent="0.35">
      <c r="B52" s="128" t="str">
        <f>ID!B55</f>
        <v>Anak Timbangan Standar, Merk: Sartorius, Type : YCW7254-AC-00 (BIS)</v>
      </c>
      <c r="C52" s="128">
        <f t="shared" si="14"/>
        <v>20</v>
      </c>
      <c r="D52" s="128">
        <f t="shared" si="15"/>
        <v>2.81E-4</v>
      </c>
      <c r="E52" s="128">
        <f t="shared" si="16"/>
        <v>20.000281000000001</v>
      </c>
      <c r="F52" s="128">
        <f t="shared" si="17"/>
        <v>9.9999999999999991E-5</v>
      </c>
      <c r="G52" s="128">
        <f t="shared" si="18"/>
        <v>2.9999999999999997E-4</v>
      </c>
    </row>
    <row r="53" spans="2:7" x14ac:dyDescent="0.35">
      <c r="F53" s="129" t="s">
        <v>525</v>
      </c>
      <c r="G53" s="130">
        <f>SUM(E48:E52)</f>
        <v>100.00140999999999</v>
      </c>
    </row>
    <row r="54" spans="2:7" x14ac:dyDescent="0.35">
      <c r="F54" s="129" t="s">
        <v>462</v>
      </c>
      <c r="G54" s="130">
        <f>SUM(F48:F52)</f>
        <v>5.0000000000000001E-4</v>
      </c>
    </row>
    <row r="55" spans="2:7" x14ac:dyDescent="0.35">
      <c r="F55" s="129" t="s">
        <v>460</v>
      </c>
      <c r="G55" s="130">
        <f>SUM(G48:G52)</f>
        <v>1.4999999999999998E-3</v>
      </c>
    </row>
    <row r="56" spans="2:7" x14ac:dyDescent="0.35">
      <c r="B56" s="127" t="s">
        <v>540</v>
      </c>
      <c r="C56" s="127" t="str">
        <f>C47</f>
        <v>Sertifikat 1</v>
      </c>
      <c r="D56" s="127" t="str">
        <f>D47</f>
        <v>Sertifikat 2</v>
      </c>
      <c r="E56" s="127" t="s">
        <v>525</v>
      </c>
      <c r="F56" s="127" t="s">
        <v>526</v>
      </c>
      <c r="G56" s="127" t="s">
        <v>460</v>
      </c>
    </row>
    <row r="57" spans="2:7" x14ac:dyDescent="0.35">
      <c r="B57" s="127" t="str">
        <f>B48</f>
        <v>Anak Timbangan Standar, Merk: Sartorius, Type : YCW7254-AC-00 (BIQ)</v>
      </c>
      <c r="C57" s="128">
        <f t="shared" ref="C57:C62" si="19">VLOOKUP($B$22,$B$4:$H$17,2,FALSE)</f>
        <v>20</v>
      </c>
      <c r="D57" s="128">
        <f>VLOOKUP(B57,$B$4:$H$17,3,FALSE)</f>
        <v>2.9599999999999998E-4</v>
      </c>
      <c r="E57" s="128">
        <f>VLOOKUP(B57,$B$4:$H$17,5,FALSE)</f>
        <v>20.000295999999999</v>
      </c>
      <c r="F57" s="128">
        <f>VLOOKUP(B57,$B$4:$H$17,6,FALSE)</f>
        <v>9.9999999999999991E-5</v>
      </c>
      <c r="G57" s="128">
        <f>VLOOKUP(B57,$B$4:$H$17,7,FALSE)</f>
        <v>2.9999999999999997E-4</v>
      </c>
    </row>
    <row r="58" spans="2:7" x14ac:dyDescent="0.35">
      <c r="B58" s="127" t="str">
        <f>B49</f>
        <v>Anak Timbangan Standar, Merk: Sartorius, Type : YCW7254-AC-00 (BIT)</v>
      </c>
      <c r="C58" s="128">
        <f t="shared" si="19"/>
        <v>20</v>
      </c>
      <c r="D58" s="128">
        <f t="shared" ref="D58:D62" si="20">VLOOKUP(B58,$B$4:$H$17,3,FALSE)</f>
        <v>2.31E-4</v>
      </c>
      <c r="E58" s="128">
        <f t="shared" ref="E58:E62" si="21">VLOOKUP(B58,$B$4:$H$17,5,FALSE)</f>
        <v>20.000230999999999</v>
      </c>
      <c r="F58" s="128">
        <f t="shared" ref="F58:F62" si="22">VLOOKUP(B58,$B$4:$H$17,6,FALSE)</f>
        <v>9.9999999999999991E-5</v>
      </c>
      <c r="G58" s="128">
        <f t="shared" ref="G58:G62" si="23">VLOOKUP(B58,$B$4:$H$17,7,FALSE)</f>
        <v>2.9999999999999997E-4</v>
      </c>
    </row>
    <row r="59" spans="2:7" x14ac:dyDescent="0.35">
      <c r="B59" s="127" t="str">
        <f>B50</f>
        <v>Anak Timbangan Standar, Merk: Sartorius, Type : YCW7254-AC-00 (BIP)</v>
      </c>
      <c r="C59" s="128">
        <f t="shared" si="19"/>
        <v>20</v>
      </c>
      <c r="D59" s="128">
        <f t="shared" si="20"/>
        <v>3.4600000000000001E-4</v>
      </c>
      <c r="E59" s="128">
        <f t="shared" si="21"/>
        <v>20.000346</v>
      </c>
      <c r="F59" s="128">
        <f t="shared" si="22"/>
        <v>9.9999999999999991E-5</v>
      </c>
      <c r="G59" s="128">
        <f t="shared" si="23"/>
        <v>2.9999999999999997E-4</v>
      </c>
    </row>
    <row r="60" spans="2:7" x14ac:dyDescent="0.35">
      <c r="B60" s="127" t="str">
        <f>B51</f>
        <v>Anak Timbangan Standar, Merk: Sartorius, Type : YCW7254-AC-00 (BIR)</v>
      </c>
      <c r="C60" s="128">
        <f t="shared" si="19"/>
        <v>20</v>
      </c>
      <c r="D60" s="128">
        <f t="shared" si="20"/>
        <v>2.5599999999999999E-4</v>
      </c>
      <c r="E60" s="128">
        <f t="shared" si="21"/>
        <v>20.000256</v>
      </c>
      <c r="F60" s="128">
        <f t="shared" si="22"/>
        <v>9.9999999999999991E-5</v>
      </c>
      <c r="G60" s="128">
        <f t="shared" si="23"/>
        <v>2.9999999999999997E-4</v>
      </c>
    </row>
    <row r="61" spans="2:7" x14ac:dyDescent="0.35">
      <c r="B61" s="127" t="str">
        <f>B52</f>
        <v>Anak Timbangan Standar, Merk: Sartorius, Type : YCW7254-AC-00 (BIS)</v>
      </c>
      <c r="C61" s="128">
        <f t="shared" si="19"/>
        <v>20</v>
      </c>
      <c r="D61" s="128">
        <f t="shared" si="20"/>
        <v>2.81E-4</v>
      </c>
      <c r="E61" s="128">
        <f t="shared" si="21"/>
        <v>20.000281000000001</v>
      </c>
      <c r="F61" s="128">
        <f t="shared" si="22"/>
        <v>9.9999999999999991E-5</v>
      </c>
      <c r="G61" s="128">
        <f t="shared" si="23"/>
        <v>2.9999999999999997E-4</v>
      </c>
    </row>
    <row r="62" spans="2:7" x14ac:dyDescent="0.35">
      <c r="B62" s="127" t="str">
        <f>ID!B56</f>
        <v>Anak Timbangan Standar, Merk: Sartorius, Type : YCW7254-AC-00 (BIW)</v>
      </c>
      <c r="C62" s="128">
        <f t="shared" si="19"/>
        <v>20</v>
      </c>
      <c r="D62" s="128">
        <f t="shared" si="20"/>
        <v>1.8100000000000001E-4</v>
      </c>
      <c r="E62" s="128">
        <f t="shared" si="21"/>
        <v>20.000181000000001</v>
      </c>
      <c r="F62" s="128">
        <f t="shared" si="22"/>
        <v>9.9999999999999991E-5</v>
      </c>
      <c r="G62" s="128">
        <f t="shared" si="23"/>
        <v>2.9999999999999997E-4</v>
      </c>
    </row>
    <row r="63" spans="2:7" x14ac:dyDescent="0.35">
      <c r="F63" s="129" t="s">
        <v>525</v>
      </c>
      <c r="G63" s="130">
        <f>SUM(E57:E62)</f>
        <v>120.00159099999999</v>
      </c>
    </row>
    <row r="64" spans="2:7" x14ac:dyDescent="0.35">
      <c r="F64" s="129" t="s">
        <v>462</v>
      </c>
      <c r="G64" s="130">
        <f>SUM(F57:F62)</f>
        <v>6.0000000000000006E-4</v>
      </c>
    </row>
    <row r="65" spans="2:7" x14ac:dyDescent="0.35">
      <c r="F65" s="129" t="s">
        <v>460</v>
      </c>
      <c r="G65" s="130">
        <f>SUM(G57:G62)</f>
        <v>1.7999999999999997E-3</v>
      </c>
    </row>
    <row r="66" spans="2:7" x14ac:dyDescent="0.35">
      <c r="B66" s="127" t="s">
        <v>541</v>
      </c>
      <c r="C66" s="127" t="str">
        <f>C56</f>
        <v>Sertifikat 1</v>
      </c>
      <c r="D66" s="127" t="str">
        <f>D56</f>
        <v>Sertifikat 2</v>
      </c>
      <c r="E66" s="127" t="s">
        <v>525</v>
      </c>
      <c r="F66" s="127" t="s">
        <v>526</v>
      </c>
      <c r="G66" s="127" t="s">
        <v>460</v>
      </c>
    </row>
    <row r="67" spans="2:7" x14ac:dyDescent="0.35">
      <c r="B67" s="127" t="str">
        <f>B57</f>
        <v>Anak Timbangan Standar, Merk: Sartorius, Type : YCW7254-AC-00 (BIQ)</v>
      </c>
      <c r="C67" s="128">
        <f t="shared" ref="C67:C73" si="24">VLOOKUP($B$22,$B$4:$H$17,2,FALSE)</f>
        <v>20</v>
      </c>
      <c r="D67" s="128">
        <f>VLOOKUP(B67,$B$4:$H$17,3,FALSE)</f>
        <v>2.9599999999999998E-4</v>
      </c>
      <c r="E67" s="128">
        <f>VLOOKUP(B67,$B$4:$H$17,5,FALSE)</f>
        <v>20.000295999999999</v>
      </c>
      <c r="F67" s="128">
        <f>VLOOKUP(B67,$B$4:$H$17,6,FALSE)</f>
        <v>9.9999999999999991E-5</v>
      </c>
      <c r="G67" s="128">
        <f>VLOOKUP(B67,$B$4:$H$17,7,FALSE)</f>
        <v>2.9999999999999997E-4</v>
      </c>
    </row>
    <row r="68" spans="2:7" x14ac:dyDescent="0.35">
      <c r="B68" s="127" t="str">
        <f t="shared" ref="B68:B72" si="25">B58</f>
        <v>Anak Timbangan Standar, Merk: Sartorius, Type : YCW7254-AC-00 (BIT)</v>
      </c>
      <c r="C68" s="128">
        <f t="shared" si="24"/>
        <v>20</v>
      </c>
      <c r="D68" s="128">
        <f t="shared" ref="D68:D73" si="26">VLOOKUP(B68,$B$4:$H$17,3,FALSE)</f>
        <v>2.31E-4</v>
      </c>
      <c r="E68" s="128">
        <f t="shared" ref="E68:E73" si="27">VLOOKUP(B68,$B$4:$H$17,5,FALSE)</f>
        <v>20.000230999999999</v>
      </c>
      <c r="F68" s="128">
        <f t="shared" ref="F68:F73" si="28">VLOOKUP(B68,$B$4:$H$17,6,FALSE)</f>
        <v>9.9999999999999991E-5</v>
      </c>
      <c r="G68" s="128">
        <f t="shared" ref="G68:G73" si="29">VLOOKUP(B68,$B$4:$H$17,7,FALSE)</f>
        <v>2.9999999999999997E-4</v>
      </c>
    </row>
    <row r="69" spans="2:7" x14ac:dyDescent="0.35">
      <c r="B69" s="127" t="str">
        <f t="shared" si="25"/>
        <v>Anak Timbangan Standar, Merk: Sartorius, Type : YCW7254-AC-00 (BIP)</v>
      </c>
      <c r="C69" s="128">
        <f t="shared" si="24"/>
        <v>20</v>
      </c>
      <c r="D69" s="128">
        <f t="shared" si="26"/>
        <v>3.4600000000000001E-4</v>
      </c>
      <c r="E69" s="128">
        <f t="shared" si="27"/>
        <v>20.000346</v>
      </c>
      <c r="F69" s="128">
        <f t="shared" si="28"/>
        <v>9.9999999999999991E-5</v>
      </c>
      <c r="G69" s="128">
        <f t="shared" si="29"/>
        <v>2.9999999999999997E-4</v>
      </c>
    </row>
    <row r="70" spans="2:7" x14ac:dyDescent="0.35">
      <c r="B70" s="127" t="str">
        <f t="shared" si="25"/>
        <v>Anak Timbangan Standar, Merk: Sartorius, Type : YCW7254-AC-00 (BIR)</v>
      </c>
      <c r="C70" s="128">
        <f t="shared" si="24"/>
        <v>20</v>
      </c>
      <c r="D70" s="128">
        <f t="shared" si="26"/>
        <v>2.5599999999999999E-4</v>
      </c>
      <c r="E70" s="128">
        <f t="shared" si="27"/>
        <v>20.000256</v>
      </c>
      <c r="F70" s="128">
        <f t="shared" si="28"/>
        <v>9.9999999999999991E-5</v>
      </c>
      <c r="G70" s="128">
        <f t="shared" si="29"/>
        <v>2.9999999999999997E-4</v>
      </c>
    </row>
    <row r="71" spans="2:7" x14ac:dyDescent="0.35">
      <c r="B71" s="127" t="str">
        <f t="shared" si="25"/>
        <v>Anak Timbangan Standar, Merk: Sartorius, Type : YCW7254-AC-00 (BIS)</v>
      </c>
      <c r="C71" s="128">
        <f t="shared" si="24"/>
        <v>20</v>
      </c>
      <c r="D71" s="128">
        <f t="shared" si="26"/>
        <v>2.81E-4</v>
      </c>
      <c r="E71" s="128">
        <f t="shared" si="27"/>
        <v>20.000281000000001</v>
      </c>
      <c r="F71" s="128">
        <f t="shared" si="28"/>
        <v>9.9999999999999991E-5</v>
      </c>
      <c r="G71" s="128">
        <f t="shared" si="29"/>
        <v>2.9999999999999997E-4</v>
      </c>
    </row>
    <row r="72" spans="2:7" x14ac:dyDescent="0.35">
      <c r="B72" s="127" t="str">
        <f t="shared" si="25"/>
        <v>Anak Timbangan Standar, Merk: Sartorius, Type : YCW7254-AC-00 (BIW)</v>
      </c>
      <c r="C72" s="128">
        <f t="shared" si="24"/>
        <v>20</v>
      </c>
      <c r="D72" s="128">
        <f t="shared" si="26"/>
        <v>1.8100000000000001E-4</v>
      </c>
      <c r="E72" s="128">
        <f t="shared" si="27"/>
        <v>20.000181000000001</v>
      </c>
      <c r="F72" s="128">
        <f t="shared" si="28"/>
        <v>9.9999999999999991E-5</v>
      </c>
      <c r="G72" s="128">
        <f t="shared" si="29"/>
        <v>2.9999999999999997E-4</v>
      </c>
    </row>
    <row r="73" spans="2:7" x14ac:dyDescent="0.35">
      <c r="B73" s="127" t="str">
        <f>ID!B57</f>
        <v>Anak Timbangan Standar, Merk: Sartorius, Type : YCW7254-AC-00 (BIX)</v>
      </c>
      <c r="C73" s="128">
        <f t="shared" si="24"/>
        <v>20</v>
      </c>
      <c r="D73" s="128">
        <f t="shared" si="26"/>
        <v>2.5099999999999998E-4</v>
      </c>
      <c r="E73" s="128">
        <f t="shared" si="27"/>
        <v>20.000250999999999</v>
      </c>
      <c r="F73" s="128">
        <f t="shared" si="28"/>
        <v>9.9999999999999991E-5</v>
      </c>
      <c r="G73" s="128">
        <f t="shared" si="29"/>
        <v>2.9999999999999997E-4</v>
      </c>
    </row>
    <row r="74" spans="2:7" x14ac:dyDescent="0.35">
      <c r="F74" s="129" t="s">
        <v>525</v>
      </c>
      <c r="G74" s="130">
        <f>SUM(E67:E73)</f>
        <v>140.00184199999998</v>
      </c>
    </row>
    <row r="75" spans="2:7" x14ac:dyDescent="0.35">
      <c r="F75" s="129" t="s">
        <v>462</v>
      </c>
      <c r="G75" s="196">
        <f>SUM(F67:F73)</f>
        <v>7.000000000000001E-4</v>
      </c>
    </row>
    <row r="76" spans="2:7" x14ac:dyDescent="0.35">
      <c r="F76" s="129" t="s">
        <v>460</v>
      </c>
      <c r="G76" s="196">
        <f>SUM(G67:G73)</f>
        <v>2.0999999999999999E-3</v>
      </c>
    </row>
  </sheetData>
  <sheetProtection algorithmName="SHA-512" hashValue="Us/pkKJonJkFiOvuu3qcPpxj2jCs9xo6AbAEsy16KqhPANtcDxaS9T7JwXD3cdhS+E/ROzzLenwUGZ+/M1V/Vg==" saltValue="sNWvmwPugKTynGjm0Dy0xg==" spinCount="100000" sheet="1" objects="1" scenarios="1"/>
  <mergeCells count="19">
    <mergeCell ref="K14:K15"/>
    <mergeCell ref="L14:L15"/>
    <mergeCell ref="M14:N14"/>
    <mergeCell ref="O14:O15"/>
    <mergeCell ref="P14:P15"/>
    <mergeCell ref="F2:F3"/>
    <mergeCell ref="G2:G3"/>
    <mergeCell ref="H2:H3"/>
    <mergeCell ref="I2:J3"/>
    <mergeCell ref="P1:P2"/>
    <mergeCell ref="K1:K2"/>
    <mergeCell ref="L1:L2"/>
    <mergeCell ref="M1:N1"/>
    <mergeCell ref="O1:O2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99"/>
  <sheetViews>
    <sheetView workbookViewId="0">
      <selection activeCell="B80" sqref="B80"/>
    </sheetView>
  </sheetViews>
  <sheetFormatPr defaultColWidth="9.1796875" defaultRowHeight="10.5" x14ac:dyDescent="0.25"/>
  <cols>
    <col min="1" max="1" width="9.1796875" style="34"/>
    <col min="2" max="2" width="72.54296875" style="34" customWidth="1"/>
    <col min="3" max="3" width="5.1796875" style="34" customWidth="1"/>
    <col min="4" max="4" width="4.81640625" style="34" customWidth="1"/>
    <col min="5" max="7" width="9.1796875" style="34"/>
    <col min="8" max="8" width="4" style="34" customWidth="1"/>
    <col min="9" max="9" width="9.1796875" style="34"/>
    <col min="10" max="10" width="7.54296875" style="34" customWidth="1"/>
    <col min="11" max="11" width="4.26953125" style="34" customWidth="1"/>
    <col min="12" max="12" width="2.54296875" style="34" customWidth="1"/>
    <col min="13" max="13" width="12" style="34" customWidth="1"/>
    <col min="14" max="14" width="9.1796875" style="34"/>
    <col min="15" max="15" width="10" style="34" customWidth="1"/>
    <col min="16" max="17" width="9.1796875" style="34"/>
    <col min="18" max="18" width="10.453125" style="34" customWidth="1"/>
    <col min="19" max="25" width="9.1796875" style="34"/>
    <col min="26" max="26" width="12.7265625" style="34" customWidth="1"/>
    <col min="27" max="27" width="7.26953125" style="34" customWidth="1"/>
    <col min="28" max="16384" width="9.1796875" style="34"/>
  </cols>
  <sheetData>
    <row r="1" spans="2:27" ht="15" customHeight="1" x14ac:dyDescent="0.3">
      <c r="B1" s="111"/>
      <c r="C1" s="111"/>
      <c r="D1" s="111"/>
      <c r="E1" s="35"/>
      <c r="F1" s="35"/>
      <c r="G1" s="35"/>
      <c r="H1" s="35"/>
      <c r="I1" s="35"/>
      <c r="J1" s="35"/>
      <c r="K1" s="35"/>
      <c r="L1" s="35"/>
      <c r="M1" s="762"/>
      <c r="N1" s="763"/>
      <c r="O1" s="763"/>
      <c r="P1" s="764"/>
      <c r="Q1" s="765"/>
      <c r="R1" s="766"/>
      <c r="S1" s="36"/>
      <c r="U1" s="767"/>
      <c r="V1" s="768"/>
      <c r="W1" s="768"/>
      <c r="X1" s="769"/>
      <c r="Y1" s="37"/>
      <c r="Z1" s="38"/>
      <c r="AA1" s="39"/>
    </row>
    <row r="2" spans="2:27" ht="14.5" x14ac:dyDescent="0.3">
      <c r="B2" s="111"/>
      <c r="C2" s="112"/>
      <c r="D2" s="112"/>
      <c r="E2" s="35"/>
      <c r="F2" s="35"/>
      <c r="G2" s="35"/>
      <c r="H2" s="35"/>
      <c r="I2" s="35"/>
      <c r="J2" s="35"/>
      <c r="K2" s="35"/>
      <c r="L2" s="35"/>
      <c r="M2" s="40"/>
      <c r="N2" s="41"/>
      <c r="O2" s="770"/>
      <c r="P2" s="771"/>
      <c r="Q2" s="42"/>
      <c r="R2" s="43"/>
      <c r="S2" s="36"/>
      <c r="U2" s="42"/>
      <c r="V2" s="44"/>
      <c r="W2" s="45"/>
      <c r="X2" s="46"/>
      <c r="Y2" s="47"/>
      <c r="Z2" s="48"/>
      <c r="AA2" s="49"/>
    </row>
    <row r="3" spans="2:27" ht="15" thickBot="1" x14ac:dyDescent="0.35">
      <c r="B3" s="111"/>
      <c r="C3" s="112"/>
      <c r="D3" s="112"/>
      <c r="E3" s="35"/>
      <c r="F3" s="35"/>
      <c r="G3" s="35"/>
      <c r="H3" s="35"/>
      <c r="I3" s="35"/>
      <c r="J3" s="35"/>
      <c r="K3" s="35"/>
      <c r="L3" s="35"/>
      <c r="M3" s="50"/>
      <c r="N3" s="51"/>
      <c r="O3" s="51"/>
      <c r="P3" s="52"/>
      <c r="Q3" s="53"/>
      <c r="R3" s="54"/>
      <c r="S3" s="36"/>
      <c r="U3" s="55"/>
      <c r="V3" s="44"/>
      <c r="W3" s="44"/>
      <c r="X3" s="46"/>
      <c r="Y3" s="47"/>
      <c r="Z3" s="57"/>
      <c r="AA3" s="49"/>
    </row>
    <row r="4" spans="2:27" ht="13" x14ac:dyDescent="0.3">
      <c r="B4" s="111"/>
      <c r="C4" s="112"/>
      <c r="D4" s="112"/>
      <c r="E4" s="35"/>
      <c r="F4" s="35"/>
      <c r="G4" s="35"/>
      <c r="H4" s="35"/>
      <c r="I4" s="35"/>
      <c r="J4" s="35"/>
      <c r="K4" s="35"/>
      <c r="L4" s="35"/>
      <c r="M4" s="50"/>
      <c r="N4" s="58"/>
      <c r="O4" s="51"/>
      <c r="P4" s="52"/>
      <c r="S4" s="36"/>
      <c r="U4" s="42"/>
      <c r="V4" s="44"/>
      <c r="W4" s="44"/>
      <c r="X4" s="46"/>
    </row>
    <row r="5" spans="2:27" ht="13" x14ac:dyDescent="0.3">
      <c r="B5" s="111"/>
      <c r="C5" s="112"/>
      <c r="D5" s="112"/>
      <c r="E5" s="35"/>
      <c r="F5" s="35"/>
      <c r="G5" s="35"/>
      <c r="H5" s="35"/>
      <c r="I5" s="35"/>
      <c r="J5" s="35"/>
      <c r="K5" s="35"/>
      <c r="L5" s="35"/>
      <c r="M5" s="50"/>
      <c r="N5" s="58"/>
      <c r="O5" s="51"/>
      <c r="P5" s="52"/>
      <c r="S5" s="36"/>
      <c r="U5" s="759"/>
      <c r="V5" s="760"/>
      <c r="W5" s="760"/>
      <c r="X5" s="761"/>
    </row>
    <row r="6" spans="2:27" ht="13" x14ac:dyDescent="0.3">
      <c r="B6" s="111"/>
      <c r="C6" s="112"/>
      <c r="D6" s="112"/>
      <c r="E6" s="35"/>
      <c r="F6" s="35"/>
      <c r="G6" s="35"/>
      <c r="H6" s="35"/>
      <c r="I6" s="35"/>
      <c r="J6" s="35"/>
      <c r="K6" s="35"/>
      <c r="L6" s="35"/>
      <c r="M6" s="50"/>
      <c r="N6" s="58"/>
      <c r="O6" s="51"/>
      <c r="P6" s="52"/>
      <c r="S6" s="36"/>
      <c r="U6" s="42"/>
      <c r="V6" s="44"/>
      <c r="W6" s="59"/>
      <c r="X6" s="46"/>
    </row>
    <row r="7" spans="2:27" ht="13" x14ac:dyDescent="0.3">
      <c r="B7" s="111"/>
      <c r="C7" s="112"/>
      <c r="D7" s="112"/>
      <c r="E7" s="35"/>
      <c r="F7" s="35"/>
      <c r="G7" s="35"/>
      <c r="H7" s="35"/>
      <c r="I7" s="35"/>
      <c r="J7" s="35"/>
      <c r="K7" s="35"/>
      <c r="L7" s="35"/>
      <c r="M7" s="50"/>
      <c r="N7" s="58"/>
      <c r="O7" s="51"/>
      <c r="P7" s="52"/>
      <c r="S7" s="36"/>
      <c r="U7" s="55"/>
      <c r="V7" s="45"/>
      <c r="W7" s="44"/>
      <c r="X7" s="46"/>
    </row>
    <row r="8" spans="2:27" ht="13.5" thickBot="1" x14ac:dyDescent="0.35">
      <c r="B8" s="113"/>
      <c r="C8" s="111"/>
      <c r="D8" s="111"/>
      <c r="E8" s="35"/>
      <c r="F8" s="35"/>
      <c r="G8" s="35"/>
      <c r="H8" s="35"/>
      <c r="I8" s="35"/>
      <c r="J8" s="35"/>
      <c r="K8" s="35"/>
      <c r="L8" s="35"/>
      <c r="M8" s="50"/>
      <c r="N8" s="58"/>
      <c r="O8" s="51"/>
      <c r="P8" s="60"/>
      <c r="S8" s="36"/>
      <c r="U8" s="61"/>
      <c r="V8" s="62"/>
      <c r="W8" s="63"/>
      <c r="X8" s="64"/>
    </row>
    <row r="9" spans="2:27" ht="13" x14ac:dyDescent="0.3">
      <c r="B9" s="113"/>
      <c r="C9" s="111"/>
      <c r="D9" s="111"/>
      <c r="E9" s="35"/>
      <c r="F9" s="35"/>
      <c r="G9" s="35"/>
      <c r="H9" s="35"/>
      <c r="I9" s="35"/>
      <c r="J9" s="35"/>
      <c r="K9" s="35"/>
      <c r="L9" s="35"/>
      <c r="M9" s="50"/>
      <c r="N9" s="58"/>
      <c r="O9" s="51"/>
      <c r="P9" s="60"/>
      <c r="S9" s="36"/>
      <c r="V9" s="114"/>
      <c r="X9" s="114"/>
    </row>
    <row r="10" spans="2:27" ht="13" x14ac:dyDescent="0.3">
      <c r="B10" s="35" t="s">
        <v>542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50"/>
      <c r="N10" s="58"/>
      <c r="O10" s="51"/>
      <c r="P10" s="52"/>
      <c r="S10" s="36"/>
    </row>
    <row r="11" spans="2:27" ht="13.5" thickBot="1" x14ac:dyDescent="0.35">
      <c r="B11" s="65" t="s">
        <v>543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66"/>
      <c r="N11" s="67"/>
      <c r="O11" s="67"/>
      <c r="P11" s="68"/>
      <c r="S11" s="36"/>
    </row>
    <row r="12" spans="2:27" ht="13.5" customHeight="1" x14ac:dyDescent="0.3">
      <c r="B12" s="35" t="s">
        <v>544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69"/>
      <c r="N12" s="69"/>
      <c r="O12" s="69"/>
      <c r="P12" s="69"/>
      <c r="S12" s="36"/>
    </row>
    <row r="13" spans="2:27" ht="13.5" customHeight="1" thickBot="1" x14ac:dyDescent="0.35">
      <c r="B13" s="65" t="s">
        <v>545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S13" s="36"/>
    </row>
    <row r="14" spans="2:27" ht="13" x14ac:dyDescent="0.3">
      <c r="B14" s="70" t="s">
        <v>546</v>
      </c>
      <c r="C14" s="35"/>
      <c r="D14" s="70"/>
      <c r="E14" s="70"/>
      <c r="F14" s="70"/>
      <c r="G14" s="70"/>
      <c r="H14" s="70"/>
      <c r="I14" s="70"/>
      <c r="J14" s="70"/>
      <c r="K14" s="35"/>
      <c r="L14" s="35"/>
      <c r="M14" s="762"/>
      <c r="N14" s="763"/>
      <c r="O14" s="763"/>
      <c r="P14" s="764"/>
      <c r="Q14" s="765"/>
      <c r="R14" s="766"/>
      <c r="S14" s="36"/>
      <c r="U14" s="767"/>
      <c r="V14" s="768"/>
      <c r="W14" s="768"/>
      <c r="X14" s="769"/>
      <c r="Y14" s="37"/>
      <c r="Z14" s="71"/>
    </row>
    <row r="15" spans="2:27" ht="13" x14ac:dyDescent="0.3">
      <c r="B15" s="70" t="s">
        <v>102</v>
      </c>
      <c r="C15" s="35"/>
      <c r="D15" s="70"/>
      <c r="E15" s="70"/>
      <c r="F15" s="70"/>
      <c r="G15" s="70"/>
      <c r="H15" s="70"/>
      <c r="I15" s="70"/>
      <c r="J15" s="70"/>
      <c r="K15" s="35"/>
      <c r="L15" s="35"/>
      <c r="M15" s="72"/>
      <c r="N15" s="73"/>
      <c r="O15" s="770"/>
      <c r="P15" s="771"/>
      <c r="Q15" s="42"/>
      <c r="R15" s="43"/>
      <c r="S15" s="36"/>
      <c r="U15" s="42"/>
      <c r="V15" s="44"/>
      <c r="W15" s="45"/>
      <c r="X15" s="46"/>
      <c r="Y15" s="47"/>
      <c r="Z15" s="74"/>
    </row>
    <row r="16" spans="2:27" ht="13.5" thickBot="1" x14ac:dyDescent="0.35">
      <c r="B16" s="75" t="s">
        <v>547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76"/>
      <c r="N16" s="45"/>
      <c r="O16" s="45"/>
      <c r="P16" s="77"/>
      <c r="Q16" s="53"/>
      <c r="R16" s="54"/>
      <c r="S16" s="36"/>
      <c r="U16" s="55"/>
      <c r="V16" s="44"/>
      <c r="W16" s="44"/>
      <c r="X16" s="46"/>
      <c r="Y16" s="56"/>
      <c r="Z16" s="78"/>
    </row>
    <row r="17" spans="1:26" ht="13" x14ac:dyDescent="0.3">
      <c r="B17" s="75" t="s">
        <v>548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79"/>
      <c r="N17" s="80"/>
      <c r="O17" s="81"/>
      <c r="P17" s="82"/>
      <c r="S17" s="36"/>
      <c r="U17" s="42"/>
      <c r="V17" s="44"/>
      <c r="W17" s="44"/>
      <c r="X17" s="46"/>
    </row>
    <row r="18" spans="1:26" ht="13" x14ac:dyDescent="0.3"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79"/>
      <c r="N18" s="80"/>
      <c r="O18" s="81"/>
      <c r="P18" s="83"/>
      <c r="S18" s="36"/>
      <c r="U18" s="759"/>
      <c r="V18" s="760"/>
      <c r="W18" s="760"/>
      <c r="X18" s="761"/>
    </row>
    <row r="19" spans="1:26" ht="13" x14ac:dyDescent="0.3">
      <c r="B19" s="34" t="s">
        <v>549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79"/>
      <c r="N19" s="81"/>
      <c r="O19" s="81"/>
      <c r="P19" s="83"/>
      <c r="S19" s="36"/>
      <c r="U19" s="42"/>
      <c r="V19" s="44"/>
      <c r="W19" s="59"/>
      <c r="X19" s="46"/>
    </row>
    <row r="20" spans="1:26" ht="13" x14ac:dyDescent="0.3">
      <c r="B20" s="34" t="s">
        <v>550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79"/>
      <c r="N20" s="81"/>
      <c r="O20" s="81"/>
      <c r="P20" s="83"/>
      <c r="S20" s="36"/>
      <c r="U20" s="55"/>
      <c r="V20" s="45"/>
      <c r="W20" s="44"/>
      <c r="X20" s="46"/>
    </row>
    <row r="21" spans="1:26" ht="13.5" thickBot="1" x14ac:dyDescent="0.35"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79"/>
      <c r="N21" s="81"/>
      <c r="O21" s="81"/>
      <c r="P21" s="83"/>
      <c r="S21" s="36"/>
      <c r="U21" s="61"/>
      <c r="V21" s="62"/>
      <c r="W21" s="63"/>
      <c r="X21" s="64"/>
    </row>
    <row r="22" spans="1:26" ht="13" x14ac:dyDescent="0.3"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84"/>
      <c r="N22" s="81"/>
      <c r="O22" s="81"/>
      <c r="P22" s="85"/>
      <c r="S22" s="36"/>
    </row>
    <row r="23" spans="1:26" ht="13.5" thickBot="1" x14ac:dyDescent="0.35"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86"/>
      <c r="N23" s="87"/>
      <c r="O23" s="88"/>
      <c r="P23" s="89"/>
      <c r="S23" s="36"/>
    </row>
    <row r="24" spans="1:26" ht="13.5" thickBot="1" x14ac:dyDescent="0.35">
      <c r="C24" s="35"/>
      <c r="D24" s="35"/>
      <c r="E24" s="35"/>
      <c r="F24" s="35"/>
      <c r="G24" s="35"/>
      <c r="H24" s="35"/>
      <c r="I24" s="35"/>
      <c r="J24" s="35"/>
      <c r="K24" s="35"/>
      <c r="L24" s="35"/>
      <c r="S24" s="36"/>
    </row>
    <row r="25" spans="1:26" ht="13" x14ac:dyDescent="0.3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762"/>
      <c r="N25" s="763"/>
      <c r="O25" s="763"/>
      <c r="P25" s="764"/>
      <c r="Q25" s="765"/>
      <c r="R25" s="766"/>
      <c r="S25" s="36"/>
      <c r="U25" s="767"/>
      <c r="V25" s="768"/>
      <c r="W25" s="768"/>
      <c r="X25" s="769"/>
      <c r="Y25" s="37"/>
      <c r="Z25" s="71"/>
    </row>
    <row r="26" spans="1:26" ht="13" x14ac:dyDescent="0.3"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72"/>
      <c r="N26" s="73"/>
      <c r="O26" s="770"/>
      <c r="P26" s="771"/>
      <c r="Q26" s="42"/>
      <c r="R26" s="43"/>
      <c r="S26" s="36"/>
      <c r="U26" s="42"/>
      <c r="V26" s="44"/>
      <c r="W26" s="45"/>
      <c r="X26" s="46"/>
      <c r="Y26" s="47"/>
      <c r="Z26" s="74"/>
    </row>
    <row r="27" spans="1:26" ht="13.5" thickBot="1" x14ac:dyDescent="0.35"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76"/>
      <c r="N27" s="45"/>
      <c r="O27" s="45"/>
      <c r="P27" s="77"/>
      <c r="Q27" s="53"/>
      <c r="R27" s="54"/>
      <c r="S27" s="36"/>
      <c r="U27" s="55"/>
      <c r="V27" s="44"/>
      <c r="W27" s="44"/>
      <c r="X27" s="46"/>
      <c r="Y27" s="56"/>
      <c r="Z27" s="78"/>
    </row>
    <row r="28" spans="1:26" ht="13" x14ac:dyDescent="0.3">
      <c r="A28" s="90"/>
      <c r="B28" s="35"/>
      <c r="C28" s="91"/>
      <c r="D28" s="91"/>
      <c r="E28" s="75"/>
      <c r="F28" s="92"/>
      <c r="G28" s="92"/>
      <c r="H28" s="92"/>
      <c r="I28" s="92"/>
      <c r="J28" s="92"/>
      <c r="K28" s="92"/>
      <c r="L28" s="93"/>
      <c r="M28" s="50"/>
      <c r="N28" s="58"/>
      <c r="O28" s="51"/>
      <c r="P28" s="52"/>
      <c r="S28" s="36"/>
      <c r="U28" s="42"/>
      <c r="V28" s="44"/>
      <c r="W28" s="44"/>
      <c r="X28" s="46"/>
    </row>
    <row r="29" spans="1:26" ht="13" x14ac:dyDescent="0.3">
      <c r="A29" s="94"/>
      <c r="B29" s="35"/>
      <c r="C29" s="91"/>
      <c r="D29" s="91"/>
      <c r="E29" s="75"/>
      <c r="F29" s="95"/>
      <c r="G29" s="95"/>
      <c r="H29" s="95"/>
      <c r="I29" s="95"/>
      <c r="J29" s="95"/>
      <c r="K29" s="95"/>
      <c r="L29" s="93"/>
      <c r="M29" s="50"/>
      <c r="N29" s="58"/>
      <c r="O29" s="51"/>
      <c r="P29" s="52"/>
      <c r="S29" s="36"/>
      <c r="U29" s="759"/>
      <c r="V29" s="760"/>
      <c r="W29" s="760"/>
      <c r="X29" s="761"/>
    </row>
    <row r="30" spans="1:26" ht="13" x14ac:dyDescent="0.3">
      <c r="A30" s="96"/>
      <c r="B30" s="35"/>
      <c r="C30" s="91"/>
      <c r="D30" s="91"/>
      <c r="E30" s="75"/>
      <c r="F30" s="97"/>
      <c r="G30" s="97"/>
      <c r="H30" s="97"/>
      <c r="I30" s="97"/>
      <c r="J30" s="97"/>
      <c r="K30" s="97"/>
      <c r="L30" s="93"/>
      <c r="M30" s="50"/>
      <c r="N30" s="58"/>
      <c r="O30" s="51"/>
      <c r="P30" s="60"/>
      <c r="S30" s="36"/>
      <c r="U30" s="42"/>
      <c r="V30" s="44"/>
      <c r="W30" s="59"/>
      <c r="X30" s="46"/>
    </row>
    <row r="31" spans="1:26" ht="13" x14ac:dyDescent="0.3">
      <c r="A31" s="96"/>
      <c r="B31" s="35"/>
      <c r="C31" s="91"/>
      <c r="D31" s="91"/>
      <c r="E31" s="75"/>
      <c r="F31" s="97"/>
      <c r="G31" s="97"/>
      <c r="H31" s="97"/>
      <c r="I31" s="97"/>
      <c r="J31" s="97"/>
      <c r="K31" s="97"/>
      <c r="L31" s="93"/>
      <c r="M31" s="50"/>
      <c r="N31" s="58"/>
      <c r="O31" s="51"/>
      <c r="P31" s="52"/>
      <c r="S31" s="36"/>
      <c r="U31" s="55"/>
      <c r="V31" s="45"/>
      <c r="W31" s="44"/>
      <c r="X31" s="46"/>
    </row>
    <row r="32" spans="1:26" ht="13.5" thickBot="1" x14ac:dyDescent="0.35">
      <c r="A32" s="90"/>
      <c r="B32" s="92"/>
      <c r="C32" s="91"/>
      <c r="D32" s="91"/>
      <c r="E32" s="75"/>
      <c r="F32" s="92"/>
      <c r="G32" s="92"/>
      <c r="H32" s="92"/>
      <c r="I32" s="92"/>
      <c r="J32" s="92"/>
      <c r="K32" s="92"/>
      <c r="L32" s="93"/>
      <c r="M32" s="50"/>
      <c r="N32" s="58"/>
      <c r="O32" s="51"/>
      <c r="P32" s="60"/>
      <c r="S32" s="36"/>
      <c r="U32" s="61"/>
      <c r="V32" s="62"/>
      <c r="W32" s="63"/>
      <c r="X32" s="64"/>
    </row>
    <row r="33" spans="2:26" ht="13" x14ac:dyDescent="0.3">
      <c r="B33" s="92"/>
      <c r="C33" s="91"/>
      <c r="D33" s="91"/>
      <c r="E33" s="75"/>
      <c r="F33" s="92"/>
      <c r="G33" s="92"/>
      <c r="H33" s="92"/>
      <c r="I33" s="92"/>
      <c r="J33" s="92"/>
      <c r="K33" s="92"/>
      <c r="L33" s="93"/>
      <c r="M33" s="50"/>
      <c r="N33" s="58"/>
      <c r="O33" s="51"/>
      <c r="P33" s="52"/>
      <c r="S33" s="36"/>
    </row>
    <row r="34" spans="2:26" ht="13.5" thickBot="1" x14ac:dyDescent="0.35">
      <c r="B34" s="92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66"/>
      <c r="N34" s="67"/>
      <c r="O34" s="67"/>
      <c r="P34" s="68"/>
      <c r="S34" s="36"/>
    </row>
    <row r="35" spans="2:26" ht="13.5" thickBot="1" x14ac:dyDescent="0.35"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S35" s="36"/>
    </row>
    <row r="36" spans="2:26" ht="13" x14ac:dyDescent="0.3"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762"/>
      <c r="N36" s="763"/>
      <c r="O36" s="763"/>
      <c r="P36" s="764"/>
      <c r="Q36" s="765"/>
      <c r="R36" s="766"/>
      <c r="S36" s="36"/>
      <c r="U36" s="767"/>
      <c r="V36" s="768"/>
      <c r="W36" s="768"/>
      <c r="X36" s="769"/>
      <c r="Y36" s="37"/>
      <c r="Z36" s="71"/>
    </row>
    <row r="37" spans="2:26" ht="13" x14ac:dyDescent="0.3"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759"/>
      <c r="N37" s="760"/>
      <c r="O37" s="760"/>
      <c r="P37" s="761"/>
      <c r="Q37" s="42"/>
      <c r="R37" s="43"/>
      <c r="S37" s="36"/>
      <c r="U37" s="42"/>
      <c r="V37" s="44"/>
      <c r="W37" s="45"/>
      <c r="X37" s="46"/>
      <c r="Y37" s="47"/>
      <c r="Z37" s="74"/>
    </row>
    <row r="38" spans="2:26" ht="13.5" thickBot="1" x14ac:dyDescent="0.35"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50"/>
      <c r="N38" s="51"/>
      <c r="O38" s="51"/>
      <c r="P38" s="52"/>
      <c r="Q38" s="53"/>
      <c r="R38" s="54"/>
      <c r="S38" s="36"/>
      <c r="U38" s="55"/>
      <c r="V38" s="44"/>
      <c r="W38" s="44"/>
      <c r="X38" s="46"/>
      <c r="Y38" s="56"/>
      <c r="Z38" s="78"/>
    </row>
    <row r="39" spans="2:26" ht="13" x14ac:dyDescent="0.3"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79"/>
      <c r="N39" s="80"/>
      <c r="O39" s="81"/>
      <c r="P39" s="82"/>
      <c r="S39" s="36"/>
      <c r="U39" s="42"/>
      <c r="V39" s="44"/>
      <c r="W39" s="44"/>
      <c r="X39" s="46"/>
    </row>
    <row r="40" spans="2:26" ht="13" x14ac:dyDescent="0.3"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79"/>
      <c r="N40" s="81"/>
      <c r="O40" s="81"/>
      <c r="P40" s="83"/>
      <c r="S40" s="36"/>
      <c r="U40" s="772"/>
      <c r="V40" s="773"/>
      <c r="W40" s="773"/>
      <c r="X40" s="774"/>
    </row>
    <row r="41" spans="2:26" ht="12.75" customHeight="1" x14ac:dyDescent="0.3"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79"/>
      <c r="N41" s="81"/>
      <c r="O41" s="81"/>
      <c r="P41" s="83"/>
      <c r="S41" s="36"/>
      <c r="U41" s="42"/>
      <c r="V41" s="44"/>
      <c r="W41" s="59"/>
      <c r="X41" s="46"/>
    </row>
    <row r="42" spans="2:26" ht="13" x14ac:dyDescent="0.3">
      <c r="B42" s="35"/>
      <c r="C42" s="98"/>
      <c r="D42" s="98"/>
      <c r="E42" s="35"/>
      <c r="F42" s="35"/>
      <c r="G42" s="35"/>
      <c r="H42" s="35"/>
      <c r="I42" s="35"/>
      <c r="J42" s="35"/>
      <c r="K42" s="35"/>
      <c r="L42" s="35"/>
      <c r="M42" s="79"/>
      <c r="N42" s="81"/>
      <c r="O42" s="81"/>
      <c r="P42" s="83"/>
      <c r="S42" s="36"/>
      <c r="U42" s="55"/>
      <c r="V42" s="45"/>
      <c r="W42" s="44"/>
      <c r="X42" s="46"/>
    </row>
    <row r="43" spans="2:26" ht="14.25" customHeight="1" thickBot="1" x14ac:dyDescent="0.35">
      <c r="B43" s="36" t="s">
        <v>551</v>
      </c>
      <c r="C43" s="98"/>
      <c r="D43" s="98"/>
      <c r="E43" s="35"/>
      <c r="F43" s="35"/>
      <c r="G43" s="35"/>
      <c r="H43" s="35"/>
      <c r="I43" s="35"/>
      <c r="J43" s="35"/>
      <c r="K43" s="35"/>
      <c r="L43" s="35"/>
      <c r="M43" s="79"/>
      <c r="N43" s="81"/>
      <c r="O43" s="81"/>
      <c r="P43" s="83"/>
      <c r="S43" s="36"/>
      <c r="U43" s="61"/>
      <c r="V43" s="62"/>
      <c r="W43" s="63"/>
      <c r="X43" s="64"/>
    </row>
    <row r="44" spans="2:26" ht="13" x14ac:dyDescent="0.3">
      <c r="B44" s="36" t="s">
        <v>552</v>
      </c>
      <c r="C44" s="98"/>
      <c r="D44" s="98"/>
      <c r="E44" s="35"/>
      <c r="F44" s="35"/>
      <c r="G44" s="35"/>
      <c r="H44" s="35"/>
      <c r="I44" s="35"/>
      <c r="J44" s="35"/>
      <c r="K44" s="35"/>
      <c r="L44" s="35"/>
      <c r="M44" s="84"/>
      <c r="N44" s="99"/>
      <c r="O44" s="100"/>
      <c r="P44" s="85"/>
      <c r="S44" s="36"/>
    </row>
    <row r="45" spans="2:26" ht="13.5" thickBot="1" x14ac:dyDescent="0.35">
      <c r="B45" s="36" t="s">
        <v>553</v>
      </c>
      <c r="C45" s="98"/>
      <c r="D45" s="98"/>
      <c r="E45" s="35"/>
      <c r="F45" s="35"/>
      <c r="G45" s="35"/>
      <c r="H45" s="35"/>
      <c r="I45" s="35"/>
      <c r="J45" s="35"/>
      <c r="K45" s="35"/>
      <c r="L45" s="35"/>
      <c r="M45" s="86"/>
      <c r="N45" s="87"/>
      <c r="O45" s="101"/>
      <c r="P45" s="89"/>
      <c r="S45" s="36"/>
    </row>
    <row r="46" spans="2:26" ht="13.5" thickBot="1" x14ac:dyDescent="0.35">
      <c r="B46" s="36" t="s">
        <v>554</v>
      </c>
      <c r="C46" s="102"/>
      <c r="D46" s="102"/>
      <c r="E46" s="35"/>
      <c r="F46" s="35"/>
      <c r="G46" s="35"/>
      <c r="H46" s="35"/>
      <c r="I46" s="35"/>
      <c r="J46" s="35"/>
      <c r="K46" s="35"/>
      <c r="L46" s="35"/>
      <c r="S46" s="36"/>
    </row>
    <row r="47" spans="2:26" ht="13" x14ac:dyDescent="0.3">
      <c r="B47" s="36" t="s">
        <v>555</v>
      </c>
      <c r="C47" s="98"/>
      <c r="D47" s="98"/>
      <c r="E47" s="35"/>
      <c r="F47" s="35"/>
      <c r="G47" s="35"/>
      <c r="H47" s="35"/>
      <c r="I47" s="35"/>
      <c r="J47" s="35"/>
      <c r="K47" s="35"/>
      <c r="L47" s="35"/>
      <c r="M47" s="762"/>
      <c r="N47" s="763"/>
      <c r="O47" s="763"/>
      <c r="P47" s="764"/>
      <c r="Q47" s="775"/>
      <c r="R47" s="766"/>
      <c r="S47" s="36"/>
      <c r="U47" s="767"/>
      <c r="V47" s="768"/>
      <c r="W47" s="768"/>
      <c r="X47" s="769"/>
      <c r="Y47" s="37"/>
      <c r="Z47" s="71"/>
    </row>
    <row r="48" spans="2:26" ht="13" x14ac:dyDescent="0.3">
      <c r="B48" s="36" t="s">
        <v>556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759"/>
      <c r="N48" s="760"/>
      <c r="O48" s="760"/>
      <c r="P48" s="761"/>
      <c r="Q48" s="103"/>
      <c r="R48" s="43"/>
      <c r="S48" s="36"/>
      <c r="U48" s="42"/>
      <c r="V48" s="44"/>
      <c r="W48" s="45"/>
      <c r="X48" s="46"/>
      <c r="Y48" s="47"/>
      <c r="Z48" s="74"/>
    </row>
    <row r="49" spans="2:26" ht="13.5" thickBot="1" x14ac:dyDescent="0.35">
      <c r="B49" s="36" t="s">
        <v>557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50"/>
      <c r="N49" s="51"/>
      <c r="O49" s="51"/>
      <c r="P49" s="52"/>
      <c r="Q49" s="104"/>
      <c r="R49" s="54"/>
      <c r="S49" s="36"/>
      <c r="U49" s="55"/>
      <c r="V49" s="44"/>
      <c r="W49" s="44"/>
      <c r="X49" s="46"/>
      <c r="Y49" s="56"/>
      <c r="Z49" s="78"/>
    </row>
    <row r="50" spans="2:26" ht="13" x14ac:dyDescent="0.3">
      <c r="B50" s="36" t="s">
        <v>558</v>
      </c>
      <c r="M50" s="79"/>
      <c r="N50" s="80"/>
      <c r="O50" s="81"/>
      <c r="P50" s="82"/>
      <c r="S50" s="36"/>
      <c r="U50" s="42"/>
      <c r="V50" s="44"/>
      <c r="W50" s="44"/>
      <c r="X50" s="46"/>
    </row>
    <row r="51" spans="2:26" ht="13" x14ac:dyDescent="0.3">
      <c r="B51" s="36" t="s">
        <v>559</v>
      </c>
      <c r="M51" s="79"/>
      <c r="N51" s="81"/>
      <c r="O51" s="81"/>
      <c r="P51" s="83"/>
      <c r="S51" s="36"/>
      <c r="U51" s="759"/>
      <c r="V51" s="760"/>
      <c r="W51" s="760"/>
      <c r="X51" s="761"/>
    </row>
    <row r="52" spans="2:26" ht="13" x14ac:dyDescent="0.3">
      <c r="B52" s="36" t="s">
        <v>560</v>
      </c>
      <c r="M52" s="79"/>
      <c r="N52" s="81"/>
      <c r="O52" s="81"/>
      <c r="P52" s="83"/>
      <c r="S52" s="36"/>
      <c r="U52" s="42"/>
      <c r="V52" s="44"/>
      <c r="W52" s="59"/>
      <c r="X52" s="46"/>
    </row>
    <row r="53" spans="2:26" ht="12.75" customHeight="1" x14ac:dyDescent="0.3">
      <c r="B53" s="36" t="s">
        <v>561</v>
      </c>
      <c r="M53" s="79"/>
      <c r="N53" s="81"/>
      <c r="O53" s="81"/>
      <c r="P53" s="83"/>
      <c r="S53" s="36"/>
      <c r="U53" s="55"/>
      <c r="V53" s="45"/>
      <c r="W53" s="44"/>
      <c r="X53" s="46"/>
    </row>
    <row r="54" spans="2:26" ht="13.5" thickBot="1" x14ac:dyDescent="0.35">
      <c r="B54" s="36" t="s">
        <v>562</v>
      </c>
      <c r="M54" s="79"/>
      <c r="N54" s="81"/>
      <c r="O54" s="81"/>
      <c r="P54" s="83"/>
      <c r="S54" s="36"/>
      <c r="U54" s="61"/>
      <c r="V54" s="62"/>
      <c r="W54" s="63"/>
      <c r="X54" s="64"/>
    </row>
    <row r="55" spans="2:26" ht="12.75" customHeight="1" x14ac:dyDescent="0.3">
      <c r="B55" s="36" t="s">
        <v>563</v>
      </c>
      <c r="M55" s="84"/>
      <c r="N55" s="99"/>
      <c r="O55" s="100"/>
      <c r="P55" s="85"/>
      <c r="S55" s="36"/>
    </row>
    <row r="56" spans="2:26" ht="13.5" thickBot="1" x14ac:dyDescent="0.35">
      <c r="B56" s="36" t="s">
        <v>564</v>
      </c>
      <c r="M56" s="86"/>
      <c r="N56" s="87"/>
      <c r="O56" s="101"/>
      <c r="P56" s="89"/>
      <c r="S56" s="36"/>
    </row>
    <row r="57" spans="2:26" ht="13.5" thickBot="1" x14ac:dyDescent="0.35">
      <c r="B57" s="36" t="s">
        <v>565</v>
      </c>
      <c r="C57" s="92"/>
      <c r="D57" s="35"/>
      <c r="E57" s="35"/>
      <c r="F57" s="35"/>
      <c r="G57" s="35"/>
      <c r="H57" s="35"/>
      <c r="I57" s="35"/>
      <c r="J57" s="35"/>
      <c r="K57" s="35"/>
      <c r="L57" s="35"/>
      <c r="S57" s="36"/>
    </row>
    <row r="58" spans="2:26" ht="13" x14ac:dyDescent="0.3">
      <c r="B58" s="36" t="s">
        <v>566</v>
      </c>
      <c r="C58" s="95"/>
      <c r="D58" s="35"/>
      <c r="E58" s="35"/>
      <c r="F58" s="35"/>
      <c r="G58" s="35"/>
      <c r="H58" s="35"/>
      <c r="I58" s="35"/>
      <c r="J58" s="35"/>
      <c r="K58" s="35"/>
      <c r="L58" s="35"/>
      <c r="M58" s="762"/>
      <c r="N58" s="763"/>
      <c r="O58" s="763"/>
      <c r="P58" s="764"/>
      <c r="Q58" s="775"/>
      <c r="R58" s="766"/>
    </row>
    <row r="59" spans="2:26" ht="13" x14ac:dyDescent="0.3">
      <c r="B59" s="36" t="s">
        <v>567</v>
      </c>
      <c r="C59" s="97"/>
      <c r="D59" s="35"/>
      <c r="E59" s="35"/>
      <c r="F59" s="35"/>
      <c r="G59" s="35"/>
      <c r="H59" s="35"/>
      <c r="I59" s="35"/>
      <c r="J59" s="35"/>
      <c r="K59" s="35"/>
      <c r="L59" s="35"/>
      <c r="M59" s="759"/>
      <c r="N59" s="760"/>
      <c r="O59" s="760"/>
      <c r="P59" s="761"/>
      <c r="Q59" s="103"/>
      <c r="R59" s="43"/>
    </row>
    <row r="60" spans="2:26" ht="13.5" thickBot="1" x14ac:dyDescent="0.35">
      <c r="B60" s="36" t="s">
        <v>568</v>
      </c>
      <c r="C60" s="97"/>
      <c r="M60" s="50"/>
      <c r="N60" s="51"/>
      <c r="O60" s="51"/>
      <c r="P60" s="52"/>
      <c r="Q60" s="104"/>
      <c r="R60" s="54"/>
    </row>
    <row r="61" spans="2:26" ht="13" x14ac:dyDescent="0.3">
      <c r="B61" s="36" t="s">
        <v>569</v>
      </c>
      <c r="C61" s="92"/>
      <c r="M61" s="79"/>
      <c r="N61" s="80"/>
      <c r="O61" s="81"/>
      <c r="P61" s="82"/>
    </row>
    <row r="62" spans="2:26" x14ac:dyDescent="0.25">
      <c r="B62" s="34" t="s">
        <v>570</v>
      </c>
      <c r="C62" s="92"/>
      <c r="M62" s="79"/>
      <c r="N62" s="81"/>
      <c r="O62" s="81"/>
      <c r="P62" s="83"/>
    </row>
    <row r="63" spans="2:26" x14ac:dyDescent="0.25">
      <c r="B63" s="34" t="s">
        <v>167</v>
      </c>
      <c r="M63" s="79"/>
      <c r="N63" s="81"/>
      <c r="O63" s="81"/>
      <c r="P63" s="83"/>
    </row>
    <row r="64" spans="2:26" x14ac:dyDescent="0.25">
      <c r="B64" s="34" t="s">
        <v>571</v>
      </c>
      <c r="M64" s="79"/>
      <c r="N64" s="81"/>
      <c r="O64" s="81"/>
      <c r="P64" s="83"/>
    </row>
    <row r="65" spans="1:16" x14ac:dyDescent="0.25">
      <c r="B65" s="34" t="s">
        <v>572</v>
      </c>
      <c r="M65" s="79"/>
      <c r="N65" s="81"/>
      <c r="O65" s="81"/>
      <c r="P65" s="83"/>
    </row>
    <row r="66" spans="1:16" x14ac:dyDescent="0.25">
      <c r="M66" s="84"/>
      <c r="N66" s="99"/>
      <c r="O66" s="81"/>
      <c r="P66" s="85"/>
    </row>
    <row r="67" spans="1:16" ht="11" thickBot="1" x14ac:dyDescent="0.3">
      <c r="M67" s="86"/>
      <c r="N67" s="87"/>
      <c r="O67" s="88"/>
      <c r="P67" s="89"/>
    </row>
    <row r="70" spans="1:16" ht="12" customHeight="1" x14ac:dyDescent="0.35">
      <c r="B70" s="172" t="s">
        <v>573</v>
      </c>
      <c r="C70" s="173">
        <v>1</v>
      </c>
      <c r="D70"/>
      <c r="E70"/>
      <c r="F70"/>
      <c r="G70"/>
      <c r="H70"/>
      <c r="I70"/>
      <c r="J70"/>
      <c r="K70"/>
      <c r="P70" s="105"/>
    </row>
    <row r="71" spans="1:16" ht="15.5" x14ac:dyDescent="0.35">
      <c r="B71" s="172" t="s">
        <v>574</v>
      </c>
      <c r="C71" s="173">
        <v>2</v>
      </c>
      <c r="D71"/>
      <c r="E71"/>
      <c r="F71"/>
      <c r="G71"/>
      <c r="H71"/>
      <c r="I71"/>
      <c r="J71"/>
      <c r="K71"/>
      <c r="P71" s="106"/>
    </row>
    <row r="72" spans="1:16" ht="15.5" x14ac:dyDescent="0.35">
      <c r="B72" s="172" t="s">
        <v>575</v>
      </c>
      <c r="C72" s="173">
        <v>3</v>
      </c>
      <c r="D72"/>
      <c r="E72"/>
      <c r="F72"/>
      <c r="G72"/>
      <c r="H72"/>
      <c r="I72"/>
      <c r="J72"/>
      <c r="K72"/>
      <c r="P72" s="106"/>
    </row>
    <row r="73" spans="1:16" ht="14.5" x14ac:dyDescent="0.35">
      <c r="B73" s="172" t="s">
        <v>576</v>
      </c>
      <c r="C73" s="173">
        <v>4</v>
      </c>
      <c r="D73"/>
      <c r="E73"/>
      <c r="F73"/>
      <c r="G73"/>
      <c r="H73"/>
      <c r="I73"/>
      <c r="J73"/>
      <c r="K73"/>
    </row>
    <row r="74" spans="1:16" ht="14" x14ac:dyDescent="0.25">
      <c r="A74" s="174">
        <v>1</v>
      </c>
      <c r="B74" s="175" t="s">
        <v>577</v>
      </c>
    </row>
    <row r="75" spans="1:16" ht="14" x14ac:dyDescent="0.25">
      <c r="A75" s="174">
        <v>2</v>
      </c>
      <c r="B75" s="175" t="s">
        <v>577</v>
      </c>
    </row>
    <row r="76" spans="1:16" ht="14" x14ac:dyDescent="0.25">
      <c r="A76" s="174">
        <v>3</v>
      </c>
      <c r="B76" s="175" t="s">
        <v>578</v>
      </c>
    </row>
    <row r="77" spans="1:16" ht="14" x14ac:dyDescent="0.25">
      <c r="A77" s="174">
        <v>4</v>
      </c>
      <c r="B77" s="175" t="s">
        <v>578</v>
      </c>
    </row>
    <row r="78" spans="1:16" x14ac:dyDescent="0.25">
      <c r="B78" s="176" t="str">
        <f>PENYELIA!B51</f>
        <v>Anak Timbangan Standar, Merk: Sartorius, Type : YCW7254-AC-00 (BIQ)</v>
      </c>
      <c r="C78" s="176" t="e">
        <f>VLOOKUP(B78,B70:C73,2,(FALSE))</f>
        <v>#N/A</v>
      </c>
    </row>
    <row r="79" spans="1:16" x14ac:dyDescent="0.25">
      <c r="B79" s="176"/>
      <c r="C79" s="176"/>
    </row>
    <row r="80" spans="1:16" x14ac:dyDescent="0.25">
      <c r="B80" s="34" t="s">
        <v>579</v>
      </c>
    </row>
    <row r="103" ht="12.75" customHeight="1" x14ac:dyDescent="0.25"/>
    <row r="169" spans="1:3" x14ac:dyDescent="0.25">
      <c r="A169" s="90"/>
    </row>
    <row r="170" spans="1:3" x14ac:dyDescent="0.25">
      <c r="A170" s="107"/>
    </row>
    <row r="171" spans="1:3" x14ac:dyDescent="0.25">
      <c r="A171" s="90"/>
    </row>
    <row r="172" spans="1:3" x14ac:dyDescent="0.25">
      <c r="C172" s="69"/>
    </row>
    <row r="173" spans="1:3" x14ac:dyDescent="0.25">
      <c r="C173" s="69"/>
    </row>
    <row r="177" spans="1:1" x14ac:dyDescent="0.25">
      <c r="A177" s="90"/>
    </row>
    <row r="178" spans="1:1" x14ac:dyDescent="0.25">
      <c r="A178" s="90"/>
    </row>
    <row r="179" spans="1:1" x14ac:dyDescent="0.25">
      <c r="A179" s="90"/>
    </row>
    <row r="180" spans="1:1" x14ac:dyDescent="0.25">
      <c r="A180" s="90"/>
    </row>
    <row r="181" spans="1:1" x14ac:dyDescent="0.25">
      <c r="A181" s="90"/>
    </row>
    <row r="182" spans="1:1" x14ac:dyDescent="0.25">
      <c r="A182" s="90"/>
    </row>
    <row r="183" spans="1:1" x14ac:dyDescent="0.25">
      <c r="A183" s="90"/>
    </row>
    <row r="184" spans="1:1" x14ac:dyDescent="0.25">
      <c r="A184" s="90"/>
    </row>
    <row r="185" spans="1:1" x14ac:dyDescent="0.25">
      <c r="A185" s="90"/>
    </row>
    <row r="186" spans="1:1" x14ac:dyDescent="0.25">
      <c r="A186" s="90"/>
    </row>
    <row r="187" spans="1:1" x14ac:dyDescent="0.25">
      <c r="A187" s="90"/>
    </row>
    <row r="188" spans="1:1" x14ac:dyDescent="0.25">
      <c r="A188" s="90"/>
    </row>
    <row r="189" spans="1:1" x14ac:dyDescent="0.25">
      <c r="A189" s="90"/>
    </row>
    <row r="190" spans="1:1" x14ac:dyDescent="0.25">
      <c r="A190" s="90"/>
    </row>
    <row r="191" spans="1:1" x14ac:dyDescent="0.25">
      <c r="A191" s="90"/>
    </row>
    <row r="192" spans="1:1" x14ac:dyDescent="0.25">
      <c r="A192" s="90"/>
    </row>
    <row r="193" spans="1:1" x14ac:dyDescent="0.25">
      <c r="A193" s="90"/>
    </row>
    <row r="194" spans="1:1" x14ac:dyDescent="0.25">
      <c r="A194" s="90"/>
    </row>
    <row r="195" spans="1:1" x14ac:dyDescent="0.25">
      <c r="A195" s="90"/>
    </row>
    <row r="196" spans="1:1" x14ac:dyDescent="0.25">
      <c r="A196" s="90"/>
    </row>
    <row r="197" spans="1:1" x14ac:dyDescent="0.25">
      <c r="A197" s="90"/>
    </row>
    <row r="198" spans="1:1" x14ac:dyDescent="0.25">
      <c r="A198" s="90"/>
    </row>
    <row r="199" spans="1:1" x14ac:dyDescent="0.25">
      <c r="A199" s="90"/>
    </row>
  </sheetData>
  <sheetProtection algorithmName="SHA-512" hashValue="8BSxSWvBdW0MBNFh7lZa7rYGxmNYI2K7Lrdkm6N1cPaqzmFLeLh1uv55w/DvNj+Pzqb623KHsgk0McfJ9+TRbA==" saltValue="2G2wYbzqz8YatdKz7FFQfg==" spinCount="100000" sheet="1" objects="1" scenarios="1"/>
  <mergeCells count="31">
    <mergeCell ref="M58:P58"/>
    <mergeCell ref="Q58:R58"/>
    <mergeCell ref="M59:N59"/>
    <mergeCell ref="O59:P59"/>
    <mergeCell ref="U51:X51"/>
    <mergeCell ref="M47:P47"/>
    <mergeCell ref="Q47:R47"/>
    <mergeCell ref="U47:X47"/>
    <mergeCell ref="M48:N48"/>
    <mergeCell ref="O48:P48"/>
    <mergeCell ref="U40:X40"/>
    <mergeCell ref="M36:P36"/>
    <mergeCell ref="Q36:R36"/>
    <mergeCell ref="U36:X36"/>
    <mergeCell ref="M37:N37"/>
    <mergeCell ref="O37:P37"/>
    <mergeCell ref="U29:X29"/>
    <mergeCell ref="M25:P25"/>
    <mergeCell ref="Q25:R25"/>
    <mergeCell ref="U25:X25"/>
    <mergeCell ref="O26:P26"/>
    <mergeCell ref="U18:X18"/>
    <mergeCell ref="M14:P14"/>
    <mergeCell ref="Q14:R14"/>
    <mergeCell ref="U14:X14"/>
    <mergeCell ref="O15:P15"/>
    <mergeCell ref="U5:X5"/>
    <mergeCell ref="M1:P1"/>
    <mergeCell ref="Q1:R1"/>
    <mergeCell ref="U1:X1"/>
    <mergeCell ref="O2:P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097" r:id="rId3">
          <objectPr defaultSize="0" autoPict="0" r:id="rId4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097" r:id="rId3"/>
      </mc:Fallback>
    </mc:AlternateContent>
    <mc:AlternateContent xmlns:mc="http://schemas.openxmlformats.org/markup-compatibility/2006">
      <mc:Choice Requires="x14">
        <oleObject progId="Equation.3" shapeId="4098" r:id="rId5">
          <objectPr defaultSize="0" autoPict="0" r:id="rId4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098" r:id="rId5"/>
      </mc:Fallback>
    </mc:AlternateContent>
    <mc:AlternateContent xmlns:mc="http://schemas.openxmlformats.org/markup-compatibility/2006">
      <mc:Choice Requires="x14">
        <oleObject progId="Equation.3" shapeId="4099" r:id="rId6">
          <objectPr defaultSize="0" autoPict="0" r:id="rId4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099" r:id="rId6"/>
      </mc:Fallback>
    </mc:AlternateContent>
    <mc:AlternateContent xmlns:mc="http://schemas.openxmlformats.org/markup-compatibility/2006">
      <mc:Choice Requires="x14">
        <oleObject progId="Equation.3" shapeId="4100" r:id="rId7">
          <objectPr defaultSize="0" autoPict="0" r:id="rId4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100" r:id="rId7"/>
      </mc:Fallback>
    </mc:AlternateContent>
    <mc:AlternateContent xmlns:mc="http://schemas.openxmlformats.org/markup-compatibility/2006">
      <mc:Choice Requires="x14">
        <oleObject progId="Equation.3" shapeId="4101" r:id="rId8">
          <objectPr defaultSize="0" autoPict="0" r:id="rId4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101" r:id="rId8"/>
      </mc:Fallback>
    </mc:AlternateContent>
    <mc:AlternateContent xmlns:mc="http://schemas.openxmlformats.org/markup-compatibility/2006">
      <mc:Choice Requires="x14">
        <oleObject progId="Equation.3" shapeId="4102" r:id="rId9">
          <objectPr defaultSize="0" autoPict="0" r:id="rId4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102" r:id="rId9"/>
      </mc:Fallback>
    </mc:AlternateContent>
    <mc:AlternateContent xmlns:mc="http://schemas.openxmlformats.org/markup-compatibility/2006">
      <mc:Choice Requires="x14">
        <oleObject progId="Equation.3" shapeId="4103" r:id="rId10">
          <objectPr defaultSize="0" autoPict="0" r:id="rId4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103" r:id="rId10"/>
      </mc:Fallback>
    </mc:AlternateContent>
    <mc:AlternateContent xmlns:mc="http://schemas.openxmlformats.org/markup-compatibility/2006">
      <mc:Choice Requires="x14">
        <oleObject progId="Equation.3" shapeId="4104" r:id="rId11">
          <objectPr defaultSize="0" autoPict="0" r:id="rId4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104" r:id="rId11"/>
      </mc:Fallback>
    </mc:AlternateContent>
    <mc:AlternateContent xmlns:mc="http://schemas.openxmlformats.org/markup-compatibility/2006">
      <mc:Choice Requires="x14">
        <oleObject progId="Equation.3" shapeId="4105" r:id="rId12">
          <objectPr defaultSize="0" autoPict="0" r:id="rId4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105" r:id="rId12"/>
      </mc:Fallback>
    </mc:AlternateContent>
    <mc:AlternateContent xmlns:mc="http://schemas.openxmlformats.org/markup-compatibility/2006">
      <mc:Choice Requires="x14">
        <oleObject progId="Equation.3" shapeId="4106" r:id="rId13">
          <objectPr defaultSize="0" autoPict="0" r:id="rId4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106" r:id="rId1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showGridLines="0" view="pageBreakPreview" topLeftCell="A20" zoomScale="98" zoomScaleNormal="100" zoomScaleSheetLayoutView="135" workbookViewId="0">
      <selection activeCell="C19" sqref="C19"/>
    </sheetView>
  </sheetViews>
  <sheetFormatPr defaultColWidth="9.1796875" defaultRowHeight="14.5" x14ac:dyDescent="0.35"/>
  <cols>
    <col min="1" max="1" width="3.453125" style="108" customWidth="1"/>
    <col min="2" max="4" width="12.1796875" style="108" customWidth="1"/>
    <col min="5" max="5" width="12.81640625" style="108" customWidth="1"/>
    <col min="6" max="7" width="12.1796875" style="108" customWidth="1"/>
    <col min="8" max="8" width="18.453125" style="108" customWidth="1"/>
    <col min="9" max="9" width="5.1796875" style="108" customWidth="1"/>
    <col min="10" max="10" width="14" style="108" customWidth="1"/>
    <col min="11" max="11" width="11.81640625" style="108" customWidth="1"/>
    <col min="12" max="12" width="28.1796875" style="108" customWidth="1"/>
    <col min="13" max="13" width="9.54296875" style="108" customWidth="1"/>
    <col min="14" max="14" width="9.7265625" style="108" customWidth="1"/>
    <col min="15" max="15" width="11.453125" style="108" customWidth="1"/>
    <col min="16" max="16" width="9.1796875" style="108"/>
    <col min="17" max="17" width="11.54296875" style="108" customWidth="1"/>
    <col min="18" max="16384" width="9.1796875" style="108"/>
  </cols>
  <sheetData>
    <row r="1" spans="1:11" ht="16.5" customHeight="1" x14ac:dyDescent="0.35">
      <c r="A1" s="548" t="s">
        <v>30</v>
      </c>
      <c r="B1" s="548"/>
      <c r="C1" s="548"/>
      <c r="D1" s="548"/>
      <c r="E1" s="548"/>
      <c r="F1" s="548"/>
      <c r="G1" s="548"/>
      <c r="H1" s="548"/>
      <c r="I1" s="548"/>
      <c r="J1" s="479"/>
      <c r="K1" s="479"/>
    </row>
    <row r="2" spans="1:11" ht="17" x14ac:dyDescent="0.35">
      <c r="A2" s="549" t="s">
        <v>31</v>
      </c>
      <c r="B2" s="549"/>
      <c r="C2" s="549"/>
      <c r="D2" s="549"/>
      <c r="E2" s="549"/>
      <c r="F2" s="549"/>
      <c r="G2" s="549"/>
      <c r="H2" s="549"/>
      <c r="I2" s="549"/>
      <c r="J2" s="109"/>
      <c r="K2" s="479"/>
    </row>
    <row r="3" spans="1:11" ht="15" customHeight="1" x14ac:dyDescent="0.35">
      <c r="A3" s="479"/>
      <c r="B3" s="479"/>
      <c r="C3" s="479"/>
      <c r="D3" s="479"/>
      <c r="E3" s="479"/>
      <c r="F3" s="479"/>
      <c r="G3" s="479"/>
      <c r="H3" s="479"/>
      <c r="I3" s="479"/>
      <c r="J3" s="479"/>
      <c r="K3" s="479"/>
    </row>
    <row r="4" spans="1:11" ht="15" customHeight="1" x14ac:dyDescent="0.35">
      <c r="A4" s="479" t="s">
        <v>32</v>
      </c>
      <c r="B4" s="479"/>
      <c r="C4" s="480" t="s">
        <v>33</v>
      </c>
      <c r="D4" s="481"/>
      <c r="E4" s="481"/>
      <c r="F4" s="481"/>
      <c r="G4" s="479"/>
      <c r="H4" s="479"/>
      <c r="I4" s="482"/>
      <c r="J4" s="483"/>
      <c r="K4" s="479"/>
    </row>
    <row r="5" spans="1:11" x14ac:dyDescent="0.35">
      <c r="A5" s="479" t="s">
        <v>34</v>
      </c>
      <c r="B5" s="479"/>
      <c r="C5" s="480" t="s">
        <v>33</v>
      </c>
      <c r="D5" s="481"/>
      <c r="E5" s="481"/>
      <c r="F5" s="481"/>
      <c r="G5" s="479"/>
      <c r="H5" s="483"/>
      <c r="I5" s="484"/>
      <c r="J5" s="485"/>
      <c r="K5" s="483"/>
    </row>
    <row r="6" spans="1:11" x14ac:dyDescent="0.35">
      <c r="A6" s="479" t="s">
        <v>35</v>
      </c>
      <c r="B6" s="479"/>
      <c r="C6" s="480" t="s">
        <v>33</v>
      </c>
      <c r="D6" s="486"/>
      <c r="E6" s="486"/>
      <c r="F6" s="486"/>
      <c r="G6" s="479"/>
      <c r="H6" s="483"/>
      <c r="I6" s="487"/>
      <c r="J6" s="485"/>
      <c r="K6" s="483"/>
    </row>
    <row r="7" spans="1:11" x14ac:dyDescent="0.35">
      <c r="A7" s="479" t="s">
        <v>36</v>
      </c>
      <c r="B7" s="479"/>
      <c r="C7" s="480" t="s">
        <v>33</v>
      </c>
      <c r="D7" s="486"/>
      <c r="E7" s="486" t="s">
        <v>37</v>
      </c>
      <c r="F7" s="486"/>
      <c r="G7" s="479" t="s">
        <v>38</v>
      </c>
      <c r="H7" s="483"/>
      <c r="I7" s="487"/>
      <c r="J7" s="485"/>
      <c r="K7" s="483"/>
    </row>
    <row r="8" spans="1:11" x14ac:dyDescent="0.35">
      <c r="A8" s="479" t="s">
        <v>39</v>
      </c>
      <c r="B8" s="479"/>
      <c r="C8" s="480" t="s">
        <v>33</v>
      </c>
      <c r="D8" s="486"/>
      <c r="E8" s="486"/>
      <c r="F8" s="486"/>
      <c r="G8" s="479"/>
      <c r="H8" s="483"/>
      <c r="I8" s="487"/>
      <c r="J8" s="485"/>
      <c r="K8" s="483"/>
    </row>
    <row r="9" spans="1:11" x14ac:dyDescent="0.35">
      <c r="A9" s="479" t="s">
        <v>40</v>
      </c>
      <c r="B9" s="479"/>
      <c r="C9" s="480" t="s">
        <v>33</v>
      </c>
      <c r="D9" s="486"/>
      <c r="E9" s="486"/>
      <c r="F9" s="486"/>
      <c r="G9" s="479"/>
      <c r="H9" s="483"/>
      <c r="I9" s="484"/>
      <c r="J9" s="485"/>
      <c r="K9" s="483"/>
    </row>
    <row r="10" spans="1:11" x14ac:dyDescent="0.35">
      <c r="A10" s="479" t="s">
        <v>41</v>
      </c>
      <c r="B10" s="479"/>
      <c r="C10" s="480" t="s">
        <v>33</v>
      </c>
      <c r="D10" s="486"/>
      <c r="E10" s="486"/>
      <c r="F10" s="486"/>
      <c r="G10" s="479"/>
      <c r="H10" s="479"/>
      <c r="I10" s="479"/>
      <c r="J10" s="479"/>
      <c r="K10" s="479"/>
    </row>
    <row r="11" spans="1:11" hidden="1" x14ac:dyDescent="0.35">
      <c r="A11" s="479" t="s">
        <v>42</v>
      </c>
      <c r="B11" s="479"/>
      <c r="C11" s="480" t="s">
        <v>33</v>
      </c>
      <c r="D11" s="486"/>
      <c r="E11" s="486"/>
      <c r="F11" s="486"/>
      <c r="G11" s="479"/>
      <c r="H11" s="479"/>
      <c r="I11" s="479"/>
      <c r="J11" s="479"/>
      <c r="K11" s="479"/>
    </row>
    <row r="12" spans="1:11" ht="4.5" customHeight="1" x14ac:dyDescent="0.35">
      <c r="A12" s="479"/>
      <c r="B12" s="479"/>
      <c r="C12" s="479"/>
      <c r="D12" s="479"/>
      <c r="E12" s="479"/>
      <c r="F12" s="479"/>
      <c r="G12" s="479"/>
      <c r="H12" s="479"/>
      <c r="I12" s="479"/>
      <c r="J12" s="479"/>
      <c r="K12" s="479"/>
    </row>
    <row r="13" spans="1:11" x14ac:dyDescent="0.35">
      <c r="A13" s="24" t="s">
        <v>43</v>
      </c>
      <c r="B13" s="109" t="s">
        <v>44</v>
      </c>
      <c r="C13" s="479"/>
      <c r="D13" s="479"/>
      <c r="E13" s="479"/>
      <c r="F13" s="479"/>
      <c r="G13" s="479"/>
      <c r="H13" s="479"/>
      <c r="I13" s="479"/>
      <c r="J13" s="479"/>
      <c r="K13" s="479"/>
    </row>
    <row r="14" spans="1:11" x14ac:dyDescent="0.35">
      <c r="A14" s="479"/>
      <c r="B14" s="479" t="s">
        <v>45</v>
      </c>
      <c r="C14" s="480" t="s">
        <v>33</v>
      </c>
      <c r="D14" s="481" t="s">
        <v>46</v>
      </c>
      <c r="E14" s="488" t="s">
        <v>47</v>
      </c>
      <c r="F14" s="481"/>
      <c r="G14" s="479"/>
      <c r="H14" s="479"/>
      <c r="I14" s="479"/>
      <c r="J14" s="479"/>
      <c r="K14" s="479"/>
    </row>
    <row r="15" spans="1:11" x14ac:dyDescent="0.35">
      <c r="A15" s="479"/>
      <c r="B15" s="479" t="s">
        <v>48</v>
      </c>
      <c r="C15" s="480" t="s">
        <v>33</v>
      </c>
      <c r="D15" s="486" t="s">
        <v>46</v>
      </c>
      <c r="E15" s="489" t="s">
        <v>47</v>
      </c>
      <c r="F15" s="486"/>
      <c r="G15" s="479"/>
      <c r="H15" s="479"/>
      <c r="I15" s="479"/>
      <c r="J15" s="479"/>
      <c r="K15" s="479"/>
    </row>
    <row r="16" spans="1:11" ht="15" customHeight="1" x14ac:dyDescent="0.35">
      <c r="A16" s="479"/>
      <c r="B16" s="479"/>
      <c r="C16" s="479"/>
      <c r="D16" s="479"/>
      <c r="E16" s="479"/>
      <c r="F16" s="479"/>
      <c r="G16" s="479"/>
      <c r="H16" s="479"/>
      <c r="I16" s="479"/>
      <c r="J16" s="479"/>
      <c r="K16" s="479"/>
    </row>
    <row r="17" spans="1:14" ht="16.5" customHeight="1" x14ac:dyDescent="0.35">
      <c r="A17" s="109" t="s">
        <v>49</v>
      </c>
      <c r="B17" s="109" t="s">
        <v>50</v>
      </c>
      <c r="C17" s="479"/>
      <c r="D17" s="479"/>
      <c r="E17" s="479"/>
      <c r="F17" s="479"/>
      <c r="G17" s="479"/>
      <c r="H17" s="479"/>
      <c r="I17" s="479"/>
      <c r="J17" s="479"/>
      <c r="K17" s="490"/>
      <c r="L17" s="490"/>
      <c r="M17" s="491"/>
      <c r="N17" s="490"/>
    </row>
    <row r="18" spans="1:14" x14ac:dyDescent="0.35">
      <c r="A18" s="479"/>
      <c r="B18" s="479" t="s">
        <v>51</v>
      </c>
      <c r="C18" s="480" t="s">
        <v>33</v>
      </c>
      <c r="D18" s="479"/>
      <c r="E18" s="479"/>
      <c r="F18" s="479"/>
      <c r="G18" s="479"/>
      <c r="H18" s="479"/>
      <c r="I18" s="479"/>
      <c r="J18" s="479"/>
      <c r="K18" s="479"/>
      <c r="L18" s="479"/>
      <c r="M18" s="492"/>
      <c r="N18" s="493"/>
    </row>
    <row r="19" spans="1:14" x14ac:dyDescent="0.35">
      <c r="A19" s="479"/>
      <c r="B19" s="479" t="s">
        <v>52</v>
      </c>
      <c r="C19" s="480" t="s">
        <v>33</v>
      </c>
      <c r="D19" s="486"/>
      <c r="E19" s="479"/>
      <c r="F19" s="479"/>
      <c r="G19" s="479"/>
      <c r="H19" s="479"/>
      <c r="I19" s="479"/>
      <c r="J19" s="479"/>
      <c r="K19" s="479"/>
      <c r="L19" s="479"/>
      <c r="M19" s="492"/>
      <c r="N19" s="493"/>
    </row>
    <row r="20" spans="1:14" ht="14.25" customHeight="1" x14ac:dyDescent="0.35">
      <c r="A20" s="479"/>
      <c r="B20" s="479"/>
      <c r="C20" s="480"/>
      <c r="D20" s="479"/>
      <c r="E20" s="479"/>
      <c r="F20" s="479"/>
      <c r="G20" s="479"/>
      <c r="H20" s="479"/>
      <c r="I20" s="479"/>
      <c r="J20" s="479"/>
      <c r="K20" s="479"/>
      <c r="L20" s="479"/>
      <c r="M20" s="492"/>
      <c r="N20" s="493"/>
    </row>
    <row r="21" spans="1:14" x14ac:dyDescent="0.35">
      <c r="A21" s="109" t="s">
        <v>53</v>
      </c>
      <c r="B21" s="109" t="s">
        <v>54</v>
      </c>
      <c r="C21" s="479"/>
      <c r="D21" s="479"/>
      <c r="E21" s="479"/>
      <c r="F21" s="479"/>
      <c r="G21" s="479"/>
      <c r="H21" s="479"/>
      <c r="I21" s="479"/>
      <c r="J21" s="479"/>
      <c r="K21" s="479"/>
      <c r="L21" s="479"/>
      <c r="M21" s="492"/>
      <c r="N21" s="493"/>
    </row>
    <row r="22" spans="1:14" ht="15.5" x14ac:dyDescent="0.35">
      <c r="A22" s="479"/>
      <c r="B22" s="109" t="s">
        <v>55</v>
      </c>
      <c r="C22" s="479"/>
      <c r="D22" s="479"/>
      <c r="E22" s="479"/>
      <c r="F22" s="479"/>
      <c r="G22" s="479"/>
      <c r="H22" s="479"/>
      <c r="I22" s="479"/>
      <c r="J22" s="479"/>
      <c r="K22" s="479">
        <v>50</v>
      </c>
      <c r="L22" s="479">
        <v>100</v>
      </c>
      <c r="M22" s="492"/>
      <c r="N22" s="493"/>
    </row>
    <row r="23" spans="1:14" x14ac:dyDescent="0.35">
      <c r="A23" s="479"/>
      <c r="B23" s="551" t="s">
        <v>56</v>
      </c>
      <c r="C23" s="550" t="s">
        <v>57</v>
      </c>
      <c r="D23" s="550"/>
      <c r="E23" s="550" t="s">
        <v>58</v>
      </c>
      <c r="F23" s="550"/>
      <c r="G23" s="211" t="s">
        <v>59</v>
      </c>
      <c r="H23" s="212" t="s">
        <v>60</v>
      </c>
      <c r="I23" s="213"/>
      <c r="J23" s="109"/>
      <c r="K23" s="479">
        <v>60</v>
      </c>
      <c r="L23" s="479">
        <v>120</v>
      </c>
      <c r="M23" s="479"/>
      <c r="N23" s="479"/>
    </row>
    <row r="24" spans="1:14" x14ac:dyDescent="0.35">
      <c r="A24" s="479"/>
      <c r="B24" s="552"/>
      <c r="C24" s="5" t="s">
        <v>61</v>
      </c>
      <c r="D24" s="5" t="s">
        <v>62</v>
      </c>
      <c r="E24" s="5" t="s">
        <v>61</v>
      </c>
      <c r="F24" s="5" t="s">
        <v>62</v>
      </c>
      <c r="G24" s="214"/>
      <c r="H24" s="212" t="s">
        <v>63</v>
      </c>
      <c r="I24" s="213"/>
      <c r="J24" s="24"/>
      <c r="K24" s="479">
        <v>80</v>
      </c>
      <c r="L24" s="479">
        <v>140</v>
      </c>
      <c r="M24" s="479"/>
      <c r="N24" s="479"/>
    </row>
    <row r="25" spans="1:14" x14ac:dyDescent="0.35">
      <c r="A25" s="479"/>
      <c r="B25" s="494">
        <v>1</v>
      </c>
      <c r="C25" s="495"/>
      <c r="D25" s="495"/>
      <c r="E25" s="494"/>
      <c r="F25" s="495"/>
      <c r="G25" s="214"/>
      <c r="H25" s="211" t="s">
        <v>64</v>
      </c>
      <c r="I25" s="215"/>
      <c r="J25" s="496"/>
      <c r="K25" s="479"/>
      <c r="L25" s="479"/>
      <c r="M25" s="479"/>
      <c r="N25" s="479"/>
    </row>
    <row r="26" spans="1:14" x14ac:dyDescent="0.35">
      <c r="A26" s="479"/>
      <c r="B26" s="494">
        <v>2</v>
      </c>
      <c r="C26" s="495"/>
      <c r="D26" s="495"/>
      <c r="E26" s="494"/>
      <c r="F26" s="495"/>
      <c r="G26" s="479"/>
      <c r="H26" s="490"/>
      <c r="I26" s="496"/>
      <c r="J26" s="496"/>
      <c r="K26" s="479"/>
      <c r="L26" s="479"/>
      <c r="M26" s="479"/>
      <c r="N26" s="479"/>
    </row>
    <row r="27" spans="1:14" x14ac:dyDescent="0.35">
      <c r="A27" s="479"/>
      <c r="B27" s="494">
        <v>3</v>
      </c>
      <c r="C27" s="495"/>
      <c r="D27" s="495"/>
      <c r="E27" s="494"/>
      <c r="F27" s="495"/>
      <c r="G27" s="479"/>
      <c r="H27" s="490"/>
      <c r="I27" s="496"/>
      <c r="J27" s="496"/>
      <c r="K27" s="479"/>
      <c r="L27" s="479"/>
      <c r="M27" s="479"/>
      <c r="N27" s="479"/>
    </row>
    <row r="28" spans="1:14" x14ac:dyDescent="0.35">
      <c r="A28" s="479"/>
      <c r="B28" s="494">
        <v>4</v>
      </c>
      <c r="C28" s="495"/>
      <c r="D28" s="495"/>
      <c r="E28" s="494"/>
      <c r="F28" s="495"/>
      <c r="G28" s="479"/>
      <c r="H28" s="490"/>
      <c r="I28" s="496"/>
      <c r="J28" s="496"/>
      <c r="K28" s="479"/>
      <c r="L28" s="479"/>
      <c r="M28" s="479"/>
      <c r="N28" s="479"/>
    </row>
    <row r="29" spans="1:14" x14ac:dyDescent="0.35">
      <c r="A29" s="479"/>
      <c r="B29" s="494">
        <v>5</v>
      </c>
      <c r="C29" s="495"/>
      <c r="D29" s="495"/>
      <c r="E29" s="494"/>
      <c r="F29" s="495"/>
      <c r="G29" s="479"/>
      <c r="H29" s="490"/>
      <c r="I29" s="496"/>
      <c r="J29" s="496"/>
      <c r="K29" s="479"/>
      <c r="L29" s="479"/>
      <c r="M29" s="479"/>
      <c r="N29" s="479"/>
    </row>
    <row r="30" spans="1:14" x14ac:dyDescent="0.35">
      <c r="A30" s="479"/>
      <c r="B30" s="494">
        <v>6</v>
      </c>
      <c r="C30" s="495"/>
      <c r="D30" s="495"/>
      <c r="E30" s="494"/>
      <c r="F30" s="495"/>
      <c r="G30" s="479"/>
      <c r="H30" s="490"/>
      <c r="I30" s="496"/>
      <c r="J30" s="496"/>
      <c r="K30" s="479"/>
      <c r="L30" s="479"/>
      <c r="M30" s="479"/>
      <c r="N30" s="479"/>
    </row>
    <row r="31" spans="1:14" x14ac:dyDescent="0.35">
      <c r="A31" s="479"/>
      <c r="B31" s="494">
        <v>7</v>
      </c>
      <c r="C31" s="495"/>
      <c r="D31" s="495"/>
      <c r="E31" s="494"/>
      <c r="F31" s="495"/>
      <c r="G31" s="479"/>
      <c r="H31" s="490"/>
      <c r="I31" s="496"/>
      <c r="J31" s="496"/>
      <c r="K31" s="479"/>
      <c r="L31" s="479"/>
      <c r="M31" s="479"/>
      <c r="N31" s="479"/>
    </row>
    <row r="32" spans="1:14" x14ac:dyDescent="0.35">
      <c r="A32" s="479"/>
      <c r="B32" s="494">
        <v>8</v>
      </c>
      <c r="C32" s="495"/>
      <c r="D32" s="495"/>
      <c r="E32" s="494"/>
      <c r="F32" s="495"/>
      <c r="G32" s="479"/>
      <c r="H32" s="490"/>
      <c r="I32" s="496"/>
      <c r="J32" s="496"/>
      <c r="K32" s="479"/>
      <c r="L32" s="479"/>
      <c r="M32" s="479"/>
      <c r="N32" s="479"/>
    </row>
    <row r="33" spans="1:13" x14ac:dyDescent="0.35">
      <c r="A33" s="479"/>
      <c r="B33" s="494">
        <v>9</v>
      </c>
      <c r="C33" s="495"/>
      <c r="D33" s="495"/>
      <c r="E33" s="494"/>
      <c r="F33" s="495"/>
      <c r="G33" s="479"/>
      <c r="H33" s="490"/>
      <c r="I33" s="496"/>
      <c r="J33" s="496"/>
      <c r="K33" s="479"/>
      <c r="L33" s="479"/>
      <c r="M33" s="479"/>
    </row>
    <row r="34" spans="1:13" x14ac:dyDescent="0.35">
      <c r="A34" s="479"/>
      <c r="B34" s="494">
        <v>10</v>
      </c>
      <c r="C34" s="495"/>
      <c r="D34" s="495"/>
      <c r="E34" s="494"/>
      <c r="F34" s="495"/>
      <c r="G34" s="479"/>
      <c r="H34" s="490"/>
      <c r="I34" s="496"/>
      <c r="J34" s="496"/>
      <c r="K34" s="479"/>
      <c r="L34" s="479"/>
      <c r="M34" s="479"/>
    </row>
    <row r="35" spans="1:13" ht="15" customHeight="1" x14ac:dyDescent="0.35">
      <c r="A35" s="479"/>
      <c r="B35" s="490"/>
      <c r="C35" s="496"/>
      <c r="D35" s="496"/>
      <c r="E35" s="496"/>
      <c r="F35" s="479"/>
      <c r="G35" s="490"/>
      <c r="H35" s="496"/>
      <c r="I35" s="496"/>
      <c r="J35" s="496"/>
      <c r="K35" s="479"/>
      <c r="L35" s="479"/>
      <c r="M35" s="479"/>
    </row>
    <row r="36" spans="1:13" ht="15.5" x14ac:dyDescent="0.35">
      <c r="A36" s="479"/>
      <c r="B36" s="109" t="s">
        <v>65</v>
      </c>
      <c r="C36" s="496"/>
      <c r="D36" s="496"/>
      <c r="E36" s="479"/>
      <c r="F36" s="479"/>
      <c r="G36" s="479"/>
      <c r="H36" s="479"/>
      <c r="I36" s="479"/>
      <c r="J36" s="479"/>
      <c r="K36" s="479"/>
      <c r="L36" s="479"/>
      <c r="M36" s="479"/>
    </row>
    <row r="37" spans="1:13" ht="29.25" customHeight="1" x14ac:dyDescent="0.35">
      <c r="A37" s="479"/>
      <c r="B37" s="5" t="s">
        <v>66</v>
      </c>
      <c r="C37" s="6" t="s">
        <v>67</v>
      </c>
      <c r="D37" s="6" t="s">
        <v>68</v>
      </c>
      <c r="E37" s="5" t="s">
        <v>69</v>
      </c>
      <c r="F37" s="5" t="s">
        <v>70</v>
      </c>
      <c r="G37" s="25" t="s">
        <v>71</v>
      </c>
      <c r="H37" s="546" t="s">
        <v>72</v>
      </c>
      <c r="I37" s="547"/>
      <c r="J37" s="479"/>
      <c r="K37" s="479"/>
      <c r="L37" s="479"/>
      <c r="M37" s="479"/>
    </row>
    <row r="38" spans="1:13" ht="14.15" customHeight="1" x14ac:dyDescent="0.35">
      <c r="A38" s="479"/>
      <c r="B38" s="5">
        <v>20</v>
      </c>
      <c r="C38" s="6"/>
      <c r="D38" s="6"/>
      <c r="E38" s="5"/>
      <c r="F38" s="5"/>
      <c r="G38" s="494"/>
      <c r="H38" s="546"/>
      <c r="I38" s="547"/>
      <c r="J38" s="479"/>
      <c r="K38" s="479"/>
      <c r="L38" s="479"/>
      <c r="M38" s="479"/>
    </row>
    <row r="39" spans="1:13" ht="16" customHeight="1" x14ac:dyDescent="0.35">
      <c r="A39" s="479"/>
      <c r="B39" s="5">
        <v>40</v>
      </c>
      <c r="C39" s="6"/>
      <c r="D39" s="6"/>
      <c r="E39" s="5"/>
      <c r="F39" s="5"/>
      <c r="G39" s="494"/>
      <c r="H39" s="209"/>
      <c r="I39" s="479"/>
      <c r="J39" s="479"/>
      <c r="K39" s="479"/>
      <c r="L39" s="479"/>
      <c r="M39" s="479"/>
    </row>
    <row r="40" spans="1:13" ht="14.5" customHeight="1" x14ac:dyDescent="0.35">
      <c r="A40" s="479"/>
      <c r="B40" s="5">
        <v>60</v>
      </c>
      <c r="C40" s="6"/>
      <c r="D40" s="6"/>
      <c r="E40" s="5"/>
      <c r="F40" s="5"/>
      <c r="G40" s="494"/>
      <c r="H40" s="209"/>
      <c r="I40" s="479"/>
      <c r="J40" s="479"/>
      <c r="K40" s="479"/>
      <c r="L40" s="479"/>
      <c r="M40" s="479"/>
    </row>
    <row r="41" spans="1:13" ht="15.65" customHeight="1" x14ac:dyDescent="0.35">
      <c r="A41" s="479"/>
      <c r="B41" s="5">
        <v>80</v>
      </c>
      <c r="C41" s="6"/>
      <c r="D41" s="6"/>
      <c r="E41" s="5"/>
      <c r="F41" s="5"/>
      <c r="G41" s="497"/>
      <c r="H41" s="209"/>
      <c r="I41" s="479"/>
      <c r="J41" s="479"/>
      <c r="K41" s="479"/>
      <c r="L41" s="479"/>
      <c r="M41" s="479"/>
    </row>
    <row r="42" spans="1:13" ht="13" customHeight="1" x14ac:dyDescent="0.35">
      <c r="A42" s="479"/>
      <c r="B42" s="5">
        <v>100</v>
      </c>
      <c r="C42" s="6"/>
      <c r="D42" s="6"/>
      <c r="E42" s="5"/>
      <c r="F42" s="5"/>
      <c r="G42" s="497"/>
      <c r="H42" s="209"/>
      <c r="I42" s="479"/>
      <c r="J42" s="479"/>
      <c r="K42" s="479"/>
      <c r="L42" s="479"/>
      <c r="M42" s="479"/>
    </row>
    <row r="43" spans="1:13" hidden="1" x14ac:dyDescent="0.35">
      <c r="A43" s="479"/>
      <c r="B43" s="5">
        <v>120</v>
      </c>
      <c r="C43" s="495"/>
      <c r="D43" s="495"/>
      <c r="E43" s="495"/>
      <c r="F43" s="495"/>
      <c r="G43" s="494"/>
      <c r="H43" s="210"/>
      <c r="I43" s="479"/>
      <c r="J43" s="479"/>
      <c r="K43" s="479"/>
      <c r="L43" s="479"/>
      <c r="M43" s="479"/>
    </row>
    <row r="44" spans="1:13" hidden="1" x14ac:dyDescent="0.35">
      <c r="A44" s="479"/>
      <c r="B44" s="5">
        <v>140</v>
      </c>
      <c r="C44" s="495"/>
      <c r="D44" s="495"/>
      <c r="E44" s="495"/>
      <c r="F44" s="495"/>
      <c r="G44" s="494"/>
      <c r="H44" s="479"/>
      <c r="I44" s="479"/>
      <c r="J44" s="479"/>
      <c r="K44" s="479"/>
      <c r="L44" s="479"/>
      <c r="M44" s="479"/>
    </row>
    <row r="45" spans="1:13" ht="14.25" customHeight="1" x14ac:dyDescent="0.35">
      <c r="A45" s="479"/>
      <c r="B45" s="479"/>
      <c r="C45" s="496"/>
      <c r="D45" s="496"/>
      <c r="E45" s="496"/>
      <c r="F45" s="496"/>
      <c r="G45" s="483"/>
      <c r="H45" s="479"/>
      <c r="I45" s="479"/>
      <c r="J45" s="479"/>
      <c r="K45" s="483"/>
      <c r="L45" s="492"/>
      <c r="M45" s="493"/>
    </row>
    <row r="46" spans="1:13" x14ac:dyDescent="0.35">
      <c r="A46" s="109" t="s">
        <v>73</v>
      </c>
      <c r="B46" s="109" t="s">
        <v>74</v>
      </c>
      <c r="C46" s="479"/>
      <c r="D46" s="479"/>
      <c r="E46" s="479"/>
      <c r="F46" s="479"/>
      <c r="G46" s="479"/>
      <c r="H46" s="479"/>
      <c r="I46" s="479"/>
      <c r="J46" s="479"/>
      <c r="K46" s="479"/>
      <c r="L46" s="479"/>
      <c r="M46" s="479"/>
    </row>
    <row r="47" spans="1:13" x14ac:dyDescent="0.35">
      <c r="A47" s="479"/>
      <c r="B47" s="479" t="s">
        <v>75</v>
      </c>
      <c r="C47" s="479"/>
      <c r="D47" s="479"/>
      <c r="E47" s="479"/>
      <c r="F47" s="479"/>
      <c r="G47" s="479"/>
      <c r="H47" s="479"/>
      <c r="I47" s="479"/>
      <c r="J47" s="479"/>
      <c r="K47" s="479"/>
      <c r="L47" s="479"/>
      <c r="M47" s="479"/>
    </row>
    <row r="48" spans="1:13" x14ac:dyDescent="0.35">
      <c r="A48" s="479"/>
      <c r="B48" s="479" t="s">
        <v>75</v>
      </c>
      <c r="C48" s="479"/>
      <c r="D48" s="479"/>
      <c r="E48" s="479"/>
      <c r="F48" s="479"/>
      <c r="G48" s="479"/>
      <c r="H48" s="479"/>
      <c r="I48" s="479"/>
      <c r="J48" s="479"/>
      <c r="K48" s="479"/>
      <c r="L48" s="479"/>
      <c r="M48" s="479"/>
    </row>
    <row r="49" spans="1:9" x14ac:dyDescent="0.35">
      <c r="A49" s="109" t="s">
        <v>76</v>
      </c>
      <c r="B49" s="109" t="s">
        <v>77</v>
      </c>
      <c r="C49" s="479"/>
      <c r="D49" s="479"/>
      <c r="E49" s="479"/>
      <c r="F49" s="479"/>
      <c r="G49" s="479"/>
      <c r="H49" s="479"/>
      <c r="I49" s="479"/>
    </row>
    <row r="50" spans="1:9" x14ac:dyDescent="0.35">
      <c r="A50" s="479"/>
      <c r="B50" s="119" t="s">
        <v>78</v>
      </c>
      <c r="C50" s="110"/>
      <c r="D50" s="110"/>
      <c r="E50" s="110"/>
      <c r="F50" s="110"/>
      <c r="G50" s="110"/>
      <c r="H50" s="110"/>
      <c r="I50" s="110"/>
    </row>
    <row r="51" spans="1:9" x14ac:dyDescent="0.35">
      <c r="A51" s="479"/>
      <c r="B51" s="479" t="s">
        <v>79</v>
      </c>
      <c r="C51" s="110"/>
      <c r="D51" s="110"/>
      <c r="E51" s="110"/>
      <c r="F51" s="110"/>
      <c r="G51" s="110"/>
      <c r="H51" s="110"/>
      <c r="I51" s="110"/>
    </row>
    <row r="52" spans="1:9" ht="15.5" x14ac:dyDescent="0.35">
      <c r="A52" s="479"/>
      <c r="B52" s="117" t="s">
        <v>80</v>
      </c>
      <c r="C52" s="118"/>
      <c r="D52" s="118"/>
      <c r="E52" s="118"/>
      <c r="F52" s="118"/>
      <c r="G52" s="118"/>
      <c r="H52" s="118"/>
      <c r="I52" s="118"/>
    </row>
    <row r="53" spans="1:9" ht="15.5" x14ac:dyDescent="0.35">
      <c r="A53" s="479"/>
      <c r="B53" s="117" t="s">
        <v>81</v>
      </c>
      <c r="C53" s="118"/>
      <c r="D53" s="118"/>
      <c r="E53" s="118"/>
      <c r="F53" s="118"/>
      <c r="G53" s="118"/>
      <c r="H53" s="118"/>
      <c r="I53" s="118"/>
    </row>
    <row r="54" spans="1:9" ht="15.5" x14ac:dyDescent="0.35">
      <c r="A54" s="479"/>
      <c r="B54" s="117" t="s">
        <v>82</v>
      </c>
      <c r="C54" s="118"/>
      <c r="D54" s="118"/>
      <c r="E54" s="118"/>
      <c r="F54" s="118"/>
      <c r="G54" s="118"/>
      <c r="H54" s="118"/>
      <c r="I54" s="118"/>
    </row>
    <row r="55" spans="1:9" x14ac:dyDescent="0.35">
      <c r="A55" s="479"/>
      <c r="B55" s="131"/>
      <c r="C55" s="118"/>
      <c r="D55" s="118"/>
      <c r="E55" s="118"/>
      <c r="F55" s="118"/>
      <c r="G55" s="118"/>
      <c r="H55" s="118"/>
      <c r="I55" s="118"/>
    </row>
    <row r="56" spans="1:9" x14ac:dyDescent="0.35">
      <c r="A56" s="109" t="s">
        <v>83</v>
      </c>
      <c r="B56" s="109" t="s">
        <v>84</v>
      </c>
      <c r="C56" s="479"/>
      <c r="D56" s="479"/>
      <c r="E56" s="479"/>
      <c r="F56" s="479"/>
      <c r="G56" s="479"/>
      <c r="H56" s="479"/>
      <c r="I56" s="479"/>
    </row>
    <row r="57" spans="1:9" x14ac:dyDescent="0.35">
      <c r="A57" s="479"/>
      <c r="B57" s="479" t="s">
        <v>85</v>
      </c>
      <c r="C57" s="479"/>
      <c r="D57" s="479"/>
      <c r="E57" s="479"/>
      <c r="F57" s="479"/>
      <c r="G57" s="479"/>
      <c r="H57" s="479"/>
      <c r="I57" s="479"/>
    </row>
    <row r="58" spans="1:9" x14ac:dyDescent="0.35">
      <c r="A58" s="109" t="s">
        <v>86</v>
      </c>
      <c r="B58" s="109" t="s">
        <v>87</v>
      </c>
      <c r="C58" s="479"/>
      <c r="D58" s="479"/>
      <c r="E58" s="479"/>
      <c r="F58" s="479"/>
      <c r="G58" s="479"/>
      <c r="H58" s="479"/>
      <c r="I58" s="479"/>
    </row>
    <row r="59" spans="1:9" x14ac:dyDescent="0.35">
      <c r="A59" s="479"/>
      <c r="B59" s="498"/>
      <c r="C59" s="479"/>
      <c r="D59" s="479"/>
      <c r="E59" s="479"/>
      <c r="F59" s="479"/>
      <c r="G59" s="479"/>
      <c r="H59" s="479"/>
      <c r="I59" s="479"/>
    </row>
    <row r="60" spans="1:9" x14ac:dyDescent="0.35">
      <c r="A60" s="479"/>
      <c r="B60" s="479"/>
      <c r="C60" s="479"/>
      <c r="D60" s="479"/>
      <c r="E60" s="479"/>
      <c r="F60" s="479"/>
      <c r="G60" s="116"/>
      <c r="H60" s="479"/>
      <c r="I60" s="479"/>
    </row>
  </sheetData>
  <mergeCells count="6">
    <mergeCell ref="H37:I38"/>
    <mergeCell ref="A1:I1"/>
    <mergeCell ref="A2:I2"/>
    <mergeCell ref="C23:D23"/>
    <mergeCell ref="B23:B24"/>
    <mergeCell ref="E23:F23"/>
  </mergeCells>
  <printOptions horizontalCentered="1"/>
  <pageMargins left="0.5" right="0.25" top="0.5" bottom="0.25" header="0.25" footer="0.25"/>
  <pageSetup paperSize="9" scale="77" orientation="portrait" r:id="rId1"/>
  <headerFooter>
    <oddHeader>&amp;R&amp;8GM.LK - 141-2019 / REV : 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00"/>
  <sheetViews>
    <sheetView workbookViewId="0">
      <selection activeCell="C9" sqref="C9"/>
    </sheetView>
  </sheetViews>
  <sheetFormatPr defaultRowHeight="14.5" x14ac:dyDescent="0.35"/>
  <cols>
    <col min="2" max="2" width="17.7265625" customWidth="1"/>
    <col min="3" max="3" width="44.26953125" customWidth="1"/>
    <col min="4" max="4" width="57.54296875" customWidth="1"/>
    <col min="5" max="5" width="12.81640625" customWidth="1"/>
  </cols>
  <sheetData>
    <row r="2" spans="1:5" x14ac:dyDescent="0.35">
      <c r="A2" s="545" t="s">
        <v>88</v>
      </c>
      <c r="B2" s="545" t="s">
        <v>89</v>
      </c>
      <c r="C2" s="545" t="s">
        <v>90</v>
      </c>
      <c r="D2" s="545"/>
      <c r="E2" s="553" t="s">
        <v>91</v>
      </c>
    </row>
    <row r="3" spans="1:5" x14ac:dyDescent="0.35">
      <c r="A3" s="545"/>
      <c r="B3" s="545"/>
      <c r="C3" s="208" t="s">
        <v>92</v>
      </c>
      <c r="D3" s="208" t="s">
        <v>93</v>
      </c>
      <c r="E3" s="554"/>
    </row>
    <row r="4" spans="1:5" x14ac:dyDescent="0.35">
      <c r="A4" s="208">
        <v>1</v>
      </c>
      <c r="B4" s="216" t="s">
        <v>94</v>
      </c>
      <c r="C4" s="208" t="s">
        <v>95</v>
      </c>
      <c r="D4" s="217" t="s">
        <v>96</v>
      </c>
      <c r="E4" s="1" t="s">
        <v>97</v>
      </c>
    </row>
    <row r="5" spans="1:5" ht="37.5" x14ac:dyDescent="0.35">
      <c r="A5" s="208"/>
      <c r="B5" s="218"/>
      <c r="C5" s="219" t="s">
        <v>98</v>
      </c>
      <c r="D5" s="220" t="s">
        <v>96</v>
      </c>
      <c r="E5" s="1" t="s">
        <v>97</v>
      </c>
    </row>
    <row r="6" spans="1:5" ht="29" x14ac:dyDescent="0.35">
      <c r="A6" s="208"/>
      <c r="B6" s="218"/>
      <c r="C6" s="221" t="s">
        <v>99</v>
      </c>
      <c r="D6" s="208" t="s">
        <v>96</v>
      </c>
      <c r="E6" s="1" t="s">
        <v>97</v>
      </c>
    </row>
    <row r="7" spans="1:5" ht="81.75" customHeight="1" x14ac:dyDescent="0.35">
      <c r="A7" s="208">
        <v>2</v>
      </c>
      <c r="B7" s="218" t="s">
        <v>100</v>
      </c>
      <c r="C7" s="221" t="s">
        <v>101</v>
      </c>
      <c r="D7" s="221" t="s">
        <v>102</v>
      </c>
      <c r="E7" s="1" t="s">
        <v>103</v>
      </c>
    </row>
    <row r="8" spans="1:5" x14ac:dyDescent="0.35">
      <c r="A8" s="208"/>
      <c r="B8" s="222"/>
      <c r="C8" s="208" t="s">
        <v>104</v>
      </c>
      <c r="D8" s="135" t="s">
        <v>105</v>
      </c>
      <c r="E8" s="1" t="s">
        <v>103</v>
      </c>
    </row>
    <row r="9" spans="1:5" ht="29" x14ac:dyDescent="0.35">
      <c r="A9" s="208">
        <v>3</v>
      </c>
      <c r="B9" s="218">
        <v>44467</v>
      </c>
      <c r="C9" s="221" t="s">
        <v>106</v>
      </c>
      <c r="D9" s="208" t="s">
        <v>96</v>
      </c>
      <c r="E9" s="1" t="s">
        <v>107</v>
      </c>
    </row>
    <row r="10" spans="1:5" x14ac:dyDescent="0.35">
      <c r="A10" s="208"/>
      <c r="B10" s="216"/>
      <c r="C10" s="223" t="s">
        <v>108</v>
      </c>
      <c r="D10" s="208" t="s">
        <v>96</v>
      </c>
      <c r="E10" s="1" t="s">
        <v>107</v>
      </c>
    </row>
    <row r="11" spans="1:5" x14ac:dyDescent="0.35">
      <c r="A11" s="208">
        <v>4</v>
      </c>
      <c r="B11" s="218">
        <v>44512</v>
      </c>
      <c r="C11" s="223" t="s">
        <v>109</v>
      </c>
      <c r="D11" s="217" t="s">
        <v>110</v>
      </c>
      <c r="E11" s="224" t="s">
        <v>103</v>
      </c>
    </row>
    <row r="12" spans="1:5" x14ac:dyDescent="0.35">
      <c r="A12" s="208">
        <v>5</v>
      </c>
      <c r="B12" s="218" t="s">
        <v>111</v>
      </c>
      <c r="C12" s="208" t="s">
        <v>112</v>
      </c>
      <c r="D12" s="208" t="s">
        <v>96</v>
      </c>
      <c r="E12" s="1" t="s">
        <v>97</v>
      </c>
    </row>
    <row r="13" spans="1:5" x14ac:dyDescent="0.35">
      <c r="A13" s="208">
        <v>6</v>
      </c>
      <c r="B13" s="218" t="s">
        <v>113</v>
      </c>
      <c r="C13" s="208" t="s">
        <v>114</v>
      </c>
      <c r="D13" s="208" t="s">
        <v>96</v>
      </c>
      <c r="E13" s="1" t="s">
        <v>115</v>
      </c>
    </row>
    <row r="14" spans="1:5" x14ac:dyDescent="0.35">
      <c r="A14" s="208">
        <v>7</v>
      </c>
      <c r="B14" s="218" t="s">
        <v>116</v>
      </c>
      <c r="C14" s="208" t="s">
        <v>117</v>
      </c>
      <c r="D14" s="208" t="s">
        <v>96</v>
      </c>
      <c r="E14" s="1" t="s">
        <v>97</v>
      </c>
    </row>
    <row r="15" spans="1:5" x14ac:dyDescent="0.35">
      <c r="A15" s="208">
        <v>8</v>
      </c>
      <c r="B15" s="218" t="s">
        <v>116</v>
      </c>
      <c r="C15" s="208" t="s">
        <v>118</v>
      </c>
      <c r="D15" s="208" t="s">
        <v>96</v>
      </c>
      <c r="E15" s="1" t="s">
        <v>97</v>
      </c>
    </row>
    <row r="16" spans="1:5" ht="29" x14ac:dyDescent="0.35">
      <c r="A16" s="208">
        <v>9</v>
      </c>
      <c r="B16" s="218" t="s">
        <v>119</v>
      </c>
      <c r="C16" s="221" t="s">
        <v>120</v>
      </c>
      <c r="D16" s="208" t="s">
        <v>121</v>
      </c>
      <c r="E16" s="1" t="s">
        <v>103</v>
      </c>
    </row>
    <row r="17" spans="1:5" x14ac:dyDescent="0.35">
      <c r="A17" s="208">
        <v>10</v>
      </c>
      <c r="B17" s="218" t="s">
        <v>122</v>
      </c>
      <c r="C17" s="208" t="s">
        <v>123</v>
      </c>
      <c r="D17" s="208" t="s">
        <v>121</v>
      </c>
      <c r="E17" s="1" t="s">
        <v>97</v>
      </c>
    </row>
    <row r="18" spans="1:5" x14ac:dyDescent="0.35">
      <c r="A18" s="208">
        <v>11</v>
      </c>
      <c r="B18" s="218" t="s">
        <v>124</v>
      </c>
      <c r="C18" s="208" t="s">
        <v>125</v>
      </c>
      <c r="D18" s="208" t="s">
        <v>126</v>
      </c>
      <c r="E18" s="1" t="s">
        <v>97</v>
      </c>
    </row>
    <row r="19" spans="1:5" x14ac:dyDescent="0.35">
      <c r="A19" s="208"/>
      <c r="B19" s="218"/>
      <c r="C19" s="208"/>
      <c r="D19" s="208"/>
      <c r="E19" s="1"/>
    </row>
    <row r="20" spans="1:5" x14ac:dyDescent="0.35">
      <c r="A20" s="208"/>
      <c r="B20" s="218"/>
      <c r="C20" s="208"/>
      <c r="D20" s="208"/>
      <c r="E20" s="1"/>
    </row>
    <row r="21" spans="1:5" x14ac:dyDescent="0.35">
      <c r="A21" s="208"/>
      <c r="B21" s="218"/>
      <c r="C21" s="208"/>
      <c r="D21" s="208"/>
      <c r="E21" s="1"/>
    </row>
    <row r="22" spans="1:5" x14ac:dyDescent="0.35">
      <c r="A22" s="208"/>
      <c r="B22" s="218"/>
      <c r="C22" s="208"/>
      <c r="D22" s="208"/>
      <c r="E22" s="1"/>
    </row>
    <row r="23" spans="1:5" x14ac:dyDescent="0.35">
      <c r="A23" s="208"/>
      <c r="B23" s="218"/>
      <c r="C23" s="208"/>
      <c r="D23" s="208"/>
      <c r="E23" s="1"/>
    </row>
    <row r="24" spans="1:5" x14ac:dyDescent="0.35">
      <c r="A24" s="208"/>
      <c r="B24" s="218"/>
      <c r="C24" s="208"/>
      <c r="D24" s="208"/>
      <c r="E24" s="1"/>
    </row>
    <row r="25" spans="1:5" x14ac:dyDescent="0.35">
      <c r="A25" s="208"/>
      <c r="B25" s="218"/>
      <c r="C25" s="208"/>
      <c r="D25" s="208"/>
      <c r="E25" s="1"/>
    </row>
    <row r="26" spans="1:5" x14ac:dyDescent="0.35">
      <c r="A26" s="208"/>
      <c r="B26" s="218"/>
      <c r="C26" s="208"/>
      <c r="D26" s="208"/>
      <c r="E26" s="1"/>
    </row>
    <row r="100" spans="1:1" x14ac:dyDescent="0.35">
      <c r="A100" s="410" t="s">
        <v>127</v>
      </c>
    </row>
  </sheetData>
  <sheetProtection algorithmName="SHA-512" hashValue="nEVGs0YARiYCpzjuXbRsBRLiNv+rTCMVwdfmY5EDOOXJyiNEjPETZG+n1ZVp1vF+5F48TF9YfSYgvZ73cGyuqA==" saltValue="QN9Um0uI32HTvPITtsjIjg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6"/>
  <sheetViews>
    <sheetView showGridLines="0" view="pageBreakPreview" topLeftCell="A49" zoomScaleNormal="100" zoomScaleSheetLayoutView="100" workbookViewId="0">
      <selection activeCell="H65" sqref="H65"/>
    </sheetView>
  </sheetViews>
  <sheetFormatPr defaultColWidth="9.1796875" defaultRowHeight="14" x14ac:dyDescent="0.35"/>
  <cols>
    <col min="1" max="1" width="3.453125" style="137" customWidth="1"/>
    <col min="2" max="2" width="17.7265625" style="137" customWidth="1"/>
    <col min="3" max="3" width="11" style="137" customWidth="1"/>
    <col min="4" max="4" width="11.81640625" style="137" customWidth="1"/>
    <col min="5" max="5" width="11.453125" style="137" customWidth="1"/>
    <col min="6" max="6" width="10.453125" style="137" customWidth="1"/>
    <col min="7" max="7" width="14.81640625" style="137" customWidth="1"/>
    <col min="8" max="8" width="12.1796875" style="137" customWidth="1"/>
    <col min="9" max="9" width="12.7265625" style="137" customWidth="1"/>
    <col min="10" max="10" width="11.453125" style="137" customWidth="1"/>
    <col min="11" max="11" width="13" style="137" customWidth="1"/>
    <col min="12" max="12" width="13.453125" style="137" customWidth="1"/>
    <col min="13" max="13" width="9.1796875" style="137"/>
    <col min="14" max="14" width="12.26953125" style="137" customWidth="1"/>
    <col min="15" max="15" width="11.453125" style="137" customWidth="1"/>
    <col min="16" max="16" width="9.1796875" style="137"/>
    <col min="17" max="17" width="11.54296875" style="137" customWidth="1"/>
    <col min="18" max="18" width="9.1796875" style="137"/>
    <col min="19" max="19" width="10.26953125" style="137" bestFit="1" customWidth="1"/>
    <col min="20" max="16384" width="9.1796875" style="137"/>
  </cols>
  <sheetData>
    <row r="1" spans="1:14" ht="18" x14ac:dyDescent="0.35">
      <c r="A1" s="557" t="s">
        <v>128</v>
      </c>
      <c r="B1" s="557"/>
      <c r="C1" s="557"/>
      <c r="D1" s="557"/>
      <c r="E1" s="557"/>
      <c r="F1" s="557"/>
      <c r="G1" s="557"/>
      <c r="H1" s="557"/>
      <c r="I1" s="557"/>
      <c r="J1" s="557"/>
      <c r="K1" s="557"/>
    </row>
    <row r="2" spans="1:14" ht="16.5" x14ac:dyDescent="0.35">
      <c r="B2" s="459"/>
      <c r="C2" s="459"/>
      <c r="D2" s="561" t="str">
        <f>LOOKUP(B61,'Cetik Cetik'!B14:B15,'Cetik Cetik'!B19:B20)</f>
        <v xml:space="preserve">Nomor Sertifikat : 78 / </v>
      </c>
      <c r="E2" s="561"/>
      <c r="F2" s="561"/>
      <c r="I2" s="532" t="s">
        <v>129</v>
      </c>
      <c r="J2" s="532"/>
      <c r="K2" s="532"/>
    </row>
    <row r="4" spans="1:14" x14ac:dyDescent="0.35">
      <c r="A4" s="137" t="s">
        <v>32</v>
      </c>
      <c r="C4" s="460" t="s">
        <v>33</v>
      </c>
      <c r="D4" s="412" t="s">
        <v>75</v>
      </c>
      <c r="E4" s="177"/>
      <c r="F4" s="177"/>
      <c r="G4" s="177"/>
    </row>
    <row r="5" spans="1:14" x14ac:dyDescent="0.35">
      <c r="A5" s="137" t="s">
        <v>34</v>
      </c>
      <c r="C5" s="460" t="s">
        <v>33</v>
      </c>
      <c r="D5" s="413" t="s">
        <v>75</v>
      </c>
      <c r="E5" s="177"/>
      <c r="F5" s="177"/>
      <c r="G5" s="177"/>
    </row>
    <row r="6" spans="1:14" x14ac:dyDescent="0.35">
      <c r="A6" s="137" t="s">
        <v>35</v>
      </c>
      <c r="C6" s="460" t="s">
        <v>33</v>
      </c>
      <c r="D6" s="413" t="s">
        <v>75</v>
      </c>
      <c r="E6" s="177"/>
      <c r="F6" s="177"/>
      <c r="G6" s="177"/>
    </row>
    <row r="7" spans="1:14" x14ac:dyDescent="0.35">
      <c r="A7" s="137" t="s">
        <v>130</v>
      </c>
      <c r="C7" s="460" t="s">
        <v>33</v>
      </c>
      <c r="D7" s="414">
        <v>0.1</v>
      </c>
      <c r="E7" s="135" t="s">
        <v>37</v>
      </c>
      <c r="F7" s="422" t="s">
        <v>131</v>
      </c>
      <c r="G7" s="177"/>
    </row>
    <row r="8" spans="1:14" x14ac:dyDescent="0.35">
      <c r="A8" s="137" t="s">
        <v>132</v>
      </c>
      <c r="C8" s="460" t="s">
        <v>33</v>
      </c>
      <c r="D8" s="536">
        <v>44741</v>
      </c>
      <c r="E8" s="135"/>
      <c r="F8" s="422"/>
      <c r="G8" s="177"/>
    </row>
    <row r="9" spans="1:14" x14ac:dyDescent="0.35">
      <c r="A9" s="137" t="s">
        <v>39</v>
      </c>
      <c r="C9" s="460" t="s">
        <v>33</v>
      </c>
      <c r="D9" s="536">
        <v>44742</v>
      </c>
      <c r="E9" s="177"/>
      <c r="F9" s="177"/>
      <c r="G9" s="177"/>
    </row>
    <row r="10" spans="1:14" x14ac:dyDescent="0.35">
      <c r="A10" s="137" t="str">
        <f>LK!A9</f>
        <v>Tempat Kalibrasi</v>
      </c>
      <c r="C10" s="460" t="s">
        <v>33</v>
      </c>
      <c r="D10" s="412" t="s">
        <v>133</v>
      </c>
      <c r="E10" s="177"/>
      <c r="F10" s="177"/>
      <c r="G10" s="177"/>
    </row>
    <row r="11" spans="1:14" x14ac:dyDescent="0.35">
      <c r="A11" s="137" t="str">
        <f>LK!A10</f>
        <v>Nama Ruang</v>
      </c>
      <c r="C11" s="460" t="s">
        <v>33</v>
      </c>
      <c r="D11" s="412" t="s">
        <v>133</v>
      </c>
      <c r="E11" s="177"/>
      <c r="F11" s="177"/>
      <c r="G11" s="177"/>
    </row>
    <row r="12" spans="1:14" x14ac:dyDescent="0.35">
      <c r="A12" s="137" t="s">
        <v>42</v>
      </c>
      <c r="C12" s="460" t="s">
        <v>33</v>
      </c>
      <c r="D12" s="135" t="s">
        <v>105</v>
      </c>
      <c r="E12" s="135"/>
      <c r="F12" s="135"/>
      <c r="G12" s="135"/>
    </row>
    <row r="13" spans="1:14" x14ac:dyDescent="0.35">
      <c r="N13" s="137" t="s">
        <v>134</v>
      </c>
    </row>
    <row r="14" spans="1:14" x14ac:dyDescent="0.35">
      <c r="A14" s="140" t="s">
        <v>43</v>
      </c>
      <c r="B14" s="138" t="str">
        <f>LK!B13</f>
        <v>Kondisi Ruang</v>
      </c>
      <c r="G14" s="139"/>
      <c r="H14" s="139"/>
      <c r="N14" s="137" t="s">
        <v>135</v>
      </c>
    </row>
    <row r="15" spans="1:14" x14ac:dyDescent="0.35">
      <c r="A15" s="140"/>
      <c r="B15" s="138"/>
      <c r="D15" s="461" t="s">
        <v>136</v>
      </c>
      <c r="E15" s="461" t="s">
        <v>137</v>
      </c>
      <c r="F15" s="461" t="s">
        <v>138</v>
      </c>
      <c r="G15" s="139"/>
      <c r="H15" s="139"/>
    </row>
    <row r="16" spans="1:14" x14ac:dyDescent="0.35">
      <c r="B16" s="137" t="s">
        <v>45</v>
      </c>
      <c r="C16" s="460" t="s">
        <v>33</v>
      </c>
      <c r="D16" s="415">
        <v>22</v>
      </c>
      <c r="E16" s="415">
        <v>24</v>
      </c>
      <c r="F16" s="462">
        <f>AVERAGE(D16:E16)</f>
        <v>23</v>
      </c>
    </row>
    <row r="17" spans="1:19" x14ac:dyDescent="0.35">
      <c r="B17" s="137" t="s">
        <v>48</v>
      </c>
      <c r="C17" s="460" t="s">
        <v>33</v>
      </c>
      <c r="D17" s="415">
        <v>60</v>
      </c>
      <c r="E17" s="415">
        <v>63</v>
      </c>
      <c r="F17" s="462">
        <f>AVERAGE(D17:E17)</f>
        <v>61.5</v>
      </c>
    </row>
    <row r="18" spans="1:19" hidden="1" x14ac:dyDescent="0.35">
      <c r="B18" s="137" t="s">
        <v>139</v>
      </c>
      <c r="C18" s="460" t="s">
        <v>33</v>
      </c>
      <c r="D18" s="463">
        <v>1000</v>
      </c>
      <c r="E18" s="463">
        <v>1002</v>
      </c>
      <c r="F18" s="462">
        <f>AVERAGE(D18:E18)</f>
        <v>1001</v>
      </c>
    </row>
    <row r="20" spans="1:19" x14ac:dyDescent="0.35">
      <c r="A20" s="138" t="s">
        <v>49</v>
      </c>
      <c r="B20" s="138" t="str">
        <f>LK!B17</f>
        <v>Pemeriksaan Kondisi Fisik dan Fungsi alat</v>
      </c>
      <c r="C20" s="138"/>
      <c r="D20" s="138"/>
      <c r="E20" s="138"/>
    </row>
    <row r="21" spans="1:19" x14ac:dyDescent="0.35">
      <c r="B21" s="137" t="s">
        <v>51</v>
      </c>
      <c r="C21" s="460" t="s">
        <v>33</v>
      </c>
      <c r="D21" s="412" t="s">
        <v>134</v>
      </c>
    </row>
    <row r="22" spans="1:19" x14ac:dyDescent="0.35">
      <c r="B22" s="137" t="s">
        <v>52</v>
      </c>
      <c r="C22" s="460" t="s">
        <v>33</v>
      </c>
      <c r="D22" s="412" t="s">
        <v>134</v>
      </c>
      <c r="L22" s="144" t="s">
        <v>130</v>
      </c>
      <c r="M22" s="144" t="s">
        <v>140</v>
      </c>
      <c r="N22" s="144" t="s">
        <v>141</v>
      </c>
    </row>
    <row r="23" spans="1:19" ht="15" hidden="1" customHeight="1" x14ac:dyDescent="0.35">
      <c r="L23" s="416" t="s">
        <v>142</v>
      </c>
      <c r="M23" s="144" t="s">
        <v>143</v>
      </c>
      <c r="N23" s="144">
        <f>SQRT(6)</f>
        <v>2.4494897427831779</v>
      </c>
    </row>
    <row r="24" spans="1:19" hidden="1" x14ac:dyDescent="0.35">
      <c r="L24" s="416" t="s">
        <v>131</v>
      </c>
      <c r="M24" s="144" t="s">
        <v>144</v>
      </c>
      <c r="N24" s="144">
        <f>SQRT(3)</f>
        <v>1.7320508075688772</v>
      </c>
    </row>
    <row r="25" spans="1:19" ht="15" customHeight="1" x14ac:dyDescent="0.35"/>
    <row r="26" spans="1:19" x14ac:dyDescent="0.35">
      <c r="A26" s="138" t="s">
        <v>53</v>
      </c>
      <c r="B26" s="138" t="str">
        <f>LK!B21</f>
        <v>Pengukuran Kinerja</v>
      </c>
    </row>
    <row r="27" spans="1:19" x14ac:dyDescent="0.35">
      <c r="B27" s="138" t="s">
        <v>145</v>
      </c>
    </row>
    <row r="28" spans="1:19" x14ac:dyDescent="0.35">
      <c r="B28" s="464"/>
      <c r="C28" s="562" t="s">
        <v>146</v>
      </c>
      <c r="D28" s="563"/>
      <c r="E28" s="564"/>
      <c r="F28" s="562" t="s">
        <v>147</v>
      </c>
      <c r="G28" s="563"/>
      <c r="H28" s="564"/>
    </row>
    <row r="29" spans="1:19" x14ac:dyDescent="0.35">
      <c r="B29" s="461" t="s">
        <v>56</v>
      </c>
      <c r="C29" s="461" t="s">
        <v>61</v>
      </c>
      <c r="D29" s="461" t="s">
        <v>62</v>
      </c>
      <c r="E29" s="465" t="s">
        <v>148</v>
      </c>
      <c r="F29" s="461" t="s">
        <v>61</v>
      </c>
      <c r="G29" s="461" t="s">
        <v>62</v>
      </c>
      <c r="H29" s="465" t="s">
        <v>148</v>
      </c>
    </row>
    <row r="30" spans="1:19" x14ac:dyDescent="0.35">
      <c r="B30" s="144">
        <v>1</v>
      </c>
      <c r="C30" s="411">
        <v>0</v>
      </c>
      <c r="D30" s="411">
        <v>60</v>
      </c>
      <c r="E30" s="466">
        <f t="shared" ref="E30:E39" si="0">D30-C30</f>
        <v>60</v>
      </c>
      <c r="F30" s="411">
        <v>0</v>
      </c>
      <c r="G30" s="411">
        <v>100</v>
      </c>
      <c r="H30" s="466">
        <f>G30-F30</f>
        <v>100</v>
      </c>
    </row>
    <row r="31" spans="1:19" x14ac:dyDescent="0.35">
      <c r="B31" s="144">
        <v>2</v>
      </c>
      <c r="C31" s="411">
        <v>0</v>
      </c>
      <c r="D31" s="411">
        <v>60</v>
      </c>
      <c r="E31" s="466">
        <f t="shared" si="0"/>
        <v>60</v>
      </c>
      <c r="F31" s="411">
        <v>0</v>
      </c>
      <c r="G31" s="411">
        <v>100</v>
      </c>
      <c r="H31" s="466">
        <f t="shared" ref="H31:H39" si="1">G31-F31</f>
        <v>100</v>
      </c>
      <c r="M31" s="417" t="s">
        <v>146</v>
      </c>
      <c r="N31" s="418"/>
      <c r="O31" s="419"/>
      <c r="Q31" s="417" t="s">
        <v>147</v>
      </c>
      <c r="R31" s="418"/>
      <c r="S31" s="419"/>
    </row>
    <row r="32" spans="1:19" x14ac:dyDescent="0.35">
      <c r="B32" s="144">
        <v>3</v>
      </c>
      <c r="C32" s="411">
        <v>0</v>
      </c>
      <c r="D32" s="411">
        <v>60</v>
      </c>
      <c r="E32" s="466">
        <f t="shared" si="0"/>
        <v>60</v>
      </c>
      <c r="F32" s="411">
        <v>0</v>
      </c>
      <c r="G32" s="411">
        <v>100</v>
      </c>
      <c r="H32" s="466">
        <f t="shared" si="1"/>
        <v>100</v>
      </c>
      <c r="M32" s="417" t="s">
        <v>149</v>
      </c>
      <c r="N32" s="418"/>
      <c r="O32" s="419"/>
      <c r="Q32" s="417" t="s">
        <v>150</v>
      </c>
      <c r="R32" s="418"/>
      <c r="S32" s="419"/>
    </row>
    <row r="33" spans="2:19" x14ac:dyDescent="0.35">
      <c r="B33" s="144">
        <v>4</v>
      </c>
      <c r="C33" s="411">
        <v>0</v>
      </c>
      <c r="D33" s="411">
        <v>60</v>
      </c>
      <c r="E33" s="466">
        <f t="shared" si="0"/>
        <v>60</v>
      </c>
      <c r="F33" s="411">
        <v>0</v>
      </c>
      <c r="G33" s="411">
        <v>100</v>
      </c>
      <c r="H33" s="466">
        <f t="shared" si="1"/>
        <v>100</v>
      </c>
      <c r="Q33" s="417" t="s">
        <v>151</v>
      </c>
      <c r="R33" s="418"/>
      <c r="S33" s="419"/>
    </row>
    <row r="34" spans="2:19" x14ac:dyDescent="0.35">
      <c r="B34" s="144">
        <v>5</v>
      </c>
      <c r="C34" s="411">
        <v>0</v>
      </c>
      <c r="D34" s="411">
        <v>60</v>
      </c>
      <c r="E34" s="466">
        <f t="shared" si="0"/>
        <v>60</v>
      </c>
      <c r="F34" s="411">
        <v>0</v>
      </c>
      <c r="G34" s="411">
        <v>100</v>
      </c>
      <c r="H34" s="466">
        <f t="shared" si="1"/>
        <v>100</v>
      </c>
    </row>
    <row r="35" spans="2:19" x14ac:dyDescent="0.35">
      <c r="B35" s="144">
        <v>6</v>
      </c>
      <c r="C35" s="411">
        <v>0</v>
      </c>
      <c r="D35" s="411">
        <v>60</v>
      </c>
      <c r="E35" s="466">
        <f t="shared" si="0"/>
        <v>60</v>
      </c>
      <c r="F35" s="411">
        <v>0</v>
      </c>
      <c r="G35" s="411">
        <v>100</v>
      </c>
      <c r="H35" s="466">
        <f t="shared" si="1"/>
        <v>100</v>
      </c>
    </row>
    <row r="36" spans="2:19" x14ac:dyDescent="0.35">
      <c r="B36" s="144">
        <v>7</v>
      </c>
      <c r="C36" s="411">
        <v>0</v>
      </c>
      <c r="D36" s="411">
        <v>60</v>
      </c>
      <c r="E36" s="466">
        <f t="shared" si="0"/>
        <v>60</v>
      </c>
      <c r="F36" s="411">
        <v>0</v>
      </c>
      <c r="G36" s="411">
        <v>100</v>
      </c>
      <c r="H36" s="466">
        <f t="shared" si="1"/>
        <v>100</v>
      </c>
    </row>
    <row r="37" spans="2:19" x14ac:dyDescent="0.35">
      <c r="B37" s="144">
        <v>8</v>
      </c>
      <c r="C37" s="411">
        <v>0</v>
      </c>
      <c r="D37" s="411">
        <v>60</v>
      </c>
      <c r="E37" s="466">
        <f t="shared" si="0"/>
        <v>60</v>
      </c>
      <c r="F37" s="411">
        <v>0</v>
      </c>
      <c r="G37" s="411">
        <v>100</v>
      </c>
      <c r="H37" s="466">
        <f t="shared" si="1"/>
        <v>100</v>
      </c>
    </row>
    <row r="38" spans="2:19" x14ac:dyDescent="0.35">
      <c r="B38" s="144">
        <v>9</v>
      </c>
      <c r="C38" s="411">
        <v>0</v>
      </c>
      <c r="D38" s="411">
        <v>60</v>
      </c>
      <c r="E38" s="466">
        <f t="shared" si="0"/>
        <v>60</v>
      </c>
      <c r="F38" s="411">
        <v>0</v>
      </c>
      <c r="G38" s="411">
        <v>100</v>
      </c>
      <c r="H38" s="466">
        <f t="shared" si="1"/>
        <v>100</v>
      </c>
    </row>
    <row r="39" spans="2:19" x14ac:dyDescent="0.35">
      <c r="B39" s="144">
        <v>10</v>
      </c>
      <c r="C39" s="411">
        <v>0</v>
      </c>
      <c r="D39" s="411">
        <v>60</v>
      </c>
      <c r="E39" s="466">
        <f t="shared" si="0"/>
        <v>60</v>
      </c>
      <c r="F39" s="411">
        <v>0</v>
      </c>
      <c r="G39" s="411">
        <v>100</v>
      </c>
      <c r="H39" s="466">
        <f t="shared" si="1"/>
        <v>100</v>
      </c>
    </row>
    <row r="40" spans="2:19" x14ac:dyDescent="0.35">
      <c r="B40" s="139"/>
      <c r="D40" s="467" t="s">
        <v>152</v>
      </c>
      <c r="E40" s="468">
        <f>STDEV(E30:E39)</f>
        <v>0</v>
      </c>
      <c r="F40" s="469"/>
      <c r="G40" s="470" t="s">
        <v>152</v>
      </c>
      <c r="H40" s="468">
        <f>STDEV(H30:H39)</f>
        <v>0</v>
      </c>
    </row>
    <row r="41" spans="2:19" x14ac:dyDescent="0.35">
      <c r="C41" s="471"/>
      <c r="D41" s="471"/>
    </row>
    <row r="42" spans="2:19" x14ac:dyDescent="0.35">
      <c r="B42" s="138" t="s">
        <v>153</v>
      </c>
      <c r="C42" s="471"/>
      <c r="D42" s="471"/>
    </row>
    <row r="43" spans="2:19" ht="56" x14ac:dyDescent="0.35">
      <c r="B43" s="461" t="s">
        <v>154</v>
      </c>
      <c r="C43" s="470" t="s">
        <v>67</v>
      </c>
      <c r="D43" s="470" t="s">
        <v>68</v>
      </c>
      <c r="E43" s="461" t="s">
        <v>69</v>
      </c>
      <c r="F43" s="461" t="s">
        <v>70</v>
      </c>
      <c r="G43" s="178" t="s">
        <v>155</v>
      </c>
      <c r="H43" s="178" t="s">
        <v>156</v>
      </c>
      <c r="I43" s="178" t="s">
        <v>157</v>
      </c>
      <c r="J43" s="178" t="s">
        <v>158</v>
      </c>
      <c r="S43" s="178" t="s">
        <v>159</v>
      </c>
    </row>
    <row r="44" spans="2:19" x14ac:dyDescent="0.35">
      <c r="B44" s="150">
        <v>20</v>
      </c>
      <c r="C44" s="411">
        <v>0</v>
      </c>
      <c r="D44" s="411">
        <v>20</v>
      </c>
      <c r="E44" s="411">
        <v>19</v>
      </c>
      <c r="F44" s="411">
        <v>0</v>
      </c>
      <c r="G44" s="472">
        <f t="shared" ref="G44:G48" si="2">IF(D44="-","-",((D44-C44)+(E44-F44))/2)</f>
        <v>19.5</v>
      </c>
      <c r="H44" s="179">
        <f>'Setifikat '!G23</f>
        <v>20.000295999999999</v>
      </c>
      <c r="I44" s="179">
        <f t="shared" ref="I44:I48" si="3">IF(D44="-","-",(H44-G44))</f>
        <v>0.50029599999999874</v>
      </c>
      <c r="J44" s="558">
        <f>MAX(S44:S48)</f>
        <v>0.70112899999999456</v>
      </c>
      <c r="S44" s="179">
        <f t="shared" ref="S44:S48" si="4">IF(D44="-","-",ABS(I44))</f>
        <v>0.50029599999999874</v>
      </c>
    </row>
    <row r="45" spans="2:19" x14ac:dyDescent="0.35">
      <c r="B45" s="150">
        <v>40</v>
      </c>
      <c r="C45" s="411">
        <v>0</v>
      </c>
      <c r="D45" s="411">
        <v>39.5</v>
      </c>
      <c r="E45" s="411">
        <v>39.5</v>
      </c>
      <c r="F45" s="411">
        <v>0</v>
      </c>
      <c r="G45" s="472">
        <f t="shared" si="2"/>
        <v>39.5</v>
      </c>
      <c r="H45" s="179">
        <f>'Setifikat '!G29</f>
        <v>40.000526999999998</v>
      </c>
      <c r="I45" s="179">
        <f t="shared" si="3"/>
        <v>0.50052699999999817</v>
      </c>
      <c r="J45" s="558"/>
      <c r="S45" s="179">
        <f t="shared" si="4"/>
        <v>0.50052699999999817</v>
      </c>
    </row>
    <row r="46" spans="2:19" x14ac:dyDescent="0.35">
      <c r="B46" s="150">
        <v>60</v>
      </c>
      <c r="C46" s="411">
        <v>0</v>
      </c>
      <c r="D46" s="411">
        <v>60</v>
      </c>
      <c r="E46" s="411">
        <v>60</v>
      </c>
      <c r="F46" s="411">
        <v>0</v>
      </c>
      <c r="G46" s="472">
        <f t="shared" si="2"/>
        <v>60</v>
      </c>
      <c r="H46" s="179">
        <f>'Setifikat '!G36</f>
        <v>60.000872999999999</v>
      </c>
      <c r="I46" s="179">
        <f t="shared" si="3"/>
        <v>8.7299999999856936E-4</v>
      </c>
      <c r="J46" s="558"/>
      <c r="S46" s="179">
        <f t="shared" si="4"/>
        <v>8.7299999999856936E-4</v>
      </c>
    </row>
    <row r="47" spans="2:19" x14ac:dyDescent="0.35">
      <c r="B47" s="150">
        <v>80</v>
      </c>
      <c r="C47" s="411">
        <v>0</v>
      </c>
      <c r="D47" s="411">
        <v>79.599999999999994</v>
      </c>
      <c r="E47" s="411">
        <v>79</v>
      </c>
      <c r="F47" s="411">
        <v>0</v>
      </c>
      <c r="G47" s="472">
        <f t="shared" si="2"/>
        <v>79.3</v>
      </c>
      <c r="H47" s="473">
        <f>'Setifikat '!G44</f>
        <v>80.001128999999992</v>
      </c>
      <c r="I47" s="179">
        <f t="shared" si="3"/>
        <v>0.70112899999999456</v>
      </c>
      <c r="J47" s="558"/>
      <c r="S47" s="179">
        <f t="shared" si="4"/>
        <v>0.70112899999999456</v>
      </c>
    </row>
    <row r="48" spans="2:19" x14ac:dyDescent="0.35">
      <c r="B48" s="150">
        <v>100</v>
      </c>
      <c r="C48" s="411">
        <v>0</v>
      </c>
      <c r="D48" s="411">
        <v>100</v>
      </c>
      <c r="E48" s="411">
        <v>100</v>
      </c>
      <c r="F48" s="411">
        <v>0</v>
      </c>
      <c r="G48" s="472">
        <f t="shared" si="2"/>
        <v>100</v>
      </c>
      <c r="H48" s="179">
        <f>'Setifikat '!G53</f>
        <v>100.00140999999999</v>
      </c>
      <c r="I48" s="179">
        <f t="shared" si="3"/>
        <v>1.4099999999928059E-3</v>
      </c>
      <c r="J48" s="558"/>
      <c r="S48" s="179">
        <f t="shared" si="4"/>
        <v>1.4099999999928059E-3</v>
      </c>
    </row>
    <row r="49" spans="1:16" x14ac:dyDescent="0.35">
      <c r="J49" s="159"/>
      <c r="O49" s="420"/>
      <c r="P49" s="421"/>
    </row>
    <row r="50" spans="1:16" x14ac:dyDescent="0.35">
      <c r="A50" s="148" t="s">
        <v>76</v>
      </c>
      <c r="B50" s="148" t="s">
        <v>77</v>
      </c>
      <c r="C50" s="135"/>
      <c r="D50" s="135"/>
      <c r="E50" s="135"/>
      <c r="F50" s="135"/>
      <c r="G50" s="135"/>
      <c r="H50" s="135"/>
      <c r="I50" s="135"/>
      <c r="J50" s="135"/>
      <c r="K50" s="135"/>
    </row>
    <row r="51" spans="1:16" x14ac:dyDescent="0.3">
      <c r="A51" s="135"/>
      <c r="B51" s="565" t="s">
        <v>164</v>
      </c>
      <c r="C51" s="565"/>
      <c r="D51" s="565"/>
      <c r="E51" s="565"/>
      <c r="F51" s="565"/>
      <c r="G51" s="565"/>
      <c r="H51" s="135"/>
      <c r="I51" s="135"/>
      <c r="J51" s="135"/>
      <c r="K51" s="135"/>
    </row>
    <row r="52" spans="1:16" x14ac:dyDescent="0.35">
      <c r="A52" s="135"/>
      <c r="B52" s="555" t="s">
        <v>532</v>
      </c>
      <c r="C52" s="555"/>
      <c r="D52" s="555"/>
      <c r="E52" s="555"/>
      <c r="F52" s="555"/>
      <c r="G52" s="555"/>
      <c r="H52" s="135"/>
      <c r="I52" s="135"/>
      <c r="J52" s="135"/>
      <c r="K52" s="135"/>
    </row>
    <row r="53" spans="1:16" x14ac:dyDescent="0.35">
      <c r="A53" s="135"/>
      <c r="B53" s="555" t="s">
        <v>161</v>
      </c>
      <c r="C53" s="555"/>
      <c r="D53" s="555"/>
      <c r="E53" s="555"/>
      <c r="F53" s="555"/>
      <c r="G53" s="555"/>
      <c r="H53" s="135"/>
      <c r="I53" s="135"/>
      <c r="J53" s="135"/>
      <c r="K53" s="135"/>
    </row>
    <row r="54" spans="1:16" x14ac:dyDescent="0.35">
      <c r="A54" s="135"/>
      <c r="B54" s="555" t="s">
        <v>160</v>
      </c>
      <c r="C54" s="555"/>
      <c r="D54" s="555"/>
      <c r="E54" s="555"/>
      <c r="F54" s="555"/>
      <c r="G54" s="555"/>
      <c r="H54" s="135"/>
      <c r="I54" s="135"/>
      <c r="J54" s="135"/>
      <c r="K54" s="135"/>
    </row>
    <row r="55" spans="1:16" x14ac:dyDescent="0.35">
      <c r="A55" s="135"/>
      <c r="B55" s="555" t="s">
        <v>531</v>
      </c>
      <c r="C55" s="555"/>
      <c r="D55" s="555"/>
      <c r="E55" s="555"/>
      <c r="F55" s="555"/>
      <c r="G55" s="555"/>
      <c r="H55" s="135"/>
      <c r="I55" s="135"/>
      <c r="J55" s="135"/>
      <c r="K55" s="135"/>
    </row>
    <row r="56" spans="1:16" x14ac:dyDescent="0.35">
      <c r="A56" s="135"/>
      <c r="B56" s="555" t="s">
        <v>533</v>
      </c>
      <c r="C56" s="555"/>
      <c r="D56" s="555"/>
      <c r="E56" s="555"/>
      <c r="F56" s="555"/>
      <c r="G56" s="555"/>
      <c r="H56" s="135"/>
      <c r="I56" s="135"/>
      <c r="J56" s="135"/>
      <c r="K56" s="135"/>
    </row>
    <row r="57" spans="1:16" x14ac:dyDescent="0.35">
      <c r="A57" s="135"/>
      <c r="B57" s="555" t="s">
        <v>534</v>
      </c>
      <c r="C57" s="555"/>
      <c r="D57" s="555"/>
      <c r="E57" s="555"/>
      <c r="F57" s="555"/>
      <c r="G57" s="555"/>
      <c r="H57" s="135"/>
      <c r="I57" s="135"/>
      <c r="J57" s="135"/>
      <c r="K57" s="135"/>
    </row>
    <row r="58" spans="1:16" x14ac:dyDescent="0.35">
      <c r="A58" s="423"/>
      <c r="B58" s="559" t="s">
        <v>166</v>
      </c>
      <c r="C58" s="559"/>
      <c r="D58" s="559"/>
      <c r="E58" s="559"/>
      <c r="F58" s="559"/>
      <c r="G58" s="559"/>
      <c r="H58" s="559"/>
      <c r="I58" s="559"/>
      <c r="J58" s="135"/>
      <c r="K58" s="135"/>
    </row>
    <row r="59" spans="1:16" x14ac:dyDescent="0.35">
      <c r="A59" s="135"/>
      <c r="B59" s="135"/>
      <c r="C59" s="135"/>
      <c r="D59" s="135"/>
      <c r="E59" s="135"/>
      <c r="F59" s="135"/>
      <c r="G59" s="135"/>
      <c r="H59" s="135"/>
      <c r="I59" s="135"/>
      <c r="J59" s="135"/>
      <c r="K59" s="135"/>
    </row>
    <row r="60" spans="1:16" x14ac:dyDescent="0.35">
      <c r="A60" s="148" t="s">
        <v>83</v>
      </c>
      <c r="B60" s="148" t="s">
        <v>84</v>
      </c>
      <c r="C60" s="135"/>
      <c r="D60" s="135"/>
      <c r="E60" s="135"/>
      <c r="F60" s="135"/>
      <c r="G60" s="135"/>
      <c r="H60" s="135"/>
      <c r="I60" s="135"/>
      <c r="J60" s="135"/>
      <c r="K60" s="135"/>
    </row>
    <row r="61" spans="1:16" x14ac:dyDescent="0.35">
      <c r="A61" s="135"/>
      <c r="B61" s="560" t="str">
        <f>IF(PENYELIA!J66&gt;=70,'Cetik Cetik'!B14,'Cetik Cetik'!B15)</f>
        <v>Alat yang dikalibrasi dalam batas toleransi dan dinyatakan LAIK PAKAI, dimana hasil atau skor akhir sama dengan atau melampaui 70 % berdasarkan Keputusan Direktur Jenderal Pelayanan Kesehatan No : HK.02.02/V/0412/2020</v>
      </c>
      <c r="C61" s="560"/>
      <c r="D61" s="560"/>
      <c r="E61" s="560"/>
      <c r="F61" s="560"/>
      <c r="G61" s="560"/>
      <c r="H61" s="560"/>
      <c r="I61" s="560"/>
      <c r="J61" s="560"/>
      <c r="K61" s="560"/>
    </row>
    <row r="62" spans="1:16" x14ac:dyDescent="0.35">
      <c r="A62" s="135"/>
      <c r="B62" s="560"/>
      <c r="C62" s="560"/>
      <c r="D62" s="560"/>
      <c r="E62" s="560"/>
      <c r="F62" s="560"/>
      <c r="G62" s="560"/>
      <c r="H62" s="560"/>
      <c r="I62" s="560"/>
      <c r="J62" s="560"/>
      <c r="K62" s="560"/>
    </row>
    <row r="63" spans="1:16" x14ac:dyDescent="0.35">
      <c r="A63" s="148" t="s">
        <v>86</v>
      </c>
      <c r="B63" s="148" t="s">
        <v>87</v>
      </c>
      <c r="C63" s="135"/>
      <c r="D63" s="135"/>
      <c r="E63" s="135"/>
      <c r="F63" s="135"/>
      <c r="G63" s="559"/>
      <c r="H63" s="559"/>
      <c r="I63" s="559"/>
      <c r="J63" s="559"/>
      <c r="K63" s="559"/>
      <c r="L63" s="559"/>
      <c r="M63" s="559"/>
      <c r="N63" s="559"/>
    </row>
    <row r="64" spans="1:16" x14ac:dyDescent="0.35">
      <c r="A64" s="135"/>
      <c r="B64" s="177" t="s">
        <v>167</v>
      </c>
      <c r="C64" s="135"/>
      <c r="D64" s="135"/>
      <c r="E64" s="556" t="s">
        <v>89</v>
      </c>
      <c r="F64" s="556"/>
      <c r="G64" s="536">
        <f ca="1">TODAY()</f>
        <v>45183</v>
      </c>
      <c r="H64" s="536"/>
      <c r="I64" s="135"/>
      <c r="J64" s="135"/>
      <c r="K64" s="135"/>
    </row>
    <row r="65" ht="27" customHeight="1" x14ac:dyDescent="0.35"/>
    <row r="66" hidden="1" x14ac:dyDescent="0.35"/>
  </sheetData>
  <sheetProtection formatCells="0" formatColumns="0" formatRows="0" insertColumns="0" insertRows="0" deleteColumns="0" deleteRows="0"/>
  <mergeCells count="16">
    <mergeCell ref="G63:N63"/>
    <mergeCell ref="B53:G53"/>
    <mergeCell ref="E64:F64"/>
    <mergeCell ref="A1:K1"/>
    <mergeCell ref="J44:J48"/>
    <mergeCell ref="B58:I58"/>
    <mergeCell ref="B61:K62"/>
    <mergeCell ref="B54:G54"/>
    <mergeCell ref="B55:G55"/>
    <mergeCell ref="B56:G56"/>
    <mergeCell ref="B57:G57"/>
    <mergeCell ref="D2:F2"/>
    <mergeCell ref="C28:E28"/>
    <mergeCell ref="B51:G51"/>
    <mergeCell ref="B52:G52"/>
    <mergeCell ref="F28:H28"/>
  </mergeCells>
  <dataValidations count="3">
    <dataValidation type="list" allowBlank="1" showInputMessage="1" showErrorMessage="1" sqref="F7:F8" xr:uid="{00000000-0002-0000-0300-000000000000}">
      <formula1>$L$23:$L$24</formula1>
    </dataValidation>
    <dataValidation allowBlank="1" showInputMessage="1" sqref="B2:D2 I2" xr:uid="{00000000-0002-0000-0300-000001000000}"/>
    <dataValidation type="list" allowBlank="1" showInputMessage="1" showErrorMessage="1" sqref="D21:D22" xr:uid="{2DED6974-5D6D-4EAC-9EA7-19CC605DA4CB}">
      <formula1>$N$13:$N$14</formula1>
    </dataValidation>
  </dataValidations>
  <printOptions horizontalCentered="1"/>
  <pageMargins left="0.5" right="0.25" top="0.5" bottom="0.25" header="0.25" footer="0.25"/>
  <pageSetup paperSize="9" scale="70" orientation="portrait" horizontalDpi="4294967293" r:id="rId1"/>
  <headerFooter>
    <oddHeader>&amp;R&amp;8GM.ID - 141-2019 / REV : 0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4000000}">
          <x14:formula1>
            <xm:f>'DB Thermohygro'!$A$393:$A$412</xm:f>
          </x14:formula1>
          <xm:sqref>B58:I58</xm:sqref>
        </x14:dataValidation>
        <x14:dataValidation type="list" allowBlank="1" showInputMessage="1" showErrorMessage="1" xr:uid="{00000000-0002-0000-0300-000005000000}">
          <x14:formula1>
            <xm:f>'Setifikat '!$B$4:$B$17</xm:f>
          </x14:formula1>
          <xm:sqref>B51:B57</xm:sqref>
        </x14:dataValidation>
        <x14:dataValidation type="list" allowBlank="1" showInputMessage="1" xr:uid="{00000000-0002-0000-0300-000006000000}">
          <x14:formula1>
            <xm:f>'Cetik Cetik'!$B$43:$B$65</xm:f>
          </x14:formula1>
          <xm:sqref>B64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77"/>
  <sheetViews>
    <sheetView showGridLines="0" view="pageBreakPreview" topLeftCell="A55" zoomScale="92" zoomScaleNormal="100" zoomScaleSheetLayoutView="100" workbookViewId="0">
      <selection activeCell="B61" sqref="B61"/>
    </sheetView>
  </sheetViews>
  <sheetFormatPr defaultColWidth="9.1796875" defaultRowHeight="14" x14ac:dyDescent="0.35"/>
  <cols>
    <col min="1" max="1" width="4" style="135" customWidth="1"/>
    <col min="2" max="2" width="25.7265625" style="135" customWidth="1"/>
    <col min="3" max="3" width="1" style="135" customWidth="1"/>
    <col min="4" max="4" width="8.1796875" style="135" customWidth="1"/>
    <col min="5" max="5" width="5.7265625" style="135" customWidth="1"/>
    <col min="6" max="6" width="7.54296875" style="135" customWidth="1"/>
    <col min="7" max="7" width="6.1796875" style="135" customWidth="1"/>
    <col min="8" max="8" width="12.26953125" style="135" customWidth="1"/>
    <col min="9" max="9" width="11.54296875" style="135" customWidth="1"/>
    <col min="10" max="10" width="9.1796875" style="135"/>
    <col min="11" max="11" width="10.453125" style="135" customWidth="1"/>
    <col min="12" max="12" width="9.1796875" style="135" customWidth="1"/>
    <col min="13" max="13" width="3.26953125" style="135" customWidth="1"/>
    <col min="14" max="16384" width="9.1796875" style="135"/>
  </cols>
  <sheetData>
    <row r="1" spans="1:14" ht="15.75" customHeight="1" x14ac:dyDescent="0.35">
      <c r="A1" s="557" t="str">
        <f>PENYELIA!A1</f>
        <v>HASIL KALIBRASI TIMBANGAN DEWASA</v>
      </c>
      <c r="B1" s="557"/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134"/>
    </row>
    <row r="2" spans="1:14" ht="16.5" x14ac:dyDescent="0.35">
      <c r="A2" s="572" t="str">
        <f>PENYELIA!A2</f>
        <v>Nomor Sertifikat : 78 / 3 / I - 17 / E - 015.36 DL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136"/>
    </row>
    <row r="3" spans="1:14" ht="11.5" customHeight="1" x14ac:dyDescent="0.35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</row>
    <row r="4" spans="1:14" x14ac:dyDescent="0.35">
      <c r="A4" s="137" t="s">
        <v>32</v>
      </c>
      <c r="B4" s="137"/>
      <c r="C4" s="139" t="s">
        <v>33</v>
      </c>
      <c r="D4" s="137" t="str">
        <f>PENYELIA!D4</f>
        <v>-</v>
      </c>
      <c r="E4" s="137"/>
      <c r="F4" s="137"/>
      <c r="G4" s="137"/>
      <c r="H4" s="137"/>
      <c r="I4" s="137"/>
      <c r="J4" s="137"/>
      <c r="K4" s="137"/>
      <c r="L4" s="137"/>
      <c r="M4" s="137"/>
    </row>
    <row r="5" spans="1:14" x14ac:dyDescent="0.35">
      <c r="A5" s="137" t="s">
        <v>34</v>
      </c>
      <c r="B5" s="137"/>
      <c r="C5" s="139" t="s">
        <v>33</v>
      </c>
      <c r="D5" s="137" t="str">
        <f>PENYELIA!D5</f>
        <v>-</v>
      </c>
      <c r="E5" s="137"/>
      <c r="F5" s="137"/>
      <c r="G5" s="137"/>
      <c r="H5" s="137"/>
      <c r="I5" s="137"/>
      <c r="J5" s="137"/>
      <c r="K5" s="137"/>
      <c r="L5" s="137"/>
      <c r="M5" s="137"/>
    </row>
    <row r="6" spans="1:14" x14ac:dyDescent="0.35">
      <c r="A6" s="137" t="s">
        <v>35</v>
      </c>
      <c r="B6" s="137"/>
      <c r="C6" s="139" t="s">
        <v>33</v>
      </c>
      <c r="D6" s="137" t="str">
        <f>PENYELIA!D6</f>
        <v>-</v>
      </c>
      <c r="E6" s="137"/>
      <c r="F6" s="137"/>
      <c r="G6" s="137"/>
      <c r="H6" s="137"/>
      <c r="I6" s="137"/>
      <c r="J6" s="137"/>
      <c r="K6" s="137"/>
      <c r="L6" s="137"/>
      <c r="M6" s="137"/>
    </row>
    <row r="7" spans="1:14" x14ac:dyDescent="0.35">
      <c r="A7" s="137" t="str">
        <f>PENYELIA!A7</f>
        <v>Resolusi</v>
      </c>
      <c r="B7" s="137"/>
      <c r="C7" s="139" t="s">
        <v>33</v>
      </c>
      <c r="D7" s="543">
        <f>PENYELIA!D7</f>
        <v>0.1</v>
      </c>
      <c r="E7" s="137" t="s">
        <v>37</v>
      </c>
      <c r="F7" s="137"/>
      <c r="G7" s="137"/>
      <c r="H7" s="137"/>
      <c r="I7" s="137"/>
      <c r="J7" s="137"/>
      <c r="K7" s="137"/>
      <c r="L7" s="137"/>
      <c r="M7" s="137"/>
    </row>
    <row r="8" spans="1:14" x14ac:dyDescent="0.35">
      <c r="A8" s="137" t="str">
        <f>PENYELIA!A8</f>
        <v>Tanggal Penerimaan Alat</v>
      </c>
      <c r="B8" s="137"/>
      <c r="C8" s="139" t="str">
        <f>PENYELIA!C8</f>
        <v>:</v>
      </c>
      <c r="D8" s="582">
        <f>PENYELIA!D8</f>
        <v>44741</v>
      </c>
      <c r="E8" s="582"/>
      <c r="F8" s="137"/>
      <c r="G8" s="137"/>
      <c r="H8" s="137"/>
      <c r="I8" s="137"/>
      <c r="J8" s="137"/>
      <c r="K8" s="137"/>
      <c r="L8" s="137"/>
      <c r="M8" s="137"/>
    </row>
    <row r="9" spans="1:14" x14ac:dyDescent="0.35">
      <c r="A9" s="137" t="s">
        <v>39</v>
      </c>
      <c r="B9" s="137"/>
      <c r="C9" s="139" t="s">
        <v>33</v>
      </c>
      <c r="D9" s="582">
        <f>PENYELIA!D9</f>
        <v>44742</v>
      </c>
      <c r="E9" s="582"/>
      <c r="F9" s="137"/>
      <c r="G9" s="137"/>
      <c r="H9" s="137"/>
      <c r="I9" s="137"/>
      <c r="J9" s="137"/>
      <c r="K9" s="137"/>
      <c r="L9" s="137"/>
      <c r="M9" s="137"/>
    </row>
    <row r="10" spans="1:14" x14ac:dyDescent="0.35">
      <c r="A10" s="137" t="str">
        <f>ID!A10</f>
        <v>Tempat Kalibrasi</v>
      </c>
      <c r="B10" s="137"/>
      <c r="C10" s="139" t="s">
        <v>33</v>
      </c>
      <c r="D10" s="137" t="str">
        <f>PENYELIA!D10</f>
        <v>laboratorium kalibrasi lpfk banjarbaru</v>
      </c>
      <c r="E10" s="137"/>
      <c r="F10" s="137"/>
      <c r="G10" s="137"/>
      <c r="H10" s="137"/>
      <c r="I10" s="137"/>
      <c r="J10" s="137"/>
      <c r="K10" s="137"/>
      <c r="L10" s="137"/>
      <c r="M10" s="137"/>
    </row>
    <row r="11" spans="1:14" x14ac:dyDescent="0.35">
      <c r="A11" s="137" t="str">
        <f>ID!A11</f>
        <v>Nama Ruang</v>
      </c>
      <c r="B11" s="137"/>
      <c r="C11" s="139" t="s">
        <v>33</v>
      </c>
      <c r="D11" s="137" t="str">
        <f>PENYELIA!D11</f>
        <v>laboratorium kalibrasi lpfk banjarbaru</v>
      </c>
      <c r="E11" s="137"/>
      <c r="F11" s="137"/>
      <c r="G11" s="137"/>
      <c r="H11" s="137"/>
      <c r="I11" s="137"/>
      <c r="J11" s="137"/>
      <c r="K11" s="137"/>
      <c r="L11" s="137"/>
      <c r="M11" s="137"/>
    </row>
    <row r="12" spans="1:14" x14ac:dyDescent="0.35">
      <c r="A12" s="137" t="s">
        <v>42</v>
      </c>
      <c r="B12" s="137"/>
      <c r="C12" s="139" t="s">
        <v>33</v>
      </c>
      <c r="D12" s="137" t="str">
        <f>PENYELIA!D12</f>
        <v>MK 141-19</v>
      </c>
      <c r="E12" s="137"/>
      <c r="F12" s="137"/>
      <c r="G12" s="137"/>
      <c r="H12" s="137"/>
      <c r="I12" s="137"/>
      <c r="J12" s="137"/>
      <c r="K12" s="137"/>
      <c r="L12" s="137"/>
      <c r="M12" s="137"/>
    </row>
    <row r="13" spans="1:14" ht="4" customHeight="1" x14ac:dyDescent="0.3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</row>
    <row r="14" spans="1:14" x14ac:dyDescent="0.35">
      <c r="A14" s="145" t="s">
        <v>43</v>
      </c>
      <c r="B14" s="138" t="str">
        <f>PENYELIA!B14</f>
        <v>Kondisi Ruang</v>
      </c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</row>
    <row r="15" spans="1:14" x14ac:dyDescent="0.35">
      <c r="A15" s="137"/>
      <c r="B15" s="137" t="s">
        <v>45</v>
      </c>
      <c r="C15" s="139" t="s">
        <v>33</v>
      </c>
      <c r="D15" s="157" t="str">
        <f>PENYELIA!D15</f>
        <v xml:space="preserve">( </v>
      </c>
      <c r="E15" s="157" t="str">
        <f>PENYELIA!E15</f>
        <v>22.9</v>
      </c>
      <c r="F15" s="142" t="str">
        <f>PENYELIA!F15</f>
        <v xml:space="preserve"> ± </v>
      </c>
      <c r="G15" s="137" t="str">
        <f>PENYELIA!G15</f>
        <v>0.1</v>
      </c>
      <c r="H15" s="534" t="str">
        <f>PENYELIA!H15</f>
        <v xml:space="preserve"> )</v>
      </c>
      <c r="I15" s="137" t="str">
        <f>PENYELIA!I15</f>
        <v xml:space="preserve"> °C</v>
      </c>
      <c r="J15" s="137"/>
      <c r="K15" s="137"/>
      <c r="L15" s="137"/>
      <c r="M15" s="137"/>
    </row>
    <row r="16" spans="1:14" x14ac:dyDescent="0.35">
      <c r="A16" s="137"/>
      <c r="B16" s="137" t="str">
        <f>PENYELIA!B16</f>
        <v xml:space="preserve">2. Kelembaban </v>
      </c>
      <c r="C16" s="139" t="s">
        <v>33</v>
      </c>
      <c r="D16" s="157" t="str">
        <f>PENYELIA!D16</f>
        <v xml:space="preserve">( </v>
      </c>
      <c r="E16" s="157" t="str">
        <f>PENYELIA!E16</f>
        <v>61.7</v>
      </c>
      <c r="F16" s="157" t="str">
        <f>PENYELIA!F16</f>
        <v xml:space="preserve"> ± </v>
      </c>
      <c r="G16" s="137" t="str">
        <f>PENYELIA!G16</f>
        <v>1.5</v>
      </c>
      <c r="H16" s="534" t="str">
        <f>PENYELIA!H16</f>
        <v xml:space="preserve"> )</v>
      </c>
      <c r="I16" s="137" t="str">
        <f>PENYELIA!I16</f>
        <v xml:space="preserve"> %RH</v>
      </c>
      <c r="J16" s="137"/>
      <c r="K16" s="137"/>
      <c r="L16" s="137"/>
      <c r="M16" s="137"/>
    </row>
    <row r="17" spans="1:13" ht="5.5" customHeight="1" x14ac:dyDescent="0.35">
      <c r="A17" s="137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</row>
    <row r="18" spans="1:13" x14ac:dyDescent="0.35">
      <c r="A18" s="138" t="s">
        <v>49</v>
      </c>
      <c r="B18" s="138" t="str">
        <f>PENYELIA!B18</f>
        <v>Pemeriksaan Kondisi Fisik dan Fungsi alat</v>
      </c>
      <c r="C18" s="138"/>
      <c r="D18" s="138"/>
      <c r="E18" s="138"/>
      <c r="F18" s="138"/>
      <c r="G18" s="137"/>
      <c r="H18" s="137"/>
      <c r="I18" s="137"/>
      <c r="J18" s="137"/>
      <c r="K18" s="137"/>
      <c r="L18" s="137"/>
      <c r="M18" s="137"/>
    </row>
    <row r="19" spans="1:13" x14ac:dyDescent="0.35">
      <c r="A19" s="137"/>
      <c r="B19" s="137" t="s">
        <v>51</v>
      </c>
      <c r="C19" s="139" t="s">
        <v>33</v>
      </c>
      <c r="D19" s="137" t="str">
        <f>PENYELIA!D19</f>
        <v>Baik</v>
      </c>
      <c r="E19" s="137"/>
      <c r="F19" s="137"/>
      <c r="G19" s="137"/>
      <c r="H19" s="137"/>
      <c r="I19" s="137"/>
      <c r="J19" s="137"/>
      <c r="K19" s="137"/>
      <c r="L19" s="137"/>
      <c r="M19" s="137"/>
    </row>
    <row r="20" spans="1:13" x14ac:dyDescent="0.35">
      <c r="A20" s="137"/>
      <c r="B20" s="137" t="s">
        <v>52</v>
      </c>
      <c r="C20" s="139" t="s">
        <v>33</v>
      </c>
      <c r="D20" s="137" t="str">
        <f>PENYELIA!D20</f>
        <v>Baik</v>
      </c>
      <c r="E20" s="137"/>
      <c r="F20" s="137"/>
      <c r="G20" s="137"/>
      <c r="H20" s="137"/>
      <c r="I20" s="137"/>
      <c r="J20" s="137"/>
      <c r="K20" s="137"/>
      <c r="L20" s="137"/>
      <c r="M20" s="137"/>
    </row>
    <row r="21" spans="1:13" ht="5.15" customHeight="1" x14ac:dyDescent="0.35">
      <c r="A21" s="137"/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</row>
    <row r="22" spans="1:13" x14ac:dyDescent="0.35">
      <c r="A22" s="138" t="s">
        <v>53</v>
      </c>
      <c r="B22" s="138" t="str">
        <f>PENYELIA!B22</f>
        <v>Pengukuran Kinerja</v>
      </c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</row>
    <row r="23" spans="1:13" ht="4.5" customHeight="1" x14ac:dyDescent="0.35">
      <c r="A23" s="138"/>
      <c r="B23" s="138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</row>
    <row r="24" spans="1:13" x14ac:dyDescent="0.35">
      <c r="A24" s="137"/>
      <c r="B24" s="138" t="s">
        <v>145</v>
      </c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</row>
    <row r="25" spans="1:13" ht="29.25" customHeight="1" x14ac:dyDescent="0.35">
      <c r="A25" s="137"/>
      <c r="B25" s="144" t="s">
        <v>202</v>
      </c>
      <c r="C25" s="575" t="s">
        <v>203</v>
      </c>
      <c r="D25" s="576"/>
      <c r="E25" s="576"/>
      <c r="F25" s="577"/>
      <c r="G25" s="575" t="str">
        <f>PENYELIA!G25</f>
        <v>Simpangan Baku (kg)</v>
      </c>
      <c r="H25" s="577"/>
      <c r="I25" s="566" t="s">
        <v>606</v>
      </c>
      <c r="J25" s="567"/>
      <c r="K25" s="566" t="s">
        <v>604</v>
      </c>
      <c r="L25" s="567"/>
      <c r="M25" s="137"/>
    </row>
    <row r="26" spans="1:13" ht="14.5" customHeight="1" x14ac:dyDescent="0.35">
      <c r="A26" s="137"/>
      <c r="B26" s="180">
        <f>PENYELIA!B26</f>
        <v>60</v>
      </c>
      <c r="C26" s="573">
        <f>PENYELIA!C26</f>
        <v>60</v>
      </c>
      <c r="D26" s="578"/>
      <c r="E26" s="578"/>
      <c r="F26" s="574"/>
      <c r="G26" s="573">
        <f>PENYELIA!G26</f>
        <v>0</v>
      </c>
      <c r="H26" s="574"/>
      <c r="I26" s="568">
        <f>PENYELIA!I26</f>
        <v>0.30000000000000004</v>
      </c>
      <c r="J26" s="579"/>
      <c r="K26" s="539" t="str">
        <f>PENYELIA!J26</f>
        <v xml:space="preserve"> ± </v>
      </c>
      <c r="L26" s="541">
        <f>PENYELIA!K26</f>
        <v>8.1999721151438804E-2</v>
      </c>
      <c r="M26" s="137"/>
    </row>
    <row r="27" spans="1:13" ht="15.75" customHeight="1" x14ac:dyDescent="0.35">
      <c r="A27" s="137"/>
      <c r="B27" s="180">
        <f>PENYELIA!B27</f>
        <v>100</v>
      </c>
      <c r="C27" s="573">
        <f>PENYELIA!C27</f>
        <v>100</v>
      </c>
      <c r="D27" s="578"/>
      <c r="E27" s="578"/>
      <c r="F27" s="574"/>
      <c r="G27" s="573">
        <f>PENYELIA!G27</f>
        <v>0</v>
      </c>
      <c r="H27" s="574"/>
      <c r="I27" s="580"/>
      <c r="J27" s="581"/>
      <c r="K27" s="539" t="str">
        <f>PENYELIA!J27</f>
        <v xml:space="preserve"> ± </v>
      </c>
      <c r="L27" s="541">
        <f>PENYELIA!K27</f>
        <v>8.0127757829521834E-2</v>
      </c>
      <c r="M27" s="137"/>
    </row>
    <row r="28" spans="1:13" ht="4.5" customHeight="1" x14ac:dyDescent="0.35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</row>
    <row r="29" spans="1:13" x14ac:dyDescent="0.35">
      <c r="A29" s="137"/>
      <c r="B29" s="138" t="s">
        <v>153</v>
      </c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</row>
    <row r="30" spans="1:13" ht="30.75" customHeight="1" x14ac:dyDescent="0.35">
      <c r="A30" s="137"/>
      <c r="B30" s="144" t="s">
        <v>202</v>
      </c>
      <c r="C30" s="575" t="s">
        <v>203</v>
      </c>
      <c r="D30" s="576"/>
      <c r="E30" s="576"/>
      <c r="F30" s="577"/>
      <c r="G30" s="575" t="s">
        <v>205</v>
      </c>
      <c r="H30" s="577"/>
      <c r="I30" s="566" t="s">
        <v>607</v>
      </c>
      <c r="J30" s="567"/>
      <c r="K30" s="566" t="s">
        <v>604</v>
      </c>
      <c r="L30" s="567"/>
      <c r="M30" s="137"/>
    </row>
    <row r="31" spans="1:13" ht="15.75" customHeight="1" x14ac:dyDescent="0.35">
      <c r="A31" s="137"/>
      <c r="B31" s="180">
        <f>PENYELIA!B31</f>
        <v>20</v>
      </c>
      <c r="C31" s="558">
        <f>PENYELIA!C31</f>
        <v>19.5</v>
      </c>
      <c r="D31" s="558"/>
      <c r="E31" s="558"/>
      <c r="F31" s="558"/>
      <c r="G31" s="558">
        <f>PENYELIA!G31</f>
        <v>0.50029599999999874</v>
      </c>
      <c r="H31" s="558"/>
      <c r="I31" s="568">
        <f>PENYELIA!I31</f>
        <v>1</v>
      </c>
      <c r="J31" s="569"/>
      <c r="K31" s="539" t="str">
        <f>K27</f>
        <v xml:space="preserve"> ± </v>
      </c>
      <c r="L31" s="540">
        <f>PENYELIA!K31</f>
        <v>8.1999721151438804E-2</v>
      </c>
      <c r="M31" s="137"/>
    </row>
    <row r="32" spans="1:13" ht="15.75" customHeight="1" x14ac:dyDescent="0.35">
      <c r="A32" s="137"/>
      <c r="B32" s="180">
        <f>PENYELIA!B32</f>
        <v>40</v>
      </c>
      <c r="C32" s="558">
        <f>PENYELIA!C32</f>
        <v>39.5</v>
      </c>
      <c r="D32" s="558"/>
      <c r="E32" s="558"/>
      <c r="F32" s="558"/>
      <c r="G32" s="558">
        <f>PENYELIA!G32</f>
        <v>0.50052699999999817</v>
      </c>
      <c r="H32" s="558"/>
      <c r="I32" s="570"/>
      <c r="J32" s="571"/>
      <c r="K32" s="539" t="str">
        <f>K31</f>
        <v xml:space="preserve"> ± </v>
      </c>
      <c r="L32" s="540">
        <f>PENYELIA!K32</f>
        <v>8.0114653761718016E-2</v>
      </c>
      <c r="M32" s="137"/>
    </row>
    <row r="33" spans="1:13" ht="15.75" customHeight="1" x14ac:dyDescent="0.35">
      <c r="A33" s="137"/>
      <c r="B33" s="180">
        <f>PENYELIA!B33</f>
        <v>60</v>
      </c>
      <c r="C33" s="558">
        <f>PENYELIA!C33</f>
        <v>60</v>
      </c>
      <c r="D33" s="558"/>
      <c r="E33" s="558"/>
      <c r="F33" s="558"/>
      <c r="G33" s="558">
        <f>PENYELIA!G33</f>
        <v>8.7299999999856936E-4</v>
      </c>
      <c r="H33" s="558"/>
      <c r="I33" s="570"/>
      <c r="J33" s="571"/>
      <c r="K33" s="539" t="str">
        <f>K32</f>
        <v xml:space="preserve"> ± </v>
      </c>
      <c r="L33" s="540">
        <f>PENYELIA!K33</f>
        <v>8.0117773972265605E-2</v>
      </c>
      <c r="M33" s="137"/>
    </row>
    <row r="34" spans="1:13" ht="15.75" customHeight="1" x14ac:dyDescent="0.35">
      <c r="A34" s="137"/>
      <c r="B34" s="180">
        <f>PENYELIA!B34</f>
        <v>80</v>
      </c>
      <c r="C34" s="558">
        <f>PENYELIA!C34</f>
        <v>79.3</v>
      </c>
      <c r="D34" s="558"/>
      <c r="E34" s="558"/>
      <c r="F34" s="558"/>
      <c r="G34" s="558">
        <f>PENYELIA!G34</f>
        <v>0.70112899999999456</v>
      </c>
      <c r="H34" s="558"/>
      <c r="I34" s="570"/>
      <c r="J34" s="571"/>
      <c r="K34" s="539" t="str">
        <f>K33</f>
        <v xml:space="preserve"> ± </v>
      </c>
      <c r="L34" s="540">
        <f>PENYELIA!K34</f>
        <v>9.8125106567392317E-2</v>
      </c>
      <c r="M34" s="137"/>
    </row>
    <row r="35" spans="1:13" x14ac:dyDescent="0.35">
      <c r="A35" s="137"/>
      <c r="B35" s="180">
        <f>PENYELIA!B35</f>
        <v>100</v>
      </c>
      <c r="C35" s="558">
        <f>PENYELIA!C35</f>
        <v>100</v>
      </c>
      <c r="D35" s="558"/>
      <c r="E35" s="558"/>
      <c r="F35" s="558"/>
      <c r="G35" s="558">
        <f>PENYELIA!G35</f>
        <v>1.4099999999928059E-3</v>
      </c>
      <c r="H35" s="558"/>
      <c r="I35" s="570"/>
      <c r="J35" s="571"/>
      <c r="K35" s="539" t="str">
        <f>K34</f>
        <v xml:space="preserve"> ± </v>
      </c>
      <c r="L35" s="540">
        <f>PENYELIA!K35</f>
        <v>8.0127757829521834E-2</v>
      </c>
      <c r="M35" s="137"/>
    </row>
    <row r="36" spans="1:13" ht="4" customHeight="1" x14ac:dyDescent="0.35">
      <c r="A36" s="137"/>
      <c r="B36" s="158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37"/>
    </row>
    <row r="37" spans="1:13" ht="15" customHeight="1" x14ac:dyDescent="0.35">
      <c r="A37" s="137"/>
      <c r="B37" s="145" t="s">
        <v>218</v>
      </c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</row>
    <row r="38" spans="1:13" ht="15.75" customHeight="1" x14ac:dyDescent="0.35">
      <c r="A38" s="137"/>
      <c r="B38" s="586" t="s">
        <v>158</v>
      </c>
      <c r="C38" s="588" t="s">
        <v>610</v>
      </c>
      <c r="D38" s="589"/>
      <c r="E38" s="589"/>
      <c r="F38" s="590"/>
      <c r="G38" s="594" t="s">
        <v>209</v>
      </c>
      <c r="H38" s="594"/>
      <c r="I38" s="583" t="s">
        <v>210</v>
      </c>
      <c r="J38" s="583"/>
      <c r="K38" s="137"/>
      <c r="L38" s="137"/>
      <c r="M38" s="137"/>
    </row>
    <row r="39" spans="1:13" ht="15.75" customHeight="1" x14ac:dyDescent="0.35">
      <c r="A39" s="137"/>
      <c r="B39" s="587"/>
      <c r="C39" s="591"/>
      <c r="D39" s="592"/>
      <c r="E39" s="592"/>
      <c r="F39" s="593"/>
      <c r="G39" s="594"/>
      <c r="H39" s="594"/>
      <c r="I39" s="583"/>
      <c r="J39" s="583"/>
      <c r="K39" s="137"/>
      <c r="L39" s="137"/>
      <c r="M39" s="137"/>
    </row>
    <row r="40" spans="1:13" ht="15.75" customHeight="1" x14ac:dyDescent="0.35">
      <c r="A40" s="137"/>
      <c r="B40" s="466">
        <f>PENYELIA!B43</f>
        <v>0.70112899999999456</v>
      </c>
      <c r="C40" s="558">
        <f>PENYELIA!C43</f>
        <v>9.8125106567392317E-2</v>
      </c>
      <c r="D40" s="558"/>
      <c r="E40" s="558"/>
      <c r="F40" s="558"/>
      <c r="G40" s="558">
        <f>PENYELIA!G43</f>
        <v>0.79925410656738682</v>
      </c>
      <c r="H40" s="558"/>
      <c r="I40" s="583">
        <f>PENYELIA!I43</f>
        <v>0.70112899999999456</v>
      </c>
      <c r="J40" s="583"/>
      <c r="K40" s="137"/>
      <c r="L40" s="137"/>
      <c r="M40" s="137"/>
    </row>
    <row r="41" spans="1:13" ht="5.5" customHeight="1" x14ac:dyDescent="0.35">
      <c r="A41" s="137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</row>
    <row r="42" spans="1:13" ht="15.75" customHeight="1" x14ac:dyDescent="0.35">
      <c r="A42" s="138" t="s">
        <v>73</v>
      </c>
      <c r="B42" s="138" t="s">
        <v>74</v>
      </c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</row>
    <row r="43" spans="1:13" ht="15.75" customHeight="1" x14ac:dyDescent="0.35">
      <c r="A43" s="137"/>
      <c r="B43" s="137" t="str">
        <f>PENYELIA!B46</f>
        <v>Ketidakpastian pengukuran pada tingkat kepercayaan 95% dengan faktor cakupan k = 2</v>
      </c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</row>
    <row r="44" spans="1:13" ht="15.75" customHeight="1" x14ac:dyDescent="0.35">
      <c r="A44" s="137"/>
      <c r="B44" s="137" t="str">
        <f>PENYELIA!B47</f>
        <v>Hasil pengukuran timbangan dewasa tertelusur ke SARTORIUS - Deutschland</v>
      </c>
      <c r="C44" s="160"/>
      <c r="D44" s="160"/>
      <c r="E44" s="160"/>
      <c r="F44" s="137"/>
      <c r="G44" s="137"/>
      <c r="H44" s="137"/>
      <c r="I44" s="137"/>
      <c r="J44" s="137"/>
      <c r="K44" s="137"/>
      <c r="L44" s="137"/>
      <c r="M44" s="137"/>
    </row>
    <row r="45" spans="1:13" hidden="1" x14ac:dyDescent="0.35">
      <c r="B45" s="137">
        <f>PENYELIA!B48</f>
        <v>0</v>
      </c>
      <c r="C45" s="161"/>
      <c r="D45" s="161"/>
      <c r="E45" s="161"/>
    </row>
    <row r="46" spans="1:13" ht="3.75" customHeight="1" x14ac:dyDescent="0.35">
      <c r="C46" s="584"/>
      <c r="D46" s="584"/>
      <c r="E46" s="584"/>
    </row>
    <row r="47" spans="1:13" x14ac:dyDescent="0.35">
      <c r="A47" s="148" t="s">
        <v>76</v>
      </c>
      <c r="B47" s="148" t="s">
        <v>77</v>
      </c>
    </row>
    <row r="48" spans="1:13" x14ac:dyDescent="0.35">
      <c r="A48" s="137"/>
      <c r="B48" s="137" t="str">
        <f>PENYELIA!B51</f>
        <v>Anak Timbangan Standar, Merk: Sartorius, Type : YCW7254-AC-00 (BIQ)</v>
      </c>
      <c r="C48" s="137"/>
      <c r="D48" s="137"/>
      <c r="E48" s="137"/>
      <c r="F48" s="137"/>
      <c r="G48" s="137"/>
      <c r="H48" s="137"/>
      <c r="I48" s="137"/>
      <c r="J48" s="137"/>
      <c r="K48" s="137"/>
      <c r="L48" s="137"/>
    </row>
    <row r="49" spans="1:13" x14ac:dyDescent="0.35">
      <c r="A49" s="137"/>
      <c r="B49" s="137" t="str">
        <f>PENYELIA!B52</f>
        <v>Anak Timbangan Standar, Merk: Sartorius, Type : YCW7254-AC-00 (BIT)</v>
      </c>
      <c r="C49" s="137"/>
      <c r="D49" s="137"/>
      <c r="E49" s="137"/>
      <c r="F49" s="137"/>
      <c r="G49" s="137"/>
      <c r="H49" s="137"/>
      <c r="I49" s="137"/>
      <c r="J49" s="137"/>
      <c r="K49" s="137"/>
      <c r="L49" s="137"/>
    </row>
    <row r="50" spans="1:13" x14ac:dyDescent="0.35">
      <c r="A50" s="137"/>
      <c r="B50" s="137" t="str">
        <f>PENYELIA!B53</f>
        <v>Anak Timbangan Standar, Merk: Sartorius, Type : YCW7254-AC-00 (BIP)</v>
      </c>
      <c r="C50" s="137"/>
      <c r="D50" s="137"/>
      <c r="E50" s="137"/>
      <c r="F50" s="137"/>
      <c r="G50" s="137"/>
      <c r="H50" s="137"/>
      <c r="I50" s="137"/>
      <c r="J50" s="137"/>
      <c r="K50" s="137"/>
      <c r="L50" s="137"/>
    </row>
    <row r="51" spans="1:13" ht="14.5" customHeight="1" x14ac:dyDescent="0.35">
      <c r="A51" s="137"/>
      <c r="B51" s="137" t="str">
        <f>PENYELIA!B54</f>
        <v>Anak Timbangan Standar, Merk: Sartorius, Type : YCW7254-AC-00 (BIR)</v>
      </c>
      <c r="C51" s="137"/>
      <c r="D51" s="137"/>
      <c r="E51" s="137"/>
      <c r="F51" s="137"/>
      <c r="G51" s="137"/>
      <c r="H51" s="137"/>
      <c r="I51" s="137"/>
      <c r="J51" s="137"/>
      <c r="K51" s="137"/>
      <c r="L51" s="137"/>
    </row>
    <row r="52" spans="1:13" ht="14.5" customHeight="1" x14ac:dyDescent="0.35">
      <c r="A52" s="137"/>
      <c r="B52" s="137" t="str">
        <f>PENYELIA!B55</f>
        <v>Anak Timbangan Standar, Merk: Sartorius, Type : YCW7254-AC-00 (BIS)</v>
      </c>
      <c r="C52" s="137"/>
      <c r="D52" s="137"/>
      <c r="E52" s="137"/>
      <c r="F52" s="137"/>
      <c r="G52" s="137"/>
      <c r="H52" s="137"/>
      <c r="I52" s="137"/>
      <c r="J52" s="137"/>
      <c r="K52" s="137"/>
      <c r="L52" s="137"/>
    </row>
    <row r="53" spans="1:13" ht="14.5" customHeight="1" x14ac:dyDescent="0.35">
      <c r="A53" s="137"/>
      <c r="B53" s="137" t="str">
        <f>PENYELIA!B56</f>
        <v>Anak Timbangan Standar, Merk: Sartorius, Type : YCW7254-AC-00 (BIW)</v>
      </c>
      <c r="C53" s="137"/>
      <c r="D53" s="137"/>
      <c r="E53" s="137"/>
      <c r="F53" s="137"/>
      <c r="G53" s="137"/>
      <c r="H53" s="137"/>
      <c r="I53" s="137"/>
      <c r="J53" s="137"/>
      <c r="K53" s="137"/>
      <c r="L53" s="137"/>
    </row>
    <row r="54" spans="1:13" ht="14.5" customHeight="1" x14ac:dyDescent="0.35">
      <c r="A54" s="137"/>
      <c r="B54" s="137" t="str">
        <f>PENYELIA!B57</f>
        <v>Anak Timbangan Standar, Merk: Sartorius, Type : YCW7254-AC-00 (BIX)</v>
      </c>
      <c r="C54" s="137"/>
      <c r="D54" s="137"/>
      <c r="E54" s="137"/>
      <c r="F54" s="137"/>
      <c r="G54" s="137"/>
      <c r="H54" s="137"/>
      <c r="I54" s="137"/>
      <c r="J54" s="137"/>
      <c r="K54" s="137"/>
      <c r="L54" s="137"/>
    </row>
    <row r="55" spans="1:13" ht="13" customHeight="1" x14ac:dyDescent="0.35">
      <c r="A55" s="137"/>
      <c r="B55" s="137"/>
      <c r="C55" s="137"/>
      <c r="D55" s="137"/>
      <c r="E55" s="137"/>
      <c r="F55" s="137"/>
      <c r="G55" s="137"/>
      <c r="H55" s="137"/>
      <c r="I55" s="137"/>
      <c r="J55" s="137"/>
      <c r="K55" s="137"/>
      <c r="L55" s="137"/>
    </row>
    <row r="56" spans="1:13" x14ac:dyDescent="0.35">
      <c r="A56" s="138" t="s">
        <v>83</v>
      </c>
      <c r="B56" s="138" t="s">
        <v>84</v>
      </c>
      <c r="C56" s="137"/>
      <c r="D56" s="137"/>
      <c r="E56" s="137"/>
      <c r="F56" s="137"/>
      <c r="G56" s="137"/>
      <c r="H56" s="137"/>
      <c r="I56" s="137"/>
      <c r="J56" s="137"/>
      <c r="K56" s="137"/>
      <c r="L56" s="137"/>
    </row>
    <row r="57" spans="1:13" ht="14.5" customHeight="1" x14ac:dyDescent="0.35">
      <c r="A57" s="137"/>
      <c r="B57" s="585" t="str">
        <f>PENYELIA!B60</f>
        <v>Alat yang dikalibrasi dalam batas toleransi dan dinyatakan LAIK PAKAI, dimana hasil atau skor akhir sama dengan atau melampaui 70 % berdasarkan Keputusan Direktur Jenderal Pelayanan Kesehatan No : HK.02.02/V/0412/2020</v>
      </c>
      <c r="C57" s="585"/>
      <c r="D57" s="585"/>
      <c r="E57" s="585"/>
      <c r="F57" s="585"/>
      <c r="G57" s="585"/>
      <c r="H57" s="585"/>
      <c r="I57" s="585"/>
      <c r="J57" s="585"/>
      <c r="K57" s="585"/>
      <c r="L57" s="162"/>
      <c r="M57" s="162"/>
    </row>
    <row r="58" spans="1:13" ht="30" customHeight="1" x14ac:dyDescent="0.35">
      <c r="A58" s="137"/>
      <c r="B58" s="585"/>
      <c r="C58" s="585"/>
      <c r="D58" s="585"/>
      <c r="E58" s="585"/>
      <c r="F58" s="585"/>
      <c r="G58" s="585"/>
      <c r="H58" s="585"/>
      <c r="I58" s="585"/>
      <c r="J58" s="585"/>
      <c r="K58" s="585"/>
      <c r="L58" s="162"/>
      <c r="M58" s="162"/>
    </row>
    <row r="59" spans="1:13" ht="4.5" customHeight="1" x14ac:dyDescent="0.35">
      <c r="A59" s="137"/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</row>
    <row r="60" spans="1:13" x14ac:dyDescent="0.35">
      <c r="A60" s="138" t="s">
        <v>86</v>
      </c>
      <c r="B60" s="138" t="str">
        <f>PENYELIA!B62</f>
        <v>Petugas Kalibrasi</v>
      </c>
      <c r="C60" s="137"/>
      <c r="D60" s="137"/>
      <c r="E60" s="137"/>
      <c r="F60" s="137"/>
      <c r="G60" s="137"/>
      <c r="H60" s="137"/>
      <c r="I60" s="137"/>
      <c r="J60" s="137"/>
      <c r="K60" s="137"/>
      <c r="L60" s="137"/>
    </row>
    <row r="61" spans="1:13" x14ac:dyDescent="0.35">
      <c r="A61" s="137"/>
      <c r="B61" s="137" t="str">
        <f>PENYELIA!B63</f>
        <v>Siti Fathul Jannah</v>
      </c>
      <c r="C61" s="137"/>
      <c r="D61" s="137"/>
      <c r="E61" s="137"/>
      <c r="F61" s="137"/>
      <c r="G61" s="137"/>
      <c r="H61" s="137"/>
      <c r="I61" s="137"/>
      <c r="J61" s="137"/>
      <c r="K61" s="137"/>
      <c r="L61" s="137"/>
    </row>
    <row r="62" spans="1:13" ht="9" customHeight="1" x14ac:dyDescent="0.35"/>
    <row r="63" spans="1:13" ht="15.5" x14ac:dyDescent="0.35">
      <c r="I63" s="152"/>
      <c r="J63" s="164" t="s">
        <v>219</v>
      </c>
    </row>
    <row r="64" spans="1:13" ht="15.5" x14ac:dyDescent="0.35">
      <c r="I64" s="474" t="str">
        <f>IF(J70=V76,"a.n"," ")</f>
        <v xml:space="preserve"> </v>
      </c>
      <c r="J64" s="165" t="s">
        <v>220</v>
      </c>
    </row>
    <row r="65" spans="9:25" ht="15.5" x14ac:dyDescent="0.35">
      <c r="I65" s="152"/>
      <c r="J65" s="165" t="s">
        <v>221</v>
      </c>
    </row>
    <row r="66" spans="9:25" ht="15.5" x14ac:dyDescent="0.35">
      <c r="I66" s="152"/>
      <c r="J66" s="164"/>
    </row>
    <row r="67" spans="9:25" ht="15.5" x14ac:dyDescent="0.35">
      <c r="I67" s="152"/>
      <c r="J67" s="164"/>
    </row>
    <row r="68" spans="9:25" ht="15.5" x14ac:dyDescent="0.35">
      <c r="I68" s="152"/>
      <c r="J68" s="164"/>
    </row>
    <row r="69" spans="9:25" ht="15.5" x14ac:dyDescent="0.35">
      <c r="I69" s="152"/>
      <c r="J69" s="166"/>
    </row>
    <row r="70" spans="9:25" ht="15.5" x14ac:dyDescent="0.35">
      <c r="I70" s="152"/>
      <c r="J70" s="167" t="s">
        <v>222</v>
      </c>
      <c r="K70" s="168"/>
      <c r="L70" s="168"/>
      <c r="M70" s="169"/>
    </row>
    <row r="71" spans="9:25" ht="15.5" x14ac:dyDescent="0.3">
      <c r="I71" s="152"/>
      <c r="J71" s="121" t="str">
        <f>VLOOKUP(J70,V75:W76,2,0)</f>
        <v>NIP 198008062010121001</v>
      </c>
      <c r="K71" s="168"/>
      <c r="L71" s="168"/>
      <c r="M71" s="169"/>
    </row>
    <row r="72" spans="9:25" ht="24.75" customHeight="1" x14ac:dyDescent="0.2">
      <c r="M72" s="170" t="s">
        <v>223</v>
      </c>
      <c r="N72" s="171"/>
    </row>
    <row r="73" spans="9:25" x14ac:dyDescent="0.35">
      <c r="N73" s="171"/>
    </row>
    <row r="75" spans="9:25" x14ac:dyDescent="0.3">
      <c r="V75" s="122" t="s">
        <v>222</v>
      </c>
      <c r="W75" s="120" t="s">
        <v>224</v>
      </c>
      <c r="X75" s="121"/>
      <c r="Y75" s="121"/>
    </row>
    <row r="76" spans="9:25" x14ac:dyDescent="0.3">
      <c r="V76" s="122" t="s">
        <v>225</v>
      </c>
      <c r="W76" s="120" t="s">
        <v>226</v>
      </c>
      <c r="X76" s="121"/>
      <c r="Y76" s="121"/>
    </row>
    <row r="77" spans="9:25" x14ac:dyDescent="0.3">
      <c r="W77" s="121"/>
      <c r="X77" s="121"/>
      <c r="Y77" s="121"/>
    </row>
  </sheetData>
  <sheetProtection formatCells="0" formatColumns="0" formatRows="0" insertRows="0" deleteRows="0"/>
  <mergeCells count="37">
    <mergeCell ref="B57:K58"/>
    <mergeCell ref="B38:B39"/>
    <mergeCell ref="C38:F39"/>
    <mergeCell ref="G38:H39"/>
    <mergeCell ref="I38:J39"/>
    <mergeCell ref="D9:E9"/>
    <mergeCell ref="C40:F40"/>
    <mergeCell ref="G40:H40"/>
    <mergeCell ref="I40:J40"/>
    <mergeCell ref="C46:E46"/>
    <mergeCell ref="C30:F30"/>
    <mergeCell ref="G30:H30"/>
    <mergeCell ref="G35:H35"/>
    <mergeCell ref="C35:F35"/>
    <mergeCell ref="C31:F31"/>
    <mergeCell ref="G34:H34"/>
    <mergeCell ref="G33:H33"/>
    <mergeCell ref="C33:F33"/>
    <mergeCell ref="G31:H31"/>
    <mergeCell ref="G32:H32"/>
    <mergeCell ref="I30:J30"/>
    <mergeCell ref="K30:L30"/>
    <mergeCell ref="I31:J35"/>
    <mergeCell ref="A1:M1"/>
    <mergeCell ref="A2:M2"/>
    <mergeCell ref="G27:H27"/>
    <mergeCell ref="K25:L25"/>
    <mergeCell ref="I25:J25"/>
    <mergeCell ref="C25:F25"/>
    <mergeCell ref="C27:F27"/>
    <mergeCell ref="G25:H25"/>
    <mergeCell ref="I26:J27"/>
    <mergeCell ref="C26:F26"/>
    <mergeCell ref="G26:H26"/>
    <mergeCell ref="D8:E8"/>
    <mergeCell ref="C34:F34"/>
    <mergeCell ref="C32:F32"/>
  </mergeCells>
  <dataValidations disablePrompts="1" count="1">
    <dataValidation type="list" allowBlank="1" showInputMessage="1" showErrorMessage="1" sqref="J70" xr:uid="{00000000-0002-0000-0600-000000000000}">
      <formula1>$V$75:$V$76</formula1>
    </dataValidation>
  </dataValidations>
  <printOptions horizontalCentered="1"/>
  <pageMargins left="0.59055118110236227" right="0.23622047244094491" top="0.51181102362204722" bottom="0.39370078740157483" header="0.23622047244094491" footer="0.23622047244094491"/>
  <pageSetup paperSize="9" scale="73" orientation="portrait" horizontalDpi="4294967293" r:id="rId1"/>
  <headerFooter>
    <oddHeader>&amp;R&amp;8GM.LHK - 141-2019 / REV : 0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1"/>
  <sheetViews>
    <sheetView showGridLines="0" view="pageBreakPreview" zoomScale="92" zoomScaleNormal="100" zoomScaleSheetLayoutView="92" workbookViewId="0">
      <selection activeCell="J13" sqref="J13"/>
    </sheetView>
  </sheetViews>
  <sheetFormatPr defaultColWidth="9.1796875" defaultRowHeight="14.5" x14ac:dyDescent="0.35"/>
  <cols>
    <col min="1" max="1" width="38.81640625" style="8" customWidth="1"/>
    <col min="2" max="2" width="10.1796875" style="8" customWidth="1"/>
    <col min="3" max="3" width="12.54296875" style="8" customWidth="1"/>
    <col min="4" max="4" width="14.7265625" style="8" bestFit="1" customWidth="1"/>
    <col min="5" max="5" width="12" style="8" customWidth="1"/>
    <col min="6" max="6" width="9.26953125" style="8" customWidth="1"/>
    <col min="7" max="7" width="14.7265625" style="8" bestFit="1" customWidth="1"/>
    <col min="8" max="8" width="10.26953125" style="8" customWidth="1"/>
    <col min="9" max="9" width="13.26953125" style="8" customWidth="1"/>
    <col min="10" max="10" width="13.54296875" style="8" customWidth="1"/>
    <col min="11" max="11" width="12.54296875" style="8" customWidth="1"/>
    <col min="12" max="12" width="10.54296875" style="8" bestFit="1" customWidth="1"/>
    <col min="13" max="13" width="9.1796875" style="8"/>
    <col min="14" max="14" width="19" style="8" bestFit="1" customWidth="1"/>
    <col min="15" max="16384" width="9.1796875" style="8"/>
  </cols>
  <sheetData>
    <row r="1" spans="1:11" ht="18.5" x14ac:dyDescent="0.45">
      <c r="A1" s="596" t="s">
        <v>168</v>
      </c>
      <c r="B1" s="596"/>
      <c r="C1" s="596"/>
      <c r="D1" s="596"/>
      <c r="E1" s="596"/>
      <c r="F1" s="596"/>
      <c r="G1" s="596"/>
      <c r="H1" s="596"/>
      <c r="I1" s="596"/>
      <c r="J1" s="596"/>
      <c r="K1" s="596"/>
    </row>
    <row r="2" spans="1:11" x14ac:dyDescent="0.35">
      <c r="A2" s="7" t="s">
        <v>169</v>
      </c>
      <c r="B2" s="7">
        <f>ID!B44</f>
        <v>20</v>
      </c>
      <c r="C2" s="7" t="s">
        <v>37</v>
      </c>
    </row>
    <row r="3" spans="1:11" ht="17.5" x14ac:dyDescent="0.45">
      <c r="A3" s="26" t="s">
        <v>170</v>
      </c>
      <c r="B3" s="26"/>
      <c r="C3" s="26" t="s">
        <v>171</v>
      </c>
      <c r="D3" s="26" t="s">
        <v>172</v>
      </c>
      <c r="E3" s="26" t="s">
        <v>141</v>
      </c>
      <c r="F3" s="26" t="s">
        <v>173</v>
      </c>
      <c r="G3" s="26" t="s">
        <v>174</v>
      </c>
      <c r="H3" s="26" t="s">
        <v>175</v>
      </c>
      <c r="I3" s="26" t="s">
        <v>176</v>
      </c>
      <c r="J3" s="26" t="s">
        <v>177</v>
      </c>
      <c r="K3" s="26" t="s">
        <v>178</v>
      </c>
    </row>
    <row r="4" spans="1:11" x14ac:dyDescent="0.35">
      <c r="A4" s="22" t="s">
        <v>179</v>
      </c>
      <c r="B4" s="27" t="s">
        <v>37</v>
      </c>
      <c r="C4" s="27" t="s">
        <v>180</v>
      </c>
      <c r="D4" s="124">
        <f>'Setifikat '!G22</f>
        <v>2.9999999999999997E-4</v>
      </c>
      <c r="E4" s="132">
        <v>2</v>
      </c>
      <c r="F4" s="27">
        <v>60</v>
      </c>
      <c r="G4" s="27">
        <f t="shared" ref="G4:G8" si="0">D4/E4</f>
        <v>1.4999999999999999E-4</v>
      </c>
      <c r="H4" s="27">
        <v>1</v>
      </c>
      <c r="I4" s="27">
        <f t="shared" ref="I4:I8" si="1">G4*H4</f>
        <v>1.4999999999999999E-4</v>
      </c>
      <c r="J4" s="27">
        <f t="shared" ref="J4:J8" si="2">I4^2</f>
        <v>2.2499999999999996E-8</v>
      </c>
      <c r="K4" s="27">
        <f t="shared" ref="K4:K8" si="3">(I4^4)/F4</f>
        <v>8.4374999999999969E-18</v>
      </c>
    </row>
    <row r="5" spans="1:11" x14ac:dyDescent="0.35">
      <c r="A5" s="123" t="s">
        <v>130</v>
      </c>
      <c r="B5" s="27" t="s">
        <v>37</v>
      </c>
      <c r="C5" s="27" t="s">
        <v>181</v>
      </c>
      <c r="D5" s="27">
        <f>(0.5*ID!D7)*SQRT(2)</f>
        <v>7.0710678118654766E-2</v>
      </c>
      <c r="E5" s="27">
        <f>VLOOKUP(ID!F7,ID!L23:N24,3,(FALSE))</f>
        <v>1.7320508075688772</v>
      </c>
      <c r="F5" s="27">
        <v>50</v>
      </c>
      <c r="G5" s="27">
        <f t="shared" si="0"/>
        <v>4.0824829046386311E-2</v>
      </c>
      <c r="H5" s="27">
        <v>1</v>
      </c>
      <c r="I5" s="27">
        <f t="shared" si="1"/>
        <v>4.0824829046386311E-2</v>
      </c>
      <c r="J5" s="27">
        <f t="shared" si="2"/>
        <v>1.6666666666666674E-3</v>
      </c>
      <c r="K5" s="27">
        <f t="shared" si="3"/>
        <v>5.5555555555555607E-8</v>
      </c>
    </row>
    <row r="6" spans="1:11" x14ac:dyDescent="0.35">
      <c r="A6" s="123" t="s">
        <v>182</v>
      </c>
      <c r="B6" s="27" t="s">
        <v>37</v>
      </c>
      <c r="C6" s="27" t="s">
        <v>183</v>
      </c>
      <c r="D6" s="28">
        <f>ID!E40</f>
        <v>0</v>
      </c>
      <c r="E6" s="27">
        <f>SQRT(2)</f>
        <v>1.4142135623730951</v>
      </c>
      <c r="F6" s="27">
        <v>9</v>
      </c>
      <c r="G6" s="27">
        <f t="shared" si="0"/>
        <v>0</v>
      </c>
      <c r="H6" s="27">
        <v>1</v>
      </c>
      <c r="I6" s="27">
        <f t="shared" si="1"/>
        <v>0</v>
      </c>
      <c r="J6" s="27">
        <f t="shared" si="2"/>
        <v>0</v>
      </c>
      <c r="K6" s="27">
        <f t="shared" si="3"/>
        <v>0</v>
      </c>
    </row>
    <row r="7" spans="1:11" x14ac:dyDescent="0.35">
      <c r="A7" s="22" t="s">
        <v>184</v>
      </c>
      <c r="B7" s="27" t="s">
        <v>37</v>
      </c>
      <c r="C7" s="27" t="s">
        <v>181</v>
      </c>
      <c r="D7" s="125">
        <f>'Setifikat '!G24</f>
        <v>9.9999999999999991E-5</v>
      </c>
      <c r="E7" s="27">
        <f>SQRT(3)</f>
        <v>1.7320508075688772</v>
      </c>
      <c r="F7" s="27">
        <v>50</v>
      </c>
      <c r="G7" s="27">
        <f t="shared" si="0"/>
        <v>5.7735026918962572E-5</v>
      </c>
      <c r="H7" s="27">
        <v>1</v>
      </c>
      <c r="I7" s="27">
        <f t="shared" si="1"/>
        <v>5.7735026918962572E-5</v>
      </c>
      <c r="J7" s="27">
        <f t="shared" si="2"/>
        <v>3.3333333333333326E-9</v>
      </c>
      <c r="K7" s="27">
        <f t="shared" si="3"/>
        <v>2.2222222222222212E-19</v>
      </c>
    </row>
    <row r="8" spans="1:11" x14ac:dyDescent="0.35">
      <c r="A8" s="22" t="s">
        <v>185</v>
      </c>
      <c r="B8" s="27" t="s">
        <v>37</v>
      </c>
      <c r="C8" s="27" t="s">
        <v>181</v>
      </c>
      <c r="D8" s="27">
        <f>(B2*10^-6)</f>
        <v>1.9999999999999998E-5</v>
      </c>
      <c r="E8" s="27">
        <f>SQRT(3)</f>
        <v>1.7320508075688772</v>
      </c>
      <c r="F8" s="27">
        <v>50</v>
      </c>
      <c r="G8" s="27">
        <f t="shared" si="0"/>
        <v>1.1547005383792516E-5</v>
      </c>
      <c r="H8" s="27">
        <v>1</v>
      </c>
      <c r="I8" s="27">
        <f t="shared" si="1"/>
        <v>1.1547005383792516E-5</v>
      </c>
      <c r="J8" s="27">
        <f t="shared" si="2"/>
        <v>1.3333333333333334E-10</v>
      </c>
      <c r="K8" s="27">
        <f t="shared" si="3"/>
        <v>3.5555555555555557E-22</v>
      </c>
    </row>
    <row r="9" spans="1:11" x14ac:dyDescent="0.35">
      <c r="A9" s="595" t="s">
        <v>186</v>
      </c>
      <c r="B9" s="595"/>
      <c r="C9" s="595"/>
      <c r="D9" s="595"/>
      <c r="E9" s="595"/>
      <c r="F9" s="595"/>
      <c r="G9" s="595"/>
      <c r="H9" s="595"/>
      <c r="I9" s="595"/>
      <c r="J9" s="27">
        <f>SUM(J4:J8)</f>
        <v>1.6666926333333341E-3</v>
      </c>
      <c r="K9" s="27">
        <f>SUM(K4:K8)</f>
        <v>5.5555555564215686E-8</v>
      </c>
    </row>
    <row r="10" spans="1:11" x14ac:dyDescent="0.35">
      <c r="A10" s="595" t="s">
        <v>187</v>
      </c>
      <c r="B10" s="595"/>
      <c r="C10" s="595"/>
      <c r="D10" s="595"/>
      <c r="E10" s="595"/>
      <c r="F10" s="595"/>
      <c r="G10" s="595"/>
      <c r="H10" s="595"/>
      <c r="I10" s="595"/>
      <c r="J10" s="27">
        <f>SQRT(J9)</f>
        <v>4.0825147070565886E-2</v>
      </c>
      <c r="K10" s="27"/>
    </row>
    <row r="11" spans="1:11" x14ac:dyDescent="0.35">
      <c r="A11" s="595" t="s">
        <v>188</v>
      </c>
      <c r="B11" s="595"/>
      <c r="C11" s="595"/>
      <c r="D11" s="595"/>
      <c r="E11" s="595"/>
      <c r="F11" s="595"/>
      <c r="G11" s="595"/>
      <c r="H11" s="595"/>
      <c r="I11" s="595"/>
      <c r="J11" s="27">
        <f>J9^2/K9</f>
        <v>50.001558004342513</v>
      </c>
      <c r="K11" s="27"/>
    </row>
    <row r="12" spans="1:11" x14ac:dyDescent="0.35">
      <c r="A12" s="595" t="s">
        <v>189</v>
      </c>
      <c r="B12" s="595"/>
      <c r="C12" s="595"/>
      <c r="D12" s="595"/>
      <c r="E12" s="595"/>
      <c r="F12" s="595"/>
      <c r="G12" s="595"/>
      <c r="H12" s="595"/>
      <c r="I12" s="595"/>
      <c r="J12" s="27">
        <f>TINV(0.05,J11)</f>
        <v>2.0085591121007611</v>
      </c>
      <c r="K12" s="27"/>
    </row>
    <row r="13" spans="1:11" x14ac:dyDescent="0.35">
      <c r="A13" s="595" t="s">
        <v>190</v>
      </c>
      <c r="B13" s="595"/>
      <c r="C13" s="595"/>
      <c r="D13" s="595"/>
      <c r="E13" s="595"/>
      <c r="F13" s="595"/>
      <c r="G13" s="595"/>
      <c r="H13" s="595"/>
      <c r="I13" s="595"/>
      <c r="J13" s="542">
        <f>J10*J12</f>
        <v>8.1999721151438804E-2</v>
      </c>
      <c r="K13" s="26" t="s">
        <v>37</v>
      </c>
    </row>
    <row r="14" spans="1:11" ht="10.5" customHeight="1" x14ac:dyDescent="0.35"/>
    <row r="15" spans="1:11" x14ac:dyDescent="0.35">
      <c r="A15" s="7" t="s">
        <v>169</v>
      </c>
      <c r="B15" s="7">
        <f>ID!B45</f>
        <v>40</v>
      </c>
      <c r="C15" s="7" t="s">
        <v>37</v>
      </c>
    </row>
    <row r="16" spans="1:11" ht="17.5" x14ac:dyDescent="0.45">
      <c r="A16" s="26" t="s">
        <v>170</v>
      </c>
      <c r="B16" s="26" t="s">
        <v>16</v>
      </c>
      <c r="C16" s="26" t="s">
        <v>171</v>
      </c>
      <c r="D16" s="26" t="s">
        <v>172</v>
      </c>
      <c r="E16" s="26" t="s">
        <v>141</v>
      </c>
      <c r="F16" s="26" t="s">
        <v>173</v>
      </c>
      <c r="G16" s="26" t="s">
        <v>174</v>
      </c>
      <c r="H16" s="26" t="s">
        <v>175</v>
      </c>
      <c r="I16" s="26" t="s">
        <v>176</v>
      </c>
      <c r="J16" s="26" t="s">
        <v>177</v>
      </c>
      <c r="K16" s="26" t="s">
        <v>178</v>
      </c>
    </row>
    <row r="17" spans="1:11" x14ac:dyDescent="0.35">
      <c r="A17" s="22" t="s">
        <v>179</v>
      </c>
      <c r="B17" s="27" t="s">
        <v>37</v>
      </c>
      <c r="C17" s="27" t="s">
        <v>180</v>
      </c>
      <c r="D17" s="29">
        <f>'Setifikat '!G31</f>
        <v>5.9999999999999995E-4</v>
      </c>
      <c r="E17" s="27">
        <v>2</v>
      </c>
      <c r="F17" s="27">
        <v>60</v>
      </c>
      <c r="G17" s="27">
        <f t="shared" ref="G17:G21" si="4">D17/E17</f>
        <v>2.9999999999999997E-4</v>
      </c>
      <c r="H17" s="27">
        <v>1</v>
      </c>
      <c r="I17" s="27">
        <f t="shared" ref="I17:I21" si="5">G17*H17</f>
        <v>2.9999999999999997E-4</v>
      </c>
      <c r="J17" s="27">
        <f t="shared" ref="J17:J21" si="6">I17^2</f>
        <v>8.9999999999999985E-8</v>
      </c>
      <c r="K17" s="27">
        <f t="shared" ref="K17:K21" si="7">(I17^4)/F17</f>
        <v>1.3499999999999995E-16</v>
      </c>
    </row>
    <row r="18" spans="1:11" x14ac:dyDescent="0.35">
      <c r="A18" s="123" t="s">
        <v>130</v>
      </c>
      <c r="B18" s="27" t="s">
        <v>37</v>
      </c>
      <c r="C18" s="27" t="s">
        <v>181</v>
      </c>
      <c r="D18" s="27">
        <f>(0.5*ID!D7)*SQRT(2)</f>
        <v>7.0710678118654766E-2</v>
      </c>
      <c r="E18" s="27">
        <f>E5</f>
        <v>1.7320508075688772</v>
      </c>
      <c r="F18" s="27">
        <v>1000</v>
      </c>
      <c r="G18" s="27">
        <f t="shared" si="4"/>
        <v>4.0824829046386311E-2</v>
      </c>
      <c r="H18" s="27">
        <v>1</v>
      </c>
      <c r="I18" s="27">
        <f t="shared" si="5"/>
        <v>4.0824829046386311E-2</v>
      </c>
      <c r="J18" s="27">
        <f t="shared" si="6"/>
        <v>1.6666666666666674E-3</v>
      </c>
      <c r="K18" s="27">
        <f t="shared" si="7"/>
        <v>2.7777777777777805E-9</v>
      </c>
    </row>
    <row r="19" spans="1:11" x14ac:dyDescent="0.35">
      <c r="A19" s="123" t="s">
        <v>182</v>
      </c>
      <c r="B19" s="27" t="s">
        <v>37</v>
      </c>
      <c r="C19" s="27" t="s">
        <v>183</v>
      </c>
      <c r="D19" s="28">
        <f>D6</f>
        <v>0</v>
      </c>
      <c r="E19" s="27">
        <f>SQRT(2)</f>
        <v>1.4142135623730951</v>
      </c>
      <c r="F19" s="27">
        <v>9</v>
      </c>
      <c r="G19" s="27">
        <f t="shared" si="4"/>
        <v>0</v>
      </c>
      <c r="H19" s="27">
        <v>1</v>
      </c>
      <c r="I19" s="27">
        <f t="shared" si="5"/>
        <v>0</v>
      </c>
      <c r="J19" s="27">
        <f t="shared" si="6"/>
        <v>0</v>
      </c>
      <c r="K19" s="27">
        <f t="shared" si="7"/>
        <v>0</v>
      </c>
    </row>
    <row r="20" spans="1:11" x14ac:dyDescent="0.35">
      <c r="A20" s="22" t="s">
        <v>184</v>
      </c>
      <c r="B20" s="27" t="s">
        <v>37</v>
      </c>
      <c r="C20" s="27" t="s">
        <v>181</v>
      </c>
      <c r="D20" s="125">
        <f>'Setifikat '!G30</f>
        <v>1.9999999999999998E-4</v>
      </c>
      <c r="E20" s="27">
        <f>SQRT(3)</f>
        <v>1.7320508075688772</v>
      </c>
      <c r="F20" s="27">
        <v>1000</v>
      </c>
      <c r="G20" s="27">
        <f t="shared" si="4"/>
        <v>1.1547005383792514E-4</v>
      </c>
      <c r="H20" s="27">
        <v>1</v>
      </c>
      <c r="I20" s="27">
        <f t="shared" si="5"/>
        <v>1.1547005383792514E-4</v>
      </c>
      <c r="J20" s="27">
        <f t="shared" si="6"/>
        <v>1.333333333333333E-8</v>
      </c>
      <c r="K20" s="27">
        <f t="shared" si="7"/>
        <v>1.7777777777777771E-19</v>
      </c>
    </row>
    <row r="21" spans="1:11" x14ac:dyDescent="0.35">
      <c r="A21" s="22" t="s">
        <v>185</v>
      </c>
      <c r="B21" s="27" t="s">
        <v>37</v>
      </c>
      <c r="C21" s="27" t="s">
        <v>181</v>
      </c>
      <c r="D21" s="27">
        <f>(B15*10^-6)</f>
        <v>3.9999999999999996E-5</v>
      </c>
      <c r="E21" s="27">
        <f>SQRT(3)</f>
        <v>1.7320508075688772</v>
      </c>
      <c r="F21" s="27">
        <v>1000</v>
      </c>
      <c r="G21" s="27">
        <f t="shared" si="4"/>
        <v>2.3094010767585031E-5</v>
      </c>
      <c r="H21" s="27">
        <v>1</v>
      </c>
      <c r="I21" s="27">
        <f t="shared" si="5"/>
        <v>2.3094010767585031E-5</v>
      </c>
      <c r="J21" s="27">
        <f t="shared" si="6"/>
        <v>5.3333333333333335E-10</v>
      </c>
      <c r="K21" s="27">
        <f t="shared" si="7"/>
        <v>2.8444444444444445E-22</v>
      </c>
    </row>
    <row r="22" spans="1:11" x14ac:dyDescent="0.35">
      <c r="A22" s="595" t="s">
        <v>186</v>
      </c>
      <c r="B22" s="595"/>
      <c r="C22" s="595"/>
      <c r="D22" s="595"/>
      <c r="E22" s="595"/>
      <c r="F22" s="595"/>
      <c r="G22" s="595"/>
      <c r="H22" s="595"/>
      <c r="I22" s="595"/>
      <c r="J22" s="27">
        <f>SUM(J17:J21)</f>
        <v>1.6667705333333338E-3</v>
      </c>
      <c r="K22" s="27">
        <f>SUM(K17:K21)</f>
        <v>2.7777779129558425E-9</v>
      </c>
    </row>
    <row r="23" spans="1:11" x14ac:dyDescent="0.35">
      <c r="A23" s="595" t="s">
        <v>187</v>
      </c>
      <c r="B23" s="595"/>
      <c r="C23" s="595"/>
      <c r="D23" s="595"/>
      <c r="E23" s="595"/>
      <c r="F23" s="595"/>
      <c r="G23" s="595"/>
      <c r="H23" s="595"/>
      <c r="I23" s="595"/>
      <c r="J23" s="27">
        <f>SQRT(J22)</f>
        <v>4.0826101128240665E-2</v>
      </c>
      <c r="K23" s="27"/>
    </row>
    <row r="24" spans="1:11" x14ac:dyDescent="0.35">
      <c r="A24" s="595" t="s">
        <v>188</v>
      </c>
      <c r="B24" s="595"/>
      <c r="C24" s="595"/>
      <c r="D24" s="595"/>
      <c r="E24" s="595"/>
      <c r="F24" s="595"/>
      <c r="G24" s="595"/>
      <c r="H24" s="595"/>
      <c r="I24" s="595"/>
      <c r="J24" s="27">
        <f>J22^2/K22</f>
        <v>1000.1245952136163</v>
      </c>
      <c r="K24" s="27"/>
    </row>
    <row r="25" spans="1:11" x14ac:dyDescent="0.35">
      <c r="A25" s="595" t="s">
        <v>189</v>
      </c>
      <c r="B25" s="595"/>
      <c r="C25" s="595"/>
      <c r="D25" s="595"/>
      <c r="E25" s="595"/>
      <c r="F25" s="595"/>
      <c r="G25" s="595"/>
      <c r="H25" s="595"/>
      <c r="I25" s="595"/>
      <c r="J25" s="27">
        <f>TINV(0.05,J24)</f>
        <v>1.9623390808264143</v>
      </c>
      <c r="K25" s="27"/>
    </row>
    <row r="26" spans="1:11" x14ac:dyDescent="0.35">
      <c r="A26" s="595" t="s">
        <v>190</v>
      </c>
      <c r="B26" s="595"/>
      <c r="C26" s="595"/>
      <c r="D26" s="595"/>
      <c r="E26" s="595"/>
      <c r="F26" s="595"/>
      <c r="G26" s="595"/>
      <c r="H26" s="595"/>
      <c r="I26" s="595"/>
      <c r="J26" s="542">
        <f>J23*J25</f>
        <v>8.0114653761718016E-2</v>
      </c>
      <c r="K26" s="26" t="s">
        <v>37</v>
      </c>
    </row>
    <row r="27" spans="1:11" ht="10.5" customHeight="1" x14ac:dyDescent="0.35"/>
    <row r="28" spans="1:11" x14ac:dyDescent="0.35">
      <c r="A28" s="7" t="s">
        <v>169</v>
      </c>
      <c r="B28" s="7">
        <f>ID!B46</f>
        <v>60</v>
      </c>
      <c r="C28" s="7" t="s">
        <v>37</v>
      </c>
    </row>
    <row r="29" spans="1:11" ht="17.5" x14ac:dyDescent="0.45">
      <c r="A29" s="26" t="s">
        <v>170</v>
      </c>
      <c r="B29" s="26" t="s">
        <v>16</v>
      </c>
      <c r="C29" s="26" t="s">
        <v>171</v>
      </c>
      <c r="D29" s="26" t="s">
        <v>172</v>
      </c>
      <c r="E29" s="26" t="s">
        <v>141</v>
      </c>
      <c r="F29" s="26" t="s">
        <v>173</v>
      </c>
      <c r="G29" s="26" t="s">
        <v>174</v>
      </c>
      <c r="H29" s="26" t="s">
        <v>175</v>
      </c>
      <c r="I29" s="26" t="s">
        <v>176</v>
      </c>
      <c r="J29" s="26" t="s">
        <v>177</v>
      </c>
      <c r="K29" s="26" t="s">
        <v>178</v>
      </c>
    </row>
    <row r="30" spans="1:11" x14ac:dyDescent="0.35">
      <c r="A30" s="22" t="s">
        <v>179</v>
      </c>
      <c r="B30" s="27" t="s">
        <v>37</v>
      </c>
      <c r="C30" s="27" t="s">
        <v>180</v>
      </c>
      <c r="D30" s="124">
        <f>'Setifikat '!G38</f>
        <v>8.9999999999999998E-4</v>
      </c>
      <c r="E30" s="27">
        <v>2</v>
      </c>
      <c r="F30" s="27">
        <v>60</v>
      </c>
      <c r="G30" s="27">
        <f t="shared" ref="G30:G34" si="8">D30/E30</f>
        <v>4.4999999999999999E-4</v>
      </c>
      <c r="H30" s="27">
        <v>1</v>
      </c>
      <c r="I30" s="27">
        <f>G30*H30</f>
        <v>4.4999999999999999E-4</v>
      </c>
      <c r="J30" s="27">
        <f>I30^2</f>
        <v>2.0249999999999999E-7</v>
      </c>
      <c r="K30" s="27">
        <f t="shared" ref="K30:K34" si="9">(I30^4)/F30</f>
        <v>6.8343749999999998E-16</v>
      </c>
    </row>
    <row r="31" spans="1:11" x14ac:dyDescent="0.35">
      <c r="A31" s="123" t="s">
        <v>130</v>
      </c>
      <c r="B31" s="27" t="s">
        <v>37</v>
      </c>
      <c r="C31" s="27" t="s">
        <v>181</v>
      </c>
      <c r="D31" s="27">
        <f>(0.5*ID!D7)*SQRT(2)</f>
        <v>7.0710678118654766E-2</v>
      </c>
      <c r="E31" s="27">
        <f>E18</f>
        <v>1.7320508075688772</v>
      </c>
      <c r="F31" s="27">
        <v>1000</v>
      </c>
      <c r="G31" s="27">
        <f t="shared" si="8"/>
        <v>4.0824829046386311E-2</v>
      </c>
      <c r="H31" s="27">
        <v>1</v>
      </c>
      <c r="I31" s="27">
        <f t="shared" ref="I31:I34" si="10">G31*H31</f>
        <v>4.0824829046386311E-2</v>
      </c>
      <c r="J31" s="27">
        <f t="shared" ref="J31:J34" si="11">I31^2</f>
        <v>1.6666666666666674E-3</v>
      </c>
      <c r="K31" s="27">
        <f t="shared" si="9"/>
        <v>2.7777777777777805E-9</v>
      </c>
    </row>
    <row r="32" spans="1:11" x14ac:dyDescent="0.35">
      <c r="A32" s="123" t="s">
        <v>182</v>
      </c>
      <c r="B32" s="27" t="s">
        <v>37</v>
      </c>
      <c r="C32" s="27" t="s">
        <v>183</v>
      </c>
      <c r="D32" s="28">
        <f>D19</f>
        <v>0</v>
      </c>
      <c r="E32" s="27">
        <f>SQRT(2)</f>
        <v>1.4142135623730951</v>
      </c>
      <c r="F32" s="27">
        <v>9</v>
      </c>
      <c r="G32" s="27">
        <f t="shared" si="8"/>
        <v>0</v>
      </c>
      <c r="H32" s="27">
        <v>1</v>
      </c>
      <c r="I32" s="27">
        <f t="shared" si="10"/>
        <v>0</v>
      </c>
      <c r="J32" s="27">
        <f t="shared" si="11"/>
        <v>0</v>
      </c>
      <c r="K32" s="27">
        <f t="shared" si="9"/>
        <v>0</v>
      </c>
    </row>
    <row r="33" spans="1:11" x14ac:dyDescent="0.35">
      <c r="A33" s="22" t="s">
        <v>184</v>
      </c>
      <c r="B33" s="27" t="s">
        <v>37</v>
      </c>
      <c r="C33" s="27" t="s">
        <v>181</v>
      </c>
      <c r="D33" s="126">
        <f>'Setifikat '!G37</f>
        <v>2.9999999999999997E-4</v>
      </c>
      <c r="E33" s="27">
        <f>SQRT(3)</f>
        <v>1.7320508075688772</v>
      </c>
      <c r="F33" s="27">
        <v>1000</v>
      </c>
      <c r="G33" s="27">
        <f t="shared" si="8"/>
        <v>1.7320508075688773E-4</v>
      </c>
      <c r="H33" s="27">
        <v>1</v>
      </c>
      <c r="I33" s="27">
        <f t="shared" si="10"/>
        <v>1.7320508075688773E-4</v>
      </c>
      <c r="J33" s="27">
        <f t="shared" si="11"/>
        <v>2.9999999999999997E-8</v>
      </c>
      <c r="K33" s="27">
        <f t="shared" si="9"/>
        <v>8.9999999999999983E-19</v>
      </c>
    </row>
    <row r="34" spans="1:11" x14ac:dyDescent="0.35">
      <c r="A34" s="22" t="s">
        <v>185</v>
      </c>
      <c r="B34" s="27" t="s">
        <v>37</v>
      </c>
      <c r="C34" s="27" t="s">
        <v>181</v>
      </c>
      <c r="D34" s="27">
        <f>(B28*10^-6)</f>
        <v>5.9999999999999995E-5</v>
      </c>
      <c r="E34" s="27">
        <f>SQRT(3)</f>
        <v>1.7320508075688772</v>
      </c>
      <c r="F34" s="27">
        <v>1000</v>
      </c>
      <c r="G34" s="27">
        <f t="shared" si="8"/>
        <v>3.4641016151377547E-5</v>
      </c>
      <c r="H34" s="27">
        <v>1</v>
      </c>
      <c r="I34" s="27">
        <f t="shared" si="10"/>
        <v>3.4641016151377547E-5</v>
      </c>
      <c r="J34" s="27">
        <f t="shared" si="11"/>
        <v>1.2E-9</v>
      </c>
      <c r="K34" s="27">
        <f t="shared" si="9"/>
        <v>1.4400000000000001E-21</v>
      </c>
    </row>
    <row r="35" spans="1:11" x14ac:dyDescent="0.35">
      <c r="A35" s="595" t="s">
        <v>186</v>
      </c>
      <c r="B35" s="595"/>
      <c r="C35" s="595"/>
      <c r="D35" s="595"/>
      <c r="E35" s="595"/>
      <c r="F35" s="595"/>
      <c r="G35" s="595"/>
      <c r="H35" s="595"/>
      <c r="I35" s="595"/>
      <c r="J35" s="27">
        <f>SUM(J30:J34)</f>
        <v>1.6669003666666675E-3</v>
      </c>
      <c r="K35" s="27">
        <f>SUM(K30:K34)</f>
        <v>2.7777784621167205E-9</v>
      </c>
    </row>
    <row r="36" spans="1:11" x14ac:dyDescent="0.35">
      <c r="A36" s="595" t="s">
        <v>187</v>
      </c>
      <c r="B36" s="595"/>
      <c r="C36" s="595"/>
      <c r="D36" s="595"/>
      <c r="E36" s="595"/>
      <c r="F36" s="595"/>
      <c r="G36" s="595"/>
      <c r="H36" s="595"/>
      <c r="I36" s="595"/>
      <c r="J36" s="27">
        <f>SQRT(J35)</f>
        <v>4.0827691174822357E-2</v>
      </c>
      <c r="K36" s="27"/>
    </row>
    <row r="37" spans="1:11" x14ac:dyDescent="0.35">
      <c r="A37" s="595" t="s">
        <v>188</v>
      </c>
      <c r="B37" s="595"/>
      <c r="C37" s="595"/>
      <c r="D37" s="595"/>
      <c r="E37" s="595"/>
      <c r="F37" s="595"/>
      <c r="G37" s="595"/>
      <c r="H37" s="595"/>
      <c r="I37" s="595"/>
      <c r="J37" s="27">
        <f>J35^2/K35</f>
        <v>1000.2802132305961</v>
      </c>
      <c r="K37" s="27"/>
    </row>
    <row r="38" spans="1:11" x14ac:dyDescent="0.35">
      <c r="A38" s="595" t="s">
        <v>189</v>
      </c>
      <c r="B38" s="595"/>
      <c r="C38" s="595"/>
      <c r="D38" s="595"/>
      <c r="E38" s="595"/>
      <c r="F38" s="595"/>
      <c r="G38" s="595"/>
      <c r="H38" s="595"/>
      <c r="I38" s="595"/>
      <c r="J38" s="27">
        <f>TINV(0.05,J37)</f>
        <v>1.9623390808264143</v>
      </c>
      <c r="K38" s="27"/>
    </row>
    <row r="39" spans="1:11" x14ac:dyDescent="0.35">
      <c r="A39" s="595" t="s">
        <v>190</v>
      </c>
      <c r="B39" s="595"/>
      <c r="C39" s="595"/>
      <c r="D39" s="595"/>
      <c r="E39" s="595"/>
      <c r="F39" s="595"/>
      <c r="G39" s="595"/>
      <c r="H39" s="595"/>
      <c r="I39" s="595"/>
      <c r="J39" s="542">
        <f>J36*J38</f>
        <v>8.0117773972265605E-2</v>
      </c>
      <c r="K39" s="26" t="s">
        <v>37</v>
      </c>
    </row>
    <row r="40" spans="1:11" ht="10.5" customHeight="1" x14ac:dyDescent="0.35"/>
    <row r="41" spans="1:11" ht="10.5" customHeight="1" x14ac:dyDescent="0.35">
      <c r="A41" s="31" t="s">
        <v>169</v>
      </c>
      <c r="B41" s="33">
        <f>ID!B47</f>
        <v>80</v>
      </c>
      <c r="C41" s="23" t="s">
        <v>37</v>
      </c>
      <c r="D41" s="32"/>
      <c r="E41" s="32"/>
      <c r="F41" s="32"/>
      <c r="G41" s="32"/>
      <c r="H41" s="32"/>
      <c r="I41" s="32"/>
      <c r="J41" s="32"/>
      <c r="K41" s="32"/>
    </row>
    <row r="42" spans="1:11" ht="17.5" customHeight="1" x14ac:dyDescent="0.45">
      <c r="A42" s="26" t="s">
        <v>170</v>
      </c>
      <c r="B42" s="26" t="s">
        <v>16</v>
      </c>
      <c r="C42" s="26" t="s">
        <v>171</v>
      </c>
      <c r="D42" s="26" t="s">
        <v>172</v>
      </c>
      <c r="E42" s="26" t="s">
        <v>141</v>
      </c>
      <c r="F42" s="26" t="s">
        <v>173</v>
      </c>
      <c r="G42" s="26" t="s">
        <v>174</v>
      </c>
      <c r="H42" s="26" t="s">
        <v>175</v>
      </c>
      <c r="I42" s="26" t="s">
        <v>176</v>
      </c>
      <c r="J42" s="26" t="s">
        <v>177</v>
      </c>
      <c r="K42" s="26" t="s">
        <v>178</v>
      </c>
    </row>
    <row r="43" spans="1:11" ht="12" customHeight="1" x14ac:dyDescent="0.35">
      <c r="A43" s="22" t="s">
        <v>179</v>
      </c>
      <c r="B43" s="27" t="s">
        <v>37</v>
      </c>
      <c r="C43" s="27" t="s">
        <v>180</v>
      </c>
      <c r="D43" s="124">
        <f>'Setifikat '!G46</f>
        <v>1.1999999999999999E-3</v>
      </c>
      <c r="E43" s="27">
        <v>2</v>
      </c>
      <c r="F43" s="27">
        <v>60</v>
      </c>
      <c r="G43" s="27">
        <f t="shared" ref="G43:G47" si="12">D43/E43</f>
        <v>5.9999999999999995E-4</v>
      </c>
      <c r="H43" s="27">
        <v>1</v>
      </c>
      <c r="I43" s="27">
        <f>G43*H43</f>
        <v>5.9999999999999995E-4</v>
      </c>
      <c r="J43" s="27">
        <f>I43^2</f>
        <v>3.5999999999999994E-7</v>
      </c>
      <c r="K43" s="27">
        <f t="shared" ref="K43:K47" si="13">(I43^4)/F43</f>
        <v>2.1599999999999992E-15</v>
      </c>
    </row>
    <row r="44" spans="1:11" ht="12.65" customHeight="1" x14ac:dyDescent="0.35">
      <c r="A44" s="123" t="s">
        <v>130</v>
      </c>
      <c r="B44" s="27" t="s">
        <v>37</v>
      </c>
      <c r="C44" s="27" t="s">
        <v>181</v>
      </c>
      <c r="D44" s="27">
        <f>D31</f>
        <v>7.0710678118654766E-2</v>
      </c>
      <c r="E44" s="27">
        <f>E19</f>
        <v>1.4142135623730951</v>
      </c>
      <c r="F44" s="27">
        <v>1000</v>
      </c>
      <c r="G44" s="27">
        <f t="shared" si="12"/>
        <v>0.05</v>
      </c>
      <c r="H44" s="27">
        <v>1</v>
      </c>
      <c r="I44" s="27">
        <f t="shared" ref="I44:I47" si="14">G44*H44</f>
        <v>0.05</v>
      </c>
      <c r="J44" s="27">
        <f t="shared" ref="J44:J47" si="15">I44^2</f>
        <v>2.5000000000000005E-3</v>
      </c>
      <c r="K44" s="27">
        <f t="shared" si="13"/>
        <v>6.250000000000003E-9</v>
      </c>
    </row>
    <row r="45" spans="1:11" ht="12.65" customHeight="1" x14ac:dyDescent="0.35">
      <c r="A45" s="123" t="s">
        <v>182</v>
      </c>
      <c r="B45" s="27" t="s">
        <v>37</v>
      </c>
      <c r="C45" s="27" t="s">
        <v>183</v>
      </c>
      <c r="D45" s="28">
        <f>D32</f>
        <v>0</v>
      </c>
      <c r="E45" s="27">
        <f>SQRT(2)</f>
        <v>1.4142135623730951</v>
      </c>
      <c r="F45" s="27">
        <v>9</v>
      </c>
      <c r="G45" s="27">
        <f t="shared" si="12"/>
        <v>0</v>
      </c>
      <c r="H45" s="27">
        <v>1</v>
      </c>
      <c r="I45" s="27">
        <f t="shared" si="14"/>
        <v>0</v>
      </c>
      <c r="J45" s="27">
        <f t="shared" si="15"/>
        <v>0</v>
      </c>
      <c r="K45" s="27">
        <f t="shared" si="13"/>
        <v>0</v>
      </c>
    </row>
    <row r="46" spans="1:11" ht="15" customHeight="1" x14ac:dyDescent="0.35">
      <c r="A46" s="22" t="s">
        <v>184</v>
      </c>
      <c r="B46" s="27" t="s">
        <v>37</v>
      </c>
      <c r="C46" s="27" t="s">
        <v>181</v>
      </c>
      <c r="D46" s="125">
        <f>'Setifikat '!G45</f>
        <v>3.9999999999999996E-4</v>
      </c>
      <c r="E46" s="27">
        <f>SQRT(3)</f>
        <v>1.7320508075688772</v>
      </c>
      <c r="F46" s="27">
        <v>1000</v>
      </c>
      <c r="G46" s="27">
        <f t="shared" si="12"/>
        <v>2.3094010767585029E-4</v>
      </c>
      <c r="H46" s="27">
        <v>1</v>
      </c>
      <c r="I46" s="27">
        <f t="shared" si="14"/>
        <v>2.3094010767585029E-4</v>
      </c>
      <c r="J46" s="27">
        <f t="shared" si="15"/>
        <v>5.3333333333333321E-8</v>
      </c>
      <c r="K46" s="27">
        <f t="shared" si="13"/>
        <v>2.8444444444444433E-18</v>
      </c>
    </row>
    <row r="47" spans="1:11" ht="16.5" customHeight="1" x14ac:dyDescent="0.35">
      <c r="A47" s="22" t="s">
        <v>185</v>
      </c>
      <c r="B47" s="27" t="s">
        <v>37</v>
      </c>
      <c r="C47" s="27" t="s">
        <v>181</v>
      </c>
      <c r="D47" s="27">
        <f>(B41*10^-6)</f>
        <v>7.9999999999999993E-5</v>
      </c>
      <c r="E47" s="27">
        <f>SQRT(3)</f>
        <v>1.7320508075688772</v>
      </c>
      <c r="F47" s="27">
        <v>1000</v>
      </c>
      <c r="G47" s="27">
        <f t="shared" si="12"/>
        <v>4.6188021535170063E-5</v>
      </c>
      <c r="H47" s="27">
        <v>1</v>
      </c>
      <c r="I47" s="27">
        <f t="shared" si="14"/>
        <v>4.6188021535170063E-5</v>
      </c>
      <c r="J47" s="27">
        <f t="shared" si="15"/>
        <v>2.1333333333333334E-9</v>
      </c>
      <c r="K47" s="27">
        <f t="shared" si="13"/>
        <v>4.5511111111111113E-21</v>
      </c>
    </row>
    <row r="48" spans="1:11" ht="10.5" customHeight="1" x14ac:dyDescent="0.35">
      <c r="A48" s="595" t="s">
        <v>186</v>
      </c>
      <c r="B48" s="595"/>
      <c r="C48" s="595"/>
      <c r="D48" s="595"/>
      <c r="E48" s="595"/>
      <c r="F48" s="595"/>
      <c r="G48" s="595"/>
      <c r="H48" s="595"/>
      <c r="I48" s="595"/>
      <c r="J48" s="27">
        <f>SUM(J43:J47)</f>
        <v>2.5004154666666673E-3</v>
      </c>
      <c r="K48" s="27">
        <f>SUM(K43:K47)</f>
        <v>6.250002162848998E-9</v>
      </c>
    </row>
    <row r="49" spans="1:11" ht="10.5" customHeight="1" x14ac:dyDescent="0.35">
      <c r="A49" s="595" t="s">
        <v>187</v>
      </c>
      <c r="B49" s="595"/>
      <c r="C49" s="595"/>
      <c r="D49" s="595"/>
      <c r="E49" s="595"/>
      <c r="F49" s="595"/>
      <c r="G49" s="595"/>
      <c r="H49" s="595"/>
      <c r="I49" s="595"/>
      <c r="J49" s="27">
        <f>SQRT(J48)</f>
        <v>5.0004154494068462E-2</v>
      </c>
      <c r="K49" s="27"/>
    </row>
    <row r="50" spans="1:11" ht="10.5" customHeight="1" x14ac:dyDescent="0.35">
      <c r="A50" s="595" t="s">
        <v>188</v>
      </c>
      <c r="B50" s="595"/>
      <c r="C50" s="595"/>
      <c r="D50" s="595"/>
      <c r="E50" s="595"/>
      <c r="F50" s="595"/>
      <c r="G50" s="595"/>
      <c r="H50" s="595"/>
      <c r="I50" s="595"/>
      <c r="J50" s="27">
        <f>J48^2/K48</f>
        <v>1000.3320547805928</v>
      </c>
      <c r="K50" s="27"/>
    </row>
    <row r="51" spans="1:11" ht="10.5" customHeight="1" x14ac:dyDescent="0.35">
      <c r="A51" s="595" t="s">
        <v>189</v>
      </c>
      <c r="B51" s="595"/>
      <c r="C51" s="595"/>
      <c r="D51" s="595"/>
      <c r="E51" s="595"/>
      <c r="F51" s="595"/>
      <c r="G51" s="595"/>
      <c r="H51" s="595"/>
      <c r="I51" s="595"/>
      <c r="J51" s="27">
        <f>TINV(0.05,J50)</f>
        <v>1.9623390808264143</v>
      </c>
      <c r="K51" s="27"/>
    </row>
    <row r="52" spans="1:11" ht="10.5" customHeight="1" x14ac:dyDescent="0.35">
      <c r="A52" s="595" t="s">
        <v>190</v>
      </c>
      <c r="B52" s="595"/>
      <c r="C52" s="595"/>
      <c r="D52" s="595"/>
      <c r="E52" s="595"/>
      <c r="F52" s="595"/>
      <c r="G52" s="595"/>
      <c r="H52" s="595"/>
      <c r="I52" s="595"/>
      <c r="J52" s="542">
        <f>J49*J51</f>
        <v>9.8125106567392317E-2</v>
      </c>
      <c r="K52" s="26" t="s">
        <v>37</v>
      </c>
    </row>
    <row r="53" spans="1:11" x14ac:dyDescent="0.35">
      <c r="A53" s="31" t="s">
        <v>169</v>
      </c>
      <c r="B53" s="33">
        <f>ID!B48</f>
        <v>100</v>
      </c>
      <c r="C53" s="23" t="s">
        <v>37</v>
      </c>
      <c r="D53" s="32"/>
      <c r="E53" s="32"/>
      <c r="F53" s="32"/>
      <c r="G53" s="32"/>
      <c r="H53" s="32"/>
      <c r="I53" s="32"/>
      <c r="J53" s="32"/>
      <c r="K53" s="32"/>
    </row>
    <row r="54" spans="1:11" ht="17.5" x14ac:dyDescent="0.45">
      <c r="A54" s="26" t="s">
        <v>170</v>
      </c>
      <c r="B54" s="26" t="s">
        <v>16</v>
      </c>
      <c r="C54" s="26" t="s">
        <v>171</v>
      </c>
      <c r="D54" s="26" t="s">
        <v>172</v>
      </c>
      <c r="E54" s="26" t="s">
        <v>141</v>
      </c>
      <c r="F54" s="26" t="s">
        <v>173</v>
      </c>
      <c r="G54" s="26" t="s">
        <v>174</v>
      </c>
      <c r="H54" s="26" t="s">
        <v>175</v>
      </c>
      <c r="I54" s="26" t="s">
        <v>176</v>
      </c>
      <c r="J54" s="26" t="s">
        <v>177</v>
      </c>
      <c r="K54" s="26" t="s">
        <v>178</v>
      </c>
    </row>
    <row r="55" spans="1:11" x14ac:dyDescent="0.35">
      <c r="A55" s="22" t="s">
        <v>179</v>
      </c>
      <c r="B55" s="27" t="s">
        <v>37</v>
      </c>
      <c r="C55" s="27" t="s">
        <v>180</v>
      </c>
      <c r="D55" s="124">
        <f>'Setifikat '!G55</f>
        <v>1.4999999999999998E-3</v>
      </c>
      <c r="E55" s="27">
        <v>2</v>
      </c>
      <c r="F55" s="27">
        <v>60</v>
      </c>
      <c r="G55" s="27">
        <f t="shared" ref="G55:G59" si="16">D55/E55</f>
        <v>7.4999999999999991E-4</v>
      </c>
      <c r="H55" s="27">
        <v>1</v>
      </c>
      <c r="I55" s="27">
        <f>G55*H55</f>
        <v>7.4999999999999991E-4</v>
      </c>
      <c r="J55" s="27">
        <f>I55^2</f>
        <v>5.6249999999999991E-7</v>
      </c>
      <c r="K55" s="27">
        <f t="shared" ref="K55:K59" si="17">(I55^4)/F55</f>
        <v>5.2734374999999988E-15</v>
      </c>
    </row>
    <row r="56" spans="1:11" x14ac:dyDescent="0.35">
      <c r="A56" s="123" t="s">
        <v>130</v>
      </c>
      <c r="B56" s="27" t="s">
        <v>37</v>
      </c>
      <c r="C56" s="27" t="s">
        <v>181</v>
      </c>
      <c r="D56" s="27">
        <f>(0.5*ID!D7)*SQRT(2)</f>
        <v>7.0710678118654766E-2</v>
      </c>
      <c r="E56" s="27">
        <f>E31</f>
        <v>1.7320508075688772</v>
      </c>
      <c r="F56" s="27">
        <v>1000</v>
      </c>
      <c r="G56" s="27">
        <f t="shared" si="16"/>
        <v>4.0824829046386311E-2</v>
      </c>
      <c r="H56" s="27">
        <v>1</v>
      </c>
      <c r="I56" s="27">
        <f t="shared" ref="I56:I59" si="18">G56*H56</f>
        <v>4.0824829046386311E-2</v>
      </c>
      <c r="J56" s="27">
        <f t="shared" ref="J56:J59" si="19">I56^2</f>
        <v>1.6666666666666674E-3</v>
      </c>
      <c r="K56" s="27">
        <f t="shared" si="17"/>
        <v>2.7777777777777805E-9</v>
      </c>
    </row>
    <row r="57" spans="1:11" x14ac:dyDescent="0.35">
      <c r="A57" s="123" t="s">
        <v>182</v>
      </c>
      <c r="B57" s="27" t="s">
        <v>37</v>
      </c>
      <c r="C57" s="27" t="s">
        <v>183</v>
      </c>
      <c r="D57" s="28">
        <f>(ID!$H$40)</f>
        <v>0</v>
      </c>
      <c r="E57" s="27">
        <f>SQRT(2)</f>
        <v>1.4142135623730951</v>
      </c>
      <c r="F57" s="27">
        <v>9</v>
      </c>
      <c r="G57" s="27">
        <f t="shared" si="16"/>
        <v>0</v>
      </c>
      <c r="H57" s="27">
        <v>1</v>
      </c>
      <c r="I57" s="27">
        <f t="shared" si="18"/>
        <v>0</v>
      </c>
      <c r="J57" s="27">
        <f t="shared" si="19"/>
        <v>0</v>
      </c>
      <c r="K57" s="27">
        <f t="shared" si="17"/>
        <v>0</v>
      </c>
    </row>
    <row r="58" spans="1:11" x14ac:dyDescent="0.35">
      <c r="A58" s="22" t="s">
        <v>184</v>
      </c>
      <c r="B58" s="27" t="s">
        <v>37</v>
      </c>
      <c r="C58" s="27" t="s">
        <v>181</v>
      </c>
      <c r="D58" s="125">
        <f>'Setifikat '!G54</f>
        <v>5.0000000000000001E-4</v>
      </c>
      <c r="E58" s="27">
        <f>SQRT(3)</f>
        <v>1.7320508075688772</v>
      </c>
      <c r="F58" s="27">
        <v>1000</v>
      </c>
      <c r="G58" s="27">
        <f t="shared" si="16"/>
        <v>2.886751345948129E-4</v>
      </c>
      <c r="H58" s="27">
        <v>1</v>
      </c>
      <c r="I58" s="27">
        <f t="shared" si="18"/>
        <v>2.886751345948129E-4</v>
      </c>
      <c r="J58" s="27">
        <f t="shared" si="19"/>
        <v>8.3333333333333338E-8</v>
      </c>
      <c r="K58" s="27">
        <f t="shared" si="17"/>
        <v>6.944444444444445E-18</v>
      </c>
    </row>
    <row r="59" spans="1:11" x14ac:dyDescent="0.35">
      <c r="A59" s="22" t="s">
        <v>185</v>
      </c>
      <c r="B59" s="27" t="s">
        <v>37</v>
      </c>
      <c r="C59" s="27" t="s">
        <v>181</v>
      </c>
      <c r="D59" s="27">
        <f>(B53*10^-6)</f>
        <v>9.9999999999999991E-5</v>
      </c>
      <c r="E59" s="27">
        <f>SQRT(3)</f>
        <v>1.7320508075688772</v>
      </c>
      <c r="F59" s="27">
        <v>1000</v>
      </c>
      <c r="G59" s="27">
        <f t="shared" si="16"/>
        <v>5.7735026918962572E-5</v>
      </c>
      <c r="H59" s="27">
        <v>1</v>
      </c>
      <c r="I59" s="27">
        <f t="shared" si="18"/>
        <v>5.7735026918962572E-5</v>
      </c>
      <c r="J59" s="27">
        <f t="shared" si="19"/>
        <v>3.3333333333333326E-9</v>
      </c>
      <c r="K59" s="27">
        <f t="shared" si="17"/>
        <v>1.1111111111111107E-20</v>
      </c>
    </row>
    <row r="60" spans="1:11" x14ac:dyDescent="0.35">
      <c r="A60" s="595" t="s">
        <v>186</v>
      </c>
      <c r="B60" s="595"/>
      <c r="C60" s="595"/>
      <c r="D60" s="595"/>
      <c r="E60" s="595"/>
      <c r="F60" s="595"/>
      <c r="G60" s="595"/>
      <c r="H60" s="595"/>
      <c r="I60" s="595"/>
      <c r="J60" s="27">
        <f>SUM(J55:J59)</f>
        <v>1.6673158333333339E-3</v>
      </c>
      <c r="K60" s="27">
        <f>SUM(K55:K59)</f>
        <v>2.7777830581708359E-9</v>
      </c>
    </row>
    <row r="61" spans="1:11" x14ac:dyDescent="0.35">
      <c r="A61" s="595" t="s">
        <v>187</v>
      </c>
      <c r="B61" s="595"/>
      <c r="C61" s="595"/>
      <c r="D61" s="595"/>
      <c r="E61" s="595"/>
      <c r="F61" s="595"/>
      <c r="G61" s="595"/>
      <c r="H61" s="595"/>
      <c r="I61" s="595"/>
      <c r="J61" s="27">
        <f>SQRT(J60)</f>
        <v>4.0832778907800703E-2</v>
      </c>
      <c r="K61" s="27"/>
    </row>
    <row r="62" spans="1:11" x14ac:dyDescent="0.35">
      <c r="A62" s="595" t="s">
        <v>188</v>
      </c>
      <c r="B62" s="595"/>
      <c r="C62" s="595"/>
      <c r="D62" s="595"/>
      <c r="E62" s="595"/>
      <c r="F62" s="595"/>
      <c r="G62" s="595"/>
      <c r="H62" s="595"/>
      <c r="I62" s="595"/>
      <c r="J62" s="27">
        <f>J60^2/K60</f>
        <v>1000.7772492912443</v>
      </c>
      <c r="K62" s="27"/>
    </row>
    <row r="63" spans="1:11" x14ac:dyDescent="0.35">
      <c r="A63" s="595" t="s">
        <v>189</v>
      </c>
      <c r="B63" s="595"/>
      <c r="C63" s="595"/>
      <c r="D63" s="595"/>
      <c r="E63" s="595"/>
      <c r="F63" s="595"/>
      <c r="G63" s="595"/>
      <c r="H63" s="595"/>
      <c r="I63" s="595"/>
      <c r="J63" s="27">
        <f>TINV(0.05,J62)</f>
        <v>1.9623390808264143</v>
      </c>
      <c r="K63" s="27"/>
    </row>
    <row r="64" spans="1:11" x14ac:dyDescent="0.35">
      <c r="A64" s="595" t="s">
        <v>190</v>
      </c>
      <c r="B64" s="595"/>
      <c r="C64" s="595"/>
      <c r="D64" s="595"/>
      <c r="E64" s="595"/>
      <c r="F64" s="595"/>
      <c r="G64" s="595"/>
      <c r="H64" s="595"/>
      <c r="I64" s="595"/>
      <c r="J64" s="542">
        <f>J61*J63</f>
        <v>8.0127757829521834E-2</v>
      </c>
      <c r="K64" s="26" t="s">
        <v>37</v>
      </c>
    </row>
    <row r="65" spans="1:11" ht="10.5" customHeight="1" x14ac:dyDescent="0.35"/>
    <row r="66" spans="1:11" ht="10.5" hidden="1" customHeight="1" x14ac:dyDescent="0.35">
      <c r="A66" s="7" t="s">
        <v>169</v>
      </c>
      <c r="B66" s="7" t="e">
        <f>ID!#REF!</f>
        <v>#REF!</v>
      </c>
      <c r="C66" s="7" t="s">
        <v>37</v>
      </c>
    </row>
    <row r="67" spans="1:11" ht="16" hidden="1" customHeight="1" x14ac:dyDescent="0.45">
      <c r="A67" s="26" t="s">
        <v>170</v>
      </c>
      <c r="B67" s="26" t="s">
        <v>16</v>
      </c>
      <c r="C67" s="26" t="s">
        <v>171</v>
      </c>
      <c r="D67" s="26" t="s">
        <v>172</v>
      </c>
      <c r="E67" s="26" t="s">
        <v>141</v>
      </c>
      <c r="F67" s="26" t="s">
        <v>173</v>
      </c>
      <c r="G67" s="26" t="s">
        <v>174</v>
      </c>
      <c r="H67" s="26" t="s">
        <v>175</v>
      </c>
      <c r="I67" s="26" t="s">
        <v>176</v>
      </c>
      <c r="J67" s="26" t="s">
        <v>177</v>
      </c>
      <c r="K67" s="26" t="s">
        <v>178</v>
      </c>
    </row>
    <row r="68" spans="1:11" ht="13" hidden="1" customHeight="1" x14ac:dyDescent="0.35">
      <c r="A68" s="22" t="s">
        <v>179</v>
      </c>
      <c r="B68" s="27" t="s">
        <v>37</v>
      </c>
      <c r="C68" s="27" t="s">
        <v>180</v>
      </c>
      <c r="D68" s="125">
        <f>'Setifikat '!G65</f>
        <v>1.7999999999999997E-3</v>
      </c>
      <c r="E68" s="27">
        <v>2</v>
      </c>
      <c r="F68" s="27">
        <v>60</v>
      </c>
      <c r="G68" s="27">
        <f>D68/E68</f>
        <v>8.9999999999999987E-4</v>
      </c>
      <c r="H68" s="27">
        <v>1</v>
      </c>
      <c r="I68" s="27">
        <f>G68*H68</f>
        <v>8.9999999999999987E-4</v>
      </c>
      <c r="J68" s="27">
        <f>I68^2</f>
        <v>8.0999999999999976E-7</v>
      </c>
      <c r="K68" s="27">
        <f>(I68^4)/F68</f>
        <v>1.0934999999999993E-14</v>
      </c>
    </row>
    <row r="69" spans="1:11" ht="13" hidden="1" customHeight="1" x14ac:dyDescent="0.35">
      <c r="A69" s="123" t="s">
        <v>130</v>
      </c>
      <c r="B69" s="27" t="s">
        <v>37</v>
      </c>
      <c r="C69" s="27" t="s">
        <v>181</v>
      </c>
      <c r="D69" s="27">
        <f>D56</f>
        <v>7.0710678118654766E-2</v>
      </c>
      <c r="E69" s="27">
        <f>E43</f>
        <v>2</v>
      </c>
      <c r="F69" s="27">
        <v>1000</v>
      </c>
      <c r="G69" s="27">
        <f t="shared" ref="G69:G72" si="20">D69/E69</f>
        <v>3.5355339059327383E-2</v>
      </c>
      <c r="H69" s="27">
        <v>1</v>
      </c>
      <c r="I69" s="27">
        <f t="shared" ref="I69:I72" si="21">G69*H69</f>
        <v>3.5355339059327383E-2</v>
      </c>
      <c r="J69" s="27">
        <f t="shared" ref="J69:J72" si="22">I69^2</f>
        <v>1.2500000000000005E-3</v>
      </c>
      <c r="K69" s="27">
        <f t="shared" ref="K69:K72" si="23">(I69^4)/F69</f>
        <v>1.5625000000000012E-9</v>
      </c>
    </row>
    <row r="70" spans="1:11" ht="13" hidden="1" customHeight="1" x14ac:dyDescent="0.35">
      <c r="A70" s="123" t="s">
        <v>182</v>
      </c>
      <c r="B70" s="27" t="s">
        <v>37</v>
      </c>
      <c r="C70" s="27" t="s">
        <v>183</v>
      </c>
      <c r="D70" s="28">
        <f>(ID!$H$40)</f>
        <v>0</v>
      </c>
      <c r="E70" s="27">
        <f>SQRT(2)</f>
        <v>1.4142135623730951</v>
      </c>
      <c r="F70" s="27">
        <v>9</v>
      </c>
      <c r="G70" s="27">
        <f t="shared" si="20"/>
        <v>0</v>
      </c>
      <c r="H70" s="27">
        <v>1</v>
      </c>
      <c r="I70" s="27">
        <f t="shared" si="21"/>
        <v>0</v>
      </c>
      <c r="J70" s="27">
        <f t="shared" si="22"/>
        <v>0</v>
      </c>
      <c r="K70" s="27">
        <f t="shared" si="23"/>
        <v>0</v>
      </c>
    </row>
    <row r="71" spans="1:11" ht="13" hidden="1" customHeight="1" x14ac:dyDescent="0.35">
      <c r="A71" s="22" t="s">
        <v>184</v>
      </c>
      <c r="B71" s="27" t="s">
        <v>37</v>
      </c>
      <c r="C71" s="27" t="s">
        <v>181</v>
      </c>
      <c r="D71" s="125">
        <f>'Setifikat '!G64</f>
        <v>6.0000000000000006E-4</v>
      </c>
      <c r="E71" s="27">
        <f>SQRT(3)</f>
        <v>1.7320508075688772</v>
      </c>
      <c r="F71" s="27">
        <v>1000</v>
      </c>
      <c r="G71" s="27">
        <f t="shared" si="20"/>
        <v>3.4641016151377551E-4</v>
      </c>
      <c r="H71" s="27">
        <v>1</v>
      </c>
      <c r="I71" s="27">
        <f t="shared" si="21"/>
        <v>3.4641016151377551E-4</v>
      </c>
      <c r="J71" s="27">
        <f t="shared" si="22"/>
        <v>1.2000000000000004E-7</v>
      </c>
      <c r="K71" s="27">
        <f t="shared" si="23"/>
        <v>1.440000000000001E-17</v>
      </c>
    </row>
    <row r="72" spans="1:11" ht="12" hidden="1" customHeight="1" x14ac:dyDescent="0.35">
      <c r="A72" s="22" t="s">
        <v>185</v>
      </c>
      <c r="B72" s="27" t="s">
        <v>37</v>
      </c>
      <c r="C72" s="27" t="s">
        <v>181</v>
      </c>
      <c r="D72" s="27" t="e">
        <f>(B66*10^-6)</f>
        <v>#REF!</v>
      </c>
      <c r="E72" s="27">
        <f>SQRT(3)</f>
        <v>1.7320508075688772</v>
      </c>
      <c r="F72" s="27">
        <v>1000</v>
      </c>
      <c r="G72" s="27" t="e">
        <f t="shared" si="20"/>
        <v>#REF!</v>
      </c>
      <c r="H72" s="27">
        <v>1</v>
      </c>
      <c r="I72" s="27" t="e">
        <f t="shared" si="21"/>
        <v>#REF!</v>
      </c>
      <c r="J72" s="27" t="e">
        <f t="shared" si="22"/>
        <v>#REF!</v>
      </c>
      <c r="K72" s="27" t="e">
        <f t="shared" si="23"/>
        <v>#REF!</v>
      </c>
    </row>
    <row r="73" spans="1:11" ht="12" hidden="1" customHeight="1" x14ac:dyDescent="0.35">
      <c r="A73" s="595" t="s">
        <v>186</v>
      </c>
      <c r="B73" s="595"/>
      <c r="C73" s="595"/>
      <c r="D73" s="595"/>
      <c r="E73" s="595"/>
      <c r="F73" s="595"/>
      <c r="G73" s="595"/>
      <c r="H73" s="595"/>
      <c r="I73" s="595"/>
      <c r="J73" s="27" t="e">
        <f>SUM(J68:J72)</f>
        <v>#REF!</v>
      </c>
      <c r="K73" s="27" t="e">
        <f>SUM(K68:K72)</f>
        <v>#REF!</v>
      </c>
    </row>
    <row r="74" spans="1:11" ht="14.5" hidden="1" customHeight="1" x14ac:dyDescent="0.35">
      <c r="A74" s="595" t="s">
        <v>187</v>
      </c>
      <c r="B74" s="595"/>
      <c r="C74" s="595"/>
      <c r="D74" s="595"/>
      <c r="E74" s="595"/>
      <c r="F74" s="595"/>
      <c r="G74" s="595"/>
      <c r="H74" s="595"/>
      <c r="I74" s="595"/>
      <c r="J74" s="27" t="e">
        <f>SQRT(J73)</f>
        <v>#REF!</v>
      </c>
      <c r="K74" s="27"/>
    </row>
    <row r="75" spans="1:11" ht="14.5" hidden="1" customHeight="1" x14ac:dyDescent="0.35">
      <c r="A75" s="595" t="s">
        <v>188</v>
      </c>
      <c r="B75" s="595"/>
      <c r="C75" s="595"/>
      <c r="D75" s="595"/>
      <c r="E75" s="595"/>
      <c r="F75" s="595"/>
      <c r="G75" s="595"/>
      <c r="H75" s="595"/>
      <c r="I75" s="595"/>
      <c r="J75" s="27" t="e">
        <f>J73^2/K73</f>
        <v>#REF!</v>
      </c>
      <c r="K75" s="27"/>
    </row>
    <row r="76" spans="1:11" ht="14.5" hidden="1" customHeight="1" x14ac:dyDescent="0.35">
      <c r="A76" s="595" t="s">
        <v>189</v>
      </c>
      <c r="B76" s="595"/>
      <c r="C76" s="595"/>
      <c r="D76" s="595"/>
      <c r="E76" s="595"/>
      <c r="F76" s="595"/>
      <c r="G76" s="595"/>
      <c r="H76" s="595"/>
      <c r="I76" s="595"/>
      <c r="J76" s="27" t="e">
        <f>TINV(0.05,J75)</f>
        <v>#REF!</v>
      </c>
      <c r="K76" s="27"/>
    </row>
    <row r="77" spans="1:11" ht="13" hidden="1" customHeight="1" x14ac:dyDescent="0.35">
      <c r="A77" s="595" t="s">
        <v>190</v>
      </c>
      <c r="B77" s="595"/>
      <c r="C77" s="595"/>
      <c r="D77" s="595"/>
      <c r="E77" s="595"/>
      <c r="F77" s="595"/>
      <c r="G77" s="595"/>
      <c r="H77" s="595"/>
      <c r="I77" s="595"/>
      <c r="J77" s="30" t="e">
        <f>J74*J76</f>
        <v>#REF!</v>
      </c>
      <c r="K77" s="26" t="s">
        <v>37</v>
      </c>
    </row>
    <row r="78" spans="1:11" ht="7" hidden="1" customHeight="1" x14ac:dyDescent="0.35"/>
    <row r="79" spans="1:11" ht="10.5" hidden="1" customHeight="1" x14ac:dyDescent="0.35">
      <c r="A79" s="7" t="s">
        <v>169</v>
      </c>
      <c r="B79" s="7" t="e">
        <f>ID!#REF!</f>
        <v>#REF!</v>
      </c>
      <c r="C79" s="7" t="s">
        <v>37</v>
      </c>
    </row>
    <row r="80" spans="1:11" ht="13" hidden="1" customHeight="1" x14ac:dyDescent="0.45">
      <c r="A80" s="26" t="s">
        <v>170</v>
      </c>
      <c r="B80" s="26" t="s">
        <v>16</v>
      </c>
      <c r="C80" s="26" t="s">
        <v>171</v>
      </c>
      <c r="D80" s="26" t="s">
        <v>172</v>
      </c>
      <c r="E80" s="26" t="s">
        <v>141</v>
      </c>
      <c r="F80" s="26" t="s">
        <v>173</v>
      </c>
      <c r="G80" s="26" t="s">
        <v>174</v>
      </c>
      <c r="H80" s="26" t="s">
        <v>175</v>
      </c>
      <c r="I80" s="26" t="s">
        <v>176</v>
      </c>
      <c r="J80" s="26" t="s">
        <v>177</v>
      </c>
      <c r="K80" s="26" t="s">
        <v>178</v>
      </c>
    </row>
    <row r="81" spans="1:11" ht="12.65" hidden="1" customHeight="1" x14ac:dyDescent="0.35">
      <c r="A81" s="22" t="s">
        <v>179</v>
      </c>
      <c r="B81" s="27" t="s">
        <v>37</v>
      </c>
      <c r="C81" s="27" t="s">
        <v>180</v>
      </c>
      <c r="D81" s="125">
        <f>'Setifikat '!G76</f>
        <v>2.0999999999999999E-3</v>
      </c>
      <c r="E81" s="27">
        <v>2</v>
      </c>
      <c r="F81" s="27">
        <v>60</v>
      </c>
      <c r="G81" s="27">
        <f>D81/E81</f>
        <v>1.0499999999999999E-3</v>
      </c>
      <c r="H81" s="27">
        <v>1</v>
      </c>
      <c r="I81" s="27">
        <f>G81*H81</f>
        <v>1.0499999999999999E-3</v>
      </c>
      <c r="J81" s="27">
        <f>I81^2</f>
        <v>1.1024999999999998E-6</v>
      </c>
      <c r="K81" s="27">
        <f>(I81^4)/F81</f>
        <v>2.0258437499999994E-14</v>
      </c>
    </row>
    <row r="82" spans="1:11" ht="15" hidden="1" customHeight="1" x14ac:dyDescent="0.35">
      <c r="A82" s="123" t="s">
        <v>130</v>
      </c>
      <c r="B82" s="27" t="s">
        <v>37</v>
      </c>
      <c r="C82" s="27" t="s">
        <v>181</v>
      </c>
      <c r="D82" s="27">
        <f>D56</f>
        <v>7.0710678118654766E-2</v>
      </c>
      <c r="E82" s="27">
        <f>E43</f>
        <v>2</v>
      </c>
      <c r="F82" s="27">
        <v>1000</v>
      </c>
      <c r="G82" s="27">
        <f t="shared" ref="G82:G85" si="24">D82/E82</f>
        <v>3.5355339059327383E-2</v>
      </c>
      <c r="H82" s="27">
        <v>1</v>
      </c>
      <c r="I82" s="27">
        <f t="shared" ref="I82:I85" si="25">G82*H82</f>
        <v>3.5355339059327383E-2</v>
      </c>
      <c r="J82" s="27">
        <f t="shared" ref="J82:J85" si="26">I82^2</f>
        <v>1.2500000000000005E-3</v>
      </c>
      <c r="K82" s="27">
        <f t="shared" ref="K82:K85" si="27">(I82^4)/F82</f>
        <v>1.5625000000000012E-9</v>
      </c>
    </row>
    <row r="83" spans="1:11" ht="12.65" hidden="1" customHeight="1" x14ac:dyDescent="0.35">
      <c r="A83" s="123" t="s">
        <v>182</v>
      </c>
      <c r="B83" s="27" t="s">
        <v>37</v>
      </c>
      <c r="C83" s="27" t="s">
        <v>183</v>
      </c>
      <c r="D83" s="28">
        <f>(ID!$H$40)</f>
        <v>0</v>
      </c>
      <c r="E83" s="27">
        <f>SQRT(2)</f>
        <v>1.4142135623730951</v>
      </c>
      <c r="F83" s="27">
        <v>9</v>
      </c>
      <c r="G83" s="27">
        <f t="shared" si="24"/>
        <v>0</v>
      </c>
      <c r="H83" s="27">
        <v>1</v>
      </c>
      <c r="I83" s="27">
        <f t="shared" si="25"/>
        <v>0</v>
      </c>
      <c r="J83" s="27">
        <f t="shared" si="26"/>
        <v>0</v>
      </c>
      <c r="K83" s="27">
        <f t="shared" si="27"/>
        <v>0</v>
      </c>
    </row>
    <row r="84" spans="1:11" ht="14.5" hidden="1" customHeight="1" x14ac:dyDescent="0.35">
      <c r="A84" s="22" t="s">
        <v>184</v>
      </c>
      <c r="B84" s="27" t="s">
        <v>37</v>
      </c>
      <c r="C84" s="27" t="s">
        <v>181</v>
      </c>
      <c r="D84" s="125">
        <f>'Setifikat '!G75</f>
        <v>7.000000000000001E-4</v>
      </c>
      <c r="E84" s="27">
        <f>SQRT(3)</f>
        <v>1.7320508075688772</v>
      </c>
      <c r="F84" s="27">
        <v>1000</v>
      </c>
      <c r="G84" s="27">
        <f t="shared" si="24"/>
        <v>4.0414518843273812E-4</v>
      </c>
      <c r="H84" s="27">
        <v>1</v>
      </c>
      <c r="I84" s="27">
        <f t="shared" si="25"/>
        <v>4.0414518843273812E-4</v>
      </c>
      <c r="J84" s="27">
        <f t="shared" si="26"/>
        <v>1.6333333333333339E-7</v>
      </c>
      <c r="K84" s="27">
        <f t="shared" si="27"/>
        <v>2.6677777777777797E-17</v>
      </c>
    </row>
    <row r="85" spans="1:11" ht="12.65" hidden="1" customHeight="1" x14ac:dyDescent="0.35">
      <c r="A85" s="22" t="s">
        <v>185</v>
      </c>
      <c r="B85" s="27" t="s">
        <v>37</v>
      </c>
      <c r="C85" s="27" t="s">
        <v>181</v>
      </c>
      <c r="D85" s="27" t="e">
        <f>(B79*10^-6)</f>
        <v>#REF!</v>
      </c>
      <c r="E85" s="27">
        <f>SQRT(3)</f>
        <v>1.7320508075688772</v>
      </c>
      <c r="F85" s="27">
        <v>1000</v>
      </c>
      <c r="G85" s="27" t="e">
        <f t="shared" si="24"/>
        <v>#REF!</v>
      </c>
      <c r="H85" s="27">
        <v>1</v>
      </c>
      <c r="I85" s="27" t="e">
        <f t="shared" si="25"/>
        <v>#REF!</v>
      </c>
      <c r="J85" s="27" t="e">
        <f t="shared" si="26"/>
        <v>#REF!</v>
      </c>
      <c r="K85" s="27" t="e">
        <f t="shared" si="27"/>
        <v>#REF!</v>
      </c>
    </row>
    <row r="86" spans="1:11" ht="13.5" hidden="1" customHeight="1" x14ac:dyDescent="0.35">
      <c r="A86" s="597" t="s">
        <v>186</v>
      </c>
      <c r="B86" s="598"/>
      <c r="C86" s="598"/>
      <c r="D86" s="598"/>
      <c r="E86" s="598"/>
      <c r="F86" s="598"/>
      <c r="G86" s="598"/>
      <c r="H86" s="598"/>
      <c r="I86" s="599"/>
      <c r="J86" s="27" t="e">
        <f>SUM(J81:J85)</f>
        <v>#REF!</v>
      </c>
      <c r="K86" s="27" t="e">
        <f>SUM(K81:K85)</f>
        <v>#REF!</v>
      </c>
    </row>
    <row r="87" spans="1:11" ht="14.15" hidden="1" customHeight="1" x14ac:dyDescent="0.35">
      <c r="A87" s="597" t="s">
        <v>187</v>
      </c>
      <c r="B87" s="598"/>
      <c r="C87" s="598"/>
      <c r="D87" s="598"/>
      <c r="E87" s="598"/>
      <c r="F87" s="598"/>
      <c r="G87" s="598"/>
      <c r="H87" s="598"/>
      <c r="I87" s="599"/>
      <c r="J87" s="27" t="e">
        <f>SQRT(J86)</f>
        <v>#REF!</v>
      </c>
      <c r="K87" s="27"/>
    </row>
    <row r="88" spans="1:11" ht="13" hidden="1" customHeight="1" x14ac:dyDescent="0.35">
      <c r="A88" s="597" t="s">
        <v>188</v>
      </c>
      <c r="B88" s="598"/>
      <c r="C88" s="598"/>
      <c r="D88" s="598"/>
      <c r="E88" s="598"/>
      <c r="F88" s="598"/>
      <c r="G88" s="598"/>
      <c r="H88" s="598"/>
      <c r="I88" s="599"/>
      <c r="J88" s="27" t="e">
        <f>J86^2/K86</f>
        <v>#REF!</v>
      </c>
      <c r="K88" s="27"/>
    </row>
    <row r="89" spans="1:11" ht="14.5" hidden="1" customHeight="1" x14ac:dyDescent="0.35">
      <c r="A89" s="597" t="s">
        <v>189</v>
      </c>
      <c r="B89" s="598"/>
      <c r="C89" s="598"/>
      <c r="D89" s="598"/>
      <c r="E89" s="598"/>
      <c r="F89" s="598"/>
      <c r="G89" s="598"/>
      <c r="H89" s="598"/>
      <c r="I89" s="599"/>
      <c r="J89" s="27" t="e">
        <f>TINV(0.05,J88)</f>
        <v>#REF!</v>
      </c>
      <c r="K89" s="27"/>
    </row>
    <row r="90" spans="1:11" ht="10.5" hidden="1" customHeight="1" x14ac:dyDescent="0.35">
      <c r="A90" s="597" t="s">
        <v>190</v>
      </c>
      <c r="B90" s="598"/>
      <c r="C90" s="598"/>
      <c r="D90" s="598"/>
      <c r="E90" s="598"/>
      <c r="F90" s="598"/>
      <c r="G90" s="598"/>
      <c r="H90" s="598"/>
      <c r="I90" s="599"/>
      <c r="J90" s="30" t="e">
        <f>J87*J89</f>
        <v>#REF!</v>
      </c>
      <c r="K90" s="26" t="s">
        <v>37</v>
      </c>
    </row>
    <row r="91" spans="1:11" x14ac:dyDescent="0.35">
      <c r="A91" s="9" t="s">
        <v>191</v>
      </c>
      <c r="B91" s="10"/>
      <c r="C91" s="11">
        <f>ID!J44</f>
        <v>0.70112899999999456</v>
      </c>
      <c r="D91" s="12" t="s">
        <v>37</v>
      </c>
    </row>
    <row r="92" spans="1:11" x14ac:dyDescent="0.35">
      <c r="A92" s="13" t="s">
        <v>192</v>
      </c>
      <c r="B92" s="7"/>
      <c r="C92" s="14">
        <f>MAX(PENYELIA!J31:L35)</f>
        <v>9.8125106567392317E-2</v>
      </c>
      <c r="D92" s="15" t="s">
        <v>37</v>
      </c>
    </row>
    <row r="93" spans="1:11" x14ac:dyDescent="0.35">
      <c r="A93" s="16" t="s">
        <v>193</v>
      </c>
      <c r="B93" s="17"/>
      <c r="C93" s="18">
        <f>C91+(C92)</f>
        <v>0.79925410656738682</v>
      </c>
      <c r="D93" s="19" t="s">
        <v>37</v>
      </c>
    </row>
    <row r="96" spans="1:11" x14ac:dyDescent="0.35">
      <c r="B96" s="8" t="s">
        <v>194</v>
      </c>
      <c r="C96" s="8" t="s">
        <v>195</v>
      </c>
    </row>
    <row r="97" spans="1:4" x14ac:dyDescent="0.35">
      <c r="A97" s="20" t="s">
        <v>196</v>
      </c>
      <c r="B97" s="8" t="s">
        <v>194</v>
      </c>
    </row>
    <row r="98" spans="1:4" x14ac:dyDescent="0.35">
      <c r="A98" s="8">
        <v>100</v>
      </c>
      <c r="B98" s="21">
        <f>A99*A98+D99</f>
        <v>100.00005943638011</v>
      </c>
    </row>
    <row r="99" spans="1:4" x14ac:dyDescent="0.35">
      <c r="A99" s="8">
        <v>1.0000023563664646</v>
      </c>
      <c r="B99" s="8" t="s">
        <v>197</v>
      </c>
      <c r="C99" s="8" t="s">
        <v>198</v>
      </c>
      <c r="D99" s="8">
        <v>-1.7620026635256636E-4</v>
      </c>
    </row>
    <row r="101" spans="1:4" x14ac:dyDescent="0.35">
      <c r="A101" s="8">
        <f>(0.5/SQRT(3))*SQRT(2)</f>
        <v>0.40824829046386307</v>
      </c>
    </row>
  </sheetData>
  <mergeCells count="36">
    <mergeCell ref="A87:I87"/>
    <mergeCell ref="A88:I88"/>
    <mergeCell ref="A89:I89"/>
    <mergeCell ref="A90:I90"/>
    <mergeCell ref="A74:I74"/>
    <mergeCell ref="A75:I75"/>
    <mergeCell ref="A76:I76"/>
    <mergeCell ref="A77:I77"/>
    <mergeCell ref="A86:I86"/>
    <mergeCell ref="A73:I73"/>
    <mergeCell ref="A1:K1"/>
    <mergeCell ref="A60:I60"/>
    <mergeCell ref="A35:I35"/>
    <mergeCell ref="A36:I36"/>
    <mergeCell ref="A37:I37"/>
    <mergeCell ref="A38:I38"/>
    <mergeCell ref="A39:I39"/>
    <mergeCell ref="A22:I22"/>
    <mergeCell ref="A23:I23"/>
    <mergeCell ref="A24:I24"/>
    <mergeCell ref="A25:I25"/>
    <mergeCell ref="A26:I26"/>
    <mergeCell ref="A9:I9"/>
    <mergeCell ref="A62:I62"/>
    <mergeCell ref="A63:I63"/>
    <mergeCell ref="A64:I64"/>
    <mergeCell ref="A48:I48"/>
    <mergeCell ref="A49:I49"/>
    <mergeCell ref="A50:I50"/>
    <mergeCell ref="A51:I51"/>
    <mergeCell ref="A52:I52"/>
    <mergeCell ref="A10:I10"/>
    <mergeCell ref="A11:I11"/>
    <mergeCell ref="A12:I12"/>
    <mergeCell ref="A13:I13"/>
    <mergeCell ref="A61:I61"/>
  </mergeCells>
  <printOptions horizontalCentered="1"/>
  <pageMargins left="0.5" right="0.25" top="0.5" bottom="0.25" header="0.25" footer="0.25"/>
  <pageSetup paperSize="9" scale="59" orientation="portrait" r:id="rId1"/>
  <headerFooter>
    <oddHeader>&amp;R&amp;8GM.UB - 141-2019 / REV : 0</oddHead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4"/>
  <sheetViews>
    <sheetView showGridLines="0" tabSelected="1" view="pageBreakPreview" topLeftCell="A20" zoomScaleNormal="100" zoomScaleSheetLayoutView="100" workbookViewId="0">
      <selection activeCell="F66" sqref="F66:G66"/>
    </sheetView>
  </sheetViews>
  <sheetFormatPr defaultColWidth="9.1796875" defaultRowHeight="14" x14ac:dyDescent="0.35"/>
  <cols>
    <col min="1" max="1" width="3.81640625" style="135" customWidth="1"/>
    <col min="2" max="2" width="25.7265625" style="135" customWidth="1"/>
    <col min="3" max="3" width="1" style="135" customWidth="1"/>
    <col min="4" max="4" width="8.54296875" style="135" customWidth="1"/>
    <col min="5" max="5" width="6.26953125" style="135" customWidth="1"/>
    <col min="6" max="6" width="6.453125" style="135" customWidth="1"/>
    <col min="7" max="7" width="13.36328125" style="135" customWidth="1"/>
    <col min="8" max="8" width="11.54296875" style="135" customWidth="1"/>
    <col min="9" max="9" width="18.36328125" style="135" customWidth="1"/>
    <col min="10" max="10" width="7.26953125" style="135" customWidth="1"/>
    <col min="11" max="11" width="4.26953125" style="135" customWidth="1"/>
    <col min="12" max="12" width="7.453125" style="135" customWidth="1"/>
    <col min="13" max="13" width="11.1796875" style="135" customWidth="1"/>
    <col min="14" max="14" width="9.1796875" style="135"/>
    <col min="15" max="15" width="13.1796875" style="135" customWidth="1"/>
    <col min="16" max="16384" width="9.1796875" style="135"/>
  </cols>
  <sheetData>
    <row r="1" spans="1:27" ht="15.75" customHeight="1" x14ac:dyDescent="0.35">
      <c r="A1" s="557" t="s">
        <v>199</v>
      </c>
      <c r="B1" s="557"/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134"/>
      <c r="O1" s="557"/>
      <c r="P1" s="557"/>
      <c r="Q1" s="557"/>
      <c r="R1" s="557"/>
      <c r="S1" s="557"/>
      <c r="T1" s="557"/>
      <c r="U1" s="557"/>
      <c r="V1" s="557"/>
      <c r="W1" s="557"/>
      <c r="X1" s="557"/>
      <c r="Y1" s="557"/>
      <c r="Z1" s="557"/>
      <c r="AA1" s="557"/>
    </row>
    <row r="2" spans="1:27" ht="15.5" x14ac:dyDescent="0.35">
      <c r="A2" s="619" t="str">
        <f>ID!D2&amp;ID!I2</f>
        <v>Nomor Sertifikat : 78 / 3 / I - 17 / E - 015.36 DL</v>
      </c>
      <c r="B2" s="619"/>
      <c r="C2" s="619"/>
      <c r="D2" s="619"/>
      <c r="E2" s="619"/>
      <c r="F2" s="619"/>
      <c r="G2" s="619"/>
      <c r="H2" s="619"/>
      <c r="I2" s="619"/>
      <c r="J2" s="619"/>
      <c r="K2" s="619"/>
      <c r="L2" s="619"/>
      <c r="M2" s="619"/>
      <c r="N2" s="136"/>
    </row>
    <row r="3" spans="1:27" ht="15" customHeight="1" x14ac:dyDescent="0.35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S3" s="138"/>
    </row>
    <row r="4" spans="1:27" x14ac:dyDescent="0.35">
      <c r="A4" s="137" t="s">
        <v>32</v>
      </c>
      <c r="B4" s="137"/>
      <c r="C4" s="139" t="s">
        <v>33</v>
      </c>
      <c r="D4" s="137" t="str">
        <f>ID!D4</f>
        <v>-</v>
      </c>
      <c r="E4" s="137"/>
      <c r="F4" s="137"/>
      <c r="G4" s="137"/>
      <c r="H4" s="137"/>
      <c r="I4" s="137"/>
      <c r="J4" s="137"/>
      <c r="K4" s="137"/>
      <c r="L4" s="137"/>
      <c r="M4" s="137"/>
    </row>
    <row r="5" spans="1:27" x14ac:dyDescent="0.35">
      <c r="A5" s="137" t="s">
        <v>34</v>
      </c>
      <c r="B5" s="137"/>
      <c r="C5" s="139" t="s">
        <v>33</v>
      </c>
      <c r="D5" s="137" t="str">
        <f>ID!D5</f>
        <v>-</v>
      </c>
      <c r="E5" s="137"/>
      <c r="F5" s="137"/>
      <c r="G5" s="137"/>
      <c r="H5" s="137"/>
      <c r="I5" s="137"/>
      <c r="J5" s="137"/>
      <c r="K5" s="137"/>
      <c r="L5" s="137"/>
      <c r="M5" s="137"/>
    </row>
    <row r="6" spans="1:27" x14ac:dyDescent="0.35">
      <c r="A6" s="137" t="s">
        <v>35</v>
      </c>
      <c r="B6" s="137"/>
      <c r="C6" s="139" t="s">
        <v>33</v>
      </c>
      <c r="D6" s="137" t="str">
        <f>ID!D6</f>
        <v>-</v>
      </c>
      <c r="E6" s="137"/>
      <c r="F6" s="137"/>
      <c r="G6" s="137"/>
      <c r="H6" s="137"/>
      <c r="I6" s="137"/>
      <c r="J6" s="137"/>
      <c r="K6" s="137"/>
      <c r="L6" s="137"/>
      <c r="M6" s="137"/>
    </row>
    <row r="7" spans="1:27" x14ac:dyDescent="0.35">
      <c r="A7" s="137" t="str">
        <f>ID!A7</f>
        <v>Resolusi</v>
      </c>
      <c r="B7" s="137"/>
      <c r="C7" s="139" t="s">
        <v>33</v>
      </c>
      <c r="D7" s="533">
        <f>ID!D7</f>
        <v>0.1</v>
      </c>
      <c r="E7" s="137" t="s">
        <v>37</v>
      </c>
      <c r="F7" s="137"/>
      <c r="G7" s="137"/>
      <c r="H7" s="137"/>
      <c r="I7" s="137"/>
      <c r="J7" s="137"/>
      <c r="K7" s="137"/>
      <c r="L7" s="137"/>
      <c r="M7" s="137"/>
    </row>
    <row r="8" spans="1:27" x14ac:dyDescent="0.35">
      <c r="A8" s="137" t="str">
        <f>ID!A8</f>
        <v>Tanggal Penerimaan Alat</v>
      </c>
      <c r="B8" s="137"/>
      <c r="C8" s="139" t="str">
        <f>ID!C8</f>
        <v>:</v>
      </c>
      <c r="D8" s="602">
        <f>ID!D8</f>
        <v>44741</v>
      </c>
      <c r="E8" s="602"/>
      <c r="F8" s="137"/>
      <c r="G8" s="137"/>
      <c r="H8" s="137"/>
      <c r="I8" s="137"/>
      <c r="J8" s="137"/>
      <c r="K8" s="137"/>
      <c r="L8" s="137"/>
      <c r="M8" s="137"/>
    </row>
    <row r="9" spans="1:27" x14ac:dyDescent="0.35">
      <c r="A9" s="137" t="s">
        <v>39</v>
      </c>
      <c r="B9" s="137"/>
      <c r="C9" s="139" t="s">
        <v>33</v>
      </c>
      <c r="D9" s="602">
        <f>ID!D9</f>
        <v>44742</v>
      </c>
      <c r="E9" s="602"/>
      <c r="F9" s="137"/>
      <c r="G9" s="137"/>
      <c r="H9" s="137"/>
      <c r="I9" s="137"/>
      <c r="J9" s="137"/>
      <c r="K9" s="137"/>
      <c r="L9" s="137"/>
      <c r="M9" s="137"/>
    </row>
    <row r="10" spans="1:27" x14ac:dyDescent="0.35">
      <c r="A10" s="137" t="str">
        <f>ID!A10</f>
        <v>Tempat Kalibrasi</v>
      </c>
      <c r="B10" s="137"/>
      <c r="C10" s="139" t="s">
        <v>33</v>
      </c>
      <c r="D10" s="137" t="str">
        <f>ID!D10</f>
        <v>laboratorium kalibrasi lpfk banjarbaru</v>
      </c>
      <c r="E10" s="137"/>
      <c r="F10" s="137"/>
      <c r="G10" s="137"/>
      <c r="H10" s="137"/>
      <c r="I10" s="137"/>
      <c r="J10" s="137"/>
      <c r="K10" s="137"/>
      <c r="L10" s="137"/>
      <c r="M10" s="137"/>
    </row>
    <row r="11" spans="1:27" x14ac:dyDescent="0.35">
      <c r="A11" s="137" t="str">
        <f>ID!A11</f>
        <v>Nama Ruang</v>
      </c>
      <c r="B11" s="137"/>
      <c r="C11" s="139" t="s">
        <v>33</v>
      </c>
      <c r="D11" s="137" t="str">
        <f>ID!D11</f>
        <v>laboratorium kalibrasi lpfk banjarbaru</v>
      </c>
      <c r="E11" s="137"/>
      <c r="F11" s="137"/>
      <c r="G11" s="137"/>
      <c r="H11" s="137"/>
      <c r="I11" s="137"/>
      <c r="J11" s="137"/>
      <c r="K11" s="137"/>
      <c r="L11" s="137"/>
      <c r="M11" s="137"/>
    </row>
    <row r="12" spans="1:27" x14ac:dyDescent="0.35">
      <c r="A12" s="137" t="s">
        <v>42</v>
      </c>
      <c r="B12" s="137"/>
      <c r="C12" s="139" t="s">
        <v>33</v>
      </c>
      <c r="D12" s="137" t="str">
        <f>ID!D12</f>
        <v>MK 141-19</v>
      </c>
      <c r="E12" s="137"/>
      <c r="F12" s="137"/>
      <c r="G12" s="137"/>
      <c r="H12" s="137"/>
      <c r="I12" s="137"/>
      <c r="J12" s="137"/>
      <c r="K12" s="137"/>
      <c r="L12" s="137"/>
      <c r="M12" s="137"/>
    </row>
    <row r="13" spans="1:27" ht="15.75" customHeight="1" x14ac:dyDescent="0.3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</row>
    <row r="14" spans="1:27" x14ac:dyDescent="0.35">
      <c r="A14" s="140" t="s">
        <v>43</v>
      </c>
      <c r="B14" s="138" t="str">
        <f>ID!B14</f>
        <v>Kondisi Ruang</v>
      </c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</row>
    <row r="15" spans="1:27" x14ac:dyDescent="0.35">
      <c r="A15" s="137"/>
      <c r="B15" s="137" t="s">
        <v>45</v>
      </c>
      <c r="C15" s="139" t="s">
        <v>33</v>
      </c>
      <c r="D15" s="141" t="str">
        <f>'DB Thermohygro'!M396</f>
        <v xml:space="preserve">( </v>
      </c>
      <c r="E15" s="142" t="str">
        <f>'DB Thermohygro'!M393</f>
        <v>22.9</v>
      </c>
      <c r="F15" s="142" t="str">
        <f>'DB Thermohygro'!N396</f>
        <v xml:space="preserve"> ± </v>
      </c>
      <c r="G15" s="137" t="str">
        <f>'DB Thermohygro'!N393</f>
        <v>0.1</v>
      </c>
      <c r="H15" s="534" t="str">
        <f>'DB Thermohygro'!O396</f>
        <v xml:space="preserve"> )</v>
      </c>
      <c r="I15" s="137" t="str">
        <f>'DB Thermohygro'!O393</f>
        <v xml:space="preserve"> °C</v>
      </c>
      <c r="J15" s="137"/>
      <c r="K15" s="137"/>
      <c r="L15" s="137"/>
      <c r="M15" s="137"/>
    </row>
    <row r="16" spans="1:27" x14ac:dyDescent="0.35">
      <c r="A16" s="137"/>
      <c r="B16" s="137" t="s">
        <v>200</v>
      </c>
      <c r="C16" s="139" t="s">
        <v>33</v>
      </c>
      <c r="D16" s="141" t="str">
        <f>'DB Thermohygro'!M396</f>
        <v xml:space="preserve">( </v>
      </c>
      <c r="E16" s="142" t="str">
        <f>'DB Thermohygro'!M394</f>
        <v>61.7</v>
      </c>
      <c r="F16" s="143" t="str">
        <f>F15</f>
        <v xml:space="preserve"> ± </v>
      </c>
      <c r="G16" s="137" t="str">
        <f>'DB Thermohygro'!N394</f>
        <v>1.5</v>
      </c>
      <c r="H16" s="534" t="str">
        <f>H15</f>
        <v xml:space="preserve"> )</v>
      </c>
      <c r="I16" s="137" t="str">
        <f>'DB Thermohygro'!O394</f>
        <v xml:space="preserve"> %RH</v>
      </c>
      <c r="J16" s="137"/>
      <c r="K16" s="137"/>
      <c r="L16" s="137"/>
      <c r="M16" s="137"/>
    </row>
    <row r="17" spans="1:22" ht="15.75" customHeight="1" x14ac:dyDescent="0.35">
      <c r="A17" s="137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</row>
    <row r="18" spans="1:22" x14ac:dyDescent="0.35">
      <c r="A18" s="138" t="s">
        <v>49</v>
      </c>
      <c r="B18" s="138" t="str">
        <f>ID!B20</f>
        <v>Pemeriksaan Kondisi Fisik dan Fungsi alat</v>
      </c>
      <c r="C18" s="138"/>
      <c r="D18" s="138"/>
      <c r="E18" s="138"/>
      <c r="F18" s="138"/>
      <c r="G18" s="137"/>
      <c r="H18" s="137"/>
      <c r="I18" s="137"/>
      <c r="J18" s="137"/>
      <c r="K18" s="137"/>
      <c r="L18" s="137"/>
      <c r="M18" s="203" t="s">
        <v>201</v>
      </c>
    </row>
    <row r="19" spans="1:22" x14ac:dyDescent="0.35">
      <c r="A19" s="137"/>
      <c r="B19" s="137" t="s">
        <v>51</v>
      </c>
      <c r="C19" s="139" t="s">
        <v>33</v>
      </c>
      <c r="D19" s="137" t="str">
        <f>ID!D21</f>
        <v>Baik</v>
      </c>
      <c r="E19" s="137"/>
      <c r="F19" s="137"/>
      <c r="G19" s="137"/>
      <c r="H19" s="137"/>
      <c r="I19" s="137"/>
      <c r="J19" s="137"/>
      <c r="K19" s="137"/>
      <c r="L19" s="137"/>
      <c r="M19" s="204">
        <f>IF(D19="baik",5,IF(D19="Tidak Baik",0))</f>
        <v>5</v>
      </c>
    </row>
    <row r="20" spans="1:22" x14ac:dyDescent="0.35">
      <c r="A20" s="137"/>
      <c r="B20" s="137" t="s">
        <v>52</v>
      </c>
      <c r="C20" s="139" t="s">
        <v>33</v>
      </c>
      <c r="D20" s="137" t="str">
        <f>ID!D22</f>
        <v>Baik</v>
      </c>
      <c r="E20" s="137"/>
      <c r="F20" s="137"/>
      <c r="G20" s="137"/>
      <c r="H20" s="137"/>
      <c r="I20" s="137"/>
      <c r="J20" s="137"/>
      <c r="K20" s="137"/>
      <c r="L20" s="137"/>
      <c r="M20" s="204">
        <f>IF(D20="baik",5,IF(D20="Tidak Baik",0))</f>
        <v>5</v>
      </c>
    </row>
    <row r="21" spans="1:22" ht="15.75" customHeight="1" x14ac:dyDescent="0.35">
      <c r="A21" s="137"/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202"/>
    </row>
    <row r="22" spans="1:22" x14ac:dyDescent="0.35">
      <c r="A22" s="138" t="s">
        <v>53</v>
      </c>
      <c r="B22" s="138" t="str">
        <f>ID!B26</f>
        <v>Pengukuran Kinerja</v>
      </c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201"/>
    </row>
    <row r="23" spans="1:22" x14ac:dyDescent="0.35">
      <c r="A23" s="137"/>
      <c r="B23" s="138" t="s">
        <v>145</v>
      </c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201"/>
    </row>
    <row r="24" spans="1:22" ht="3" customHeight="1" x14ac:dyDescent="0.35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201"/>
    </row>
    <row r="25" spans="1:22" ht="30.75" customHeight="1" x14ac:dyDescent="0.35">
      <c r="A25" s="137"/>
      <c r="B25" s="144" t="s">
        <v>202</v>
      </c>
      <c r="C25" s="575" t="s">
        <v>203</v>
      </c>
      <c r="D25" s="576"/>
      <c r="E25" s="576"/>
      <c r="F25" s="577"/>
      <c r="G25" s="575" t="s">
        <v>603</v>
      </c>
      <c r="H25" s="577"/>
      <c r="I25" s="500" t="s">
        <v>606</v>
      </c>
      <c r="J25" s="588" t="s">
        <v>604</v>
      </c>
      <c r="K25" s="620"/>
      <c r="L25" s="567"/>
      <c r="M25" s="205" t="s">
        <v>201</v>
      </c>
    </row>
    <row r="26" spans="1:22" ht="18.649999999999999" customHeight="1" x14ac:dyDescent="0.35">
      <c r="A26" s="137"/>
      <c r="B26" s="180">
        <v>60</v>
      </c>
      <c r="C26" s="573">
        <f>AVERAGE(ID!D30:D39)</f>
        <v>60</v>
      </c>
      <c r="D26" s="578"/>
      <c r="E26" s="578"/>
      <c r="F26" s="574"/>
      <c r="G26" s="573">
        <f>ID!E40</f>
        <v>0</v>
      </c>
      <c r="H26" s="574"/>
      <c r="I26" s="600">
        <f>ID!D7*3</f>
        <v>0.30000000000000004</v>
      </c>
      <c r="J26" s="535" t="str">
        <f>F15</f>
        <v xml:space="preserve"> ± </v>
      </c>
      <c r="K26" s="603">
        <f>BUDGETING!J13</f>
        <v>8.1999721151438804E-2</v>
      </c>
      <c r="L26" s="604"/>
      <c r="M26" s="624">
        <f>IF(O26&lt;=15,0,O26)</f>
        <v>30</v>
      </c>
      <c r="N26" s="623"/>
      <c r="O26" s="626">
        <f>SUM(R26:R27)</f>
        <v>30</v>
      </c>
      <c r="R26" s="206">
        <f>IF(G26&lt;=I26,15,0)</f>
        <v>15</v>
      </c>
    </row>
    <row r="27" spans="1:22" ht="18" customHeight="1" x14ac:dyDescent="0.35">
      <c r="A27" s="137"/>
      <c r="B27" s="180">
        <v>100</v>
      </c>
      <c r="C27" s="573">
        <f>AVERAGE(ID!H30:H39)</f>
        <v>100</v>
      </c>
      <c r="D27" s="578"/>
      <c r="E27" s="578"/>
      <c r="F27" s="574"/>
      <c r="G27" s="573">
        <f>ID!H40</f>
        <v>0</v>
      </c>
      <c r="H27" s="574"/>
      <c r="I27" s="601"/>
      <c r="J27" s="535" t="str">
        <f>F16</f>
        <v xml:space="preserve"> ± </v>
      </c>
      <c r="K27" s="603">
        <f>BUDGETING!J64</f>
        <v>8.0127757829521834E-2</v>
      </c>
      <c r="L27" s="604"/>
      <c r="M27" s="624"/>
      <c r="N27" s="623"/>
      <c r="O27" s="623"/>
      <c r="R27" s="206">
        <f>IF(G27&lt;=I26,15,0)</f>
        <v>15</v>
      </c>
    </row>
    <row r="28" spans="1:22" ht="6.65" customHeight="1" x14ac:dyDescent="0.35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201"/>
    </row>
    <row r="29" spans="1:22" x14ac:dyDescent="0.35">
      <c r="A29" s="137"/>
      <c r="B29" s="138" t="s">
        <v>153</v>
      </c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201"/>
    </row>
    <row r="30" spans="1:22" ht="30.75" customHeight="1" x14ac:dyDescent="0.35">
      <c r="A30" s="137"/>
      <c r="B30" s="144" t="s">
        <v>202</v>
      </c>
      <c r="C30" s="575" t="s">
        <v>203</v>
      </c>
      <c r="D30" s="576"/>
      <c r="E30" s="576"/>
      <c r="F30" s="577"/>
      <c r="G30" s="575" t="s">
        <v>605</v>
      </c>
      <c r="H30" s="577"/>
      <c r="I30" s="500" t="s">
        <v>607</v>
      </c>
      <c r="J30" s="594" t="s">
        <v>604</v>
      </c>
      <c r="K30" s="594"/>
      <c r="L30" s="594"/>
      <c r="M30" s="207" t="s">
        <v>206</v>
      </c>
      <c r="R30" s="155" t="s">
        <v>206</v>
      </c>
      <c r="S30" s="477" t="s">
        <v>206</v>
      </c>
      <c r="T30" s="477" t="s">
        <v>206</v>
      </c>
      <c r="V30" s="135" t="s">
        <v>207</v>
      </c>
    </row>
    <row r="31" spans="1:22" ht="14.5" customHeight="1" x14ac:dyDescent="0.35">
      <c r="A31" s="137"/>
      <c r="B31" s="180">
        <f>ID!B44</f>
        <v>20</v>
      </c>
      <c r="C31" s="558">
        <f>ID!G44</f>
        <v>19.5</v>
      </c>
      <c r="D31" s="558"/>
      <c r="E31" s="558"/>
      <c r="F31" s="558"/>
      <c r="G31" s="558">
        <f>ID!I44</f>
        <v>0.50029599999999874</v>
      </c>
      <c r="H31" s="558"/>
      <c r="I31" s="605">
        <f>10*ID!D7</f>
        <v>1</v>
      </c>
      <c r="J31" s="535" t="str">
        <f>J26</f>
        <v xml:space="preserve"> ± </v>
      </c>
      <c r="K31" s="603">
        <f>IF(C31="-","-",BUDGETING!J13)</f>
        <v>8.1999721151438804E-2</v>
      </c>
      <c r="L31" s="604"/>
      <c r="M31" s="630">
        <f>B84</f>
        <v>60</v>
      </c>
      <c r="O31" s="625"/>
      <c r="P31" s="623"/>
      <c r="R31" s="181">
        <f>IF(V31&lt;=$I$31,60/5,0)</f>
        <v>12</v>
      </c>
      <c r="S31" s="478">
        <f>IF(V31&lt;=$I$31,60/5,0)</f>
        <v>12</v>
      </c>
      <c r="T31" s="478">
        <f>IF(V31&lt;=$I$31,60/5,0)</f>
        <v>12</v>
      </c>
      <c r="V31" s="135">
        <f>ABS(G31)</f>
        <v>0.50029599999999874</v>
      </c>
    </row>
    <row r="32" spans="1:22" ht="14.5" customHeight="1" x14ac:dyDescent="0.35">
      <c r="A32" s="137"/>
      <c r="B32" s="180">
        <f>ID!B45</f>
        <v>40</v>
      </c>
      <c r="C32" s="558">
        <f>ID!G45</f>
        <v>39.5</v>
      </c>
      <c r="D32" s="558"/>
      <c r="E32" s="558"/>
      <c r="F32" s="558"/>
      <c r="G32" s="558">
        <f>ID!I45</f>
        <v>0.50052699999999817</v>
      </c>
      <c r="H32" s="558"/>
      <c r="I32" s="606"/>
      <c r="J32" s="535" t="str">
        <f>J26</f>
        <v xml:space="preserve"> ± </v>
      </c>
      <c r="K32" s="603">
        <f>IF(C32="-","-",BUDGETING!J26)</f>
        <v>8.0114653761718016E-2</v>
      </c>
      <c r="L32" s="604"/>
      <c r="M32" s="631"/>
      <c r="O32" s="623"/>
      <c r="P32" s="623"/>
      <c r="R32" s="181">
        <f>IF(V32&lt;=$I$31,60/5,0)</f>
        <v>12</v>
      </c>
      <c r="S32" s="478">
        <f>IF(V32&lt;=$I$31,60/5,0)</f>
        <v>12</v>
      </c>
      <c r="T32" s="478">
        <f>IF(V32&lt;=$I$31,60/5,0)</f>
        <v>12</v>
      </c>
      <c r="V32" s="135">
        <f t="shared" ref="V32:V35" si="0">ABS(G32)</f>
        <v>0.50052699999999817</v>
      </c>
    </row>
    <row r="33" spans="1:22" ht="14.5" customHeight="1" x14ac:dyDescent="0.35">
      <c r="A33" s="137"/>
      <c r="B33" s="180">
        <f>ID!B46</f>
        <v>60</v>
      </c>
      <c r="C33" s="558">
        <f>ID!G46</f>
        <v>60</v>
      </c>
      <c r="D33" s="558"/>
      <c r="E33" s="558"/>
      <c r="F33" s="558"/>
      <c r="G33" s="558">
        <f>ID!I46</f>
        <v>8.7299999999856936E-4</v>
      </c>
      <c r="H33" s="558"/>
      <c r="I33" s="606"/>
      <c r="J33" s="535" t="str">
        <f>J26</f>
        <v xml:space="preserve"> ± </v>
      </c>
      <c r="K33" s="603">
        <f>IF(C33="-","-",BUDGETING!J39)</f>
        <v>8.0117773972265605E-2</v>
      </c>
      <c r="L33" s="604"/>
      <c r="M33" s="631"/>
      <c r="O33" s="623"/>
      <c r="P33" s="623"/>
      <c r="R33" s="181">
        <f>IF(V33&lt;=$I$31,60/5,0)</f>
        <v>12</v>
      </c>
      <c r="S33" s="478">
        <f>IF(V33&lt;=$I$31,60/5,0)</f>
        <v>12</v>
      </c>
      <c r="T33" s="478">
        <f>IF(V33&lt;=$I$31,60/5,0)</f>
        <v>12</v>
      </c>
      <c r="V33" s="135">
        <f t="shared" si="0"/>
        <v>8.7299999999856936E-4</v>
      </c>
    </row>
    <row r="34" spans="1:22" ht="14.5" customHeight="1" x14ac:dyDescent="0.35">
      <c r="A34" s="137"/>
      <c r="B34" s="180">
        <f>ID!B47</f>
        <v>80</v>
      </c>
      <c r="C34" s="558">
        <f>ID!G47</f>
        <v>79.3</v>
      </c>
      <c r="D34" s="558"/>
      <c r="E34" s="558"/>
      <c r="F34" s="558"/>
      <c r="G34" s="558">
        <f>ID!I47</f>
        <v>0.70112899999999456</v>
      </c>
      <c r="H34" s="558"/>
      <c r="I34" s="606"/>
      <c r="J34" s="535" t="str">
        <f>J26</f>
        <v xml:space="preserve"> ± </v>
      </c>
      <c r="K34" s="603">
        <f>IF(C34="-","-",BUDGETING!J52)</f>
        <v>9.8125106567392317E-2</v>
      </c>
      <c r="L34" s="604"/>
      <c r="M34" s="631"/>
      <c r="O34" s="623"/>
      <c r="P34" s="623"/>
      <c r="R34" s="181">
        <f>IF(V34&lt;=$I$31,60/5,0)</f>
        <v>12</v>
      </c>
      <c r="S34" s="478">
        <f>IF(V34&lt;=$I$31,60/5,0)</f>
        <v>12</v>
      </c>
      <c r="T34" s="478">
        <f>IF(V34&lt;=$I$31,60/5,0)</f>
        <v>12</v>
      </c>
      <c r="V34" s="135">
        <f t="shared" si="0"/>
        <v>0.70112899999999456</v>
      </c>
    </row>
    <row r="35" spans="1:22" ht="14.5" customHeight="1" x14ac:dyDescent="0.35">
      <c r="A35" s="137"/>
      <c r="B35" s="180">
        <f>ID!B48</f>
        <v>100</v>
      </c>
      <c r="C35" s="558">
        <f>ID!G48</f>
        <v>100</v>
      </c>
      <c r="D35" s="558"/>
      <c r="E35" s="558"/>
      <c r="F35" s="558"/>
      <c r="G35" s="558">
        <f>ID!I48</f>
        <v>1.4099999999928059E-3</v>
      </c>
      <c r="H35" s="558"/>
      <c r="I35" s="606"/>
      <c r="J35" s="538" t="str">
        <f>J27</f>
        <v xml:space="preserve"> ± </v>
      </c>
      <c r="K35" s="603">
        <f>IF(C35="-","-",BUDGETING!J64)</f>
        <v>8.0127757829521834E-2</v>
      </c>
      <c r="L35" s="604"/>
      <c r="M35" s="631"/>
      <c r="O35" s="623"/>
      <c r="P35" s="623"/>
      <c r="R35" s="181">
        <f>IF(V35&lt;=$I$31,60/5,0)</f>
        <v>12</v>
      </c>
      <c r="S35" s="478">
        <f>IF(V35&lt;=$I$31,60/5,0)</f>
        <v>12</v>
      </c>
      <c r="T35" s="478">
        <f>IF(V35&lt;=$I$31,60/5,0)</f>
        <v>12</v>
      </c>
      <c r="V35" s="135">
        <f t="shared" si="0"/>
        <v>1.4099999999928059E-3</v>
      </c>
    </row>
    <row r="36" spans="1:22" ht="14.5" hidden="1" customHeight="1" x14ac:dyDescent="0.35">
      <c r="A36" s="137"/>
      <c r="B36" s="180" t="e">
        <f>ID!#REF!</f>
        <v>#REF!</v>
      </c>
      <c r="C36" s="558" t="e">
        <f>ID!#REF!</f>
        <v>#REF!</v>
      </c>
      <c r="D36" s="558"/>
      <c r="E36" s="558"/>
      <c r="F36" s="558"/>
      <c r="G36" s="558" t="e">
        <f>ID!#REF!</f>
        <v>#REF!</v>
      </c>
      <c r="H36" s="558"/>
      <c r="I36" s="475"/>
      <c r="J36" s="627" t="e">
        <f>IF(C36="-","-",BUDGETING!J77)</f>
        <v>#REF!</v>
      </c>
      <c r="K36" s="628"/>
      <c r="L36" s="629"/>
      <c r="M36" s="631"/>
      <c r="O36" s="623"/>
      <c r="P36" s="623"/>
      <c r="R36" s="181"/>
      <c r="S36" s="181"/>
    </row>
    <row r="37" spans="1:22" ht="14.15" hidden="1" customHeight="1" x14ac:dyDescent="0.35">
      <c r="A37" s="137"/>
      <c r="B37" s="180" t="e">
        <f>ID!#REF!</f>
        <v>#REF!</v>
      </c>
      <c r="C37" s="558" t="e">
        <f>ID!#REF!</f>
        <v>#REF!</v>
      </c>
      <c r="D37" s="558"/>
      <c r="E37" s="558"/>
      <c r="F37" s="558"/>
      <c r="G37" s="558" t="e">
        <f>ID!#REF!</f>
        <v>#REF!</v>
      </c>
      <c r="H37" s="558"/>
      <c r="I37" s="476"/>
      <c r="J37" s="627" t="e">
        <f>IF(C37="-","-",BUDGETING!J90)</f>
        <v>#REF!</v>
      </c>
      <c r="K37" s="628"/>
      <c r="L37" s="629"/>
      <c r="M37" s="631"/>
      <c r="O37" s="623"/>
      <c r="P37" s="623"/>
      <c r="R37" s="181"/>
    </row>
    <row r="38" spans="1:22" ht="7.5" customHeight="1" x14ac:dyDescent="0.35">
      <c r="A38" s="137"/>
      <c r="B38" s="137"/>
      <c r="C38" s="137"/>
      <c r="D38" s="137"/>
      <c r="E38" s="137"/>
      <c r="F38" s="137"/>
      <c r="G38" s="137"/>
      <c r="H38" s="137"/>
      <c r="I38" s="159"/>
      <c r="J38" s="159"/>
      <c r="K38" s="159"/>
      <c r="L38" s="159"/>
      <c r="M38" s="137"/>
    </row>
    <row r="39" spans="1:22" ht="9" customHeight="1" x14ac:dyDescent="0.35">
      <c r="A39" s="137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</row>
    <row r="40" spans="1:22" ht="15" customHeight="1" x14ac:dyDescent="0.35">
      <c r="A40" s="137"/>
      <c r="B40" s="145" t="s">
        <v>208</v>
      </c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</row>
    <row r="41" spans="1:22" ht="15" customHeight="1" x14ac:dyDescent="0.35">
      <c r="A41" s="137"/>
      <c r="B41" s="586" t="s">
        <v>158</v>
      </c>
      <c r="C41" s="588" t="s">
        <v>608</v>
      </c>
      <c r="D41" s="589"/>
      <c r="E41" s="589"/>
      <c r="F41" s="590"/>
      <c r="G41" s="588" t="s">
        <v>209</v>
      </c>
      <c r="H41" s="589"/>
      <c r="I41" s="607" t="s">
        <v>210</v>
      </c>
      <c r="J41" s="583"/>
      <c r="K41" s="146"/>
      <c r="L41" s="146"/>
      <c r="M41" s="583" t="s">
        <v>201</v>
      </c>
    </row>
    <row r="42" spans="1:22" ht="15" customHeight="1" x14ac:dyDescent="0.35">
      <c r="A42" s="137"/>
      <c r="B42" s="587"/>
      <c r="C42" s="591"/>
      <c r="D42" s="592"/>
      <c r="E42" s="592"/>
      <c r="F42" s="593"/>
      <c r="G42" s="591"/>
      <c r="H42" s="592"/>
      <c r="I42" s="607"/>
      <c r="J42" s="583"/>
      <c r="K42" s="146"/>
      <c r="L42" s="146"/>
      <c r="M42" s="583"/>
    </row>
    <row r="43" spans="1:22" ht="15" customHeight="1" x14ac:dyDescent="0.35">
      <c r="A43" s="137"/>
      <c r="B43" s="466">
        <f>BUDGETING!C91</f>
        <v>0.70112899999999456</v>
      </c>
      <c r="C43" s="558">
        <f>BUDGETING!C92</f>
        <v>9.8125106567392317E-2</v>
      </c>
      <c r="D43" s="558"/>
      <c r="E43" s="558"/>
      <c r="F43" s="558"/>
      <c r="G43" s="558">
        <f>BUDGETING!C93</f>
        <v>0.79925410656738682</v>
      </c>
      <c r="H43" s="573"/>
      <c r="I43" s="607">
        <f>IF(G43&lt;2*O40,O43,IF(G43&lt;3*O40,O44,IF(G43&lt;5*O40,O45,IF(G43&lt;7*O40,O46,IF(G43&lt;10*O40,O47,IF(G43&gt;10*O40,O47))))))</f>
        <v>0.70112899999999456</v>
      </c>
      <c r="J43" s="583"/>
      <c r="K43" s="146"/>
      <c r="L43" s="146"/>
      <c r="M43" s="147">
        <f>IF(I43="Bagus",90,IF(I43="Rata - Rata Bagus",70,IF(I43="Cukup",60,IF(I43="Buruk",50,IF(I43=O47,40)))))</f>
        <v>40</v>
      </c>
      <c r="O43" s="135" t="s">
        <v>211</v>
      </c>
      <c r="P43" s="135" t="s">
        <v>204</v>
      </c>
    </row>
    <row r="44" spans="1:22" ht="9.65" customHeight="1" x14ac:dyDescent="0.35">
      <c r="A44" s="137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O44" s="135">
        <f>ABS(G31)</f>
        <v>0.50029599999999874</v>
      </c>
      <c r="P44" s="458">
        <f>K31</f>
        <v>8.1999721151438804E-2</v>
      </c>
    </row>
    <row r="45" spans="1:22" ht="15.75" customHeight="1" x14ac:dyDescent="0.35">
      <c r="A45" s="138" t="s">
        <v>73</v>
      </c>
      <c r="B45" s="138" t="s">
        <v>74</v>
      </c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O45" s="135">
        <f t="shared" ref="O45:O48" si="1">ABS(G32)</f>
        <v>0.50052699999999817</v>
      </c>
      <c r="P45" s="458">
        <f>K32</f>
        <v>8.0114653761718016E-2</v>
      </c>
    </row>
    <row r="46" spans="1:22" ht="15.75" customHeight="1" x14ac:dyDescent="0.35">
      <c r="A46" s="137"/>
      <c r="B46" s="137" t="s">
        <v>212</v>
      </c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O46" s="135">
        <f t="shared" si="1"/>
        <v>8.7299999999856936E-4</v>
      </c>
      <c r="P46" s="458">
        <f>K33</f>
        <v>8.0117773972265605E-2</v>
      </c>
    </row>
    <row r="47" spans="1:22" ht="15" customHeight="1" x14ac:dyDescent="0.35">
      <c r="B47" s="135" t="str">
        <f>'Cetik Cetik'!B80</f>
        <v>Hasil pengukuran timbangan dewasa tertelusur ke SARTORIUS - Deutschland</v>
      </c>
      <c r="O47" s="135">
        <f t="shared" si="1"/>
        <v>0.70112899999999456</v>
      </c>
      <c r="P47" s="458">
        <f>K34</f>
        <v>9.8125106567392317E-2</v>
      </c>
    </row>
    <row r="48" spans="1:22" ht="14.5" customHeight="1" x14ac:dyDescent="0.35">
      <c r="O48" s="135">
        <f t="shared" si="1"/>
        <v>1.4099999999928059E-3</v>
      </c>
      <c r="P48" s="458">
        <f>K35</f>
        <v>8.0127757829521834E-2</v>
      </c>
    </row>
    <row r="49" spans="1:16" ht="11.15" customHeight="1" x14ac:dyDescent="0.35">
      <c r="P49" s="458"/>
    </row>
    <row r="50" spans="1:16" x14ac:dyDescent="0.35">
      <c r="A50" s="148" t="s">
        <v>76</v>
      </c>
      <c r="B50" s="148" t="s">
        <v>77</v>
      </c>
      <c r="P50" s="458"/>
    </row>
    <row r="51" spans="1:16" x14ac:dyDescent="0.35">
      <c r="B51" s="135" t="str">
        <f>ID!B51</f>
        <v>Anak Timbangan Standar, Merk: Sartorius, Type : YCW7254-AC-00 (BIQ)</v>
      </c>
    </row>
    <row r="52" spans="1:16" x14ac:dyDescent="0.35">
      <c r="B52" s="135" t="str">
        <f>ID!B52</f>
        <v>Anak Timbangan Standar, Merk: Sartorius, Type : YCW7254-AC-00 (BIT)</v>
      </c>
    </row>
    <row r="53" spans="1:16" x14ac:dyDescent="0.35">
      <c r="B53" s="135" t="str">
        <f>ID!B53</f>
        <v>Anak Timbangan Standar, Merk: Sartorius, Type : YCW7254-AC-00 (BIP)</v>
      </c>
    </row>
    <row r="54" spans="1:16" x14ac:dyDescent="0.35">
      <c r="B54" s="135" t="str">
        <f>ID!B54</f>
        <v>Anak Timbangan Standar, Merk: Sartorius, Type : YCW7254-AC-00 (BIR)</v>
      </c>
    </row>
    <row r="55" spans="1:16" x14ac:dyDescent="0.35">
      <c r="B55" s="135" t="str">
        <f>ID!B55</f>
        <v>Anak Timbangan Standar, Merk: Sartorius, Type : YCW7254-AC-00 (BIS)</v>
      </c>
    </row>
    <row r="56" spans="1:16" x14ac:dyDescent="0.35">
      <c r="B56" s="135" t="str">
        <f>ID!B56</f>
        <v>Anak Timbangan Standar, Merk: Sartorius, Type : YCW7254-AC-00 (BIW)</v>
      </c>
    </row>
    <row r="57" spans="1:16" x14ac:dyDescent="0.35">
      <c r="B57" s="135" t="str">
        <f>ID!B57</f>
        <v>Anak Timbangan Standar, Merk: Sartorius, Type : YCW7254-AC-00 (BIX)</v>
      </c>
    </row>
    <row r="58" spans="1:16" ht="8.15" customHeight="1" x14ac:dyDescent="0.35"/>
    <row r="59" spans="1:16" x14ac:dyDescent="0.35">
      <c r="A59" s="148" t="s">
        <v>83</v>
      </c>
      <c r="B59" s="148" t="s">
        <v>84</v>
      </c>
    </row>
    <row r="60" spans="1:16" ht="16.5" customHeight="1" x14ac:dyDescent="0.35">
      <c r="B60" s="560" t="str">
        <f>ID!B61</f>
        <v>Alat yang dikalibrasi dalam batas toleransi dan dinyatakan LAIK PAKAI, dimana hasil atau skor akhir sama dengan atau melampaui 70 % berdasarkan Keputusan Direktur Jenderal Pelayanan Kesehatan No : HK.02.02/V/0412/2020</v>
      </c>
      <c r="C60" s="560"/>
      <c r="D60" s="560"/>
      <c r="E60" s="560"/>
      <c r="F60" s="560"/>
      <c r="G60" s="560"/>
      <c r="H60" s="560"/>
      <c r="I60" s="560"/>
      <c r="J60" s="560"/>
      <c r="K60" s="560"/>
      <c r="L60" s="560"/>
      <c r="M60" s="560"/>
      <c r="N60" s="149"/>
    </row>
    <row r="61" spans="1:16" ht="14.25" customHeight="1" x14ac:dyDescent="0.35">
      <c r="B61" s="560"/>
      <c r="C61" s="560"/>
      <c r="D61" s="560"/>
      <c r="E61" s="560"/>
      <c r="F61" s="560"/>
      <c r="G61" s="560"/>
      <c r="H61" s="560"/>
      <c r="I61" s="560"/>
      <c r="J61" s="560"/>
      <c r="K61" s="560"/>
      <c r="L61" s="560"/>
      <c r="M61" s="560"/>
      <c r="N61" s="149"/>
    </row>
    <row r="62" spans="1:16" x14ac:dyDescent="0.35">
      <c r="A62" s="148" t="s">
        <v>86</v>
      </c>
      <c r="B62" s="148" t="s">
        <v>213</v>
      </c>
    </row>
    <row r="63" spans="1:16" x14ac:dyDescent="0.35">
      <c r="B63" s="135" t="str">
        <f>ID!B64</f>
        <v>Siti Fathul Jannah</v>
      </c>
    </row>
    <row r="64" spans="1:16" ht="5.5" customHeight="1" x14ac:dyDescent="0.35"/>
    <row r="65" spans="1:16" x14ac:dyDescent="0.35">
      <c r="B65" s="616" t="s">
        <v>214</v>
      </c>
      <c r="C65" s="617"/>
      <c r="D65" s="617"/>
      <c r="E65" s="618"/>
      <c r="F65" s="611" t="s">
        <v>89</v>
      </c>
      <c r="G65" s="611"/>
      <c r="H65" s="150" t="s">
        <v>215</v>
      </c>
      <c r="J65" s="156" t="s">
        <v>201</v>
      </c>
    </row>
    <row r="66" spans="1:16" x14ac:dyDescent="0.35">
      <c r="B66" s="133" t="s">
        <v>216</v>
      </c>
      <c r="C66" s="608" t="str">
        <f>ID!B64</f>
        <v>Siti Fathul Jannah</v>
      </c>
      <c r="D66" s="609"/>
      <c r="E66" s="610"/>
      <c r="F66" s="602">
        <f ca="1">ID!G64</f>
        <v>45183</v>
      </c>
      <c r="G66" s="602"/>
      <c r="H66" s="151"/>
      <c r="J66" s="621">
        <f>IF(M26=0,0,SUM($M$19,$M$20,$M$26,$M$31))</f>
        <v>100</v>
      </c>
      <c r="O66" s="621"/>
      <c r="P66" s="621"/>
    </row>
    <row r="67" spans="1:16" x14ac:dyDescent="0.35">
      <c r="B67" s="115" t="s">
        <v>217</v>
      </c>
      <c r="C67" s="612"/>
      <c r="D67" s="613"/>
      <c r="E67" s="614"/>
      <c r="F67" s="615"/>
      <c r="G67" s="615"/>
      <c r="H67" s="151"/>
      <c r="J67" s="622"/>
      <c r="O67" s="622"/>
      <c r="P67" s="622"/>
    </row>
    <row r="68" spans="1:16" x14ac:dyDescent="0.35">
      <c r="J68" s="152"/>
      <c r="K68" s="152"/>
    </row>
    <row r="69" spans="1:16" x14ac:dyDescent="0.35">
      <c r="J69" s="152"/>
      <c r="K69" s="152"/>
    </row>
    <row r="70" spans="1:16" x14ac:dyDescent="0.35">
      <c r="J70" s="153"/>
      <c r="K70" s="152"/>
    </row>
    <row r="71" spans="1:16" x14ac:dyDescent="0.35">
      <c r="J71" s="154"/>
      <c r="K71" s="152"/>
    </row>
    <row r="80" spans="1:16" x14ac:dyDescent="0.35">
      <c r="A80" s="199" t="s">
        <v>147</v>
      </c>
      <c r="B80" s="200">
        <f>SUM(T31:T35)</f>
        <v>60</v>
      </c>
      <c r="D80" s="135">
        <f>IF(B80&lt;=(70/100)*60,0,B80)</f>
        <v>60</v>
      </c>
    </row>
    <row r="81" spans="1:4" x14ac:dyDescent="0.35">
      <c r="A81" s="199" t="s">
        <v>150</v>
      </c>
      <c r="B81" s="200">
        <f>SUM(S31:S36)</f>
        <v>60</v>
      </c>
      <c r="D81" s="135">
        <f>IF(B81&lt;=(70/100)*60,0,B81)</f>
        <v>60</v>
      </c>
    </row>
    <row r="82" spans="1:4" x14ac:dyDescent="0.35">
      <c r="A82" s="199" t="s">
        <v>151</v>
      </c>
      <c r="B82" s="200">
        <f>SUM(R31:R37)</f>
        <v>60</v>
      </c>
      <c r="D82" s="135">
        <f>IF(B82&lt;=(70/100)*60,0,B82)</f>
        <v>60</v>
      </c>
    </row>
    <row r="83" spans="1:4" x14ac:dyDescent="0.35">
      <c r="B83" s="135" t="str">
        <f>ID!F28</f>
        <v>Load : 100 kg</v>
      </c>
    </row>
    <row r="84" spans="1:4" x14ac:dyDescent="0.35">
      <c r="B84" s="135">
        <f>VLOOKUP(B83,PENYELIA!A80:D82,4,FALSE)</f>
        <v>60</v>
      </c>
    </row>
  </sheetData>
  <sheetProtection formatCells="0" formatColumns="0" formatRows="0" insertRows="0" deleteRows="0"/>
  <mergeCells count="64">
    <mergeCell ref="C36:F36"/>
    <mergeCell ref="O66:O67"/>
    <mergeCell ref="P66:P67"/>
    <mergeCell ref="M26:M27"/>
    <mergeCell ref="O31:O37"/>
    <mergeCell ref="P31:P37"/>
    <mergeCell ref="O26:O27"/>
    <mergeCell ref="J36:L36"/>
    <mergeCell ref="J37:L37"/>
    <mergeCell ref="M31:M37"/>
    <mergeCell ref="G36:H36"/>
    <mergeCell ref="G37:H37"/>
    <mergeCell ref="G31:H31"/>
    <mergeCell ref="G35:H35"/>
    <mergeCell ref="G32:H32"/>
    <mergeCell ref="G34:H34"/>
    <mergeCell ref="O1:AA1"/>
    <mergeCell ref="J66:J67"/>
    <mergeCell ref="B60:M61"/>
    <mergeCell ref="M41:M42"/>
    <mergeCell ref="I43:J43"/>
    <mergeCell ref="G30:H30"/>
    <mergeCell ref="G33:H33"/>
    <mergeCell ref="J30:L30"/>
    <mergeCell ref="C25:F25"/>
    <mergeCell ref="G27:H27"/>
    <mergeCell ref="C30:F30"/>
    <mergeCell ref="C43:F43"/>
    <mergeCell ref="C26:F26"/>
    <mergeCell ref="G26:H26"/>
    <mergeCell ref="C37:F37"/>
    <mergeCell ref="N26:N27"/>
    <mergeCell ref="B41:B42"/>
    <mergeCell ref="C41:F42"/>
    <mergeCell ref="G43:H43"/>
    <mergeCell ref="G41:H42"/>
    <mergeCell ref="A1:M1"/>
    <mergeCell ref="C32:F32"/>
    <mergeCell ref="C33:F33"/>
    <mergeCell ref="C35:F35"/>
    <mergeCell ref="C27:F27"/>
    <mergeCell ref="A2:M2"/>
    <mergeCell ref="J25:L25"/>
    <mergeCell ref="G25:H25"/>
    <mergeCell ref="K26:L26"/>
    <mergeCell ref="K27:L27"/>
    <mergeCell ref="C31:F31"/>
    <mergeCell ref="C34:F34"/>
    <mergeCell ref="C66:E66"/>
    <mergeCell ref="F65:G65"/>
    <mergeCell ref="F66:G66"/>
    <mergeCell ref="C67:E67"/>
    <mergeCell ref="F67:G67"/>
    <mergeCell ref="B65:E65"/>
    <mergeCell ref="K34:L34"/>
    <mergeCell ref="K35:L35"/>
    <mergeCell ref="I31:I35"/>
    <mergeCell ref="K31:L31"/>
    <mergeCell ref="I41:J42"/>
    <mergeCell ref="I26:I27"/>
    <mergeCell ref="D8:E8"/>
    <mergeCell ref="D9:E9"/>
    <mergeCell ref="K32:L32"/>
    <mergeCell ref="K33:L33"/>
  </mergeCells>
  <printOptions horizontalCentered="1"/>
  <pageMargins left="0.511811023622047" right="0.23622047244094499" top="0.511811023622047" bottom="0.23622047244094499" header="0.23622047244094499" footer="0.23622047244094499"/>
  <pageSetup paperSize="9" scale="71" orientation="portrait" horizontalDpi="4294967293" r:id="rId1"/>
  <headerFooter>
    <oddHeader>&amp;R&amp;8GM.LHP - 141-2019 / REV : 0</oddHeader>
    <oddFooter xml:space="preserve">&amp;R&amp;K00-048T.Dewasa 29.5.2023&amp;9
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W413"/>
  <sheetViews>
    <sheetView view="pageBreakPreview" topLeftCell="A375" zoomScaleNormal="100" zoomScaleSheetLayoutView="100" workbookViewId="0">
      <selection activeCell="Q381" sqref="Q381"/>
    </sheetView>
  </sheetViews>
  <sheetFormatPr defaultColWidth="8.7265625" defaultRowHeight="12.5" x14ac:dyDescent="0.25"/>
  <cols>
    <col min="1" max="5" width="8.7265625" style="225"/>
    <col min="6" max="6" width="11.54296875" style="225" customWidth="1"/>
    <col min="7" max="16384" width="8.7265625" style="225"/>
  </cols>
  <sheetData>
    <row r="1" spans="1:21" ht="18" thickBot="1" x14ac:dyDescent="0.3">
      <c r="A1" s="638" t="s">
        <v>458</v>
      </c>
      <c r="B1" s="639"/>
      <c r="C1" s="639"/>
      <c r="D1" s="639"/>
      <c r="E1" s="639"/>
      <c r="F1" s="639"/>
      <c r="G1" s="639"/>
      <c r="H1" s="639"/>
      <c r="I1" s="639"/>
      <c r="J1" s="639"/>
      <c r="K1" s="639"/>
      <c r="L1" s="639"/>
      <c r="M1" s="639"/>
      <c r="N1" s="639"/>
      <c r="O1" s="639"/>
      <c r="P1" s="639"/>
      <c r="Q1" s="639"/>
      <c r="R1" s="639"/>
      <c r="S1" s="639"/>
      <c r="T1" s="639"/>
      <c r="U1" s="639"/>
    </row>
    <row r="2" spans="1:21" x14ac:dyDescent="0.25">
      <c r="A2" s="640">
        <v>1</v>
      </c>
      <c r="B2" s="643" t="s">
        <v>459</v>
      </c>
      <c r="C2" s="644"/>
      <c r="D2" s="644"/>
      <c r="E2" s="644"/>
      <c r="F2" s="645"/>
      <c r="G2" s="226"/>
      <c r="H2" s="643" t="str">
        <f>B2</f>
        <v>KOREKSI KIMO THERMOHYGROMETER 15062873</v>
      </c>
      <c r="I2" s="644"/>
      <c r="J2" s="644"/>
      <c r="K2" s="644"/>
      <c r="L2" s="645"/>
      <c r="M2" s="226"/>
      <c r="N2" s="643" t="str">
        <f>H2</f>
        <v>KOREKSI KIMO THERMOHYGROMETER 15062873</v>
      </c>
      <c r="O2" s="644"/>
      <c r="P2" s="644"/>
      <c r="Q2" s="644"/>
      <c r="R2" s="645"/>
      <c r="T2" s="646" t="s">
        <v>460</v>
      </c>
      <c r="U2" s="647"/>
    </row>
    <row r="3" spans="1:21" ht="13" x14ac:dyDescent="0.25">
      <c r="A3" s="641"/>
      <c r="B3" s="634" t="s">
        <v>461</v>
      </c>
      <c r="C3" s="632"/>
      <c r="D3" s="632" t="s">
        <v>229</v>
      </c>
      <c r="E3" s="632"/>
      <c r="F3" s="633" t="s">
        <v>462</v>
      </c>
      <c r="H3" s="634" t="s">
        <v>463</v>
      </c>
      <c r="I3" s="632"/>
      <c r="J3" s="632" t="s">
        <v>229</v>
      </c>
      <c r="K3" s="632"/>
      <c r="L3" s="633" t="s">
        <v>462</v>
      </c>
      <c r="N3" s="634" t="s">
        <v>464</v>
      </c>
      <c r="O3" s="632"/>
      <c r="P3" s="632" t="s">
        <v>229</v>
      </c>
      <c r="Q3" s="632"/>
      <c r="R3" s="633" t="s">
        <v>462</v>
      </c>
      <c r="T3" s="227" t="s">
        <v>461</v>
      </c>
      <c r="U3" s="228">
        <v>0.6</v>
      </c>
    </row>
    <row r="4" spans="1:21" ht="14.5" x14ac:dyDescent="0.25">
      <c r="A4" s="641"/>
      <c r="B4" s="635" t="s">
        <v>465</v>
      </c>
      <c r="C4" s="636"/>
      <c r="D4" s="229">
        <v>2020</v>
      </c>
      <c r="E4" s="229">
        <v>2017</v>
      </c>
      <c r="F4" s="633"/>
      <c r="H4" s="637" t="s">
        <v>466</v>
      </c>
      <c r="I4" s="636"/>
      <c r="J4" s="230">
        <f>D4</f>
        <v>2020</v>
      </c>
      <c r="K4" s="230">
        <f>E4</f>
        <v>2017</v>
      </c>
      <c r="L4" s="633"/>
      <c r="N4" s="637" t="s">
        <v>467</v>
      </c>
      <c r="O4" s="636"/>
      <c r="P4" s="230">
        <f>J4</f>
        <v>2020</v>
      </c>
      <c r="Q4" s="230">
        <f>K4</f>
        <v>2017</v>
      </c>
      <c r="R4" s="633"/>
      <c r="T4" s="227" t="s">
        <v>466</v>
      </c>
      <c r="U4" s="228">
        <v>3.1</v>
      </c>
    </row>
    <row r="5" spans="1:21" ht="13.5" thickBot="1" x14ac:dyDescent="0.3">
      <c r="A5" s="641"/>
      <c r="B5" s="231">
        <v>1</v>
      </c>
      <c r="C5" s="232">
        <v>15</v>
      </c>
      <c r="D5" s="233">
        <v>-0.5</v>
      </c>
      <c r="E5" s="233">
        <v>0.3</v>
      </c>
      <c r="F5" s="234">
        <f t="shared" ref="F5:F11" si="0">0.5*(MAX(D5:E5)-MIN(D5:E5))</f>
        <v>0.4</v>
      </c>
      <c r="H5" s="231">
        <v>1</v>
      </c>
      <c r="I5" s="232">
        <v>35</v>
      </c>
      <c r="J5" s="233">
        <v>-6</v>
      </c>
      <c r="K5" s="233">
        <v>-9.4</v>
      </c>
      <c r="L5" s="234">
        <f t="shared" ref="L5:L11" si="1">0.5*(MAX(J5:K5)-MIN(J5:K5))</f>
        <v>1.7000000000000002</v>
      </c>
      <c r="N5" s="231">
        <v>1</v>
      </c>
      <c r="O5" s="235">
        <v>750</v>
      </c>
      <c r="P5" s="236" t="s">
        <v>75</v>
      </c>
      <c r="Q5" s="236" t="s">
        <v>75</v>
      </c>
      <c r="R5" s="234">
        <f t="shared" ref="R5:R11" si="2">0.5*(MAX(P5:Q5)-MIN(P5:Q5))</f>
        <v>0</v>
      </c>
      <c r="T5" s="237" t="s">
        <v>467</v>
      </c>
      <c r="U5" s="238">
        <v>0</v>
      </c>
    </row>
    <row r="6" spans="1:21" ht="13" x14ac:dyDescent="0.25">
      <c r="A6" s="641"/>
      <c r="B6" s="231">
        <v>2</v>
      </c>
      <c r="C6" s="232">
        <v>20</v>
      </c>
      <c r="D6" s="233">
        <v>-0.2</v>
      </c>
      <c r="E6" s="233">
        <v>0.2</v>
      </c>
      <c r="F6" s="234">
        <f>0.5*(MAX(D6:E6)-MIN(D6:E6))</f>
        <v>0.2</v>
      </c>
      <c r="H6" s="231">
        <v>2</v>
      </c>
      <c r="I6" s="232">
        <v>40</v>
      </c>
      <c r="J6" s="233">
        <v>-6</v>
      </c>
      <c r="K6" s="233">
        <v>-8.6</v>
      </c>
      <c r="L6" s="234">
        <f t="shared" si="1"/>
        <v>1.2999999999999998</v>
      </c>
      <c r="N6" s="231">
        <v>2</v>
      </c>
      <c r="O6" s="239">
        <v>800</v>
      </c>
      <c r="P6" s="240" t="s">
        <v>75</v>
      </c>
      <c r="Q6" s="240" t="s">
        <v>75</v>
      </c>
      <c r="R6" s="234">
        <f t="shared" si="2"/>
        <v>0</v>
      </c>
    </row>
    <row r="7" spans="1:21" ht="13" x14ac:dyDescent="0.25">
      <c r="A7" s="641"/>
      <c r="B7" s="231">
        <v>3</v>
      </c>
      <c r="C7" s="232">
        <v>25</v>
      </c>
      <c r="D7" s="233">
        <v>0</v>
      </c>
      <c r="E7" s="233">
        <v>0.1</v>
      </c>
      <c r="F7" s="234">
        <f t="shared" si="0"/>
        <v>0.05</v>
      </c>
      <c r="H7" s="231">
        <v>3</v>
      </c>
      <c r="I7" s="232">
        <v>50</v>
      </c>
      <c r="J7" s="233">
        <v>-5.8</v>
      </c>
      <c r="K7" s="233">
        <v>-7.2</v>
      </c>
      <c r="L7" s="234">
        <f t="shared" si="1"/>
        <v>0.70000000000000018</v>
      </c>
      <c r="N7" s="231">
        <v>3</v>
      </c>
      <c r="O7" s="239">
        <v>850</v>
      </c>
      <c r="P7" s="240" t="s">
        <v>75</v>
      </c>
      <c r="Q7" s="240" t="s">
        <v>75</v>
      </c>
      <c r="R7" s="234">
        <f t="shared" si="2"/>
        <v>0</v>
      </c>
    </row>
    <row r="8" spans="1:21" ht="13" x14ac:dyDescent="0.25">
      <c r="A8" s="641"/>
      <c r="B8" s="231">
        <v>4</v>
      </c>
      <c r="C8" s="241">
        <v>30</v>
      </c>
      <c r="D8" s="242">
        <v>0</v>
      </c>
      <c r="E8" s="243">
        <v>-0.2</v>
      </c>
      <c r="F8" s="234">
        <f t="shared" si="0"/>
        <v>0.1</v>
      </c>
      <c r="H8" s="231">
        <v>4</v>
      </c>
      <c r="I8" s="241">
        <v>60</v>
      </c>
      <c r="J8" s="243">
        <v>-5.3</v>
      </c>
      <c r="K8" s="243">
        <v>-5.2</v>
      </c>
      <c r="L8" s="234">
        <f t="shared" si="1"/>
        <v>4.9999999999999822E-2</v>
      </c>
      <c r="N8" s="231">
        <v>4</v>
      </c>
      <c r="O8" s="244">
        <v>900</v>
      </c>
      <c r="P8" s="243" t="s">
        <v>75</v>
      </c>
      <c r="Q8" s="242" t="s">
        <v>75</v>
      </c>
      <c r="R8" s="234">
        <f t="shared" si="2"/>
        <v>0</v>
      </c>
    </row>
    <row r="9" spans="1:21" ht="13" x14ac:dyDescent="0.25">
      <c r="A9" s="641"/>
      <c r="B9" s="231">
        <v>5</v>
      </c>
      <c r="C9" s="241">
        <v>35</v>
      </c>
      <c r="D9" s="243">
        <v>-0.1</v>
      </c>
      <c r="E9" s="243">
        <v>-0.5</v>
      </c>
      <c r="F9" s="234">
        <f t="shared" si="0"/>
        <v>0.2</v>
      </c>
      <c r="H9" s="231">
        <v>5</v>
      </c>
      <c r="I9" s="241">
        <v>70</v>
      </c>
      <c r="J9" s="243">
        <v>-4.4000000000000004</v>
      </c>
      <c r="K9" s="243">
        <v>-2.6</v>
      </c>
      <c r="L9" s="234">
        <f t="shared" si="1"/>
        <v>0.90000000000000013</v>
      </c>
      <c r="N9" s="231">
        <v>5</v>
      </c>
      <c r="O9" s="244">
        <v>1000</v>
      </c>
      <c r="P9" s="243" t="s">
        <v>75</v>
      </c>
      <c r="Q9" s="242" t="s">
        <v>75</v>
      </c>
      <c r="R9" s="234">
        <f t="shared" si="2"/>
        <v>0</v>
      </c>
    </row>
    <row r="10" spans="1:21" ht="13" x14ac:dyDescent="0.25">
      <c r="A10" s="641"/>
      <c r="B10" s="231">
        <v>6</v>
      </c>
      <c r="C10" s="241">
        <v>37</v>
      </c>
      <c r="D10" s="243">
        <v>-0.2</v>
      </c>
      <c r="E10" s="243">
        <v>-0.6</v>
      </c>
      <c r="F10" s="234">
        <f t="shared" si="0"/>
        <v>0.19999999999999998</v>
      </c>
      <c r="H10" s="231">
        <v>6</v>
      </c>
      <c r="I10" s="241">
        <v>80</v>
      </c>
      <c r="J10" s="243">
        <v>-3.2</v>
      </c>
      <c r="K10" s="243">
        <v>0.7</v>
      </c>
      <c r="L10" s="234">
        <f t="shared" si="1"/>
        <v>1.9500000000000002</v>
      </c>
      <c r="N10" s="231">
        <v>6</v>
      </c>
      <c r="O10" s="244">
        <v>1005</v>
      </c>
      <c r="P10" s="243" t="s">
        <v>75</v>
      </c>
      <c r="Q10" s="242" t="s">
        <v>75</v>
      </c>
      <c r="R10" s="234">
        <f t="shared" si="2"/>
        <v>0</v>
      </c>
    </row>
    <row r="11" spans="1:21" ht="13.5" thickBot="1" x14ac:dyDescent="0.3">
      <c r="A11" s="642"/>
      <c r="B11" s="245">
        <v>7</v>
      </c>
      <c r="C11" s="246">
        <v>40</v>
      </c>
      <c r="D11" s="247">
        <v>-0.3</v>
      </c>
      <c r="E11" s="247">
        <v>-0.8</v>
      </c>
      <c r="F11" s="248">
        <f t="shared" si="0"/>
        <v>0.25</v>
      </c>
      <c r="G11" s="249"/>
      <c r="H11" s="245">
        <v>7</v>
      </c>
      <c r="I11" s="246">
        <v>90</v>
      </c>
      <c r="J11" s="247">
        <v>-1.6</v>
      </c>
      <c r="K11" s="247">
        <v>4.5</v>
      </c>
      <c r="L11" s="248">
        <f t="shared" si="1"/>
        <v>3.05</v>
      </c>
      <c r="M11" s="249"/>
      <c r="N11" s="245">
        <v>7</v>
      </c>
      <c r="O11" s="250">
        <v>1020</v>
      </c>
      <c r="P11" s="247" t="s">
        <v>75</v>
      </c>
      <c r="Q11" s="251" t="s">
        <v>75</v>
      </c>
      <c r="R11" s="248">
        <f t="shared" si="2"/>
        <v>0</v>
      </c>
    </row>
    <row r="12" spans="1:21" ht="13.5" thickBot="1" x14ac:dyDescent="0.35">
      <c r="A12" s="252"/>
      <c r="B12" s="252"/>
      <c r="O12" s="253"/>
      <c r="P12" s="254"/>
    </row>
    <row r="13" spans="1:21" x14ac:dyDescent="0.25">
      <c r="A13" s="640">
        <v>2</v>
      </c>
      <c r="B13" s="643" t="s">
        <v>468</v>
      </c>
      <c r="C13" s="644"/>
      <c r="D13" s="644"/>
      <c r="E13" s="644"/>
      <c r="F13" s="645"/>
      <c r="G13" s="226"/>
      <c r="H13" s="643" t="str">
        <f>B13</f>
        <v>KOREKSI KIMO THERMOHYGROMETER 15062874</v>
      </c>
      <c r="I13" s="644"/>
      <c r="J13" s="644"/>
      <c r="K13" s="644"/>
      <c r="L13" s="645"/>
      <c r="M13" s="226"/>
      <c r="N13" s="643" t="str">
        <f>H13</f>
        <v>KOREKSI KIMO THERMOHYGROMETER 15062874</v>
      </c>
      <c r="O13" s="644"/>
      <c r="P13" s="644"/>
      <c r="Q13" s="644"/>
      <c r="R13" s="645"/>
      <c r="T13" s="646" t="s">
        <v>460</v>
      </c>
      <c r="U13" s="647"/>
    </row>
    <row r="14" spans="1:21" ht="13" x14ac:dyDescent="0.25">
      <c r="A14" s="641"/>
      <c r="B14" s="634" t="s">
        <v>461</v>
      </c>
      <c r="C14" s="632"/>
      <c r="D14" s="632" t="s">
        <v>229</v>
      </c>
      <c r="E14" s="632"/>
      <c r="F14" s="633" t="s">
        <v>462</v>
      </c>
      <c r="H14" s="634" t="s">
        <v>463</v>
      </c>
      <c r="I14" s="632"/>
      <c r="J14" s="632" t="s">
        <v>229</v>
      </c>
      <c r="K14" s="632"/>
      <c r="L14" s="633" t="s">
        <v>462</v>
      </c>
      <c r="N14" s="634" t="s">
        <v>464</v>
      </c>
      <c r="O14" s="632"/>
      <c r="P14" s="632" t="s">
        <v>229</v>
      </c>
      <c r="Q14" s="632"/>
      <c r="R14" s="633" t="s">
        <v>462</v>
      </c>
      <c r="T14" s="227" t="s">
        <v>461</v>
      </c>
      <c r="U14" s="255">
        <v>0.3</v>
      </c>
    </row>
    <row r="15" spans="1:21" ht="14.5" x14ac:dyDescent="0.25">
      <c r="A15" s="641"/>
      <c r="B15" s="635" t="s">
        <v>465</v>
      </c>
      <c r="C15" s="636"/>
      <c r="D15" s="229">
        <v>2018</v>
      </c>
      <c r="E15" s="229">
        <v>2017</v>
      </c>
      <c r="F15" s="633"/>
      <c r="H15" s="637" t="s">
        <v>466</v>
      </c>
      <c r="I15" s="636"/>
      <c r="J15" s="230">
        <f>D15</f>
        <v>2018</v>
      </c>
      <c r="K15" s="230">
        <f>E15</f>
        <v>2017</v>
      </c>
      <c r="L15" s="633"/>
      <c r="N15" s="637" t="s">
        <v>467</v>
      </c>
      <c r="O15" s="636"/>
      <c r="P15" s="230">
        <f>J15</f>
        <v>2018</v>
      </c>
      <c r="Q15" s="230">
        <f>K15</f>
        <v>2017</v>
      </c>
      <c r="R15" s="633"/>
      <c r="T15" s="227" t="s">
        <v>466</v>
      </c>
      <c r="U15" s="255">
        <v>3.3</v>
      </c>
    </row>
    <row r="16" spans="1:21" ht="13.5" thickBot="1" x14ac:dyDescent="0.3">
      <c r="A16" s="641"/>
      <c r="B16" s="231">
        <v>1</v>
      </c>
      <c r="C16" s="232">
        <v>15</v>
      </c>
      <c r="D16" s="233">
        <v>0</v>
      </c>
      <c r="E16" s="232">
        <v>0.5</v>
      </c>
      <c r="F16" s="234">
        <f t="shared" ref="F16:F22" si="3">0.5*(MAX(D16:E16)-MIN(D16:E16))</f>
        <v>0.25</v>
      </c>
      <c r="H16" s="231">
        <v>1</v>
      </c>
      <c r="I16" s="232">
        <v>35</v>
      </c>
      <c r="J16" s="233">
        <v>-1.6</v>
      </c>
      <c r="K16" s="232">
        <v>-0.9</v>
      </c>
      <c r="L16" s="234">
        <f t="shared" ref="L16:L22" si="4">0.5*(MAX(J16:K16)-MIN(J16:K16))</f>
        <v>0.35000000000000003</v>
      </c>
      <c r="N16" s="231">
        <v>1</v>
      </c>
      <c r="O16" s="235">
        <v>750</v>
      </c>
      <c r="P16" s="236" t="s">
        <v>75</v>
      </c>
      <c r="Q16" s="236" t="s">
        <v>75</v>
      </c>
      <c r="R16" s="234">
        <f t="shared" ref="R16:R22" si="5">0.5*(MAX(P16:Q16)-MIN(P16:Q16))</f>
        <v>0</v>
      </c>
      <c r="T16" s="237" t="s">
        <v>467</v>
      </c>
      <c r="U16" s="238">
        <v>0</v>
      </c>
    </row>
    <row r="17" spans="1:21" ht="13" x14ac:dyDescent="0.25">
      <c r="A17" s="641"/>
      <c r="B17" s="231">
        <v>2</v>
      </c>
      <c r="C17" s="232">
        <v>20</v>
      </c>
      <c r="D17" s="233">
        <v>-0.1</v>
      </c>
      <c r="E17" s="232">
        <v>0</v>
      </c>
      <c r="F17" s="234">
        <f t="shared" si="3"/>
        <v>0.05</v>
      </c>
      <c r="H17" s="231">
        <v>2</v>
      </c>
      <c r="I17" s="232">
        <v>40</v>
      </c>
      <c r="J17" s="233">
        <v>-1.6</v>
      </c>
      <c r="K17" s="232">
        <v>-1.1000000000000001</v>
      </c>
      <c r="L17" s="234">
        <f t="shared" si="4"/>
        <v>0.25</v>
      </c>
      <c r="N17" s="231">
        <v>2</v>
      </c>
      <c r="O17" s="239">
        <v>800</v>
      </c>
      <c r="P17" s="240" t="s">
        <v>75</v>
      </c>
      <c r="Q17" s="240" t="s">
        <v>75</v>
      </c>
      <c r="R17" s="234">
        <f t="shared" si="5"/>
        <v>0</v>
      </c>
    </row>
    <row r="18" spans="1:21" ht="13" x14ac:dyDescent="0.25">
      <c r="A18" s="641"/>
      <c r="B18" s="231">
        <v>3</v>
      </c>
      <c r="C18" s="232">
        <v>25</v>
      </c>
      <c r="D18" s="233">
        <v>-0.2</v>
      </c>
      <c r="E18" s="232">
        <v>-0.5</v>
      </c>
      <c r="F18" s="234">
        <f t="shared" si="3"/>
        <v>0.15</v>
      </c>
      <c r="H18" s="231">
        <v>3</v>
      </c>
      <c r="I18" s="232">
        <v>50</v>
      </c>
      <c r="J18" s="233">
        <v>-1.5</v>
      </c>
      <c r="K18" s="232">
        <v>-1.4</v>
      </c>
      <c r="L18" s="234">
        <f t="shared" si="4"/>
        <v>5.0000000000000044E-2</v>
      </c>
      <c r="N18" s="231">
        <v>3</v>
      </c>
      <c r="O18" s="239">
        <v>850</v>
      </c>
      <c r="P18" s="240" t="s">
        <v>75</v>
      </c>
      <c r="Q18" s="240" t="s">
        <v>75</v>
      </c>
      <c r="R18" s="234">
        <f t="shared" si="5"/>
        <v>0</v>
      </c>
    </row>
    <row r="19" spans="1:21" ht="13" x14ac:dyDescent="0.25">
      <c r="A19" s="641"/>
      <c r="B19" s="231">
        <v>4</v>
      </c>
      <c r="C19" s="241">
        <v>30</v>
      </c>
      <c r="D19" s="242">
        <v>-0.3</v>
      </c>
      <c r="E19" s="241">
        <v>-1</v>
      </c>
      <c r="F19" s="234">
        <f t="shared" si="3"/>
        <v>0.35</v>
      </c>
      <c r="H19" s="231">
        <v>4</v>
      </c>
      <c r="I19" s="241">
        <v>60</v>
      </c>
      <c r="J19" s="242">
        <v>-1.3</v>
      </c>
      <c r="K19" s="241">
        <v>-1.3</v>
      </c>
      <c r="L19" s="234">
        <f t="shared" si="4"/>
        <v>0</v>
      </c>
      <c r="N19" s="231">
        <v>4</v>
      </c>
      <c r="O19" s="244">
        <v>900</v>
      </c>
      <c r="P19" s="243" t="s">
        <v>75</v>
      </c>
      <c r="Q19" s="242" t="s">
        <v>75</v>
      </c>
      <c r="R19" s="234">
        <f t="shared" si="5"/>
        <v>0</v>
      </c>
    </row>
    <row r="20" spans="1:21" ht="13" x14ac:dyDescent="0.25">
      <c r="A20" s="641"/>
      <c r="B20" s="231">
        <v>5</v>
      </c>
      <c r="C20" s="241">
        <v>35</v>
      </c>
      <c r="D20" s="242">
        <v>-0.3</v>
      </c>
      <c r="E20" s="241">
        <v>-1.6</v>
      </c>
      <c r="F20" s="234">
        <f t="shared" si="3"/>
        <v>0.65</v>
      </c>
      <c r="H20" s="231">
        <v>5</v>
      </c>
      <c r="I20" s="241">
        <v>70</v>
      </c>
      <c r="J20" s="242">
        <v>-1.1000000000000001</v>
      </c>
      <c r="K20" s="241">
        <v>-1</v>
      </c>
      <c r="L20" s="234">
        <f t="shared" si="4"/>
        <v>5.0000000000000044E-2</v>
      </c>
      <c r="N20" s="231">
        <v>5</v>
      </c>
      <c r="O20" s="244">
        <v>1000</v>
      </c>
      <c r="P20" s="243" t="s">
        <v>75</v>
      </c>
      <c r="Q20" s="242" t="s">
        <v>75</v>
      </c>
      <c r="R20" s="234">
        <f t="shared" si="5"/>
        <v>0</v>
      </c>
    </row>
    <row r="21" spans="1:21" ht="13" x14ac:dyDescent="0.25">
      <c r="A21" s="641"/>
      <c r="B21" s="231">
        <v>6</v>
      </c>
      <c r="C21" s="241">
        <v>37</v>
      </c>
      <c r="D21" s="242">
        <v>-0.3</v>
      </c>
      <c r="E21" s="241">
        <v>-1.8</v>
      </c>
      <c r="F21" s="234">
        <f t="shared" si="3"/>
        <v>0.75</v>
      </c>
      <c r="H21" s="231">
        <v>6</v>
      </c>
      <c r="I21" s="241">
        <v>80</v>
      </c>
      <c r="J21" s="242">
        <v>-0.7</v>
      </c>
      <c r="K21" s="241">
        <v>-0.4</v>
      </c>
      <c r="L21" s="234">
        <f t="shared" si="4"/>
        <v>0.14999999999999997</v>
      </c>
      <c r="N21" s="231">
        <v>6</v>
      </c>
      <c r="O21" s="244">
        <v>1005</v>
      </c>
      <c r="P21" s="243" t="s">
        <v>75</v>
      </c>
      <c r="Q21" s="242" t="s">
        <v>75</v>
      </c>
      <c r="R21" s="234">
        <f t="shared" si="5"/>
        <v>0</v>
      </c>
    </row>
    <row r="22" spans="1:21" ht="13.5" thickBot="1" x14ac:dyDescent="0.3">
      <c r="A22" s="642"/>
      <c r="B22" s="245">
        <v>7</v>
      </c>
      <c r="C22" s="246">
        <v>40</v>
      </c>
      <c r="D22" s="251">
        <v>-0.3</v>
      </c>
      <c r="E22" s="246">
        <v>-2.1</v>
      </c>
      <c r="F22" s="248">
        <f t="shared" si="3"/>
        <v>0.9</v>
      </c>
      <c r="G22" s="249"/>
      <c r="H22" s="245">
        <v>7</v>
      </c>
      <c r="I22" s="246">
        <v>90</v>
      </c>
      <c r="J22" s="251">
        <v>-0.3</v>
      </c>
      <c r="K22" s="246">
        <v>0.6</v>
      </c>
      <c r="L22" s="248">
        <f t="shared" si="4"/>
        <v>0.44999999999999996</v>
      </c>
      <c r="M22" s="249"/>
      <c r="N22" s="245">
        <v>7</v>
      </c>
      <c r="O22" s="250">
        <v>1020</v>
      </c>
      <c r="P22" s="247" t="s">
        <v>75</v>
      </c>
      <c r="Q22" s="251" t="s">
        <v>75</v>
      </c>
      <c r="R22" s="248">
        <f t="shared" si="5"/>
        <v>0</v>
      </c>
    </row>
    <row r="23" spans="1:21" ht="13.5" thickBot="1" x14ac:dyDescent="0.35">
      <c r="A23" s="252"/>
      <c r="B23" s="252"/>
      <c r="O23" s="253"/>
      <c r="P23" s="254"/>
    </row>
    <row r="24" spans="1:21" x14ac:dyDescent="0.25">
      <c r="A24" s="640">
        <v>3</v>
      </c>
      <c r="B24" s="643" t="s">
        <v>469</v>
      </c>
      <c r="C24" s="644"/>
      <c r="D24" s="644"/>
      <c r="E24" s="644"/>
      <c r="F24" s="645"/>
      <c r="G24" s="226"/>
      <c r="H24" s="643" t="str">
        <f>B24</f>
        <v>KOREKSI KIMO THERMOHYGROMETER 14082463</v>
      </c>
      <c r="I24" s="644"/>
      <c r="J24" s="644"/>
      <c r="K24" s="644"/>
      <c r="L24" s="645"/>
      <c r="M24" s="226"/>
      <c r="N24" s="643" t="str">
        <f>H24</f>
        <v>KOREKSI KIMO THERMOHYGROMETER 14082463</v>
      </c>
      <c r="O24" s="644"/>
      <c r="P24" s="644"/>
      <c r="Q24" s="644"/>
      <c r="R24" s="645"/>
      <c r="T24" s="646" t="s">
        <v>460</v>
      </c>
      <c r="U24" s="647"/>
    </row>
    <row r="25" spans="1:21" ht="13" x14ac:dyDescent="0.25">
      <c r="A25" s="641"/>
      <c r="B25" s="634" t="s">
        <v>461</v>
      </c>
      <c r="C25" s="632"/>
      <c r="D25" s="632" t="s">
        <v>229</v>
      </c>
      <c r="E25" s="632"/>
      <c r="F25" s="633" t="s">
        <v>462</v>
      </c>
      <c r="H25" s="634" t="s">
        <v>463</v>
      </c>
      <c r="I25" s="632"/>
      <c r="J25" s="632" t="s">
        <v>229</v>
      </c>
      <c r="K25" s="632"/>
      <c r="L25" s="633" t="s">
        <v>462</v>
      </c>
      <c r="N25" s="634" t="s">
        <v>464</v>
      </c>
      <c r="O25" s="632"/>
      <c r="P25" s="632" t="s">
        <v>229</v>
      </c>
      <c r="Q25" s="632"/>
      <c r="R25" s="633" t="s">
        <v>462</v>
      </c>
      <c r="T25" s="227" t="s">
        <v>461</v>
      </c>
      <c r="U25" s="255">
        <v>0.3</v>
      </c>
    </row>
    <row r="26" spans="1:21" ht="14.5" x14ac:dyDescent="0.25">
      <c r="A26" s="641"/>
      <c r="B26" s="635" t="s">
        <v>465</v>
      </c>
      <c r="C26" s="636"/>
      <c r="D26" s="229">
        <v>2018</v>
      </c>
      <c r="E26" s="229">
        <v>2017</v>
      </c>
      <c r="F26" s="633"/>
      <c r="H26" s="637" t="s">
        <v>466</v>
      </c>
      <c r="I26" s="636"/>
      <c r="J26" s="230">
        <f>D26</f>
        <v>2018</v>
      </c>
      <c r="K26" s="230">
        <f>E26</f>
        <v>2017</v>
      </c>
      <c r="L26" s="633"/>
      <c r="N26" s="637" t="s">
        <v>467</v>
      </c>
      <c r="O26" s="636"/>
      <c r="P26" s="230">
        <f>J26</f>
        <v>2018</v>
      </c>
      <c r="Q26" s="230">
        <f>K26</f>
        <v>2017</v>
      </c>
      <c r="R26" s="633"/>
      <c r="T26" s="227" t="s">
        <v>466</v>
      </c>
      <c r="U26" s="255">
        <v>3.1</v>
      </c>
    </row>
    <row r="27" spans="1:21" ht="13.5" thickBot="1" x14ac:dyDescent="0.3">
      <c r="A27" s="641"/>
      <c r="B27" s="231">
        <v>1</v>
      </c>
      <c r="C27" s="232">
        <v>15</v>
      </c>
      <c r="D27" s="233">
        <v>0</v>
      </c>
      <c r="E27" s="232">
        <v>0.2</v>
      </c>
      <c r="F27" s="234">
        <f t="shared" ref="F27:F33" si="6">0.5*(MAX(D27:E27)-MIN(D27:E27))</f>
        <v>0.1</v>
      </c>
      <c r="H27" s="231">
        <v>1</v>
      </c>
      <c r="I27" s="232">
        <v>30</v>
      </c>
      <c r="J27" s="233">
        <v>-5.7</v>
      </c>
      <c r="K27" s="232">
        <v>-1.1000000000000001</v>
      </c>
      <c r="L27" s="234">
        <f t="shared" ref="L27:L33" si="7">0.5*(MAX(J27:K27)-MIN(J27:K27))</f>
        <v>2.2999999999999998</v>
      </c>
      <c r="N27" s="231">
        <v>1</v>
      </c>
      <c r="O27" s="235">
        <v>750</v>
      </c>
      <c r="P27" s="236" t="s">
        <v>75</v>
      </c>
      <c r="Q27" s="236" t="s">
        <v>75</v>
      </c>
      <c r="R27" s="234">
        <f t="shared" ref="R27:R33" si="8">0.5*(MAX(P27:Q27)-MIN(P27:Q27))</f>
        <v>0</v>
      </c>
      <c r="T27" s="237" t="s">
        <v>467</v>
      </c>
      <c r="U27" s="238">
        <v>0</v>
      </c>
    </row>
    <row r="28" spans="1:21" ht="13" x14ac:dyDescent="0.25">
      <c r="A28" s="641"/>
      <c r="B28" s="231">
        <v>2</v>
      </c>
      <c r="C28" s="232">
        <v>20</v>
      </c>
      <c r="D28" s="233">
        <v>0</v>
      </c>
      <c r="E28" s="232">
        <v>0</v>
      </c>
      <c r="F28" s="234">
        <f t="shared" si="6"/>
        <v>0</v>
      </c>
      <c r="H28" s="231">
        <v>2</v>
      </c>
      <c r="I28" s="232">
        <v>40</v>
      </c>
      <c r="J28" s="233">
        <v>-5.3</v>
      </c>
      <c r="K28" s="232">
        <v>-1.9</v>
      </c>
      <c r="L28" s="234">
        <f t="shared" si="7"/>
        <v>1.7</v>
      </c>
      <c r="N28" s="231">
        <v>2</v>
      </c>
      <c r="O28" s="239">
        <v>800</v>
      </c>
      <c r="P28" s="240" t="s">
        <v>75</v>
      </c>
      <c r="Q28" s="240" t="s">
        <v>75</v>
      </c>
      <c r="R28" s="234">
        <f t="shared" si="8"/>
        <v>0</v>
      </c>
    </row>
    <row r="29" spans="1:21" ht="13" x14ac:dyDescent="0.25">
      <c r="A29" s="641"/>
      <c r="B29" s="231">
        <v>3</v>
      </c>
      <c r="C29" s="232">
        <v>25</v>
      </c>
      <c r="D29" s="233">
        <v>-0.1</v>
      </c>
      <c r="E29" s="232">
        <v>-0.2</v>
      </c>
      <c r="F29" s="234">
        <f t="shared" si="6"/>
        <v>0.05</v>
      </c>
      <c r="H29" s="231">
        <v>3</v>
      </c>
      <c r="I29" s="232">
        <v>50</v>
      </c>
      <c r="J29" s="233">
        <v>-4.9000000000000004</v>
      </c>
      <c r="K29" s="232">
        <v>-2.2999999999999998</v>
      </c>
      <c r="L29" s="234">
        <f t="shared" si="7"/>
        <v>1.3000000000000003</v>
      </c>
      <c r="N29" s="231">
        <v>3</v>
      </c>
      <c r="O29" s="239">
        <v>850</v>
      </c>
      <c r="P29" s="240" t="s">
        <v>75</v>
      </c>
      <c r="Q29" s="240" t="s">
        <v>75</v>
      </c>
      <c r="R29" s="234">
        <f t="shared" si="8"/>
        <v>0</v>
      </c>
    </row>
    <row r="30" spans="1:21" ht="13" x14ac:dyDescent="0.25">
      <c r="A30" s="641"/>
      <c r="B30" s="231">
        <v>4</v>
      </c>
      <c r="C30" s="241">
        <v>30</v>
      </c>
      <c r="D30" s="242">
        <v>-0.3</v>
      </c>
      <c r="E30" s="241">
        <v>-0.3</v>
      </c>
      <c r="F30" s="234">
        <f t="shared" si="6"/>
        <v>0</v>
      </c>
      <c r="H30" s="231">
        <v>4</v>
      </c>
      <c r="I30" s="241">
        <v>60</v>
      </c>
      <c r="J30" s="242">
        <v>-4.3</v>
      </c>
      <c r="K30" s="241">
        <v>-2.2000000000000002</v>
      </c>
      <c r="L30" s="234">
        <f t="shared" si="7"/>
        <v>1.0499999999999998</v>
      </c>
      <c r="N30" s="231">
        <v>4</v>
      </c>
      <c r="O30" s="244">
        <v>900</v>
      </c>
      <c r="P30" s="243" t="s">
        <v>75</v>
      </c>
      <c r="Q30" s="242" t="s">
        <v>75</v>
      </c>
      <c r="R30" s="234">
        <f t="shared" si="8"/>
        <v>0</v>
      </c>
    </row>
    <row r="31" spans="1:21" ht="13" x14ac:dyDescent="0.25">
      <c r="A31" s="641"/>
      <c r="B31" s="231">
        <v>5</v>
      </c>
      <c r="C31" s="241">
        <v>35</v>
      </c>
      <c r="D31" s="242">
        <v>-0.5</v>
      </c>
      <c r="E31" s="241">
        <v>-0.4</v>
      </c>
      <c r="F31" s="234">
        <f t="shared" si="6"/>
        <v>4.9999999999999989E-2</v>
      </c>
      <c r="H31" s="231">
        <v>5</v>
      </c>
      <c r="I31" s="241">
        <v>70</v>
      </c>
      <c r="J31" s="242">
        <v>-3.6</v>
      </c>
      <c r="K31" s="241">
        <v>-1.6</v>
      </c>
      <c r="L31" s="234">
        <f t="shared" si="7"/>
        <v>1</v>
      </c>
      <c r="N31" s="231">
        <v>5</v>
      </c>
      <c r="O31" s="244">
        <v>1000</v>
      </c>
      <c r="P31" s="243" t="s">
        <v>75</v>
      </c>
      <c r="Q31" s="242" t="s">
        <v>75</v>
      </c>
      <c r="R31" s="234">
        <f t="shared" si="8"/>
        <v>0</v>
      </c>
    </row>
    <row r="32" spans="1:21" ht="13" x14ac:dyDescent="0.25">
      <c r="A32" s="641"/>
      <c r="B32" s="231">
        <v>6</v>
      </c>
      <c r="C32" s="241">
        <v>37</v>
      </c>
      <c r="D32" s="242">
        <v>-0.6</v>
      </c>
      <c r="E32" s="241">
        <v>-0.5</v>
      </c>
      <c r="F32" s="234">
        <f t="shared" si="6"/>
        <v>4.9999999999999989E-2</v>
      </c>
      <c r="H32" s="231">
        <v>6</v>
      </c>
      <c r="I32" s="241">
        <v>80</v>
      </c>
      <c r="J32" s="242">
        <v>-2.9</v>
      </c>
      <c r="K32" s="241">
        <v>-0.6</v>
      </c>
      <c r="L32" s="234">
        <f t="shared" si="7"/>
        <v>1.1499999999999999</v>
      </c>
      <c r="N32" s="231">
        <v>6</v>
      </c>
      <c r="O32" s="244">
        <v>1005</v>
      </c>
      <c r="P32" s="243" t="s">
        <v>75</v>
      </c>
      <c r="Q32" s="242" t="s">
        <v>75</v>
      </c>
      <c r="R32" s="234">
        <f t="shared" si="8"/>
        <v>0</v>
      </c>
    </row>
    <row r="33" spans="1:21" ht="13.5" thickBot="1" x14ac:dyDescent="0.3">
      <c r="A33" s="642"/>
      <c r="B33" s="245">
        <v>7</v>
      </c>
      <c r="C33" s="246">
        <v>40</v>
      </c>
      <c r="D33" s="251">
        <v>-0.7</v>
      </c>
      <c r="E33" s="246">
        <v>-0.5</v>
      </c>
      <c r="F33" s="248">
        <f t="shared" si="6"/>
        <v>9.9999999999999978E-2</v>
      </c>
      <c r="G33" s="249"/>
      <c r="H33" s="245">
        <v>7</v>
      </c>
      <c r="I33" s="246">
        <v>90</v>
      </c>
      <c r="J33" s="251">
        <v>-2</v>
      </c>
      <c r="K33" s="246">
        <v>0.9</v>
      </c>
      <c r="L33" s="248">
        <f t="shared" si="7"/>
        <v>1.45</v>
      </c>
      <c r="M33" s="249"/>
      <c r="N33" s="245">
        <v>7</v>
      </c>
      <c r="O33" s="250">
        <v>1020</v>
      </c>
      <c r="P33" s="247" t="s">
        <v>75</v>
      </c>
      <c r="Q33" s="251" t="s">
        <v>75</v>
      </c>
      <c r="R33" s="248">
        <f t="shared" si="8"/>
        <v>0</v>
      </c>
    </row>
    <row r="34" spans="1:21" ht="13.5" thickBot="1" x14ac:dyDescent="0.35">
      <c r="A34" s="252"/>
      <c r="B34" s="252"/>
      <c r="H34" s="256"/>
      <c r="O34" s="253"/>
      <c r="P34" s="254"/>
    </row>
    <row r="35" spans="1:21" ht="13" thickBot="1" x14ac:dyDescent="0.3">
      <c r="A35" s="658">
        <v>4</v>
      </c>
      <c r="B35" s="661" t="s">
        <v>470</v>
      </c>
      <c r="C35" s="662"/>
      <c r="D35" s="662"/>
      <c r="E35" s="662"/>
      <c r="F35" s="663"/>
      <c r="G35" s="226"/>
      <c r="H35" s="661" t="str">
        <f>B35</f>
        <v>KOREKSI KIMO THERMOHYGROMETER 15062872</v>
      </c>
      <c r="I35" s="662"/>
      <c r="J35" s="662"/>
      <c r="K35" s="662"/>
      <c r="L35" s="663"/>
      <c r="M35" s="226"/>
      <c r="N35" s="661" t="str">
        <f>H35</f>
        <v>KOREKSI KIMO THERMOHYGROMETER 15062872</v>
      </c>
      <c r="O35" s="662"/>
      <c r="P35" s="662"/>
      <c r="Q35" s="662"/>
      <c r="R35" s="663"/>
    </row>
    <row r="36" spans="1:21" ht="13.5" thickBot="1" x14ac:dyDescent="0.3">
      <c r="A36" s="659"/>
      <c r="B36" s="648" t="s">
        <v>461</v>
      </c>
      <c r="C36" s="649"/>
      <c r="D36" s="650" t="s">
        <v>229</v>
      </c>
      <c r="E36" s="651"/>
      <c r="F36" s="652" t="s">
        <v>462</v>
      </c>
      <c r="H36" s="648" t="s">
        <v>463</v>
      </c>
      <c r="I36" s="649"/>
      <c r="J36" s="650" t="s">
        <v>229</v>
      </c>
      <c r="K36" s="651"/>
      <c r="L36" s="652" t="s">
        <v>462</v>
      </c>
      <c r="N36" s="648" t="s">
        <v>464</v>
      </c>
      <c r="O36" s="649"/>
      <c r="P36" s="650" t="s">
        <v>229</v>
      </c>
      <c r="Q36" s="651"/>
      <c r="R36" s="652" t="s">
        <v>462</v>
      </c>
      <c r="T36" s="646" t="s">
        <v>460</v>
      </c>
      <c r="U36" s="647"/>
    </row>
    <row r="37" spans="1:21" ht="15" thickBot="1" x14ac:dyDescent="0.3">
      <c r="A37" s="659"/>
      <c r="B37" s="654" t="s">
        <v>465</v>
      </c>
      <c r="C37" s="655"/>
      <c r="D37" s="257">
        <v>2019</v>
      </c>
      <c r="E37" s="257">
        <v>2017</v>
      </c>
      <c r="F37" s="653"/>
      <c r="H37" s="656" t="s">
        <v>466</v>
      </c>
      <c r="I37" s="657"/>
      <c r="J37" s="258">
        <f>D37</f>
        <v>2019</v>
      </c>
      <c r="K37" s="258">
        <f>E37</f>
        <v>2017</v>
      </c>
      <c r="L37" s="653"/>
      <c r="N37" s="656" t="s">
        <v>467</v>
      </c>
      <c r="O37" s="657"/>
      <c r="P37" s="258">
        <f>J37</f>
        <v>2019</v>
      </c>
      <c r="Q37" s="258">
        <f>K37</f>
        <v>2017</v>
      </c>
      <c r="R37" s="653"/>
      <c r="T37" s="227" t="s">
        <v>461</v>
      </c>
      <c r="U37" s="255">
        <v>0.3</v>
      </c>
    </row>
    <row r="38" spans="1:21" ht="13" x14ac:dyDescent="0.25">
      <c r="A38" s="659"/>
      <c r="B38" s="231">
        <v>1</v>
      </c>
      <c r="C38" s="235">
        <v>15</v>
      </c>
      <c r="D38" s="259">
        <v>-0.2</v>
      </c>
      <c r="E38" s="259">
        <v>-0.1</v>
      </c>
      <c r="F38" s="260">
        <f t="shared" ref="F38:F44" si="9">0.5*(MAX(D38:E38)-MIN(D38:E38))</f>
        <v>0.05</v>
      </c>
      <c r="H38" s="231">
        <v>1</v>
      </c>
      <c r="I38" s="235">
        <v>35</v>
      </c>
      <c r="J38" s="259">
        <v>-4.5</v>
      </c>
      <c r="K38" s="259">
        <v>-1.7</v>
      </c>
      <c r="L38" s="260">
        <f t="shared" ref="L38:L44" si="10">0.5*(MAX(J38:K38)-MIN(J38:K38))</f>
        <v>1.4</v>
      </c>
      <c r="N38" s="231">
        <v>1</v>
      </c>
      <c r="O38" s="235">
        <v>750</v>
      </c>
      <c r="P38" s="236" t="s">
        <v>75</v>
      </c>
      <c r="Q38" s="236" t="s">
        <v>75</v>
      </c>
      <c r="R38" s="260">
        <f t="shared" ref="R38:R44" si="11">0.5*(MAX(P38:Q38)-MIN(P38:Q38))</f>
        <v>0</v>
      </c>
      <c r="T38" s="227" t="s">
        <v>466</v>
      </c>
      <c r="U38" s="255">
        <v>1.3</v>
      </c>
    </row>
    <row r="39" spans="1:21" ht="13.5" thickBot="1" x14ac:dyDescent="0.3">
      <c r="A39" s="659"/>
      <c r="B39" s="231">
        <v>2</v>
      </c>
      <c r="C39" s="239">
        <v>20</v>
      </c>
      <c r="D39" s="233">
        <v>-0.1</v>
      </c>
      <c r="E39" s="233">
        <v>-0.3</v>
      </c>
      <c r="F39" s="234">
        <f>0.5*(MAX(D39:E39)-MIN(D39:E39))</f>
        <v>9.9999999999999992E-2</v>
      </c>
      <c r="H39" s="231">
        <v>2</v>
      </c>
      <c r="I39" s="239">
        <v>40</v>
      </c>
      <c r="J39" s="233">
        <v>-4.4000000000000004</v>
      </c>
      <c r="K39" s="233">
        <v>-1.5</v>
      </c>
      <c r="L39" s="234">
        <f t="shared" si="10"/>
        <v>1.4500000000000002</v>
      </c>
      <c r="N39" s="231">
        <v>2</v>
      </c>
      <c r="O39" s="239">
        <v>800</v>
      </c>
      <c r="P39" s="240" t="s">
        <v>75</v>
      </c>
      <c r="Q39" s="240" t="s">
        <v>75</v>
      </c>
      <c r="R39" s="234">
        <f t="shared" si="11"/>
        <v>0</v>
      </c>
      <c r="T39" s="237" t="s">
        <v>467</v>
      </c>
      <c r="U39" s="238">
        <v>0</v>
      </c>
    </row>
    <row r="40" spans="1:21" ht="13" x14ac:dyDescent="0.25">
      <c r="A40" s="659"/>
      <c r="B40" s="231">
        <v>3</v>
      </c>
      <c r="C40" s="239">
        <v>25</v>
      </c>
      <c r="D40" s="233">
        <v>-0.1</v>
      </c>
      <c r="E40" s="233">
        <v>-0.5</v>
      </c>
      <c r="F40" s="234">
        <f t="shared" si="9"/>
        <v>0.2</v>
      </c>
      <c r="H40" s="231">
        <v>3</v>
      </c>
      <c r="I40" s="239">
        <v>50</v>
      </c>
      <c r="J40" s="233">
        <v>-4.3</v>
      </c>
      <c r="K40" s="233">
        <v>-1</v>
      </c>
      <c r="L40" s="234">
        <f t="shared" si="10"/>
        <v>1.65</v>
      </c>
      <c r="N40" s="231">
        <v>3</v>
      </c>
      <c r="O40" s="239">
        <v>850</v>
      </c>
      <c r="P40" s="240" t="s">
        <v>75</v>
      </c>
      <c r="Q40" s="240" t="s">
        <v>75</v>
      </c>
      <c r="R40" s="234">
        <f t="shared" si="11"/>
        <v>0</v>
      </c>
    </row>
    <row r="41" spans="1:21" ht="13" x14ac:dyDescent="0.25">
      <c r="A41" s="659"/>
      <c r="B41" s="231">
        <v>4</v>
      </c>
      <c r="C41" s="244">
        <v>30</v>
      </c>
      <c r="D41" s="243">
        <v>-0.1</v>
      </c>
      <c r="E41" s="243">
        <v>-0.6</v>
      </c>
      <c r="F41" s="234">
        <f t="shared" si="9"/>
        <v>0.25</v>
      </c>
      <c r="H41" s="231">
        <v>4</v>
      </c>
      <c r="I41" s="244">
        <v>60</v>
      </c>
      <c r="J41" s="243">
        <v>-4.2</v>
      </c>
      <c r="K41" s="243">
        <v>-0.3</v>
      </c>
      <c r="L41" s="234">
        <f t="shared" si="10"/>
        <v>1.9500000000000002</v>
      </c>
      <c r="N41" s="231">
        <v>4</v>
      </c>
      <c r="O41" s="244">
        <v>900</v>
      </c>
      <c r="P41" s="243" t="s">
        <v>75</v>
      </c>
      <c r="Q41" s="242" t="s">
        <v>75</v>
      </c>
      <c r="R41" s="234">
        <f t="shared" si="11"/>
        <v>0</v>
      </c>
    </row>
    <row r="42" spans="1:21" ht="13" x14ac:dyDescent="0.25">
      <c r="A42" s="659"/>
      <c r="B42" s="231">
        <v>5</v>
      </c>
      <c r="C42" s="244">
        <v>35</v>
      </c>
      <c r="D42" s="243">
        <v>-0.3</v>
      </c>
      <c r="E42" s="243">
        <v>-0.6</v>
      </c>
      <c r="F42" s="234">
        <f t="shared" si="9"/>
        <v>0.15</v>
      </c>
      <c r="H42" s="231">
        <v>5</v>
      </c>
      <c r="I42" s="244">
        <v>70</v>
      </c>
      <c r="J42" s="242">
        <v>-4</v>
      </c>
      <c r="K42" s="243">
        <v>0.7</v>
      </c>
      <c r="L42" s="234">
        <f t="shared" si="10"/>
        <v>2.35</v>
      </c>
      <c r="N42" s="231">
        <v>5</v>
      </c>
      <c r="O42" s="244">
        <v>1000</v>
      </c>
      <c r="P42" s="243" t="s">
        <v>75</v>
      </c>
      <c r="Q42" s="242" t="s">
        <v>75</v>
      </c>
      <c r="R42" s="234">
        <f t="shared" si="11"/>
        <v>0</v>
      </c>
    </row>
    <row r="43" spans="1:21" ht="13" x14ac:dyDescent="0.25">
      <c r="A43" s="659"/>
      <c r="B43" s="231">
        <v>6</v>
      </c>
      <c r="C43" s="244">
        <v>37</v>
      </c>
      <c r="D43" s="243">
        <v>-0.4</v>
      </c>
      <c r="E43" s="243">
        <v>-0.6</v>
      </c>
      <c r="F43" s="234">
        <f t="shared" si="9"/>
        <v>9.9999999999999978E-2</v>
      </c>
      <c r="H43" s="231">
        <v>6</v>
      </c>
      <c r="I43" s="244">
        <v>80</v>
      </c>
      <c r="J43" s="243">
        <v>-3.8</v>
      </c>
      <c r="K43" s="243">
        <v>1.9</v>
      </c>
      <c r="L43" s="234">
        <f t="shared" si="10"/>
        <v>2.8499999999999996</v>
      </c>
      <c r="N43" s="231">
        <v>6</v>
      </c>
      <c r="O43" s="244">
        <v>1005</v>
      </c>
      <c r="P43" s="243" t="s">
        <v>75</v>
      </c>
      <c r="Q43" s="242" t="s">
        <v>75</v>
      </c>
      <c r="R43" s="234">
        <f t="shared" si="11"/>
        <v>0</v>
      </c>
    </row>
    <row r="44" spans="1:21" ht="13.5" thickBot="1" x14ac:dyDescent="0.3">
      <c r="A44" s="660"/>
      <c r="B44" s="245">
        <v>7</v>
      </c>
      <c r="C44" s="250">
        <v>40</v>
      </c>
      <c r="D44" s="243">
        <v>-0.5</v>
      </c>
      <c r="E44" s="243">
        <v>-0.6</v>
      </c>
      <c r="F44" s="248">
        <f t="shared" si="9"/>
        <v>4.9999999999999989E-2</v>
      </c>
      <c r="G44" s="249"/>
      <c r="H44" s="245">
        <v>7</v>
      </c>
      <c r="I44" s="250">
        <v>90</v>
      </c>
      <c r="J44" s="247">
        <v>-3.5</v>
      </c>
      <c r="K44" s="247">
        <v>3.3</v>
      </c>
      <c r="L44" s="248">
        <f t="shared" si="10"/>
        <v>3.4</v>
      </c>
      <c r="M44" s="249"/>
      <c r="N44" s="245">
        <v>7</v>
      </c>
      <c r="O44" s="250">
        <v>1020</v>
      </c>
      <c r="P44" s="247" t="s">
        <v>75</v>
      </c>
      <c r="Q44" s="251" t="s">
        <v>75</v>
      </c>
      <c r="R44" s="248">
        <f t="shared" si="11"/>
        <v>0</v>
      </c>
    </row>
    <row r="45" spans="1:21" ht="13.5" thickBot="1" x14ac:dyDescent="0.35">
      <c r="A45" s="252"/>
      <c r="B45" s="252"/>
      <c r="O45" s="253"/>
      <c r="P45" s="254"/>
    </row>
    <row r="46" spans="1:21" ht="13" thickBot="1" x14ac:dyDescent="0.3">
      <c r="A46" s="658">
        <v>5</v>
      </c>
      <c r="B46" s="661" t="s">
        <v>471</v>
      </c>
      <c r="C46" s="662"/>
      <c r="D46" s="662"/>
      <c r="E46" s="662"/>
      <c r="F46" s="663"/>
      <c r="G46" s="226"/>
      <c r="H46" s="661" t="str">
        <f>B46</f>
        <v>KOREKSI KIMO THERMOHYGROMETER 15062875</v>
      </c>
      <c r="I46" s="662"/>
      <c r="J46" s="662"/>
      <c r="K46" s="662"/>
      <c r="L46" s="663"/>
      <c r="M46" s="226"/>
      <c r="N46" s="661" t="str">
        <f>H46</f>
        <v>KOREKSI KIMO THERMOHYGROMETER 15062875</v>
      </c>
      <c r="O46" s="662"/>
      <c r="P46" s="662"/>
      <c r="Q46" s="662"/>
      <c r="R46" s="663"/>
      <c r="T46" s="646" t="s">
        <v>460</v>
      </c>
      <c r="U46" s="647"/>
    </row>
    <row r="47" spans="1:21" ht="13.5" thickBot="1" x14ac:dyDescent="0.3">
      <c r="A47" s="659"/>
      <c r="B47" s="648" t="s">
        <v>461</v>
      </c>
      <c r="C47" s="649"/>
      <c r="D47" s="650" t="s">
        <v>229</v>
      </c>
      <c r="E47" s="651"/>
      <c r="F47" s="652" t="s">
        <v>462</v>
      </c>
      <c r="H47" s="648" t="s">
        <v>463</v>
      </c>
      <c r="I47" s="649"/>
      <c r="J47" s="650" t="s">
        <v>229</v>
      </c>
      <c r="K47" s="651"/>
      <c r="L47" s="652" t="s">
        <v>462</v>
      </c>
      <c r="N47" s="648" t="s">
        <v>464</v>
      </c>
      <c r="O47" s="649"/>
      <c r="P47" s="650" t="s">
        <v>229</v>
      </c>
      <c r="Q47" s="651"/>
      <c r="R47" s="652" t="s">
        <v>462</v>
      </c>
      <c r="T47" s="227" t="s">
        <v>461</v>
      </c>
      <c r="U47" s="255">
        <v>0.4</v>
      </c>
    </row>
    <row r="48" spans="1:21" ht="15" thickBot="1" x14ac:dyDescent="0.3">
      <c r="A48" s="659"/>
      <c r="B48" s="654" t="s">
        <v>465</v>
      </c>
      <c r="C48" s="655"/>
      <c r="D48" s="257">
        <v>2020</v>
      </c>
      <c r="E48" s="257">
        <v>2017</v>
      </c>
      <c r="F48" s="653"/>
      <c r="H48" s="656" t="s">
        <v>466</v>
      </c>
      <c r="I48" s="657"/>
      <c r="J48" s="258">
        <f>D48</f>
        <v>2020</v>
      </c>
      <c r="K48" s="258">
        <f>E48</f>
        <v>2017</v>
      </c>
      <c r="L48" s="653"/>
      <c r="N48" s="656" t="s">
        <v>467</v>
      </c>
      <c r="O48" s="657"/>
      <c r="P48" s="258">
        <f>J48</f>
        <v>2020</v>
      </c>
      <c r="Q48" s="258">
        <f>K48</f>
        <v>2017</v>
      </c>
      <c r="R48" s="653"/>
      <c r="T48" s="227" t="s">
        <v>466</v>
      </c>
      <c r="U48" s="255">
        <v>2.8</v>
      </c>
    </row>
    <row r="49" spans="1:21" ht="13.5" thickBot="1" x14ac:dyDescent="0.3">
      <c r="A49" s="659"/>
      <c r="B49" s="231">
        <v>1</v>
      </c>
      <c r="C49" s="235">
        <v>15</v>
      </c>
      <c r="D49" s="259">
        <v>-0.3</v>
      </c>
      <c r="E49" s="259">
        <v>0.3</v>
      </c>
      <c r="F49" s="260">
        <f t="shared" ref="F49:F55" si="12">0.5*(MAX(D49:E49)-MIN(D49:E49))</f>
        <v>0.3</v>
      </c>
      <c r="H49" s="231">
        <v>1</v>
      </c>
      <c r="I49" s="235">
        <v>35</v>
      </c>
      <c r="J49" s="259">
        <v>-7.7</v>
      </c>
      <c r="K49" s="259">
        <v>-9.6</v>
      </c>
      <c r="L49" s="260">
        <f t="shared" ref="L49:L55" si="13">0.5*(MAX(J49:K49)-MIN(J49:K49))</f>
        <v>0.94999999999999973</v>
      </c>
      <c r="N49" s="231">
        <v>1</v>
      </c>
      <c r="O49" s="235">
        <v>750</v>
      </c>
      <c r="P49" s="236" t="s">
        <v>75</v>
      </c>
      <c r="Q49" s="236" t="s">
        <v>75</v>
      </c>
      <c r="R49" s="260">
        <f t="shared" ref="R49:R55" si="14">0.5*(MAX(P49:Q49)-MIN(P49:Q49))</f>
        <v>0</v>
      </c>
      <c r="T49" s="237" t="s">
        <v>467</v>
      </c>
      <c r="U49" s="238">
        <v>0</v>
      </c>
    </row>
    <row r="50" spans="1:21" ht="13" x14ac:dyDescent="0.25">
      <c r="A50" s="659"/>
      <c r="B50" s="231">
        <v>2</v>
      </c>
      <c r="C50" s="239">
        <v>20</v>
      </c>
      <c r="D50" s="233">
        <v>0.1</v>
      </c>
      <c r="E50" s="233">
        <v>0.3</v>
      </c>
      <c r="F50" s="234">
        <f t="shared" si="12"/>
        <v>9.9999999999999992E-2</v>
      </c>
      <c r="H50" s="231">
        <v>2</v>
      </c>
      <c r="I50" s="239">
        <v>40</v>
      </c>
      <c r="J50" s="233">
        <v>-7.2</v>
      </c>
      <c r="K50" s="233">
        <v>-8</v>
      </c>
      <c r="L50" s="234">
        <f t="shared" si="13"/>
        <v>0.39999999999999991</v>
      </c>
      <c r="N50" s="231">
        <v>2</v>
      </c>
      <c r="O50" s="239">
        <v>800</v>
      </c>
      <c r="P50" s="240" t="s">
        <v>75</v>
      </c>
      <c r="Q50" s="240" t="s">
        <v>75</v>
      </c>
      <c r="R50" s="234">
        <f t="shared" si="14"/>
        <v>0</v>
      </c>
    </row>
    <row r="51" spans="1:21" ht="13" x14ac:dyDescent="0.25">
      <c r="A51" s="659"/>
      <c r="B51" s="231">
        <v>3</v>
      </c>
      <c r="C51" s="239">
        <v>25</v>
      </c>
      <c r="D51" s="233">
        <v>0.4</v>
      </c>
      <c r="E51" s="233">
        <v>0.2</v>
      </c>
      <c r="F51" s="234">
        <f t="shared" si="12"/>
        <v>0.1</v>
      </c>
      <c r="H51" s="231">
        <v>3</v>
      </c>
      <c r="I51" s="239">
        <v>50</v>
      </c>
      <c r="J51" s="233">
        <v>-6.2</v>
      </c>
      <c r="K51" s="233">
        <v>-6.2</v>
      </c>
      <c r="L51" s="234">
        <f t="shared" si="13"/>
        <v>0</v>
      </c>
      <c r="N51" s="231">
        <v>3</v>
      </c>
      <c r="O51" s="239">
        <v>850</v>
      </c>
      <c r="P51" s="240" t="s">
        <v>75</v>
      </c>
      <c r="Q51" s="240" t="s">
        <v>75</v>
      </c>
      <c r="R51" s="234">
        <f t="shared" si="14"/>
        <v>0</v>
      </c>
    </row>
    <row r="52" spans="1:21" ht="13" x14ac:dyDescent="0.25">
      <c r="A52" s="659"/>
      <c r="B52" s="231">
        <v>4</v>
      </c>
      <c r="C52" s="244">
        <v>30</v>
      </c>
      <c r="D52" s="243">
        <v>0.6</v>
      </c>
      <c r="E52" s="242">
        <v>0.1</v>
      </c>
      <c r="F52" s="234">
        <f t="shared" si="12"/>
        <v>0.25</v>
      </c>
      <c r="H52" s="231">
        <v>4</v>
      </c>
      <c r="I52" s="244">
        <v>60</v>
      </c>
      <c r="J52" s="243">
        <v>-5.2</v>
      </c>
      <c r="K52" s="243">
        <v>-4.2</v>
      </c>
      <c r="L52" s="234">
        <f t="shared" si="13"/>
        <v>0.5</v>
      </c>
      <c r="N52" s="231">
        <v>4</v>
      </c>
      <c r="O52" s="244">
        <v>900</v>
      </c>
      <c r="P52" s="243" t="s">
        <v>75</v>
      </c>
      <c r="Q52" s="242" t="s">
        <v>75</v>
      </c>
      <c r="R52" s="234">
        <f t="shared" si="14"/>
        <v>0</v>
      </c>
    </row>
    <row r="53" spans="1:21" ht="13" x14ac:dyDescent="0.25">
      <c r="A53" s="659"/>
      <c r="B53" s="231">
        <v>5</v>
      </c>
      <c r="C53" s="244">
        <v>35</v>
      </c>
      <c r="D53" s="243">
        <v>0.7</v>
      </c>
      <c r="E53" s="242">
        <v>0</v>
      </c>
      <c r="F53" s="234">
        <f t="shared" si="12"/>
        <v>0.35</v>
      </c>
      <c r="H53" s="231">
        <v>5</v>
      </c>
      <c r="I53" s="244">
        <v>70</v>
      </c>
      <c r="J53" s="243">
        <v>-4.0999999999999996</v>
      </c>
      <c r="K53" s="243">
        <v>-2.1</v>
      </c>
      <c r="L53" s="234">
        <f t="shared" si="13"/>
        <v>0.99999999999999978</v>
      </c>
      <c r="N53" s="231">
        <v>5</v>
      </c>
      <c r="O53" s="244">
        <v>1000</v>
      </c>
      <c r="P53" s="243" t="s">
        <v>75</v>
      </c>
      <c r="Q53" s="242" t="s">
        <v>75</v>
      </c>
      <c r="R53" s="234">
        <f t="shared" si="14"/>
        <v>0</v>
      </c>
    </row>
    <row r="54" spans="1:21" ht="13" x14ac:dyDescent="0.25">
      <c r="A54" s="659"/>
      <c r="B54" s="231">
        <v>6</v>
      </c>
      <c r="C54" s="244">
        <v>37</v>
      </c>
      <c r="D54" s="243">
        <v>0.7</v>
      </c>
      <c r="E54" s="242">
        <v>0</v>
      </c>
      <c r="F54" s="234">
        <f t="shared" si="12"/>
        <v>0.35</v>
      </c>
      <c r="H54" s="231">
        <v>6</v>
      </c>
      <c r="I54" s="244">
        <v>80</v>
      </c>
      <c r="J54" s="242">
        <v>-3</v>
      </c>
      <c r="K54" s="243">
        <v>0.2</v>
      </c>
      <c r="L54" s="234">
        <f t="shared" si="13"/>
        <v>1.6</v>
      </c>
      <c r="N54" s="231">
        <v>6</v>
      </c>
      <c r="O54" s="244">
        <v>1005</v>
      </c>
      <c r="P54" s="243" t="s">
        <v>75</v>
      </c>
      <c r="Q54" s="242" t="s">
        <v>75</v>
      </c>
      <c r="R54" s="234">
        <f t="shared" si="14"/>
        <v>0</v>
      </c>
    </row>
    <row r="55" spans="1:21" ht="13.5" thickBot="1" x14ac:dyDescent="0.3">
      <c r="A55" s="660"/>
      <c r="B55" s="245">
        <v>7</v>
      </c>
      <c r="C55" s="250">
        <v>40</v>
      </c>
      <c r="D55" s="247">
        <v>0.7</v>
      </c>
      <c r="E55" s="251">
        <v>-0.1</v>
      </c>
      <c r="F55" s="248">
        <f t="shared" si="12"/>
        <v>0.39999999999999997</v>
      </c>
      <c r="G55" s="249"/>
      <c r="H55" s="245">
        <v>7</v>
      </c>
      <c r="I55" s="250">
        <v>90</v>
      </c>
      <c r="J55" s="247">
        <v>-1.8</v>
      </c>
      <c r="K55" s="247">
        <v>2.7</v>
      </c>
      <c r="L55" s="248">
        <f t="shared" si="13"/>
        <v>2.25</v>
      </c>
      <c r="M55" s="249"/>
      <c r="N55" s="245">
        <v>7</v>
      </c>
      <c r="O55" s="250">
        <v>1020</v>
      </c>
      <c r="P55" s="247" t="s">
        <v>75</v>
      </c>
      <c r="Q55" s="251" t="s">
        <v>75</v>
      </c>
      <c r="R55" s="248">
        <f t="shared" si="14"/>
        <v>0</v>
      </c>
    </row>
    <row r="56" spans="1:21" ht="13.5" thickBot="1" x14ac:dyDescent="0.35">
      <c r="A56" s="261"/>
      <c r="B56" s="262"/>
      <c r="C56" s="262"/>
      <c r="D56" s="262"/>
      <c r="E56" s="263"/>
      <c r="F56" s="264"/>
      <c r="G56" s="265"/>
      <c r="H56" s="262"/>
      <c r="I56" s="262"/>
      <c r="J56" s="262"/>
      <c r="K56" s="263"/>
      <c r="L56" s="264"/>
      <c r="O56" s="253"/>
      <c r="P56" s="254"/>
    </row>
    <row r="57" spans="1:21" ht="13" thickBot="1" x14ac:dyDescent="0.3">
      <c r="A57" s="658">
        <v>6</v>
      </c>
      <c r="B57" s="661" t="s">
        <v>472</v>
      </c>
      <c r="C57" s="662"/>
      <c r="D57" s="662"/>
      <c r="E57" s="662"/>
      <c r="F57" s="663"/>
      <c r="G57" s="226"/>
      <c r="H57" s="661" t="str">
        <f>B57</f>
        <v>KOREKSI GREISINGER 34903046</v>
      </c>
      <c r="I57" s="662"/>
      <c r="J57" s="662"/>
      <c r="K57" s="662"/>
      <c r="L57" s="663"/>
      <c r="M57" s="226"/>
      <c r="N57" s="661" t="str">
        <f>H57</f>
        <v>KOREKSI GREISINGER 34903046</v>
      </c>
      <c r="O57" s="662"/>
      <c r="P57" s="662"/>
      <c r="Q57" s="662"/>
      <c r="R57" s="663"/>
      <c r="T57" s="646" t="s">
        <v>460</v>
      </c>
      <c r="U57" s="647"/>
    </row>
    <row r="58" spans="1:21" ht="13.5" thickBot="1" x14ac:dyDescent="0.3">
      <c r="A58" s="659"/>
      <c r="B58" s="648" t="s">
        <v>461</v>
      </c>
      <c r="C58" s="649"/>
      <c r="D58" s="650" t="s">
        <v>229</v>
      </c>
      <c r="E58" s="651"/>
      <c r="F58" s="652" t="s">
        <v>462</v>
      </c>
      <c r="H58" s="648" t="s">
        <v>463</v>
      </c>
      <c r="I58" s="649"/>
      <c r="J58" s="650" t="s">
        <v>229</v>
      </c>
      <c r="K58" s="651"/>
      <c r="L58" s="652" t="s">
        <v>462</v>
      </c>
      <c r="N58" s="648" t="s">
        <v>464</v>
      </c>
      <c r="O58" s="649"/>
      <c r="P58" s="650" t="s">
        <v>229</v>
      </c>
      <c r="Q58" s="651"/>
      <c r="R58" s="652" t="s">
        <v>462</v>
      </c>
      <c r="T58" s="227" t="s">
        <v>461</v>
      </c>
      <c r="U58" s="255">
        <v>0.5</v>
      </c>
    </row>
    <row r="59" spans="1:21" ht="15" thickBot="1" x14ac:dyDescent="0.3">
      <c r="A59" s="659"/>
      <c r="B59" s="654" t="s">
        <v>465</v>
      </c>
      <c r="C59" s="655"/>
      <c r="D59" s="257">
        <v>2018</v>
      </c>
      <c r="E59" s="257">
        <v>2017</v>
      </c>
      <c r="F59" s="653"/>
      <c r="H59" s="656" t="s">
        <v>466</v>
      </c>
      <c r="I59" s="657"/>
      <c r="J59" s="258">
        <f>D59</f>
        <v>2018</v>
      </c>
      <c r="K59" s="258">
        <f>E59</f>
        <v>2017</v>
      </c>
      <c r="L59" s="653"/>
      <c r="N59" s="656" t="s">
        <v>467</v>
      </c>
      <c r="O59" s="657"/>
      <c r="P59" s="258">
        <f>J59</f>
        <v>2018</v>
      </c>
      <c r="Q59" s="258">
        <f>K59</f>
        <v>2017</v>
      </c>
      <c r="R59" s="653"/>
      <c r="T59" s="227" t="s">
        <v>466</v>
      </c>
      <c r="U59" s="228">
        <v>2</v>
      </c>
    </row>
    <row r="60" spans="1:21" ht="13.5" thickBot="1" x14ac:dyDescent="0.3">
      <c r="A60" s="659"/>
      <c r="B60" s="231">
        <v>1</v>
      </c>
      <c r="C60" s="235">
        <v>15</v>
      </c>
      <c r="D60" s="266">
        <v>0.4</v>
      </c>
      <c r="E60" s="266">
        <v>-0.2</v>
      </c>
      <c r="F60" s="260">
        <f t="shared" ref="F60:F66" si="15">0.5*(MAX(D60:E60)-MIN(D60:E60))</f>
        <v>0.30000000000000004</v>
      </c>
      <c r="H60" s="231">
        <v>1</v>
      </c>
      <c r="I60" s="235">
        <v>30</v>
      </c>
      <c r="J60" s="266">
        <v>1.7</v>
      </c>
      <c r="K60" s="266">
        <v>-4.9000000000000004</v>
      </c>
      <c r="L60" s="260">
        <f t="shared" ref="L60:L66" si="16">0.5*(MAX(J60:K60)-MIN(J60:K60))</f>
        <v>3.3000000000000003</v>
      </c>
      <c r="N60" s="231">
        <v>1</v>
      </c>
      <c r="O60" s="235">
        <v>750</v>
      </c>
      <c r="P60" s="266">
        <v>2.1</v>
      </c>
      <c r="Q60" s="236" t="s">
        <v>75</v>
      </c>
      <c r="R60" s="260">
        <f t="shared" ref="R60:R66" si="17">0.5*(MAX(P60:Q60)-MIN(P60:Q60))</f>
        <v>0</v>
      </c>
      <c r="T60" s="237" t="s">
        <v>467</v>
      </c>
      <c r="U60" s="267">
        <v>1.8</v>
      </c>
    </row>
    <row r="61" spans="1:21" ht="13" x14ac:dyDescent="0.25">
      <c r="A61" s="659"/>
      <c r="B61" s="231">
        <v>2</v>
      </c>
      <c r="C61" s="239">
        <v>20</v>
      </c>
      <c r="D61" s="232">
        <v>0.2</v>
      </c>
      <c r="E61" s="232">
        <v>0</v>
      </c>
      <c r="F61" s="234">
        <f t="shared" si="15"/>
        <v>0.1</v>
      </c>
      <c r="H61" s="231">
        <v>2</v>
      </c>
      <c r="I61" s="239">
        <v>40</v>
      </c>
      <c r="J61" s="232">
        <v>1.5</v>
      </c>
      <c r="K61" s="232">
        <v>-3.4</v>
      </c>
      <c r="L61" s="234">
        <f t="shared" si="16"/>
        <v>2.4500000000000002</v>
      </c>
      <c r="N61" s="231">
        <v>2</v>
      </c>
      <c r="O61" s="239">
        <v>800</v>
      </c>
      <c r="P61" s="232">
        <v>1.6</v>
      </c>
      <c r="Q61" s="240" t="s">
        <v>75</v>
      </c>
      <c r="R61" s="234">
        <f t="shared" si="17"/>
        <v>0</v>
      </c>
    </row>
    <row r="62" spans="1:21" ht="13" x14ac:dyDescent="0.25">
      <c r="A62" s="659"/>
      <c r="B62" s="231">
        <v>3</v>
      </c>
      <c r="C62" s="239">
        <v>25</v>
      </c>
      <c r="D62" s="232">
        <v>-0.1</v>
      </c>
      <c r="E62" s="232">
        <v>0.1</v>
      </c>
      <c r="F62" s="234">
        <f t="shared" si="15"/>
        <v>0.1</v>
      </c>
      <c r="H62" s="231">
        <v>3</v>
      </c>
      <c r="I62" s="239">
        <v>50</v>
      </c>
      <c r="J62" s="232">
        <v>1.2</v>
      </c>
      <c r="K62" s="232">
        <v>-2.5</v>
      </c>
      <c r="L62" s="234">
        <f t="shared" si="16"/>
        <v>1.85</v>
      </c>
      <c r="N62" s="231">
        <v>3</v>
      </c>
      <c r="O62" s="239">
        <v>850</v>
      </c>
      <c r="P62" s="232">
        <v>1.1000000000000001</v>
      </c>
      <c r="Q62" s="240" t="s">
        <v>75</v>
      </c>
      <c r="R62" s="234">
        <f t="shared" si="17"/>
        <v>0</v>
      </c>
    </row>
    <row r="63" spans="1:21" ht="13" x14ac:dyDescent="0.25">
      <c r="A63" s="659"/>
      <c r="B63" s="231">
        <v>4</v>
      </c>
      <c r="C63" s="244">
        <v>30</v>
      </c>
      <c r="D63" s="241">
        <v>-0.5</v>
      </c>
      <c r="E63" s="241">
        <v>0.13</v>
      </c>
      <c r="F63" s="234">
        <f t="shared" si="15"/>
        <v>0.315</v>
      </c>
      <c r="H63" s="231">
        <v>4</v>
      </c>
      <c r="I63" s="244">
        <v>60</v>
      </c>
      <c r="J63" s="241">
        <v>1.1000000000000001</v>
      </c>
      <c r="K63" s="241">
        <v>-2</v>
      </c>
      <c r="L63" s="234">
        <f t="shared" si="16"/>
        <v>1.55</v>
      </c>
      <c r="N63" s="231">
        <v>4</v>
      </c>
      <c r="O63" s="244">
        <v>900</v>
      </c>
      <c r="P63" s="241">
        <v>0.7</v>
      </c>
      <c r="Q63" s="242" t="s">
        <v>75</v>
      </c>
      <c r="R63" s="234">
        <f t="shared" si="17"/>
        <v>0</v>
      </c>
    </row>
    <row r="64" spans="1:21" ht="13" x14ac:dyDescent="0.25">
      <c r="A64" s="659"/>
      <c r="B64" s="231">
        <v>5</v>
      </c>
      <c r="C64" s="244">
        <v>35</v>
      </c>
      <c r="D64" s="241">
        <v>-0.9</v>
      </c>
      <c r="E64" s="241">
        <v>0.1</v>
      </c>
      <c r="F64" s="234">
        <f t="shared" si="15"/>
        <v>0.5</v>
      </c>
      <c r="H64" s="231">
        <v>5</v>
      </c>
      <c r="I64" s="244">
        <v>70</v>
      </c>
      <c r="J64" s="241">
        <v>0.9</v>
      </c>
      <c r="K64" s="241">
        <v>-2.1</v>
      </c>
      <c r="L64" s="234">
        <f t="shared" si="16"/>
        <v>1.5</v>
      </c>
      <c r="N64" s="231">
        <v>5</v>
      </c>
      <c r="O64" s="244">
        <v>1000</v>
      </c>
      <c r="P64" s="241">
        <v>-0.3</v>
      </c>
      <c r="Q64" s="242" t="s">
        <v>75</v>
      </c>
      <c r="R64" s="234">
        <f t="shared" si="17"/>
        <v>0</v>
      </c>
    </row>
    <row r="65" spans="1:21" ht="13" x14ac:dyDescent="0.25">
      <c r="A65" s="659"/>
      <c r="B65" s="231">
        <v>6</v>
      </c>
      <c r="C65" s="244">
        <v>37</v>
      </c>
      <c r="D65" s="241">
        <v>-1.1000000000000001</v>
      </c>
      <c r="E65" s="241">
        <v>0</v>
      </c>
      <c r="F65" s="234">
        <f t="shared" si="15"/>
        <v>0.55000000000000004</v>
      </c>
      <c r="H65" s="231">
        <v>6</v>
      </c>
      <c r="I65" s="244">
        <v>80</v>
      </c>
      <c r="J65" s="241">
        <v>0.8</v>
      </c>
      <c r="K65" s="241">
        <v>-2.6</v>
      </c>
      <c r="L65" s="234">
        <f t="shared" si="16"/>
        <v>1.7000000000000002</v>
      </c>
      <c r="N65" s="231">
        <v>6</v>
      </c>
      <c r="O65" s="244">
        <v>1005</v>
      </c>
      <c r="P65" s="241">
        <v>-0.3</v>
      </c>
      <c r="Q65" s="242" t="s">
        <v>75</v>
      </c>
      <c r="R65" s="234">
        <f t="shared" si="17"/>
        <v>0</v>
      </c>
    </row>
    <row r="66" spans="1:21" ht="13.5" thickBot="1" x14ac:dyDescent="0.3">
      <c r="A66" s="660"/>
      <c r="B66" s="245">
        <v>7</v>
      </c>
      <c r="C66" s="250">
        <v>40</v>
      </c>
      <c r="D66" s="246">
        <v>-1.4</v>
      </c>
      <c r="E66" s="246">
        <v>-0.1</v>
      </c>
      <c r="F66" s="248">
        <f t="shared" si="15"/>
        <v>0.64999999999999991</v>
      </c>
      <c r="G66" s="249"/>
      <c r="H66" s="245">
        <v>7</v>
      </c>
      <c r="I66" s="250">
        <v>90</v>
      </c>
      <c r="J66" s="246">
        <v>0.7</v>
      </c>
      <c r="K66" s="246">
        <v>-2.6</v>
      </c>
      <c r="L66" s="248">
        <f t="shared" si="16"/>
        <v>1.65</v>
      </c>
      <c r="M66" s="249"/>
      <c r="N66" s="245">
        <v>7</v>
      </c>
      <c r="O66" s="250">
        <v>1020</v>
      </c>
      <c r="P66" s="246">
        <v>0</v>
      </c>
      <c r="Q66" s="251" t="s">
        <v>75</v>
      </c>
      <c r="R66" s="248">
        <f t="shared" si="17"/>
        <v>0</v>
      </c>
    </row>
    <row r="67" spans="1:21" ht="13.5" thickBot="1" x14ac:dyDescent="0.35">
      <c r="A67" s="261"/>
      <c r="B67" s="262"/>
      <c r="C67" s="262"/>
      <c r="D67" s="262"/>
      <c r="E67" s="263"/>
      <c r="F67" s="264"/>
      <c r="G67" s="265"/>
      <c r="H67" s="262"/>
      <c r="I67" s="262"/>
      <c r="J67" s="262"/>
      <c r="K67" s="263"/>
      <c r="L67" s="264"/>
      <c r="O67" s="253"/>
      <c r="P67" s="254"/>
    </row>
    <row r="68" spans="1:21" ht="13" thickBot="1" x14ac:dyDescent="0.3">
      <c r="A68" s="658">
        <v>7</v>
      </c>
      <c r="B68" s="661" t="s">
        <v>473</v>
      </c>
      <c r="C68" s="662"/>
      <c r="D68" s="662"/>
      <c r="E68" s="662"/>
      <c r="F68" s="663"/>
      <c r="G68" s="226"/>
      <c r="H68" s="661" t="str">
        <f>B68</f>
        <v>KOREKSI GREISINGER 34903053</v>
      </c>
      <c r="I68" s="662"/>
      <c r="J68" s="662"/>
      <c r="K68" s="662"/>
      <c r="L68" s="663"/>
      <c r="M68" s="226"/>
      <c r="N68" s="661" t="str">
        <f>H68</f>
        <v>KOREKSI GREISINGER 34903053</v>
      </c>
      <c r="O68" s="662"/>
      <c r="P68" s="662"/>
      <c r="Q68" s="662"/>
      <c r="R68" s="663"/>
      <c r="T68" s="646" t="s">
        <v>460</v>
      </c>
      <c r="U68" s="647"/>
    </row>
    <row r="69" spans="1:21" ht="13.5" thickBot="1" x14ac:dyDescent="0.3">
      <c r="A69" s="659"/>
      <c r="B69" s="648" t="s">
        <v>461</v>
      </c>
      <c r="C69" s="649"/>
      <c r="D69" s="650" t="s">
        <v>229</v>
      </c>
      <c r="E69" s="651"/>
      <c r="F69" s="652" t="s">
        <v>462</v>
      </c>
      <c r="H69" s="648" t="s">
        <v>463</v>
      </c>
      <c r="I69" s="649"/>
      <c r="J69" s="650" t="s">
        <v>229</v>
      </c>
      <c r="K69" s="651"/>
      <c r="L69" s="652" t="s">
        <v>462</v>
      </c>
      <c r="N69" s="648" t="s">
        <v>464</v>
      </c>
      <c r="O69" s="649"/>
      <c r="P69" s="650" t="s">
        <v>229</v>
      </c>
      <c r="Q69" s="651"/>
      <c r="R69" s="652" t="s">
        <v>462</v>
      </c>
      <c r="T69" s="227" t="s">
        <v>461</v>
      </c>
      <c r="U69" s="255">
        <v>0.2</v>
      </c>
    </row>
    <row r="70" spans="1:21" ht="15" thickBot="1" x14ac:dyDescent="0.3">
      <c r="A70" s="659"/>
      <c r="B70" s="654" t="s">
        <v>465</v>
      </c>
      <c r="C70" s="655"/>
      <c r="D70" s="257">
        <v>2021</v>
      </c>
      <c r="E70" s="257">
        <v>2018</v>
      </c>
      <c r="F70" s="653"/>
      <c r="H70" s="656" t="s">
        <v>466</v>
      </c>
      <c r="I70" s="657"/>
      <c r="J70" s="258">
        <f>D70</f>
        <v>2021</v>
      </c>
      <c r="K70" s="258">
        <f>E70</f>
        <v>2018</v>
      </c>
      <c r="L70" s="653"/>
      <c r="N70" s="656" t="s">
        <v>467</v>
      </c>
      <c r="O70" s="657"/>
      <c r="P70" s="258">
        <f>J70</f>
        <v>2021</v>
      </c>
      <c r="Q70" s="258">
        <f>K70</f>
        <v>2018</v>
      </c>
      <c r="R70" s="653"/>
      <c r="T70" s="227" t="s">
        <v>466</v>
      </c>
      <c r="U70" s="255">
        <v>2.4</v>
      </c>
    </row>
    <row r="71" spans="1:21" ht="13.5" thickBot="1" x14ac:dyDescent="0.3">
      <c r="A71" s="659"/>
      <c r="B71" s="231">
        <v>1</v>
      </c>
      <c r="C71" s="235">
        <v>15</v>
      </c>
      <c r="D71" s="266">
        <v>0.1</v>
      </c>
      <c r="E71" s="266">
        <v>0.3</v>
      </c>
      <c r="F71" s="260">
        <f t="shared" ref="F71:F77" si="18">0.5*(MAX(D71:E71)-MIN(D71:E71))</f>
        <v>9.9999999999999992E-2</v>
      </c>
      <c r="H71" s="231">
        <v>1</v>
      </c>
      <c r="I71" s="235">
        <v>30</v>
      </c>
      <c r="J71" s="266">
        <v>-1.9</v>
      </c>
      <c r="K71" s="266">
        <v>1.8</v>
      </c>
      <c r="L71" s="260">
        <f t="shared" ref="L71:L77" si="19">0.5*(MAX(J71:K71)-MIN(J71:K71))</f>
        <v>1.85</v>
      </c>
      <c r="N71" s="231">
        <v>1</v>
      </c>
      <c r="O71" s="235">
        <v>750</v>
      </c>
      <c r="P71" s="266">
        <v>0</v>
      </c>
      <c r="Q71" s="266">
        <v>3.2</v>
      </c>
      <c r="R71" s="260">
        <f t="shared" ref="R71:R77" si="20">0.5*(MAX(P71:Q71)-MIN(P71:Q71))</f>
        <v>1.6</v>
      </c>
      <c r="T71" s="237" t="s">
        <v>467</v>
      </c>
      <c r="U71" s="267">
        <v>2.4</v>
      </c>
    </row>
    <row r="72" spans="1:21" ht="13" x14ac:dyDescent="0.25">
      <c r="A72" s="659"/>
      <c r="B72" s="231">
        <v>2</v>
      </c>
      <c r="C72" s="239">
        <v>20</v>
      </c>
      <c r="D72" s="232">
        <v>0</v>
      </c>
      <c r="E72" s="232">
        <v>0.1</v>
      </c>
      <c r="F72" s="234">
        <f t="shared" si="18"/>
        <v>0.05</v>
      </c>
      <c r="H72" s="231">
        <v>2</v>
      </c>
      <c r="I72" s="239">
        <v>40</v>
      </c>
      <c r="J72" s="232">
        <v>-1.9</v>
      </c>
      <c r="K72" s="232">
        <v>1.2</v>
      </c>
      <c r="L72" s="234">
        <f t="shared" si="19"/>
        <v>1.5499999999999998</v>
      </c>
      <c r="N72" s="231">
        <v>2</v>
      </c>
      <c r="O72" s="239">
        <v>800</v>
      </c>
      <c r="P72" s="232">
        <v>0</v>
      </c>
      <c r="Q72" s="232">
        <v>2.5</v>
      </c>
      <c r="R72" s="234">
        <f t="shared" si="20"/>
        <v>1.25</v>
      </c>
    </row>
    <row r="73" spans="1:21" ht="13" x14ac:dyDescent="0.25">
      <c r="A73" s="659"/>
      <c r="B73" s="231">
        <v>3</v>
      </c>
      <c r="C73" s="239">
        <v>25</v>
      </c>
      <c r="D73" s="232">
        <v>0</v>
      </c>
      <c r="E73" s="232">
        <v>-0.2</v>
      </c>
      <c r="F73" s="234">
        <f t="shared" si="18"/>
        <v>0.1</v>
      </c>
      <c r="H73" s="231">
        <v>3</v>
      </c>
      <c r="I73" s="239">
        <v>50</v>
      </c>
      <c r="J73" s="232">
        <v>-1.9</v>
      </c>
      <c r="K73" s="232">
        <v>0.8</v>
      </c>
      <c r="L73" s="234">
        <f t="shared" si="19"/>
        <v>1.35</v>
      </c>
      <c r="N73" s="231">
        <v>3</v>
      </c>
      <c r="O73" s="239">
        <v>850</v>
      </c>
      <c r="P73" s="232">
        <v>0</v>
      </c>
      <c r="Q73" s="232">
        <v>1.7</v>
      </c>
      <c r="R73" s="234">
        <f t="shared" si="20"/>
        <v>0.85</v>
      </c>
    </row>
    <row r="74" spans="1:21" ht="13" x14ac:dyDescent="0.25">
      <c r="A74" s="659"/>
      <c r="B74" s="231">
        <v>4</v>
      </c>
      <c r="C74" s="244">
        <v>30</v>
      </c>
      <c r="D74" s="241">
        <v>0</v>
      </c>
      <c r="E74" s="241">
        <v>-0.6</v>
      </c>
      <c r="F74" s="234">
        <f t="shared" si="18"/>
        <v>0.3</v>
      </c>
      <c r="H74" s="231">
        <v>4</v>
      </c>
      <c r="I74" s="244">
        <v>60</v>
      </c>
      <c r="J74" s="241">
        <v>-2.1</v>
      </c>
      <c r="K74" s="241">
        <v>0.7</v>
      </c>
      <c r="L74" s="234">
        <f t="shared" si="19"/>
        <v>1.4</v>
      </c>
      <c r="N74" s="231">
        <v>4</v>
      </c>
      <c r="O74" s="244">
        <v>900</v>
      </c>
      <c r="P74" s="241">
        <v>0</v>
      </c>
      <c r="Q74" s="241">
        <v>1</v>
      </c>
      <c r="R74" s="234">
        <f t="shared" si="20"/>
        <v>0.5</v>
      </c>
    </row>
    <row r="75" spans="1:21" ht="13" x14ac:dyDescent="0.25">
      <c r="A75" s="659"/>
      <c r="B75" s="231">
        <v>5</v>
      </c>
      <c r="C75" s="244">
        <v>35</v>
      </c>
      <c r="D75" s="241">
        <v>0</v>
      </c>
      <c r="E75" s="241">
        <v>-1.1000000000000001</v>
      </c>
      <c r="F75" s="234">
        <f t="shared" si="18"/>
        <v>0.55000000000000004</v>
      </c>
      <c r="H75" s="231">
        <v>5</v>
      </c>
      <c r="I75" s="244">
        <v>70</v>
      </c>
      <c r="J75" s="241">
        <v>-2.2999999999999998</v>
      </c>
      <c r="K75" s="241">
        <v>0.9</v>
      </c>
      <c r="L75" s="234">
        <f t="shared" si="19"/>
        <v>1.5999999999999999</v>
      </c>
      <c r="N75" s="231">
        <v>5</v>
      </c>
      <c r="O75" s="244">
        <v>1000</v>
      </c>
      <c r="P75" s="241">
        <v>-3.9</v>
      </c>
      <c r="Q75" s="241">
        <v>-0.4</v>
      </c>
      <c r="R75" s="234">
        <f t="shared" si="20"/>
        <v>1.75</v>
      </c>
    </row>
    <row r="76" spans="1:21" ht="13" x14ac:dyDescent="0.25">
      <c r="A76" s="659"/>
      <c r="B76" s="231">
        <v>6</v>
      </c>
      <c r="C76" s="244">
        <v>37</v>
      </c>
      <c r="D76" s="241">
        <v>0</v>
      </c>
      <c r="E76" s="241">
        <v>-1.4</v>
      </c>
      <c r="F76" s="234">
        <f t="shared" si="18"/>
        <v>0.7</v>
      </c>
      <c r="H76" s="231">
        <v>6</v>
      </c>
      <c r="I76" s="244">
        <v>80</v>
      </c>
      <c r="J76" s="241">
        <v>-2.6</v>
      </c>
      <c r="K76" s="241">
        <v>1.2</v>
      </c>
      <c r="L76" s="234">
        <f t="shared" si="19"/>
        <v>1.9</v>
      </c>
      <c r="N76" s="231">
        <v>6</v>
      </c>
      <c r="O76" s="244">
        <v>1005</v>
      </c>
      <c r="P76" s="241">
        <v>-3.8</v>
      </c>
      <c r="Q76" s="241">
        <v>-0.5</v>
      </c>
      <c r="R76" s="234">
        <f t="shared" si="20"/>
        <v>1.65</v>
      </c>
    </row>
    <row r="77" spans="1:21" ht="13.5" thickBot="1" x14ac:dyDescent="0.3">
      <c r="A77" s="660"/>
      <c r="B77" s="245">
        <v>7</v>
      </c>
      <c r="C77" s="250">
        <v>40</v>
      </c>
      <c r="D77" s="246">
        <v>0.1</v>
      </c>
      <c r="E77" s="246">
        <v>-1.7</v>
      </c>
      <c r="F77" s="248">
        <f t="shared" si="18"/>
        <v>0.9</v>
      </c>
      <c r="G77" s="249"/>
      <c r="H77" s="245">
        <v>7</v>
      </c>
      <c r="I77" s="250">
        <v>90</v>
      </c>
      <c r="J77" s="246">
        <v>-3</v>
      </c>
      <c r="K77" s="246">
        <v>1.8</v>
      </c>
      <c r="L77" s="248">
        <f t="shared" si="19"/>
        <v>2.4</v>
      </c>
      <c r="M77" s="249"/>
      <c r="N77" s="245">
        <v>7</v>
      </c>
      <c r="O77" s="250">
        <v>1020</v>
      </c>
      <c r="P77" s="246">
        <v>-3.8</v>
      </c>
      <c r="Q77" s="246">
        <v>0</v>
      </c>
      <c r="R77" s="248">
        <f t="shared" si="20"/>
        <v>1.9</v>
      </c>
    </row>
    <row r="78" spans="1:21" ht="13.5" thickBot="1" x14ac:dyDescent="0.35">
      <c r="A78" s="261"/>
      <c r="B78" s="262"/>
      <c r="C78" s="262"/>
      <c r="D78" s="262"/>
      <c r="E78" s="263"/>
      <c r="F78" s="264"/>
      <c r="G78" s="265"/>
      <c r="H78" s="262"/>
      <c r="I78" s="262"/>
      <c r="J78" s="262"/>
      <c r="K78" s="263"/>
      <c r="L78" s="264"/>
      <c r="O78" s="253"/>
      <c r="P78" s="254"/>
    </row>
    <row r="79" spans="1:21" ht="13" thickBot="1" x14ac:dyDescent="0.3">
      <c r="A79" s="658">
        <v>8</v>
      </c>
      <c r="B79" s="661" t="s">
        <v>474</v>
      </c>
      <c r="C79" s="662"/>
      <c r="D79" s="662"/>
      <c r="E79" s="662"/>
      <c r="F79" s="663"/>
      <c r="G79" s="226"/>
      <c r="H79" s="661" t="str">
        <f>B79</f>
        <v>KOREKSI GREISINGER 34903051</v>
      </c>
      <c r="I79" s="662"/>
      <c r="J79" s="662"/>
      <c r="K79" s="662"/>
      <c r="L79" s="663"/>
      <c r="M79" s="226"/>
      <c r="N79" s="661" t="str">
        <f>H79</f>
        <v>KOREKSI GREISINGER 34903051</v>
      </c>
      <c r="O79" s="662"/>
      <c r="P79" s="662"/>
      <c r="Q79" s="662"/>
      <c r="R79" s="663"/>
      <c r="T79" s="646" t="s">
        <v>460</v>
      </c>
      <c r="U79" s="647"/>
    </row>
    <row r="80" spans="1:21" ht="13.5" thickBot="1" x14ac:dyDescent="0.3">
      <c r="A80" s="659"/>
      <c r="B80" s="648" t="s">
        <v>461</v>
      </c>
      <c r="C80" s="649"/>
      <c r="D80" s="650" t="s">
        <v>229</v>
      </c>
      <c r="E80" s="651"/>
      <c r="F80" s="652" t="s">
        <v>462</v>
      </c>
      <c r="H80" s="648" t="s">
        <v>463</v>
      </c>
      <c r="I80" s="649"/>
      <c r="J80" s="650" t="s">
        <v>229</v>
      </c>
      <c r="K80" s="651"/>
      <c r="L80" s="652" t="s">
        <v>462</v>
      </c>
      <c r="N80" s="648" t="s">
        <v>464</v>
      </c>
      <c r="O80" s="649"/>
      <c r="P80" s="650" t="s">
        <v>229</v>
      </c>
      <c r="Q80" s="651"/>
      <c r="R80" s="652" t="s">
        <v>462</v>
      </c>
      <c r="T80" s="227" t="s">
        <v>461</v>
      </c>
      <c r="U80" s="228">
        <v>0.3</v>
      </c>
    </row>
    <row r="81" spans="1:21" ht="15" thickBot="1" x14ac:dyDescent="0.3">
      <c r="A81" s="659"/>
      <c r="B81" s="654" t="s">
        <v>465</v>
      </c>
      <c r="C81" s="655"/>
      <c r="D81" s="257">
        <v>2021</v>
      </c>
      <c r="E81" s="257">
        <v>2019</v>
      </c>
      <c r="F81" s="653"/>
      <c r="H81" s="656" t="s">
        <v>466</v>
      </c>
      <c r="I81" s="657"/>
      <c r="J81" s="258">
        <f>D81</f>
        <v>2021</v>
      </c>
      <c r="K81" s="258">
        <f>E81</f>
        <v>2019</v>
      </c>
      <c r="L81" s="653"/>
      <c r="N81" s="656" t="s">
        <v>467</v>
      </c>
      <c r="O81" s="657"/>
      <c r="P81" s="258">
        <f>J81</f>
        <v>2021</v>
      </c>
      <c r="Q81" s="258">
        <f>K81</f>
        <v>2019</v>
      </c>
      <c r="R81" s="653"/>
      <c r="T81" s="227" t="s">
        <v>466</v>
      </c>
      <c r="U81" s="228">
        <v>2.5</v>
      </c>
    </row>
    <row r="82" spans="1:21" ht="13.5" thickBot="1" x14ac:dyDescent="0.3">
      <c r="A82" s="659"/>
      <c r="B82" s="231">
        <v>1</v>
      </c>
      <c r="C82" s="268">
        <v>15</v>
      </c>
      <c r="D82" s="266">
        <v>0.1</v>
      </c>
      <c r="E82" s="266">
        <v>0</v>
      </c>
      <c r="F82" s="260">
        <f t="shared" ref="F82:F88" si="21">0.5*(MAX(D82:E82)-MIN(D82:E82))</f>
        <v>0.05</v>
      </c>
      <c r="H82" s="231">
        <v>1</v>
      </c>
      <c r="I82" s="268">
        <v>30</v>
      </c>
      <c r="J82" s="266">
        <v>-4</v>
      </c>
      <c r="K82" s="266">
        <v>-1.4</v>
      </c>
      <c r="L82" s="260">
        <f t="shared" ref="L82:L88" si="22">0.5*(MAX(J82:K82)-MIN(J82:K82))</f>
        <v>1.3</v>
      </c>
      <c r="N82" s="231">
        <v>1</v>
      </c>
      <c r="O82" s="235">
        <v>750</v>
      </c>
      <c r="P82" s="236">
        <v>0</v>
      </c>
      <c r="Q82" s="236">
        <v>0</v>
      </c>
      <c r="R82" s="260">
        <f t="shared" ref="R82:R88" si="23">0.5*(MAX(P82:Q82)-MIN(P82:Q82))</f>
        <v>0</v>
      </c>
      <c r="T82" s="237" t="s">
        <v>467</v>
      </c>
      <c r="U82" s="238">
        <v>2.1</v>
      </c>
    </row>
    <row r="83" spans="1:21" ht="13" x14ac:dyDescent="0.25">
      <c r="A83" s="659"/>
      <c r="B83" s="231">
        <v>2</v>
      </c>
      <c r="C83" s="269">
        <v>20</v>
      </c>
      <c r="D83" s="266">
        <v>0</v>
      </c>
      <c r="E83" s="266">
        <v>-0.2</v>
      </c>
      <c r="F83" s="234">
        <f>0.5*(MAX(D83:E83)-MIN(D83:E83))</f>
        <v>0.1</v>
      </c>
      <c r="H83" s="231">
        <v>2</v>
      </c>
      <c r="I83" s="269">
        <v>40</v>
      </c>
      <c r="J83" s="232">
        <v>-3.8</v>
      </c>
      <c r="K83" s="232">
        <v>-1.2</v>
      </c>
      <c r="L83" s="234">
        <f t="shared" si="22"/>
        <v>1.2999999999999998</v>
      </c>
      <c r="N83" s="231">
        <v>2</v>
      </c>
      <c r="O83" s="239">
        <v>800</v>
      </c>
      <c r="P83" s="240">
        <v>0</v>
      </c>
      <c r="Q83" s="240">
        <v>0</v>
      </c>
      <c r="R83" s="234">
        <f t="shared" si="23"/>
        <v>0</v>
      </c>
    </row>
    <row r="84" spans="1:21" ht="13" x14ac:dyDescent="0.25">
      <c r="A84" s="659"/>
      <c r="B84" s="231">
        <v>3</v>
      </c>
      <c r="C84" s="269">
        <v>25</v>
      </c>
      <c r="D84" s="266">
        <v>-0.1</v>
      </c>
      <c r="E84" s="266">
        <v>-0.4</v>
      </c>
      <c r="F84" s="234">
        <f t="shared" si="21"/>
        <v>0.15000000000000002</v>
      </c>
      <c r="H84" s="231">
        <v>3</v>
      </c>
      <c r="I84" s="269">
        <v>50</v>
      </c>
      <c r="J84" s="232">
        <v>-3.8</v>
      </c>
      <c r="K84" s="232">
        <v>-1.2</v>
      </c>
      <c r="L84" s="234">
        <f t="shared" si="22"/>
        <v>1.2999999999999998</v>
      </c>
      <c r="N84" s="231">
        <v>3</v>
      </c>
      <c r="O84" s="239">
        <v>850</v>
      </c>
      <c r="P84" s="240">
        <v>0</v>
      </c>
      <c r="Q84" s="240">
        <v>0</v>
      </c>
      <c r="R84" s="234">
        <f t="shared" si="23"/>
        <v>0</v>
      </c>
    </row>
    <row r="85" spans="1:21" ht="13" x14ac:dyDescent="0.25">
      <c r="A85" s="659"/>
      <c r="B85" s="231">
        <v>4</v>
      </c>
      <c r="C85" s="270">
        <v>30</v>
      </c>
      <c r="D85" s="266">
        <v>-0.2</v>
      </c>
      <c r="E85" s="266">
        <v>-0.4</v>
      </c>
      <c r="F85" s="234">
        <f t="shared" si="21"/>
        <v>0.1</v>
      </c>
      <c r="H85" s="231">
        <v>4</v>
      </c>
      <c r="I85" s="270">
        <v>60</v>
      </c>
      <c r="J85" s="241">
        <v>-3.9</v>
      </c>
      <c r="K85" s="241">
        <v>-1.1000000000000001</v>
      </c>
      <c r="L85" s="234">
        <f t="shared" si="22"/>
        <v>1.4</v>
      </c>
      <c r="N85" s="231">
        <v>4</v>
      </c>
      <c r="O85" s="244">
        <v>900</v>
      </c>
      <c r="P85" s="242">
        <v>-4.4000000000000004</v>
      </c>
      <c r="Q85" s="242">
        <v>0</v>
      </c>
      <c r="R85" s="234">
        <f t="shared" si="23"/>
        <v>2.2000000000000002</v>
      </c>
    </row>
    <row r="86" spans="1:21" ht="13" x14ac:dyDescent="0.25">
      <c r="A86" s="659"/>
      <c r="B86" s="231">
        <v>5</v>
      </c>
      <c r="C86" s="270">
        <v>35</v>
      </c>
      <c r="D86" s="241">
        <v>-0.1</v>
      </c>
      <c r="E86" s="241">
        <v>-0.5</v>
      </c>
      <c r="F86" s="234">
        <f t="shared" si="21"/>
        <v>0.2</v>
      </c>
      <c r="H86" s="231">
        <v>5</v>
      </c>
      <c r="I86" s="270">
        <v>70</v>
      </c>
      <c r="J86" s="241">
        <v>-4.0999999999999996</v>
      </c>
      <c r="K86" s="241">
        <v>-1.2</v>
      </c>
      <c r="L86" s="234">
        <f t="shared" si="22"/>
        <v>1.4499999999999997</v>
      </c>
      <c r="N86" s="231">
        <v>5</v>
      </c>
      <c r="O86" s="244">
        <v>1000</v>
      </c>
      <c r="P86" s="242">
        <v>-3.5</v>
      </c>
      <c r="Q86" s="242">
        <v>0.2</v>
      </c>
      <c r="R86" s="234">
        <f t="shared" si="23"/>
        <v>1.85</v>
      </c>
    </row>
    <row r="87" spans="1:21" ht="13" x14ac:dyDescent="0.25">
      <c r="A87" s="659"/>
      <c r="B87" s="231">
        <v>6</v>
      </c>
      <c r="C87" s="270">
        <v>37</v>
      </c>
      <c r="D87" s="241">
        <v>-0.1</v>
      </c>
      <c r="E87" s="241">
        <v>-0.5</v>
      </c>
      <c r="F87" s="234">
        <f t="shared" si="21"/>
        <v>0.2</v>
      </c>
      <c r="H87" s="231">
        <v>6</v>
      </c>
      <c r="I87" s="270">
        <v>80</v>
      </c>
      <c r="J87" s="241">
        <v>-4.5</v>
      </c>
      <c r="K87" s="241">
        <v>-1.2</v>
      </c>
      <c r="L87" s="234">
        <f t="shared" si="22"/>
        <v>1.65</v>
      </c>
      <c r="N87" s="231">
        <v>6</v>
      </c>
      <c r="O87" s="244">
        <v>1005</v>
      </c>
      <c r="P87" s="242">
        <v>-3.4</v>
      </c>
      <c r="Q87" s="242">
        <v>0.2</v>
      </c>
      <c r="R87" s="234">
        <f t="shared" si="23"/>
        <v>1.8</v>
      </c>
    </row>
    <row r="88" spans="1:21" ht="13.5" thickBot="1" x14ac:dyDescent="0.3">
      <c r="A88" s="660"/>
      <c r="B88" s="245">
        <v>7</v>
      </c>
      <c r="C88" s="271">
        <v>40</v>
      </c>
      <c r="D88" s="246">
        <v>0</v>
      </c>
      <c r="E88" s="246">
        <v>-0.4</v>
      </c>
      <c r="F88" s="248">
        <f t="shared" si="21"/>
        <v>0.2</v>
      </c>
      <c r="G88" s="249"/>
      <c r="H88" s="245">
        <v>7</v>
      </c>
      <c r="I88" s="271">
        <v>90</v>
      </c>
      <c r="J88" s="246">
        <v>-4.9000000000000004</v>
      </c>
      <c r="K88" s="246">
        <v>-1.3</v>
      </c>
      <c r="L88" s="248">
        <f t="shared" si="22"/>
        <v>1.8000000000000003</v>
      </c>
      <c r="M88" s="249"/>
      <c r="N88" s="245">
        <v>7</v>
      </c>
      <c r="O88" s="250">
        <v>1020</v>
      </c>
      <c r="P88" s="272">
        <v>-3.4</v>
      </c>
      <c r="Q88" s="272">
        <v>0</v>
      </c>
      <c r="R88" s="248">
        <f t="shared" si="23"/>
        <v>1.7</v>
      </c>
    </row>
    <row r="89" spans="1:21" ht="13.5" thickBot="1" x14ac:dyDescent="0.35">
      <c r="A89" s="261"/>
      <c r="B89" s="262"/>
      <c r="C89" s="262"/>
      <c r="D89" s="262"/>
      <c r="E89" s="263"/>
      <c r="F89" s="273"/>
      <c r="G89" s="265"/>
      <c r="H89" s="262"/>
      <c r="I89" s="262"/>
      <c r="J89" s="262"/>
      <c r="K89" s="263"/>
      <c r="L89" s="273"/>
      <c r="O89" s="226"/>
      <c r="P89" s="254"/>
    </row>
    <row r="90" spans="1:21" ht="13" thickBot="1" x14ac:dyDescent="0.3">
      <c r="A90" s="658">
        <v>9</v>
      </c>
      <c r="B90" s="661" t="s">
        <v>475</v>
      </c>
      <c r="C90" s="662"/>
      <c r="D90" s="662"/>
      <c r="E90" s="662"/>
      <c r="F90" s="663"/>
      <c r="G90" s="226"/>
      <c r="H90" s="661" t="str">
        <f>B90</f>
        <v>KOREKSI GREISINGER 34904091</v>
      </c>
      <c r="I90" s="662"/>
      <c r="J90" s="662"/>
      <c r="K90" s="662"/>
      <c r="L90" s="663"/>
      <c r="M90" s="226"/>
      <c r="N90" s="661" t="str">
        <f>H90</f>
        <v>KOREKSI GREISINGER 34904091</v>
      </c>
      <c r="O90" s="662"/>
      <c r="P90" s="662"/>
      <c r="Q90" s="662"/>
      <c r="R90" s="663"/>
      <c r="T90" s="646" t="s">
        <v>460</v>
      </c>
      <c r="U90" s="647"/>
    </row>
    <row r="91" spans="1:21" ht="13.5" thickBot="1" x14ac:dyDescent="0.3">
      <c r="A91" s="659"/>
      <c r="B91" s="648" t="s">
        <v>461</v>
      </c>
      <c r="C91" s="649"/>
      <c r="D91" s="650" t="s">
        <v>229</v>
      </c>
      <c r="E91" s="651"/>
      <c r="F91" s="652" t="s">
        <v>462</v>
      </c>
      <c r="H91" s="648" t="s">
        <v>463</v>
      </c>
      <c r="I91" s="649"/>
      <c r="J91" s="650" t="s">
        <v>229</v>
      </c>
      <c r="K91" s="651"/>
      <c r="L91" s="652" t="s">
        <v>462</v>
      </c>
      <c r="N91" s="648" t="s">
        <v>464</v>
      </c>
      <c r="O91" s="649"/>
      <c r="P91" s="650" t="s">
        <v>229</v>
      </c>
      <c r="Q91" s="651"/>
      <c r="R91" s="652" t="s">
        <v>462</v>
      </c>
      <c r="T91" s="227" t="s">
        <v>461</v>
      </c>
      <c r="U91" s="228">
        <v>0.3</v>
      </c>
    </row>
    <row r="92" spans="1:21" ht="15" thickBot="1" x14ac:dyDescent="0.3">
      <c r="A92" s="659"/>
      <c r="B92" s="654" t="s">
        <v>465</v>
      </c>
      <c r="C92" s="655"/>
      <c r="D92" s="257">
        <v>2019</v>
      </c>
      <c r="E92" s="274" t="s">
        <v>75</v>
      </c>
      <c r="F92" s="653"/>
      <c r="H92" s="656" t="s">
        <v>466</v>
      </c>
      <c r="I92" s="657"/>
      <c r="J92" s="258">
        <f>D92</f>
        <v>2019</v>
      </c>
      <c r="K92" s="258" t="str">
        <f>E92</f>
        <v>-</v>
      </c>
      <c r="L92" s="653"/>
      <c r="N92" s="656" t="s">
        <v>467</v>
      </c>
      <c r="O92" s="657"/>
      <c r="P92" s="258">
        <f>J92</f>
        <v>2019</v>
      </c>
      <c r="Q92" s="258" t="str">
        <f>K92</f>
        <v>-</v>
      </c>
      <c r="R92" s="653"/>
      <c r="T92" s="227" t="s">
        <v>466</v>
      </c>
      <c r="U92" s="228">
        <v>2.4</v>
      </c>
    </row>
    <row r="93" spans="1:21" ht="13.5" thickBot="1" x14ac:dyDescent="0.3">
      <c r="A93" s="659"/>
      <c r="B93" s="231">
        <v>1</v>
      </c>
      <c r="C93" s="268">
        <v>15</v>
      </c>
      <c r="D93" s="259">
        <v>0</v>
      </c>
      <c r="E93" s="275" t="s">
        <v>75</v>
      </c>
      <c r="F93" s="260">
        <f t="shared" ref="F93" si="24">0.5*(MAX(D93:E93)-MIN(D93:E93))</f>
        <v>0</v>
      </c>
      <c r="H93" s="231">
        <v>1</v>
      </c>
      <c r="I93" s="268">
        <v>30</v>
      </c>
      <c r="J93" s="259">
        <v>-1.2</v>
      </c>
      <c r="K93" s="275" t="s">
        <v>75</v>
      </c>
      <c r="L93" s="260">
        <f t="shared" ref="L93:L99" si="25">0.5*(MAX(J93:K93)-MIN(J93:K93))</f>
        <v>0</v>
      </c>
      <c r="N93" s="231">
        <v>1</v>
      </c>
      <c r="O93" s="235">
        <v>750</v>
      </c>
      <c r="P93" s="236">
        <v>0</v>
      </c>
      <c r="Q93" s="236" t="s">
        <v>75</v>
      </c>
      <c r="R93" s="260">
        <f t="shared" ref="R93:R99" si="26">0.5*(MAX(P93:Q93)-MIN(P93:Q93))</f>
        <v>0</v>
      </c>
      <c r="T93" s="237" t="s">
        <v>467</v>
      </c>
      <c r="U93" s="238">
        <v>2.2000000000000002</v>
      </c>
    </row>
    <row r="94" spans="1:21" ht="13" x14ac:dyDescent="0.25">
      <c r="A94" s="659"/>
      <c r="B94" s="231">
        <v>2</v>
      </c>
      <c r="C94" s="269">
        <v>20</v>
      </c>
      <c r="D94" s="259">
        <v>-0.2</v>
      </c>
      <c r="E94" s="276" t="s">
        <v>75</v>
      </c>
      <c r="F94" s="234">
        <f>0.5*(MAX(D94:E94)-MIN(D94:E94))</f>
        <v>0</v>
      </c>
      <c r="H94" s="231">
        <v>2</v>
      </c>
      <c r="I94" s="269">
        <v>40</v>
      </c>
      <c r="J94" s="259">
        <v>-1</v>
      </c>
      <c r="K94" s="276" t="s">
        <v>75</v>
      </c>
      <c r="L94" s="234">
        <f t="shared" si="25"/>
        <v>0</v>
      </c>
      <c r="N94" s="231">
        <v>2</v>
      </c>
      <c r="O94" s="239">
        <v>800</v>
      </c>
      <c r="P94" s="240">
        <v>0</v>
      </c>
      <c r="Q94" s="240" t="s">
        <v>75</v>
      </c>
      <c r="R94" s="234">
        <f t="shared" si="26"/>
        <v>0</v>
      </c>
    </row>
    <row r="95" spans="1:21" ht="13" x14ac:dyDescent="0.25">
      <c r="A95" s="659"/>
      <c r="B95" s="231">
        <v>3</v>
      </c>
      <c r="C95" s="269">
        <v>25</v>
      </c>
      <c r="D95" s="259">
        <v>-0.4</v>
      </c>
      <c r="E95" s="276" t="s">
        <v>75</v>
      </c>
      <c r="F95" s="234">
        <f t="shared" ref="F95:F99" si="27">0.5*(MAX(D95:E95)-MIN(D95:E95))</f>
        <v>0</v>
      </c>
      <c r="H95" s="231">
        <v>3</v>
      </c>
      <c r="I95" s="269">
        <v>50</v>
      </c>
      <c r="J95" s="259">
        <v>-0.9</v>
      </c>
      <c r="K95" s="276" t="s">
        <v>75</v>
      </c>
      <c r="L95" s="234">
        <f t="shared" si="25"/>
        <v>0</v>
      </c>
      <c r="N95" s="231">
        <v>3</v>
      </c>
      <c r="O95" s="239">
        <v>850</v>
      </c>
      <c r="P95" s="240">
        <v>0</v>
      </c>
      <c r="Q95" s="240" t="s">
        <v>75</v>
      </c>
      <c r="R95" s="234">
        <f t="shared" si="26"/>
        <v>0</v>
      </c>
    </row>
    <row r="96" spans="1:21" ht="13" x14ac:dyDescent="0.25">
      <c r="A96" s="659"/>
      <c r="B96" s="231">
        <v>4</v>
      </c>
      <c r="C96" s="270">
        <v>30</v>
      </c>
      <c r="D96" s="259">
        <v>-0.5</v>
      </c>
      <c r="E96" s="243" t="s">
        <v>75</v>
      </c>
      <c r="F96" s="234">
        <f t="shared" si="27"/>
        <v>0</v>
      </c>
      <c r="H96" s="231">
        <v>4</v>
      </c>
      <c r="I96" s="270">
        <v>60</v>
      </c>
      <c r="J96" s="259">
        <v>-0.8</v>
      </c>
      <c r="K96" s="243" t="s">
        <v>75</v>
      </c>
      <c r="L96" s="234">
        <f t="shared" si="25"/>
        <v>0</v>
      </c>
      <c r="N96" s="231">
        <v>4</v>
      </c>
      <c r="O96" s="244">
        <v>900</v>
      </c>
      <c r="P96" s="242">
        <v>0</v>
      </c>
      <c r="Q96" s="242" t="s">
        <v>75</v>
      </c>
      <c r="R96" s="234">
        <f t="shared" si="26"/>
        <v>0</v>
      </c>
    </row>
    <row r="97" spans="1:21" ht="13" x14ac:dyDescent="0.25">
      <c r="A97" s="659"/>
      <c r="B97" s="231">
        <v>5</v>
      </c>
      <c r="C97" s="270">
        <v>35</v>
      </c>
      <c r="D97" s="259">
        <v>-0.5</v>
      </c>
      <c r="E97" s="243" t="s">
        <v>75</v>
      </c>
      <c r="F97" s="234">
        <f t="shared" si="27"/>
        <v>0</v>
      </c>
      <c r="H97" s="231">
        <v>5</v>
      </c>
      <c r="I97" s="270">
        <v>70</v>
      </c>
      <c r="J97" s="259">
        <v>-0.6</v>
      </c>
      <c r="K97" s="243" t="s">
        <v>75</v>
      </c>
      <c r="L97" s="234">
        <f t="shared" si="25"/>
        <v>0</v>
      </c>
      <c r="N97" s="231">
        <v>5</v>
      </c>
      <c r="O97" s="244">
        <v>1000</v>
      </c>
      <c r="P97" s="242">
        <v>0.2</v>
      </c>
      <c r="Q97" s="242" t="s">
        <v>75</v>
      </c>
      <c r="R97" s="234">
        <f t="shared" si="26"/>
        <v>0</v>
      </c>
    </row>
    <row r="98" spans="1:21" ht="13" x14ac:dyDescent="0.25">
      <c r="A98" s="659"/>
      <c r="B98" s="231">
        <v>6</v>
      </c>
      <c r="C98" s="270">
        <v>37</v>
      </c>
      <c r="D98" s="259">
        <v>-0.5</v>
      </c>
      <c r="E98" s="243" t="s">
        <v>75</v>
      </c>
      <c r="F98" s="234">
        <f t="shared" si="27"/>
        <v>0</v>
      </c>
      <c r="H98" s="231">
        <v>6</v>
      </c>
      <c r="I98" s="270">
        <v>80</v>
      </c>
      <c r="J98" s="259">
        <v>-0.5</v>
      </c>
      <c r="K98" s="243" t="s">
        <v>75</v>
      </c>
      <c r="L98" s="234">
        <f t="shared" si="25"/>
        <v>0</v>
      </c>
      <c r="N98" s="231">
        <v>6</v>
      </c>
      <c r="O98" s="244">
        <v>1005</v>
      </c>
      <c r="P98" s="242">
        <v>0.2</v>
      </c>
      <c r="Q98" s="242" t="s">
        <v>75</v>
      </c>
      <c r="R98" s="234">
        <f t="shared" si="26"/>
        <v>0</v>
      </c>
    </row>
    <row r="99" spans="1:21" ht="13.5" thickBot="1" x14ac:dyDescent="0.3">
      <c r="A99" s="660"/>
      <c r="B99" s="245">
        <v>7</v>
      </c>
      <c r="C99" s="271">
        <v>40</v>
      </c>
      <c r="D99" s="277">
        <v>-0.4</v>
      </c>
      <c r="E99" s="247" t="s">
        <v>75</v>
      </c>
      <c r="F99" s="248">
        <f t="shared" si="27"/>
        <v>0</v>
      </c>
      <c r="G99" s="249"/>
      <c r="H99" s="245">
        <v>7</v>
      </c>
      <c r="I99" s="271">
        <v>90</v>
      </c>
      <c r="J99" s="277">
        <v>-0.2</v>
      </c>
      <c r="K99" s="247" t="s">
        <v>75</v>
      </c>
      <c r="L99" s="248">
        <f t="shared" si="25"/>
        <v>0</v>
      </c>
      <c r="M99" s="249"/>
      <c r="N99" s="245">
        <v>7</v>
      </c>
      <c r="O99" s="250">
        <v>1020</v>
      </c>
      <c r="P99" s="272">
        <v>0</v>
      </c>
      <c r="Q99" s="272" t="s">
        <v>75</v>
      </c>
      <c r="R99" s="248">
        <f t="shared" si="26"/>
        <v>0</v>
      </c>
    </row>
    <row r="100" spans="1:21" ht="13.5" thickBot="1" x14ac:dyDescent="0.35">
      <c r="A100" s="261"/>
      <c r="B100" s="262"/>
      <c r="C100" s="262"/>
      <c r="D100" s="262"/>
      <c r="E100" s="263"/>
      <c r="F100" s="273"/>
      <c r="G100" s="265"/>
      <c r="H100" s="262"/>
      <c r="I100" s="262"/>
      <c r="J100" s="262"/>
      <c r="K100" s="263"/>
      <c r="L100" s="273"/>
      <c r="M100" s="265"/>
      <c r="O100" s="226"/>
      <c r="P100" s="254"/>
    </row>
    <row r="101" spans="1:21" ht="13" thickBot="1" x14ac:dyDescent="0.3">
      <c r="A101" s="658">
        <v>10</v>
      </c>
      <c r="B101" s="661" t="s">
        <v>476</v>
      </c>
      <c r="C101" s="662"/>
      <c r="D101" s="662"/>
      <c r="E101" s="662"/>
      <c r="F101" s="663"/>
      <c r="G101" s="226"/>
      <c r="H101" s="664" t="str">
        <f>B101</f>
        <v>KOREKSI Sekonic HE-21.000669</v>
      </c>
      <c r="I101" s="665"/>
      <c r="J101" s="665"/>
      <c r="K101" s="665"/>
      <c r="L101" s="666"/>
      <c r="M101" s="226"/>
      <c r="N101" s="664" t="str">
        <f>H101</f>
        <v>KOREKSI Sekonic HE-21.000669</v>
      </c>
      <c r="O101" s="665"/>
      <c r="P101" s="665"/>
      <c r="Q101" s="665"/>
      <c r="R101" s="666"/>
      <c r="T101" s="646" t="s">
        <v>460</v>
      </c>
      <c r="U101" s="647"/>
    </row>
    <row r="102" spans="1:21" ht="13.5" thickBot="1" x14ac:dyDescent="0.3">
      <c r="A102" s="659"/>
      <c r="B102" s="648" t="s">
        <v>461</v>
      </c>
      <c r="C102" s="649"/>
      <c r="D102" s="650" t="s">
        <v>229</v>
      </c>
      <c r="E102" s="651"/>
      <c r="F102" s="652" t="s">
        <v>462</v>
      </c>
      <c r="H102" s="648" t="s">
        <v>463</v>
      </c>
      <c r="I102" s="649"/>
      <c r="J102" s="650" t="s">
        <v>229</v>
      </c>
      <c r="K102" s="651"/>
      <c r="L102" s="652" t="s">
        <v>462</v>
      </c>
      <c r="N102" s="648" t="s">
        <v>464</v>
      </c>
      <c r="O102" s="649"/>
      <c r="P102" s="650" t="s">
        <v>229</v>
      </c>
      <c r="Q102" s="651"/>
      <c r="R102" s="652" t="s">
        <v>462</v>
      </c>
      <c r="T102" s="227" t="s">
        <v>461</v>
      </c>
      <c r="U102" s="228">
        <v>0.3</v>
      </c>
    </row>
    <row r="103" spans="1:21" ht="15" thickBot="1" x14ac:dyDescent="0.3">
      <c r="A103" s="659"/>
      <c r="B103" s="654" t="s">
        <v>465</v>
      </c>
      <c r="C103" s="655"/>
      <c r="D103" s="257">
        <v>2019</v>
      </c>
      <c r="E103" s="257">
        <v>2016</v>
      </c>
      <c r="F103" s="653"/>
      <c r="H103" s="656" t="s">
        <v>466</v>
      </c>
      <c r="I103" s="657"/>
      <c r="J103" s="258">
        <f>D103</f>
        <v>2019</v>
      </c>
      <c r="K103" s="258">
        <f>E103</f>
        <v>2016</v>
      </c>
      <c r="L103" s="653"/>
      <c r="N103" s="656" t="s">
        <v>467</v>
      </c>
      <c r="O103" s="657"/>
      <c r="P103" s="258">
        <f>J103</f>
        <v>2019</v>
      </c>
      <c r="Q103" s="258">
        <f>K103</f>
        <v>2016</v>
      </c>
      <c r="R103" s="653"/>
      <c r="T103" s="227" t="s">
        <v>466</v>
      </c>
      <c r="U103" s="228">
        <v>1.5</v>
      </c>
    </row>
    <row r="104" spans="1:21" ht="13.5" thickBot="1" x14ac:dyDescent="0.3">
      <c r="A104" s="659"/>
      <c r="B104" s="231">
        <v>1</v>
      </c>
      <c r="C104" s="268">
        <v>15</v>
      </c>
      <c r="D104" s="266">
        <v>0.2</v>
      </c>
      <c r="E104" s="266">
        <v>0.2</v>
      </c>
      <c r="F104" s="260">
        <f t="shared" ref="F104:F110" si="28">0.5*(MAX(D104:E104)-MIN(D104:E104))</f>
        <v>0</v>
      </c>
      <c r="H104" s="231">
        <v>1</v>
      </c>
      <c r="I104" s="278">
        <v>30</v>
      </c>
      <c r="J104" s="266">
        <v>-2.9</v>
      </c>
      <c r="K104" s="266">
        <v>-5.8</v>
      </c>
      <c r="L104" s="260">
        <f t="shared" ref="L104:L107" si="29">0.5*(MAX(J104:K104)-MIN(J104:K104))</f>
        <v>1.45</v>
      </c>
      <c r="N104" s="231">
        <v>1</v>
      </c>
      <c r="O104" s="235">
        <v>750</v>
      </c>
      <c r="P104" s="236" t="s">
        <v>75</v>
      </c>
      <c r="Q104" s="236" t="s">
        <v>75</v>
      </c>
      <c r="R104" s="260">
        <f t="shared" ref="R104:R107" si="30">0.5*(MAX(P104:Q104)-MIN(P104:Q104))</f>
        <v>0</v>
      </c>
      <c r="T104" s="237" t="s">
        <v>467</v>
      </c>
      <c r="U104" s="238">
        <v>0</v>
      </c>
    </row>
    <row r="105" spans="1:21" ht="13" x14ac:dyDescent="0.25">
      <c r="A105" s="659"/>
      <c r="B105" s="231">
        <v>2</v>
      </c>
      <c r="C105" s="269">
        <v>20</v>
      </c>
      <c r="D105" s="232">
        <v>0.2</v>
      </c>
      <c r="E105" s="232">
        <v>-0.7</v>
      </c>
      <c r="F105" s="234">
        <f t="shared" si="28"/>
        <v>0.44999999999999996</v>
      </c>
      <c r="H105" s="231">
        <v>2</v>
      </c>
      <c r="I105" s="279">
        <v>40</v>
      </c>
      <c r="J105" s="232">
        <v>-3.3</v>
      </c>
      <c r="K105" s="232">
        <v>-6.4</v>
      </c>
      <c r="L105" s="234">
        <f t="shared" si="29"/>
        <v>1.5500000000000003</v>
      </c>
      <c r="N105" s="231">
        <v>2</v>
      </c>
      <c r="O105" s="239">
        <v>800</v>
      </c>
      <c r="P105" s="240" t="s">
        <v>75</v>
      </c>
      <c r="Q105" s="240" t="s">
        <v>75</v>
      </c>
      <c r="R105" s="234">
        <f t="shared" si="30"/>
        <v>0</v>
      </c>
    </row>
    <row r="106" spans="1:21" ht="13" x14ac:dyDescent="0.25">
      <c r="A106" s="659"/>
      <c r="B106" s="231">
        <v>3</v>
      </c>
      <c r="C106" s="269">
        <v>25</v>
      </c>
      <c r="D106" s="232">
        <v>0.1</v>
      </c>
      <c r="E106" s="232">
        <v>-0.5</v>
      </c>
      <c r="F106" s="234">
        <f t="shared" si="28"/>
        <v>0.3</v>
      </c>
      <c r="H106" s="231">
        <v>3</v>
      </c>
      <c r="I106" s="279">
        <v>50</v>
      </c>
      <c r="J106" s="232">
        <v>-3.1</v>
      </c>
      <c r="K106" s="232">
        <v>-6.1</v>
      </c>
      <c r="L106" s="234">
        <f t="shared" si="29"/>
        <v>1.4999999999999998</v>
      </c>
      <c r="N106" s="231">
        <v>3</v>
      </c>
      <c r="O106" s="239">
        <v>850</v>
      </c>
      <c r="P106" s="240" t="s">
        <v>75</v>
      </c>
      <c r="Q106" s="240" t="s">
        <v>75</v>
      </c>
      <c r="R106" s="234">
        <f t="shared" si="30"/>
        <v>0</v>
      </c>
    </row>
    <row r="107" spans="1:21" ht="13" x14ac:dyDescent="0.25">
      <c r="A107" s="659"/>
      <c r="B107" s="231">
        <v>4</v>
      </c>
      <c r="C107" s="270">
        <v>30</v>
      </c>
      <c r="D107" s="241">
        <v>0.1</v>
      </c>
      <c r="E107" s="241">
        <v>0.2</v>
      </c>
      <c r="F107" s="234">
        <f t="shared" si="28"/>
        <v>0.05</v>
      </c>
      <c r="H107" s="231">
        <v>4</v>
      </c>
      <c r="I107" s="280">
        <v>60</v>
      </c>
      <c r="J107" s="241">
        <v>-2.1</v>
      </c>
      <c r="K107" s="241">
        <v>-5.6</v>
      </c>
      <c r="L107" s="234">
        <f t="shared" si="29"/>
        <v>1.7499999999999998</v>
      </c>
      <c r="N107" s="231">
        <v>4</v>
      </c>
      <c r="O107" s="244">
        <v>900</v>
      </c>
      <c r="P107" s="242" t="s">
        <v>75</v>
      </c>
      <c r="Q107" s="242" t="s">
        <v>75</v>
      </c>
      <c r="R107" s="234">
        <f t="shared" si="30"/>
        <v>0</v>
      </c>
    </row>
    <row r="108" spans="1:21" ht="13" x14ac:dyDescent="0.25">
      <c r="A108" s="659"/>
      <c r="B108" s="231">
        <v>5</v>
      </c>
      <c r="C108" s="270">
        <v>35</v>
      </c>
      <c r="D108" s="241">
        <v>0.2</v>
      </c>
      <c r="E108" s="241">
        <v>0.8</v>
      </c>
      <c r="F108" s="234">
        <f t="shared" si="28"/>
        <v>0.30000000000000004</v>
      </c>
      <c r="H108" s="231">
        <v>5</v>
      </c>
      <c r="I108" s="280">
        <v>70</v>
      </c>
      <c r="J108" s="241">
        <v>-0.3</v>
      </c>
      <c r="K108" s="241">
        <v>-5.0999999999999996</v>
      </c>
      <c r="L108" s="234">
        <f>0.5*(MAX(J108:K108)-MIN(J108:K108))</f>
        <v>2.4</v>
      </c>
      <c r="N108" s="231">
        <v>5</v>
      </c>
      <c r="O108" s="244">
        <v>1000</v>
      </c>
      <c r="P108" s="242" t="s">
        <v>75</v>
      </c>
      <c r="Q108" s="242" t="s">
        <v>75</v>
      </c>
      <c r="R108" s="234">
        <f>0.5*(MAX(P108:Q108)-MIN(P108:Q108))</f>
        <v>0</v>
      </c>
    </row>
    <row r="109" spans="1:21" ht="13" x14ac:dyDescent="0.25">
      <c r="A109" s="659"/>
      <c r="B109" s="231">
        <v>6</v>
      </c>
      <c r="C109" s="270">
        <v>37</v>
      </c>
      <c r="D109" s="241">
        <v>0.2</v>
      </c>
      <c r="E109" s="241">
        <v>0.4</v>
      </c>
      <c r="F109" s="234">
        <f t="shared" si="28"/>
        <v>0.1</v>
      </c>
      <c r="H109" s="231">
        <v>6</v>
      </c>
      <c r="I109" s="280">
        <v>80</v>
      </c>
      <c r="J109" s="241">
        <v>2.2000000000000002</v>
      </c>
      <c r="K109" s="241">
        <v>-4.7</v>
      </c>
      <c r="L109" s="234">
        <f t="shared" ref="L109:L110" si="31">0.5*(MAX(J109:K109)-MIN(J109:K109))</f>
        <v>3.45</v>
      </c>
      <c r="N109" s="231">
        <v>6</v>
      </c>
      <c r="O109" s="244">
        <v>1005</v>
      </c>
      <c r="P109" s="242" t="s">
        <v>75</v>
      </c>
      <c r="Q109" s="242" t="s">
        <v>75</v>
      </c>
      <c r="R109" s="234">
        <f t="shared" ref="R109:R110" si="32">0.5*(MAX(P109:Q109)-MIN(P109:Q109))</f>
        <v>0</v>
      </c>
    </row>
    <row r="110" spans="1:21" ht="13.5" thickBot="1" x14ac:dyDescent="0.3">
      <c r="A110" s="660"/>
      <c r="B110" s="245">
        <v>7</v>
      </c>
      <c r="C110" s="281">
        <v>40</v>
      </c>
      <c r="D110" s="282">
        <v>0.2</v>
      </c>
      <c r="E110" s="282">
        <v>0</v>
      </c>
      <c r="F110" s="248">
        <f t="shared" si="28"/>
        <v>0.1</v>
      </c>
      <c r="G110" s="249"/>
      <c r="H110" s="245">
        <v>7</v>
      </c>
      <c r="I110" s="281">
        <v>90</v>
      </c>
      <c r="J110" s="283">
        <v>5.4</v>
      </c>
      <c r="K110" s="283">
        <v>0</v>
      </c>
      <c r="L110" s="248">
        <f t="shared" si="31"/>
        <v>2.7</v>
      </c>
      <c r="M110" s="249"/>
      <c r="N110" s="245">
        <v>7</v>
      </c>
      <c r="O110" s="250">
        <v>1020</v>
      </c>
      <c r="P110" s="272" t="s">
        <v>75</v>
      </c>
      <c r="Q110" s="272" t="s">
        <v>75</v>
      </c>
      <c r="R110" s="248">
        <f t="shared" si="32"/>
        <v>0</v>
      </c>
    </row>
    <row r="111" spans="1:21" ht="13.5" thickBot="1" x14ac:dyDescent="0.35">
      <c r="A111" s="261"/>
      <c r="B111" s="262"/>
      <c r="C111" s="262"/>
      <c r="D111" s="262"/>
      <c r="E111" s="263"/>
      <c r="F111" s="273"/>
      <c r="G111" s="265"/>
      <c r="H111" s="262"/>
      <c r="I111" s="262"/>
      <c r="J111" s="262"/>
      <c r="K111" s="263"/>
      <c r="L111" s="273"/>
      <c r="M111" s="265"/>
      <c r="O111" s="226"/>
      <c r="P111" s="254"/>
    </row>
    <row r="112" spans="1:21" ht="13" thickBot="1" x14ac:dyDescent="0.3">
      <c r="A112" s="658">
        <v>11</v>
      </c>
      <c r="B112" s="661" t="s">
        <v>477</v>
      </c>
      <c r="C112" s="662"/>
      <c r="D112" s="662"/>
      <c r="E112" s="662"/>
      <c r="F112" s="663"/>
      <c r="G112" s="226"/>
      <c r="H112" s="664" t="str">
        <f>B112</f>
        <v>KOREKSI Sekonic HE-21.000670</v>
      </c>
      <c r="I112" s="665"/>
      <c r="J112" s="665"/>
      <c r="K112" s="665"/>
      <c r="L112" s="666"/>
      <c r="M112" s="226"/>
      <c r="N112" s="664" t="str">
        <f>H112</f>
        <v>KOREKSI Sekonic HE-21.000670</v>
      </c>
      <c r="O112" s="665"/>
      <c r="P112" s="665"/>
      <c r="Q112" s="665"/>
      <c r="R112" s="666"/>
      <c r="T112" s="646" t="s">
        <v>460</v>
      </c>
      <c r="U112" s="647"/>
    </row>
    <row r="113" spans="1:21" ht="13.5" thickBot="1" x14ac:dyDescent="0.3">
      <c r="A113" s="659"/>
      <c r="B113" s="648" t="s">
        <v>461</v>
      </c>
      <c r="C113" s="649"/>
      <c r="D113" s="650" t="s">
        <v>229</v>
      </c>
      <c r="E113" s="651"/>
      <c r="F113" s="652" t="s">
        <v>462</v>
      </c>
      <c r="H113" s="648" t="s">
        <v>463</v>
      </c>
      <c r="I113" s="649"/>
      <c r="J113" s="650" t="s">
        <v>229</v>
      </c>
      <c r="K113" s="651"/>
      <c r="L113" s="652" t="s">
        <v>462</v>
      </c>
      <c r="N113" s="648" t="s">
        <v>464</v>
      </c>
      <c r="O113" s="649"/>
      <c r="P113" s="650" t="s">
        <v>229</v>
      </c>
      <c r="Q113" s="651"/>
      <c r="R113" s="652" t="s">
        <v>462</v>
      </c>
      <c r="T113" s="227" t="s">
        <v>461</v>
      </c>
      <c r="U113" s="228">
        <v>0.3</v>
      </c>
    </row>
    <row r="114" spans="1:21" ht="15" thickBot="1" x14ac:dyDescent="0.3">
      <c r="A114" s="659"/>
      <c r="B114" s="654" t="s">
        <v>465</v>
      </c>
      <c r="C114" s="655"/>
      <c r="D114" s="257">
        <v>2020</v>
      </c>
      <c r="E114" s="274">
        <v>2016</v>
      </c>
      <c r="F114" s="653"/>
      <c r="H114" s="656" t="s">
        <v>466</v>
      </c>
      <c r="I114" s="657"/>
      <c r="J114" s="258">
        <f>D114</f>
        <v>2020</v>
      </c>
      <c r="K114" s="258">
        <f>E114</f>
        <v>2016</v>
      </c>
      <c r="L114" s="653"/>
      <c r="N114" s="656" t="s">
        <v>467</v>
      </c>
      <c r="O114" s="657"/>
      <c r="P114" s="258">
        <f>J114</f>
        <v>2020</v>
      </c>
      <c r="Q114" s="258">
        <f>K114</f>
        <v>2016</v>
      </c>
      <c r="R114" s="653"/>
      <c r="T114" s="227" t="s">
        <v>466</v>
      </c>
      <c r="U114" s="228">
        <v>1.8</v>
      </c>
    </row>
    <row r="115" spans="1:21" ht="13.5" thickBot="1" x14ac:dyDescent="0.3">
      <c r="A115" s="659"/>
      <c r="B115" s="231">
        <v>1</v>
      </c>
      <c r="C115" s="235">
        <v>15</v>
      </c>
      <c r="D115" s="266">
        <v>0.3</v>
      </c>
      <c r="E115" s="266">
        <v>0.3</v>
      </c>
      <c r="F115" s="260">
        <f t="shared" ref="F115:F121" si="33">0.5*(MAX(D115:E115)-MIN(D115:E115))</f>
        <v>0</v>
      </c>
      <c r="H115" s="231">
        <v>1</v>
      </c>
      <c r="I115" s="235">
        <v>30</v>
      </c>
      <c r="J115" s="266">
        <v>-5.2</v>
      </c>
      <c r="K115" s="266">
        <v>-6.4</v>
      </c>
      <c r="L115" s="260">
        <f t="shared" ref="L115:L121" si="34">0.5*(MAX(J115:K115)-MIN(J115:K115))</f>
        <v>0.60000000000000009</v>
      </c>
      <c r="N115" s="231">
        <v>1</v>
      </c>
      <c r="O115" s="235">
        <v>750</v>
      </c>
      <c r="P115" s="236" t="s">
        <v>75</v>
      </c>
      <c r="Q115" s="275" t="s">
        <v>75</v>
      </c>
      <c r="R115" s="260">
        <f t="shared" ref="R115:R121" si="35">0.5*(MAX(P115:Q115)-MIN(P115:Q115))</f>
        <v>0</v>
      </c>
      <c r="T115" s="237" t="s">
        <v>467</v>
      </c>
      <c r="U115" s="238">
        <v>0</v>
      </c>
    </row>
    <row r="116" spans="1:21" ht="13" x14ac:dyDescent="0.25">
      <c r="A116" s="659"/>
      <c r="B116" s="231">
        <v>2</v>
      </c>
      <c r="C116" s="239">
        <v>20</v>
      </c>
      <c r="D116" s="232">
        <v>0.4</v>
      </c>
      <c r="E116" s="232">
        <v>0.5</v>
      </c>
      <c r="F116" s="234">
        <f t="shared" si="33"/>
        <v>4.9999999999999989E-2</v>
      </c>
      <c r="H116" s="231">
        <v>2</v>
      </c>
      <c r="I116" s="239">
        <v>40</v>
      </c>
      <c r="J116" s="232">
        <v>-5.5</v>
      </c>
      <c r="K116" s="232">
        <v>-5.9</v>
      </c>
      <c r="L116" s="234">
        <f t="shared" si="34"/>
        <v>0.20000000000000018</v>
      </c>
      <c r="N116" s="231">
        <v>2</v>
      </c>
      <c r="O116" s="239">
        <v>800</v>
      </c>
      <c r="P116" s="240" t="s">
        <v>75</v>
      </c>
      <c r="Q116" s="276" t="s">
        <v>75</v>
      </c>
      <c r="R116" s="234">
        <f t="shared" si="35"/>
        <v>0</v>
      </c>
    </row>
    <row r="117" spans="1:21" ht="13" x14ac:dyDescent="0.25">
      <c r="A117" s="659"/>
      <c r="B117" s="231">
        <v>3</v>
      </c>
      <c r="C117" s="239">
        <v>25</v>
      </c>
      <c r="D117" s="232">
        <v>0.4</v>
      </c>
      <c r="E117" s="232">
        <v>0.5</v>
      </c>
      <c r="F117" s="234">
        <f t="shared" si="33"/>
        <v>4.9999999999999989E-2</v>
      </c>
      <c r="H117" s="231">
        <v>3</v>
      </c>
      <c r="I117" s="239">
        <v>50</v>
      </c>
      <c r="J117" s="232">
        <v>-5.5</v>
      </c>
      <c r="K117" s="232">
        <v>-5.6</v>
      </c>
      <c r="L117" s="234">
        <f t="shared" si="34"/>
        <v>4.9999999999999822E-2</v>
      </c>
      <c r="N117" s="231">
        <v>3</v>
      </c>
      <c r="O117" s="239">
        <v>850</v>
      </c>
      <c r="P117" s="240" t="s">
        <v>75</v>
      </c>
      <c r="Q117" s="276" t="s">
        <v>75</v>
      </c>
      <c r="R117" s="234">
        <f t="shared" si="35"/>
        <v>0</v>
      </c>
    </row>
    <row r="118" spans="1:21" ht="13" x14ac:dyDescent="0.25">
      <c r="A118" s="659"/>
      <c r="B118" s="231">
        <v>4</v>
      </c>
      <c r="C118" s="244">
        <v>30</v>
      </c>
      <c r="D118" s="241">
        <v>0.5</v>
      </c>
      <c r="E118" s="241">
        <v>0.4</v>
      </c>
      <c r="F118" s="234">
        <f t="shared" si="33"/>
        <v>4.9999999999999989E-2</v>
      </c>
      <c r="H118" s="231">
        <v>4</v>
      </c>
      <c r="I118" s="244">
        <v>60</v>
      </c>
      <c r="J118" s="241">
        <v>-4.8</v>
      </c>
      <c r="K118" s="241">
        <v>-4.5</v>
      </c>
      <c r="L118" s="234">
        <f t="shared" si="34"/>
        <v>0.14999999999999991</v>
      </c>
      <c r="N118" s="231">
        <v>4</v>
      </c>
      <c r="O118" s="244">
        <v>900</v>
      </c>
      <c r="P118" s="242" t="s">
        <v>75</v>
      </c>
      <c r="Q118" s="243" t="s">
        <v>75</v>
      </c>
      <c r="R118" s="234">
        <f t="shared" si="35"/>
        <v>0</v>
      </c>
    </row>
    <row r="119" spans="1:21" ht="13" x14ac:dyDescent="0.25">
      <c r="A119" s="659"/>
      <c r="B119" s="231">
        <v>5</v>
      </c>
      <c r="C119" s="244">
        <v>35</v>
      </c>
      <c r="D119" s="241">
        <v>0.5</v>
      </c>
      <c r="E119" s="241">
        <v>0.4</v>
      </c>
      <c r="F119" s="234">
        <f t="shared" si="33"/>
        <v>4.9999999999999989E-2</v>
      </c>
      <c r="H119" s="231">
        <v>5</v>
      </c>
      <c r="I119" s="244">
        <v>70</v>
      </c>
      <c r="J119" s="241">
        <v>-3.4</v>
      </c>
      <c r="K119" s="241">
        <v>-1.7</v>
      </c>
      <c r="L119" s="234">
        <f t="shared" si="34"/>
        <v>0.85</v>
      </c>
      <c r="N119" s="231">
        <v>5</v>
      </c>
      <c r="O119" s="244">
        <v>1000</v>
      </c>
      <c r="P119" s="242" t="s">
        <v>75</v>
      </c>
      <c r="Q119" s="243" t="s">
        <v>75</v>
      </c>
      <c r="R119" s="234">
        <f t="shared" si="35"/>
        <v>0</v>
      </c>
    </row>
    <row r="120" spans="1:21" ht="13" x14ac:dyDescent="0.25">
      <c r="A120" s="659"/>
      <c r="B120" s="231">
        <v>6</v>
      </c>
      <c r="C120" s="244">
        <v>37</v>
      </c>
      <c r="D120" s="241">
        <v>0.5</v>
      </c>
      <c r="E120" s="241">
        <v>0.5</v>
      </c>
      <c r="F120" s="234">
        <f t="shared" si="33"/>
        <v>0</v>
      </c>
      <c r="H120" s="231">
        <v>6</v>
      </c>
      <c r="I120" s="244">
        <v>80</v>
      </c>
      <c r="J120" s="241">
        <v>-1.4</v>
      </c>
      <c r="K120" s="241">
        <v>2.6</v>
      </c>
      <c r="L120" s="234">
        <f t="shared" si="34"/>
        <v>2</v>
      </c>
      <c r="N120" s="231">
        <v>6</v>
      </c>
      <c r="O120" s="244">
        <v>1005</v>
      </c>
      <c r="P120" s="242" t="s">
        <v>75</v>
      </c>
      <c r="Q120" s="243" t="s">
        <v>75</v>
      </c>
      <c r="R120" s="234">
        <f t="shared" si="35"/>
        <v>0</v>
      </c>
    </row>
    <row r="121" spans="1:21" ht="13.5" thickBot="1" x14ac:dyDescent="0.3">
      <c r="A121" s="660"/>
      <c r="B121" s="245">
        <v>7</v>
      </c>
      <c r="C121" s="283">
        <v>40</v>
      </c>
      <c r="D121" s="284">
        <v>0.5</v>
      </c>
      <c r="E121" s="284">
        <v>0</v>
      </c>
      <c r="F121" s="248">
        <f t="shared" si="33"/>
        <v>0.25</v>
      </c>
      <c r="G121" s="249"/>
      <c r="H121" s="245">
        <v>7</v>
      </c>
      <c r="I121" s="283">
        <v>90</v>
      </c>
      <c r="J121" s="284">
        <v>1.3</v>
      </c>
      <c r="K121" s="284">
        <v>0</v>
      </c>
      <c r="L121" s="248">
        <f t="shared" si="34"/>
        <v>0.65</v>
      </c>
      <c r="M121" s="249"/>
      <c r="N121" s="245">
        <v>7</v>
      </c>
      <c r="O121" s="250">
        <v>1020</v>
      </c>
      <c r="P121" s="251" t="s">
        <v>75</v>
      </c>
      <c r="Q121" s="247" t="s">
        <v>75</v>
      </c>
      <c r="R121" s="248">
        <f t="shared" si="35"/>
        <v>0</v>
      </c>
    </row>
    <row r="122" spans="1:21" ht="13.5" thickBot="1" x14ac:dyDescent="0.35">
      <c r="A122" s="261"/>
      <c r="B122" s="262"/>
      <c r="C122" s="262"/>
      <c r="D122" s="262"/>
      <c r="E122" s="263"/>
      <c r="F122" s="273"/>
      <c r="G122" s="265"/>
      <c r="H122" s="262"/>
      <c r="I122" s="262"/>
      <c r="J122" s="262"/>
      <c r="K122" s="263"/>
      <c r="L122" s="273"/>
      <c r="O122" s="226"/>
      <c r="P122" s="254"/>
    </row>
    <row r="123" spans="1:21" ht="13" thickBot="1" x14ac:dyDescent="0.3">
      <c r="A123" s="658">
        <v>12</v>
      </c>
      <c r="B123" s="661" t="s">
        <v>478</v>
      </c>
      <c r="C123" s="662"/>
      <c r="D123" s="662"/>
      <c r="E123" s="662"/>
      <c r="F123" s="663"/>
      <c r="G123" s="226"/>
      <c r="H123" s="661" t="str">
        <f>B123</f>
        <v>KOREKSI EXTECH A.100586</v>
      </c>
      <c r="I123" s="662"/>
      <c r="J123" s="662"/>
      <c r="K123" s="662"/>
      <c r="L123" s="663"/>
      <c r="M123" s="226"/>
      <c r="N123" s="661" t="str">
        <f>H123</f>
        <v>KOREKSI EXTECH A.100586</v>
      </c>
      <c r="O123" s="662"/>
      <c r="P123" s="662"/>
      <c r="Q123" s="662"/>
      <c r="R123" s="663"/>
      <c r="T123" s="646" t="s">
        <v>460</v>
      </c>
      <c r="U123" s="647"/>
    </row>
    <row r="124" spans="1:21" ht="13.5" thickBot="1" x14ac:dyDescent="0.3">
      <c r="A124" s="659"/>
      <c r="B124" s="648" t="s">
        <v>461</v>
      </c>
      <c r="C124" s="649"/>
      <c r="D124" s="650" t="s">
        <v>229</v>
      </c>
      <c r="E124" s="651"/>
      <c r="F124" s="652" t="s">
        <v>462</v>
      </c>
      <c r="H124" s="648" t="s">
        <v>463</v>
      </c>
      <c r="I124" s="649"/>
      <c r="J124" s="650" t="s">
        <v>229</v>
      </c>
      <c r="K124" s="651"/>
      <c r="L124" s="652" t="s">
        <v>462</v>
      </c>
      <c r="N124" s="648" t="s">
        <v>464</v>
      </c>
      <c r="O124" s="649"/>
      <c r="P124" s="650" t="s">
        <v>229</v>
      </c>
      <c r="Q124" s="651"/>
      <c r="R124" s="652" t="s">
        <v>462</v>
      </c>
      <c r="T124" s="227" t="s">
        <v>461</v>
      </c>
      <c r="U124" s="228">
        <v>0.3</v>
      </c>
    </row>
    <row r="125" spans="1:21" ht="15" thickBot="1" x14ac:dyDescent="0.3">
      <c r="A125" s="659"/>
      <c r="B125" s="654" t="s">
        <v>465</v>
      </c>
      <c r="C125" s="655"/>
      <c r="D125" s="257">
        <v>2020</v>
      </c>
      <c r="E125" s="274" t="s">
        <v>75</v>
      </c>
      <c r="F125" s="653"/>
      <c r="H125" s="656" t="s">
        <v>466</v>
      </c>
      <c r="I125" s="657"/>
      <c r="J125" s="258">
        <f>D125</f>
        <v>2020</v>
      </c>
      <c r="K125" s="258" t="str">
        <f>E125</f>
        <v>-</v>
      </c>
      <c r="L125" s="653"/>
      <c r="N125" s="656" t="s">
        <v>467</v>
      </c>
      <c r="O125" s="657"/>
      <c r="P125" s="258">
        <f>J125</f>
        <v>2020</v>
      </c>
      <c r="Q125" s="258" t="str">
        <f>K125</f>
        <v>-</v>
      </c>
      <c r="R125" s="653"/>
      <c r="T125" s="227" t="s">
        <v>466</v>
      </c>
      <c r="U125" s="228">
        <v>2</v>
      </c>
    </row>
    <row r="126" spans="1:21" ht="13.5" thickBot="1" x14ac:dyDescent="0.3">
      <c r="A126" s="659"/>
      <c r="B126" s="231">
        <v>1</v>
      </c>
      <c r="C126" s="235">
        <v>15</v>
      </c>
      <c r="D126" s="266">
        <v>0</v>
      </c>
      <c r="E126" s="275" t="s">
        <v>75</v>
      </c>
      <c r="F126" s="260">
        <f t="shared" ref="F126:F132" si="36">0.5*(MAX(D126:E126)-MIN(D126:E126))</f>
        <v>0</v>
      </c>
      <c r="H126" s="231">
        <v>1</v>
      </c>
      <c r="I126" s="235">
        <v>30</v>
      </c>
      <c r="J126" s="266">
        <v>-0.4</v>
      </c>
      <c r="K126" s="275" t="s">
        <v>75</v>
      </c>
      <c r="L126" s="260">
        <f t="shared" ref="L126:L132" si="37">0.5*(MAX(J126:K126)-MIN(J126:K126))</f>
        <v>0</v>
      </c>
      <c r="N126" s="231">
        <v>1</v>
      </c>
      <c r="O126" s="239">
        <v>800</v>
      </c>
      <c r="P126" s="240">
        <v>-0.4</v>
      </c>
      <c r="Q126" s="275" t="s">
        <v>75</v>
      </c>
      <c r="R126" s="260">
        <f t="shared" ref="R126:R132" si="38">0.5*(MAX(P126:Q126)-MIN(P126:Q126))</f>
        <v>0</v>
      </c>
      <c r="T126" s="237" t="s">
        <v>467</v>
      </c>
      <c r="U126" s="238">
        <v>2.4</v>
      </c>
    </row>
    <row r="127" spans="1:21" ht="13" x14ac:dyDescent="0.25">
      <c r="A127" s="659"/>
      <c r="B127" s="231">
        <v>2</v>
      </c>
      <c r="C127" s="239">
        <v>20</v>
      </c>
      <c r="D127" s="232">
        <v>0</v>
      </c>
      <c r="E127" s="276" t="s">
        <v>75</v>
      </c>
      <c r="F127" s="234">
        <f t="shared" si="36"/>
        <v>0</v>
      </c>
      <c r="H127" s="231">
        <v>2</v>
      </c>
      <c r="I127" s="239">
        <v>40</v>
      </c>
      <c r="J127" s="232">
        <v>-0.1</v>
      </c>
      <c r="K127" s="276" t="s">
        <v>75</v>
      </c>
      <c r="L127" s="234">
        <f t="shared" si="37"/>
        <v>0</v>
      </c>
      <c r="N127" s="231">
        <v>2</v>
      </c>
      <c r="O127" s="239">
        <v>850</v>
      </c>
      <c r="P127" s="240">
        <v>-0.5</v>
      </c>
      <c r="Q127" s="276" t="s">
        <v>75</v>
      </c>
      <c r="R127" s="234">
        <f t="shared" si="38"/>
        <v>0</v>
      </c>
    </row>
    <row r="128" spans="1:21" ht="13" x14ac:dyDescent="0.25">
      <c r="A128" s="659"/>
      <c r="B128" s="231">
        <v>3</v>
      </c>
      <c r="C128" s="239">
        <v>25</v>
      </c>
      <c r="D128" s="232">
        <v>0</v>
      </c>
      <c r="E128" s="276" t="s">
        <v>75</v>
      </c>
      <c r="F128" s="234">
        <f t="shared" si="36"/>
        <v>0</v>
      </c>
      <c r="H128" s="231">
        <v>3</v>
      </c>
      <c r="I128" s="239">
        <v>50</v>
      </c>
      <c r="J128" s="232">
        <v>0</v>
      </c>
      <c r="K128" s="276" t="s">
        <v>75</v>
      </c>
      <c r="L128" s="234">
        <f t="shared" si="37"/>
        <v>0</v>
      </c>
      <c r="N128" s="231">
        <v>3</v>
      </c>
      <c r="O128" s="244">
        <v>900</v>
      </c>
      <c r="P128" s="242">
        <v>-0.6</v>
      </c>
      <c r="Q128" s="276" t="s">
        <v>75</v>
      </c>
      <c r="R128" s="234">
        <f t="shared" si="38"/>
        <v>0</v>
      </c>
    </row>
    <row r="129" spans="1:21" ht="13" x14ac:dyDescent="0.25">
      <c r="A129" s="659"/>
      <c r="B129" s="231">
        <v>4</v>
      </c>
      <c r="C129" s="244">
        <v>30</v>
      </c>
      <c r="D129" s="241">
        <v>-0.1</v>
      </c>
      <c r="E129" s="243" t="s">
        <v>75</v>
      </c>
      <c r="F129" s="234">
        <f t="shared" si="36"/>
        <v>0</v>
      </c>
      <c r="H129" s="231">
        <v>4</v>
      </c>
      <c r="I129" s="244">
        <v>60</v>
      </c>
      <c r="J129" s="241">
        <v>0</v>
      </c>
      <c r="K129" s="243" t="s">
        <v>75</v>
      </c>
      <c r="L129" s="234">
        <f t="shared" si="37"/>
        <v>0</v>
      </c>
      <c r="N129" s="231">
        <v>4</v>
      </c>
      <c r="O129" s="244">
        <v>950</v>
      </c>
      <c r="P129" s="242">
        <v>-0.7</v>
      </c>
      <c r="Q129" s="243" t="s">
        <v>75</v>
      </c>
      <c r="R129" s="234">
        <f t="shared" si="38"/>
        <v>0</v>
      </c>
    </row>
    <row r="130" spans="1:21" ht="13" x14ac:dyDescent="0.25">
      <c r="A130" s="659"/>
      <c r="B130" s="231">
        <v>5</v>
      </c>
      <c r="C130" s="244">
        <v>35</v>
      </c>
      <c r="D130" s="241">
        <v>-0.2</v>
      </c>
      <c r="E130" s="243" t="s">
        <v>75</v>
      </c>
      <c r="F130" s="234">
        <f t="shared" si="36"/>
        <v>0</v>
      </c>
      <c r="H130" s="231">
        <v>5</v>
      </c>
      <c r="I130" s="244">
        <v>70</v>
      </c>
      <c r="J130" s="241">
        <v>-0.1</v>
      </c>
      <c r="K130" s="243" t="s">
        <v>75</v>
      </c>
      <c r="L130" s="234">
        <f t="shared" si="37"/>
        <v>0</v>
      </c>
      <c r="N130" s="231">
        <v>5</v>
      </c>
      <c r="O130" s="244">
        <v>1000</v>
      </c>
      <c r="P130" s="242">
        <v>-0.8</v>
      </c>
      <c r="Q130" s="243" t="s">
        <v>75</v>
      </c>
      <c r="R130" s="234">
        <f t="shared" si="38"/>
        <v>0</v>
      </c>
    </row>
    <row r="131" spans="1:21" ht="13.5" thickBot="1" x14ac:dyDescent="0.3">
      <c r="A131" s="659"/>
      <c r="B131" s="231">
        <v>6</v>
      </c>
      <c r="C131" s="244">
        <v>37</v>
      </c>
      <c r="D131" s="241">
        <v>-0.3</v>
      </c>
      <c r="E131" s="243" t="s">
        <v>75</v>
      </c>
      <c r="F131" s="234">
        <f t="shared" si="36"/>
        <v>0</v>
      </c>
      <c r="H131" s="231">
        <v>6</v>
      </c>
      <c r="I131" s="244">
        <v>80</v>
      </c>
      <c r="J131" s="241">
        <v>-0.5</v>
      </c>
      <c r="K131" s="243" t="s">
        <v>75</v>
      </c>
      <c r="L131" s="234">
        <f t="shared" si="37"/>
        <v>0</v>
      </c>
      <c r="N131" s="231">
        <v>6</v>
      </c>
      <c r="O131" s="250">
        <v>1005</v>
      </c>
      <c r="P131" s="251">
        <v>-0.8</v>
      </c>
      <c r="Q131" s="243" t="s">
        <v>75</v>
      </c>
      <c r="R131" s="234">
        <f t="shared" si="38"/>
        <v>0</v>
      </c>
    </row>
    <row r="132" spans="1:21" ht="13.5" thickBot="1" x14ac:dyDescent="0.3">
      <c r="A132" s="660"/>
      <c r="B132" s="245">
        <v>7</v>
      </c>
      <c r="C132" s="283">
        <v>40</v>
      </c>
      <c r="D132" s="246">
        <v>-0.4</v>
      </c>
      <c r="E132" s="247" t="s">
        <v>75</v>
      </c>
      <c r="F132" s="248">
        <f t="shared" si="36"/>
        <v>0</v>
      </c>
      <c r="G132" s="249"/>
      <c r="H132" s="245">
        <v>7</v>
      </c>
      <c r="I132" s="283">
        <v>90</v>
      </c>
      <c r="J132" s="246">
        <v>-0.9</v>
      </c>
      <c r="K132" s="247" t="s">
        <v>75</v>
      </c>
      <c r="L132" s="248">
        <f t="shared" si="37"/>
        <v>0</v>
      </c>
      <c r="M132" s="249"/>
      <c r="N132" s="245">
        <v>7</v>
      </c>
      <c r="O132" s="250">
        <v>1020</v>
      </c>
      <c r="P132" s="251">
        <v>0</v>
      </c>
      <c r="Q132" s="247" t="s">
        <v>75</v>
      </c>
      <c r="R132" s="248">
        <f t="shared" si="38"/>
        <v>0</v>
      </c>
    </row>
    <row r="133" spans="1:21" ht="13" thickBot="1" x14ac:dyDescent="0.3">
      <c r="A133" s="285"/>
      <c r="C133" s="286"/>
      <c r="D133" s="287"/>
      <c r="E133" s="288"/>
      <c r="F133" s="289"/>
      <c r="I133" s="286"/>
      <c r="J133" s="287"/>
      <c r="K133" s="288"/>
      <c r="L133" s="289"/>
      <c r="O133" s="287"/>
      <c r="P133" s="290"/>
      <c r="Q133" s="288"/>
      <c r="R133" s="289"/>
    </row>
    <row r="134" spans="1:21" ht="13" thickBot="1" x14ac:dyDescent="0.3">
      <c r="A134" s="658">
        <v>13</v>
      </c>
      <c r="B134" s="661" t="s">
        <v>479</v>
      </c>
      <c r="C134" s="662"/>
      <c r="D134" s="662"/>
      <c r="E134" s="662"/>
      <c r="F134" s="663"/>
      <c r="G134" s="226"/>
      <c r="H134" s="661" t="str">
        <f>B134</f>
        <v>KOREKSI EXTECH A.100605</v>
      </c>
      <c r="I134" s="662"/>
      <c r="J134" s="662"/>
      <c r="K134" s="662"/>
      <c r="L134" s="663"/>
      <c r="M134" s="226"/>
      <c r="N134" s="661" t="str">
        <f>H134</f>
        <v>KOREKSI EXTECH A.100605</v>
      </c>
      <c r="O134" s="662"/>
      <c r="P134" s="662"/>
      <c r="Q134" s="662"/>
      <c r="R134" s="663"/>
      <c r="T134" s="646" t="s">
        <v>460</v>
      </c>
      <c r="U134" s="647"/>
    </row>
    <row r="135" spans="1:21" ht="13.5" thickBot="1" x14ac:dyDescent="0.3">
      <c r="A135" s="659"/>
      <c r="B135" s="648" t="s">
        <v>461</v>
      </c>
      <c r="C135" s="649"/>
      <c r="D135" s="650" t="s">
        <v>229</v>
      </c>
      <c r="E135" s="651"/>
      <c r="F135" s="652" t="s">
        <v>462</v>
      </c>
      <c r="H135" s="648" t="s">
        <v>463</v>
      </c>
      <c r="I135" s="649"/>
      <c r="J135" s="650" t="s">
        <v>229</v>
      </c>
      <c r="K135" s="651"/>
      <c r="L135" s="652" t="s">
        <v>462</v>
      </c>
      <c r="N135" s="648" t="s">
        <v>464</v>
      </c>
      <c r="O135" s="649"/>
      <c r="P135" s="650" t="s">
        <v>229</v>
      </c>
      <c r="Q135" s="651"/>
      <c r="R135" s="652" t="s">
        <v>462</v>
      </c>
      <c r="T135" s="227" t="s">
        <v>461</v>
      </c>
      <c r="U135" s="228">
        <v>0.3</v>
      </c>
    </row>
    <row r="136" spans="1:21" ht="15" thickBot="1" x14ac:dyDescent="0.3">
      <c r="A136" s="659"/>
      <c r="B136" s="654" t="s">
        <v>465</v>
      </c>
      <c r="C136" s="655"/>
      <c r="D136" s="257">
        <v>2020</v>
      </c>
      <c r="E136" s="274" t="s">
        <v>75</v>
      </c>
      <c r="F136" s="653"/>
      <c r="H136" s="656" t="s">
        <v>466</v>
      </c>
      <c r="I136" s="657"/>
      <c r="J136" s="258">
        <f>D136</f>
        <v>2020</v>
      </c>
      <c r="K136" s="258" t="str">
        <f>E136</f>
        <v>-</v>
      </c>
      <c r="L136" s="653"/>
      <c r="N136" s="656" t="s">
        <v>467</v>
      </c>
      <c r="O136" s="657"/>
      <c r="P136" s="258">
        <f>J136</f>
        <v>2020</v>
      </c>
      <c r="Q136" s="258" t="str">
        <f>K136</f>
        <v>-</v>
      </c>
      <c r="R136" s="653"/>
      <c r="T136" s="227" t="s">
        <v>466</v>
      </c>
      <c r="U136" s="228">
        <v>2.7</v>
      </c>
    </row>
    <row r="137" spans="1:21" ht="13.5" thickBot="1" x14ac:dyDescent="0.3">
      <c r="A137" s="659"/>
      <c r="B137" s="231">
        <v>1</v>
      </c>
      <c r="C137" s="235">
        <v>15</v>
      </c>
      <c r="D137" s="266">
        <v>-0.7</v>
      </c>
      <c r="E137" s="275" t="s">
        <v>75</v>
      </c>
      <c r="F137" s="260">
        <f t="shared" ref="F137:F143" si="39">0.5*(MAX(D137:E137)-MIN(D137:E137))</f>
        <v>0</v>
      </c>
      <c r="H137" s="231">
        <v>1</v>
      </c>
      <c r="I137" s="235">
        <v>35</v>
      </c>
      <c r="J137" s="266">
        <v>-1.4</v>
      </c>
      <c r="K137" s="275" t="s">
        <v>75</v>
      </c>
      <c r="L137" s="260">
        <f t="shared" ref="L137:L143" si="40">0.5*(MAX(J137:K137)-MIN(J137:K137))</f>
        <v>0</v>
      </c>
      <c r="N137" s="231">
        <v>1</v>
      </c>
      <c r="O137" s="239">
        <v>960</v>
      </c>
      <c r="P137" s="240">
        <v>0.9</v>
      </c>
      <c r="Q137" s="275" t="s">
        <v>75</v>
      </c>
      <c r="R137" s="260">
        <f t="shared" ref="R137:R143" si="41">0.5*(MAX(P137:Q137)-MIN(P137:Q137))</f>
        <v>0</v>
      </c>
      <c r="T137" s="237" t="s">
        <v>467</v>
      </c>
      <c r="U137" s="238">
        <v>1.5</v>
      </c>
    </row>
    <row r="138" spans="1:21" ht="13" x14ac:dyDescent="0.25">
      <c r="A138" s="659"/>
      <c r="B138" s="231">
        <v>2</v>
      </c>
      <c r="C138" s="239">
        <v>20</v>
      </c>
      <c r="D138" s="232">
        <v>-0.4</v>
      </c>
      <c r="E138" s="276" t="s">
        <v>75</v>
      </c>
      <c r="F138" s="234">
        <f t="shared" si="39"/>
        <v>0</v>
      </c>
      <c r="H138" s="231">
        <v>2</v>
      </c>
      <c r="I138" s="239">
        <v>40</v>
      </c>
      <c r="J138" s="232">
        <v>-1.3</v>
      </c>
      <c r="K138" s="276" t="s">
        <v>75</v>
      </c>
      <c r="L138" s="234">
        <f t="shared" si="40"/>
        <v>0</v>
      </c>
      <c r="N138" s="231">
        <v>2</v>
      </c>
      <c r="O138" s="239">
        <v>970</v>
      </c>
      <c r="P138" s="240">
        <v>1</v>
      </c>
      <c r="Q138" s="276" t="s">
        <v>75</v>
      </c>
      <c r="R138" s="234">
        <f t="shared" si="41"/>
        <v>0</v>
      </c>
    </row>
    <row r="139" spans="1:21" ht="13" x14ac:dyDescent="0.25">
      <c r="A139" s="659"/>
      <c r="B139" s="231">
        <v>3</v>
      </c>
      <c r="C139" s="239">
        <v>25</v>
      </c>
      <c r="D139" s="232">
        <v>-0.2</v>
      </c>
      <c r="E139" s="276" t="s">
        <v>75</v>
      </c>
      <c r="F139" s="234">
        <f t="shared" si="39"/>
        <v>0</v>
      </c>
      <c r="H139" s="231">
        <v>3</v>
      </c>
      <c r="I139" s="239">
        <v>50</v>
      </c>
      <c r="J139" s="232">
        <v>-1.3</v>
      </c>
      <c r="K139" s="276" t="s">
        <v>75</v>
      </c>
      <c r="L139" s="234">
        <f t="shared" si="40"/>
        <v>0</v>
      </c>
      <c r="N139" s="231">
        <v>3</v>
      </c>
      <c r="O139" s="244">
        <v>980</v>
      </c>
      <c r="P139" s="242">
        <v>1</v>
      </c>
      <c r="Q139" s="276" t="s">
        <v>75</v>
      </c>
      <c r="R139" s="234">
        <f t="shared" si="41"/>
        <v>0</v>
      </c>
    </row>
    <row r="140" spans="1:21" ht="13" x14ac:dyDescent="0.25">
      <c r="A140" s="659"/>
      <c r="B140" s="231">
        <v>4</v>
      </c>
      <c r="C140" s="244">
        <v>30</v>
      </c>
      <c r="D140" s="241">
        <v>0.1</v>
      </c>
      <c r="E140" s="243" t="s">
        <v>75</v>
      </c>
      <c r="F140" s="234">
        <f t="shared" si="39"/>
        <v>0</v>
      </c>
      <c r="H140" s="231">
        <v>4</v>
      </c>
      <c r="I140" s="244">
        <v>60</v>
      </c>
      <c r="J140" s="241">
        <v>-1.5</v>
      </c>
      <c r="K140" s="243" t="s">
        <v>75</v>
      </c>
      <c r="L140" s="234">
        <f t="shared" si="40"/>
        <v>0</v>
      </c>
      <c r="N140" s="231">
        <v>4</v>
      </c>
      <c r="O140" s="244">
        <v>990</v>
      </c>
      <c r="P140" s="242">
        <v>1.1000000000000001</v>
      </c>
      <c r="Q140" s="243" t="s">
        <v>75</v>
      </c>
      <c r="R140" s="234">
        <f t="shared" si="41"/>
        <v>0</v>
      </c>
    </row>
    <row r="141" spans="1:21" ht="13" x14ac:dyDescent="0.25">
      <c r="A141" s="659"/>
      <c r="B141" s="231">
        <v>5</v>
      </c>
      <c r="C141" s="244">
        <v>35</v>
      </c>
      <c r="D141" s="241">
        <v>0.3</v>
      </c>
      <c r="E141" s="243" t="s">
        <v>75</v>
      </c>
      <c r="F141" s="234">
        <f t="shared" si="39"/>
        <v>0</v>
      </c>
      <c r="H141" s="231">
        <v>5</v>
      </c>
      <c r="I141" s="244">
        <v>70</v>
      </c>
      <c r="J141" s="241">
        <v>-1.9</v>
      </c>
      <c r="K141" s="243" t="s">
        <v>75</v>
      </c>
      <c r="L141" s="234">
        <f t="shared" si="40"/>
        <v>0</v>
      </c>
      <c r="N141" s="231">
        <v>5</v>
      </c>
      <c r="O141" s="244">
        <v>1000</v>
      </c>
      <c r="P141" s="242">
        <v>1.1000000000000001</v>
      </c>
      <c r="Q141" s="243" t="s">
        <v>75</v>
      </c>
      <c r="R141" s="234">
        <f t="shared" si="41"/>
        <v>0</v>
      </c>
    </row>
    <row r="142" spans="1:21" ht="13.5" thickBot="1" x14ac:dyDescent="0.3">
      <c r="A142" s="659"/>
      <c r="B142" s="231">
        <v>6</v>
      </c>
      <c r="C142" s="244">
        <v>37</v>
      </c>
      <c r="D142" s="241">
        <v>0.4</v>
      </c>
      <c r="E142" s="243" t="s">
        <v>75</v>
      </c>
      <c r="F142" s="234">
        <f t="shared" si="39"/>
        <v>0</v>
      </c>
      <c r="H142" s="231">
        <v>6</v>
      </c>
      <c r="I142" s="244">
        <v>80</v>
      </c>
      <c r="J142" s="241">
        <v>-2.5</v>
      </c>
      <c r="K142" s="243" t="s">
        <v>75</v>
      </c>
      <c r="L142" s="234">
        <f t="shared" si="40"/>
        <v>0</v>
      </c>
      <c r="N142" s="231">
        <v>6</v>
      </c>
      <c r="O142" s="250">
        <v>1005</v>
      </c>
      <c r="P142" s="251">
        <v>1.1000000000000001</v>
      </c>
      <c r="Q142" s="243" t="s">
        <v>75</v>
      </c>
      <c r="R142" s="234">
        <f t="shared" si="41"/>
        <v>0</v>
      </c>
    </row>
    <row r="143" spans="1:21" ht="13.5" thickBot="1" x14ac:dyDescent="0.3">
      <c r="A143" s="660"/>
      <c r="B143" s="245">
        <v>7</v>
      </c>
      <c r="C143" s="283">
        <v>40</v>
      </c>
      <c r="D143" s="246">
        <v>0.5</v>
      </c>
      <c r="E143" s="247" t="s">
        <v>75</v>
      </c>
      <c r="F143" s="248">
        <f t="shared" si="39"/>
        <v>0</v>
      </c>
      <c r="G143" s="249"/>
      <c r="H143" s="245">
        <v>7</v>
      </c>
      <c r="I143" s="283">
        <v>90</v>
      </c>
      <c r="J143" s="246">
        <v>-3.2</v>
      </c>
      <c r="K143" s="247" t="s">
        <v>75</v>
      </c>
      <c r="L143" s="248">
        <f t="shared" si="40"/>
        <v>0</v>
      </c>
      <c r="M143" s="249"/>
      <c r="N143" s="245">
        <v>7</v>
      </c>
      <c r="O143" s="250">
        <v>1020</v>
      </c>
      <c r="P143" s="251">
        <v>0</v>
      </c>
      <c r="Q143" s="247" t="s">
        <v>75</v>
      </c>
      <c r="R143" s="248">
        <f t="shared" si="41"/>
        <v>0</v>
      </c>
    </row>
    <row r="144" spans="1:21" ht="13" thickBot="1" x14ac:dyDescent="0.3">
      <c r="A144" s="285"/>
      <c r="C144" s="286"/>
      <c r="D144" s="287"/>
      <c r="E144" s="288"/>
      <c r="F144" s="289"/>
      <c r="I144" s="286"/>
      <c r="J144" s="287"/>
      <c r="K144" s="288"/>
      <c r="L144" s="289"/>
      <c r="O144" s="287"/>
      <c r="P144" s="290"/>
      <c r="Q144" s="288"/>
      <c r="R144" s="289"/>
    </row>
    <row r="145" spans="1:21" ht="13" thickBot="1" x14ac:dyDescent="0.3">
      <c r="A145" s="658">
        <v>14</v>
      </c>
      <c r="B145" s="661" t="s">
        <v>480</v>
      </c>
      <c r="C145" s="662"/>
      <c r="D145" s="662"/>
      <c r="E145" s="662"/>
      <c r="F145" s="663"/>
      <c r="G145" s="226"/>
      <c r="H145" s="661" t="str">
        <f>B145</f>
        <v>KOREKSI EXTECH A.100609</v>
      </c>
      <c r="I145" s="662"/>
      <c r="J145" s="662"/>
      <c r="K145" s="662"/>
      <c r="L145" s="663"/>
      <c r="M145" s="226"/>
      <c r="N145" s="661" t="str">
        <f>H145</f>
        <v>KOREKSI EXTECH A.100609</v>
      </c>
      <c r="O145" s="662"/>
      <c r="P145" s="662"/>
      <c r="Q145" s="662"/>
      <c r="R145" s="663"/>
      <c r="T145" s="646" t="s">
        <v>460</v>
      </c>
      <c r="U145" s="647"/>
    </row>
    <row r="146" spans="1:21" ht="13.5" thickBot="1" x14ac:dyDescent="0.3">
      <c r="A146" s="659"/>
      <c r="B146" s="648" t="s">
        <v>461</v>
      </c>
      <c r="C146" s="649"/>
      <c r="D146" s="650" t="s">
        <v>229</v>
      </c>
      <c r="E146" s="651"/>
      <c r="F146" s="652" t="s">
        <v>462</v>
      </c>
      <c r="H146" s="648" t="s">
        <v>463</v>
      </c>
      <c r="I146" s="649"/>
      <c r="J146" s="650" t="s">
        <v>229</v>
      </c>
      <c r="K146" s="651"/>
      <c r="L146" s="652" t="s">
        <v>462</v>
      </c>
      <c r="N146" s="648" t="s">
        <v>464</v>
      </c>
      <c r="O146" s="649"/>
      <c r="P146" s="650" t="s">
        <v>229</v>
      </c>
      <c r="Q146" s="651"/>
      <c r="R146" s="652" t="s">
        <v>462</v>
      </c>
      <c r="T146" s="227" t="s">
        <v>461</v>
      </c>
      <c r="U146" s="228">
        <v>0.4</v>
      </c>
    </row>
    <row r="147" spans="1:21" ht="15" thickBot="1" x14ac:dyDescent="0.3">
      <c r="A147" s="659"/>
      <c r="B147" s="654" t="s">
        <v>465</v>
      </c>
      <c r="C147" s="655"/>
      <c r="D147" s="257">
        <v>2020</v>
      </c>
      <c r="E147" s="274" t="s">
        <v>75</v>
      </c>
      <c r="F147" s="653"/>
      <c r="H147" s="656" t="s">
        <v>466</v>
      </c>
      <c r="I147" s="657"/>
      <c r="J147" s="258">
        <f>D147</f>
        <v>2020</v>
      </c>
      <c r="K147" s="258" t="str">
        <f>E147</f>
        <v>-</v>
      </c>
      <c r="L147" s="653"/>
      <c r="N147" s="656" t="s">
        <v>467</v>
      </c>
      <c r="O147" s="657"/>
      <c r="P147" s="258">
        <f>J147</f>
        <v>2020</v>
      </c>
      <c r="Q147" s="258" t="str">
        <f>K147</f>
        <v>-</v>
      </c>
      <c r="R147" s="653"/>
      <c r="T147" s="227" t="s">
        <v>466</v>
      </c>
      <c r="U147" s="228">
        <v>2.2000000000000002</v>
      </c>
    </row>
    <row r="148" spans="1:21" ht="13.5" thickBot="1" x14ac:dyDescent="0.3">
      <c r="A148" s="659"/>
      <c r="B148" s="231">
        <v>1</v>
      </c>
      <c r="C148" s="235">
        <v>15</v>
      </c>
      <c r="D148" s="266">
        <v>-0.2</v>
      </c>
      <c r="E148" s="275" t="s">
        <v>75</v>
      </c>
      <c r="F148" s="260">
        <f t="shared" ref="F148:F154" si="42">0.5*(MAX(D148:E148)-MIN(D148:E148))</f>
        <v>0</v>
      </c>
      <c r="H148" s="231">
        <v>1</v>
      </c>
      <c r="I148" s="235">
        <v>35</v>
      </c>
      <c r="J148" s="266">
        <v>0.6</v>
      </c>
      <c r="K148" s="275" t="s">
        <v>75</v>
      </c>
      <c r="L148" s="260">
        <f t="shared" ref="L148:L154" si="43">0.5*(MAX(J148:K148)-MIN(J148:K148))</f>
        <v>0</v>
      </c>
      <c r="N148" s="231">
        <v>1</v>
      </c>
      <c r="O148" s="239">
        <v>960</v>
      </c>
      <c r="P148" s="240">
        <v>0.9</v>
      </c>
      <c r="Q148" s="275" t="s">
        <v>75</v>
      </c>
      <c r="R148" s="260">
        <f t="shared" ref="R148:R154" si="44">0.5*(MAX(P148:Q148)-MIN(P148:Q148))</f>
        <v>0</v>
      </c>
      <c r="T148" s="237" t="s">
        <v>467</v>
      </c>
      <c r="U148" s="238">
        <v>1.5</v>
      </c>
    </row>
    <row r="149" spans="1:21" ht="13" x14ac:dyDescent="0.25">
      <c r="A149" s="659"/>
      <c r="B149" s="231">
        <v>2</v>
      </c>
      <c r="C149" s="239">
        <v>20</v>
      </c>
      <c r="D149" s="232">
        <v>-0.1</v>
      </c>
      <c r="E149" s="276" t="s">
        <v>75</v>
      </c>
      <c r="F149" s="234">
        <f t="shared" si="42"/>
        <v>0</v>
      </c>
      <c r="H149" s="231">
        <v>2</v>
      </c>
      <c r="I149" s="239">
        <v>40</v>
      </c>
      <c r="J149" s="232">
        <v>0.3</v>
      </c>
      <c r="K149" s="276" t="s">
        <v>75</v>
      </c>
      <c r="L149" s="234">
        <f t="shared" si="43"/>
        <v>0</v>
      </c>
      <c r="N149" s="231">
        <v>2</v>
      </c>
      <c r="O149" s="239">
        <v>970</v>
      </c>
      <c r="P149" s="240">
        <v>1</v>
      </c>
      <c r="Q149" s="276" t="s">
        <v>75</v>
      </c>
      <c r="R149" s="234">
        <f t="shared" si="44"/>
        <v>0</v>
      </c>
    </row>
    <row r="150" spans="1:21" ht="13" x14ac:dyDescent="0.25">
      <c r="A150" s="659"/>
      <c r="B150" s="231">
        <v>3</v>
      </c>
      <c r="C150" s="239">
        <v>25</v>
      </c>
      <c r="D150" s="232">
        <v>-0.1</v>
      </c>
      <c r="E150" s="276" t="s">
        <v>75</v>
      </c>
      <c r="F150" s="234">
        <f t="shared" si="42"/>
        <v>0</v>
      </c>
      <c r="H150" s="231">
        <v>3</v>
      </c>
      <c r="I150" s="239">
        <v>50</v>
      </c>
      <c r="J150" s="232">
        <v>-0.2</v>
      </c>
      <c r="K150" s="276" t="s">
        <v>75</v>
      </c>
      <c r="L150" s="234">
        <f t="shared" si="43"/>
        <v>0</v>
      </c>
      <c r="N150" s="231">
        <v>3</v>
      </c>
      <c r="O150" s="244">
        <v>980</v>
      </c>
      <c r="P150" s="242">
        <v>1</v>
      </c>
      <c r="Q150" s="276" t="s">
        <v>75</v>
      </c>
      <c r="R150" s="234">
        <f t="shared" si="44"/>
        <v>0</v>
      </c>
    </row>
    <row r="151" spans="1:21" ht="13" x14ac:dyDescent="0.25">
      <c r="A151" s="659"/>
      <c r="B151" s="231">
        <v>4</v>
      </c>
      <c r="C151" s="244">
        <v>30</v>
      </c>
      <c r="D151" s="241">
        <v>-0.3</v>
      </c>
      <c r="E151" s="243" t="s">
        <v>75</v>
      </c>
      <c r="F151" s="234">
        <f t="shared" si="42"/>
        <v>0</v>
      </c>
      <c r="H151" s="231">
        <v>4</v>
      </c>
      <c r="I151" s="244">
        <v>60</v>
      </c>
      <c r="J151" s="241">
        <v>-0.6</v>
      </c>
      <c r="K151" s="243" t="s">
        <v>75</v>
      </c>
      <c r="L151" s="234">
        <f t="shared" si="43"/>
        <v>0</v>
      </c>
      <c r="N151" s="231">
        <v>4</v>
      </c>
      <c r="O151" s="244">
        <v>990</v>
      </c>
      <c r="P151" s="242">
        <v>1.1000000000000001</v>
      </c>
      <c r="Q151" s="243" t="s">
        <v>75</v>
      </c>
      <c r="R151" s="234">
        <f t="shared" si="44"/>
        <v>0</v>
      </c>
    </row>
    <row r="152" spans="1:21" ht="13" x14ac:dyDescent="0.25">
      <c r="A152" s="659"/>
      <c r="B152" s="231">
        <v>5</v>
      </c>
      <c r="C152" s="244">
        <v>35</v>
      </c>
      <c r="D152" s="241">
        <v>-0.6</v>
      </c>
      <c r="E152" s="243" t="s">
        <v>75</v>
      </c>
      <c r="F152" s="234">
        <f t="shared" si="42"/>
        <v>0</v>
      </c>
      <c r="H152" s="231">
        <v>5</v>
      </c>
      <c r="I152" s="244">
        <v>70</v>
      </c>
      <c r="J152" s="241">
        <v>-0.8</v>
      </c>
      <c r="K152" s="243" t="s">
        <v>75</v>
      </c>
      <c r="L152" s="234">
        <f t="shared" si="43"/>
        <v>0</v>
      </c>
      <c r="N152" s="231">
        <v>5</v>
      </c>
      <c r="O152" s="244">
        <v>1000</v>
      </c>
      <c r="P152" s="242">
        <v>1.1000000000000001</v>
      </c>
      <c r="Q152" s="243" t="s">
        <v>75</v>
      </c>
      <c r="R152" s="234">
        <f t="shared" si="44"/>
        <v>0</v>
      </c>
    </row>
    <row r="153" spans="1:21" ht="13.5" thickBot="1" x14ac:dyDescent="0.3">
      <c r="A153" s="659"/>
      <c r="B153" s="231">
        <v>6</v>
      </c>
      <c r="C153" s="244">
        <v>37</v>
      </c>
      <c r="D153" s="241">
        <v>-0.8</v>
      </c>
      <c r="E153" s="243" t="s">
        <v>75</v>
      </c>
      <c r="F153" s="234">
        <f t="shared" si="42"/>
        <v>0</v>
      </c>
      <c r="H153" s="231">
        <v>6</v>
      </c>
      <c r="I153" s="244">
        <v>80</v>
      </c>
      <c r="J153" s="241">
        <v>-0.9</v>
      </c>
      <c r="K153" s="243" t="s">
        <v>75</v>
      </c>
      <c r="L153" s="234">
        <f t="shared" si="43"/>
        <v>0</v>
      </c>
      <c r="N153" s="231">
        <v>6</v>
      </c>
      <c r="O153" s="250">
        <v>1005</v>
      </c>
      <c r="P153" s="251">
        <v>1.1000000000000001</v>
      </c>
      <c r="Q153" s="243" t="s">
        <v>75</v>
      </c>
      <c r="R153" s="234">
        <f t="shared" si="44"/>
        <v>0</v>
      </c>
    </row>
    <row r="154" spans="1:21" ht="13.5" thickBot="1" x14ac:dyDescent="0.3">
      <c r="A154" s="660"/>
      <c r="B154" s="245">
        <v>7</v>
      </c>
      <c r="C154" s="283">
        <v>40</v>
      </c>
      <c r="D154" s="246">
        <v>-1.1000000000000001</v>
      </c>
      <c r="E154" s="247" t="s">
        <v>75</v>
      </c>
      <c r="F154" s="248">
        <f t="shared" si="42"/>
        <v>0</v>
      </c>
      <c r="G154" s="249"/>
      <c r="H154" s="245">
        <v>7</v>
      </c>
      <c r="I154" s="283">
        <v>90</v>
      </c>
      <c r="J154" s="246">
        <v>-0.8</v>
      </c>
      <c r="K154" s="247" t="s">
        <v>75</v>
      </c>
      <c r="L154" s="248">
        <f t="shared" si="43"/>
        <v>0</v>
      </c>
      <c r="M154" s="249"/>
      <c r="N154" s="245">
        <v>7</v>
      </c>
      <c r="O154" s="250">
        <v>1020</v>
      </c>
      <c r="P154" s="251">
        <v>0</v>
      </c>
      <c r="Q154" s="247" t="s">
        <v>75</v>
      </c>
      <c r="R154" s="248">
        <f t="shared" si="44"/>
        <v>0</v>
      </c>
    </row>
    <row r="155" spans="1:21" ht="13" thickBot="1" x14ac:dyDescent="0.3">
      <c r="A155" s="285"/>
      <c r="C155" s="286"/>
      <c r="D155" s="287"/>
      <c r="E155" s="288"/>
      <c r="F155" s="289"/>
      <c r="I155" s="286"/>
      <c r="J155" s="287"/>
      <c r="K155" s="288"/>
      <c r="L155" s="289"/>
      <c r="O155" s="287"/>
      <c r="P155" s="290"/>
      <c r="Q155" s="288"/>
      <c r="R155" s="289"/>
    </row>
    <row r="156" spans="1:21" ht="13" thickBot="1" x14ac:dyDescent="0.3">
      <c r="A156" s="658">
        <v>15</v>
      </c>
      <c r="B156" s="661" t="s">
        <v>481</v>
      </c>
      <c r="C156" s="662"/>
      <c r="D156" s="662"/>
      <c r="E156" s="662"/>
      <c r="F156" s="663"/>
      <c r="G156" s="226"/>
      <c r="H156" s="661" t="str">
        <f>B156</f>
        <v>KOREKSI EXTECH A.100611</v>
      </c>
      <c r="I156" s="662"/>
      <c r="J156" s="662"/>
      <c r="K156" s="662"/>
      <c r="L156" s="663"/>
      <c r="M156" s="226"/>
      <c r="N156" s="661" t="str">
        <f>H156</f>
        <v>KOREKSI EXTECH A.100611</v>
      </c>
      <c r="O156" s="662"/>
      <c r="P156" s="662"/>
      <c r="Q156" s="662"/>
      <c r="R156" s="663"/>
      <c r="T156" s="646" t="s">
        <v>460</v>
      </c>
      <c r="U156" s="647"/>
    </row>
    <row r="157" spans="1:21" ht="13.5" thickBot="1" x14ac:dyDescent="0.3">
      <c r="A157" s="659"/>
      <c r="B157" s="648" t="s">
        <v>461</v>
      </c>
      <c r="C157" s="649"/>
      <c r="D157" s="650" t="s">
        <v>229</v>
      </c>
      <c r="E157" s="651"/>
      <c r="F157" s="652" t="s">
        <v>462</v>
      </c>
      <c r="H157" s="648" t="s">
        <v>463</v>
      </c>
      <c r="I157" s="649"/>
      <c r="J157" s="650" t="s">
        <v>229</v>
      </c>
      <c r="K157" s="651"/>
      <c r="L157" s="652" t="s">
        <v>462</v>
      </c>
      <c r="N157" s="648" t="s">
        <v>464</v>
      </c>
      <c r="O157" s="649"/>
      <c r="P157" s="650" t="s">
        <v>229</v>
      </c>
      <c r="Q157" s="651"/>
      <c r="R157" s="652" t="s">
        <v>462</v>
      </c>
      <c r="T157" s="227" t="s">
        <v>461</v>
      </c>
      <c r="U157" s="228">
        <v>0.3</v>
      </c>
    </row>
    <row r="158" spans="1:21" ht="15" thickBot="1" x14ac:dyDescent="0.3">
      <c r="A158" s="659"/>
      <c r="B158" s="654" t="s">
        <v>465</v>
      </c>
      <c r="C158" s="655"/>
      <c r="D158" s="257">
        <v>2020</v>
      </c>
      <c r="E158" s="274" t="s">
        <v>75</v>
      </c>
      <c r="F158" s="653"/>
      <c r="H158" s="656" t="s">
        <v>466</v>
      </c>
      <c r="I158" s="657"/>
      <c r="J158" s="258">
        <f>D158</f>
        <v>2020</v>
      </c>
      <c r="K158" s="258" t="str">
        <f>E158</f>
        <v>-</v>
      </c>
      <c r="L158" s="653"/>
      <c r="N158" s="656" t="s">
        <v>467</v>
      </c>
      <c r="O158" s="657"/>
      <c r="P158" s="258">
        <f>J158</f>
        <v>2020</v>
      </c>
      <c r="Q158" s="258" t="str">
        <f>K158</f>
        <v>-</v>
      </c>
      <c r="R158" s="653"/>
      <c r="T158" s="227" t="s">
        <v>466</v>
      </c>
      <c r="U158" s="228">
        <v>2.7</v>
      </c>
    </row>
    <row r="159" spans="1:21" ht="13.5" thickBot="1" x14ac:dyDescent="0.3">
      <c r="A159" s="659"/>
      <c r="B159" s="231">
        <v>1</v>
      </c>
      <c r="C159" s="235">
        <v>15</v>
      </c>
      <c r="D159" s="266">
        <v>-0.6</v>
      </c>
      <c r="E159" s="275" t="s">
        <v>75</v>
      </c>
      <c r="F159" s="260">
        <f t="shared" ref="F159:F165" si="45">0.5*(MAX(D159:E159)-MIN(D159:E159))</f>
        <v>0</v>
      </c>
      <c r="H159" s="231">
        <v>1</v>
      </c>
      <c r="I159" s="235">
        <v>35</v>
      </c>
      <c r="J159" s="266">
        <v>-0.4</v>
      </c>
      <c r="K159" s="275" t="s">
        <v>75</v>
      </c>
      <c r="L159" s="260">
        <f t="shared" ref="L159:L165" si="46">0.5*(MAX(J159:K159)-MIN(J159:K159))</f>
        <v>0</v>
      </c>
      <c r="N159" s="231">
        <v>1</v>
      </c>
      <c r="O159" s="239">
        <v>960</v>
      </c>
      <c r="P159" s="240">
        <v>0.9</v>
      </c>
      <c r="Q159" s="275" t="s">
        <v>75</v>
      </c>
      <c r="R159" s="260">
        <f t="shared" ref="R159:R165" si="47">0.5*(MAX(P159:Q159)-MIN(P159:Q159))</f>
        <v>0</v>
      </c>
      <c r="T159" s="237" t="s">
        <v>467</v>
      </c>
      <c r="U159" s="238">
        <v>1.5</v>
      </c>
    </row>
    <row r="160" spans="1:21" ht="13" x14ac:dyDescent="0.25">
      <c r="A160" s="659"/>
      <c r="B160" s="231">
        <v>2</v>
      </c>
      <c r="C160" s="239">
        <v>20</v>
      </c>
      <c r="D160" s="232">
        <v>-0.5</v>
      </c>
      <c r="E160" s="276" t="s">
        <v>75</v>
      </c>
      <c r="F160" s="234">
        <f t="shared" si="45"/>
        <v>0</v>
      </c>
      <c r="H160" s="231">
        <v>2</v>
      </c>
      <c r="I160" s="239">
        <v>40</v>
      </c>
      <c r="J160" s="232">
        <v>-0.3</v>
      </c>
      <c r="K160" s="276" t="s">
        <v>75</v>
      </c>
      <c r="L160" s="234">
        <f t="shared" si="46"/>
        <v>0</v>
      </c>
      <c r="N160" s="231">
        <v>2</v>
      </c>
      <c r="O160" s="239">
        <v>970</v>
      </c>
      <c r="P160" s="240">
        <v>1</v>
      </c>
      <c r="Q160" s="276" t="s">
        <v>75</v>
      </c>
      <c r="R160" s="234">
        <f t="shared" si="47"/>
        <v>0</v>
      </c>
    </row>
    <row r="161" spans="1:21" ht="13" x14ac:dyDescent="0.25">
      <c r="A161" s="659"/>
      <c r="B161" s="231">
        <v>3</v>
      </c>
      <c r="C161" s="239">
        <v>25</v>
      </c>
      <c r="D161" s="232">
        <v>-0.4</v>
      </c>
      <c r="E161" s="276" t="s">
        <v>75</v>
      </c>
      <c r="F161" s="234">
        <f t="shared" si="45"/>
        <v>0</v>
      </c>
      <c r="H161" s="231">
        <v>3</v>
      </c>
      <c r="I161" s="239">
        <v>50</v>
      </c>
      <c r="J161" s="232">
        <v>-0.3</v>
      </c>
      <c r="K161" s="276" t="s">
        <v>75</v>
      </c>
      <c r="L161" s="234">
        <f t="shared" si="46"/>
        <v>0</v>
      </c>
      <c r="N161" s="231">
        <v>3</v>
      </c>
      <c r="O161" s="244">
        <v>980</v>
      </c>
      <c r="P161" s="242">
        <v>1</v>
      </c>
      <c r="Q161" s="276" t="s">
        <v>75</v>
      </c>
      <c r="R161" s="234">
        <f t="shared" si="47"/>
        <v>0</v>
      </c>
    </row>
    <row r="162" spans="1:21" ht="13" x14ac:dyDescent="0.25">
      <c r="A162" s="659"/>
      <c r="B162" s="231">
        <v>4</v>
      </c>
      <c r="C162" s="244">
        <v>30</v>
      </c>
      <c r="D162" s="241">
        <v>-0.2</v>
      </c>
      <c r="E162" s="243" t="s">
        <v>75</v>
      </c>
      <c r="F162" s="234">
        <f t="shared" si="45"/>
        <v>0</v>
      </c>
      <c r="H162" s="231">
        <v>4</v>
      </c>
      <c r="I162" s="244">
        <v>60</v>
      </c>
      <c r="J162" s="241">
        <v>-0.5</v>
      </c>
      <c r="K162" s="243" t="s">
        <v>75</v>
      </c>
      <c r="L162" s="234">
        <f t="shared" si="46"/>
        <v>0</v>
      </c>
      <c r="N162" s="231">
        <v>4</v>
      </c>
      <c r="O162" s="244">
        <v>990</v>
      </c>
      <c r="P162" s="242">
        <v>1.1000000000000001</v>
      </c>
      <c r="Q162" s="243" t="s">
        <v>75</v>
      </c>
      <c r="R162" s="234">
        <f t="shared" si="47"/>
        <v>0</v>
      </c>
    </row>
    <row r="163" spans="1:21" ht="13" x14ac:dyDescent="0.25">
      <c r="A163" s="659"/>
      <c r="B163" s="231">
        <v>5</v>
      </c>
      <c r="C163" s="244">
        <v>35</v>
      </c>
      <c r="D163" s="241">
        <v>-0.1</v>
      </c>
      <c r="E163" s="243" t="s">
        <v>75</v>
      </c>
      <c r="F163" s="234">
        <f t="shared" si="45"/>
        <v>0</v>
      </c>
      <c r="H163" s="231">
        <v>5</v>
      </c>
      <c r="I163" s="244">
        <v>70</v>
      </c>
      <c r="J163" s="241">
        <v>-0.8</v>
      </c>
      <c r="K163" s="243" t="s">
        <v>75</v>
      </c>
      <c r="L163" s="234">
        <f t="shared" si="46"/>
        <v>0</v>
      </c>
      <c r="N163" s="231">
        <v>5</v>
      </c>
      <c r="O163" s="244">
        <v>1000</v>
      </c>
      <c r="P163" s="242">
        <v>1.1000000000000001</v>
      </c>
      <c r="Q163" s="243" t="s">
        <v>75</v>
      </c>
      <c r="R163" s="234">
        <f t="shared" si="47"/>
        <v>0</v>
      </c>
    </row>
    <row r="164" spans="1:21" ht="13.5" thickBot="1" x14ac:dyDescent="0.3">
      <c r="A164" s="659"/>
      <c r="B164" s="231">
        <v>6</v>
      </c>
      <c r="C164" s="244">
        <v>37</v>
      </c>
      <c r="D164" s="241">
        <v>-0.1</v>
      </c>
      <c r="E164" s="243" t="s">
        <v>75</v>
      </c>
      <c r="F164" s="234">
        <f t="shared" si="45"/>
        <v>0</v>
      </c>
      <c r="H164" s="231">
        <v>6</v>
      </c>
      <c r="I164" s="244">
        <v>80</v>
      </c>
      <c r="J164" s="241">
        <v>-1.3</v>
      </c>
      <c r="K164" s="243" t="s">
        <v>75</v>
      </c>
      <c r="L164" s="234">
        <f t="shared" si="46"/>
        <v>0</v>
      </c>
      <c r="N164" s="231">
        <v>6</v>
      </c>
      <c r="O164" s="250">
        <v>1005</v>
      </c>
      <c r="P164" s="251">
        <v>1.1000000000000001</v>
      </c>
      <c r="Q164" s="243" t="s">
        <v>75</v>
      </c>
      <c r="R164" s="234">
        <f t="shared" si="47"/>
        <v>0</v>
      </c>
    </row>
    <row r="165" spans="1:21" ht="13.5" thickBot="1" x14ac:dyDescent="0.3">
      <c r="A165" s="660"/>
      <c r="B165" s="245">
        <v>7</v>
      </c>
      <c r="C165" s="283">
        <v>40</v>
      </c>
      <c r="D165" s="246">
        <v>0</v>
      </c>
      <c r="E165" s="247" t="s">
        <v>75</v>
      </c>
      <c r="F165" s="248">
        <f t="shared" si="45"/>
        <v>0</v>
      </c>
      <c r="G165" s="249"/>
      <c r="H165" s="245">
        <v>7</v>
      </c>
      <c r="I165" s="283">
        <v>90</v>
      </c>
      <c r="J165" s="246">
        <v>-2</v>
      </c>
      <c r="K165" s="247" t="s">
        <v>75</v>
      </c>
      <c r="L165" s="248">
        <f t="shared" si="46"/>
        <v>0</v>
      </c>
      <c r="M165" s="249"/>
      <c r="N165" s="245">
        <v>7</v>
      </c>
      <c r="O165" s="250">
        <v>1020</v>
      </c>
      <c r="P165" s="251">
        <v>0</v>
      </c>
      <c r="Q165" s="247" t="s">
        <v>75</v>
      </c>
      <c r="R165" s="248">
        <f t="shared" si="47"/>
        <v>0</v>
      </c>
    </row>
    <row r="166" spans="1:21" ht="13" thickBot="1" x14ac:dyDescent="0.3">
      <c r="A166" s="285"/>
      <c r="C166" s="286"/>
      <c r="D166" s="287"/>
      <c r="E166" s="288"/>
      <c r="F166" s="289"/>
      <c r="I166" s="286"/>
      <c r="J166" s="287"/>
      <c r="K166" s="288"/>
      <c r="L166" s="289"/>
      <c r="O166" s="287"/>
      <c r="P166" s="290"/>
      <c r="Q166" s="288"/>
      <c r="R166" s="289"/>
    </row>
    <row r="167" spans="1:21" ht="13" thickBot="1" x14ac:dyDescent="0.3">
      <c r="A167" s="658">
        <v>16</v>
      </c>
      <c r="B167" s="661" t="s">
        <v>482</v>
      </c>
      <c r="C167" s="662"/>
      <c r="D167" s="662"/>
      <c r="E167" s="662"/>
      <c r="F167" s="663"/>
      <c r="G167" s="226"/>
      <c r="H167" s="661" t="str">
        <f>B167</f>
        <v>KOREKSI EXTECH A.100616</v>
      </c>
      <c r="I167" s="662"/>
      <c r="J167" s="662"/>
      <c r="K167" s="662"/>
      <c r="L167" s="663"/>
      <c r="M167" s="226"/>
      <c r="N167" s="661" t="str">
        <f>H167</f>
        <v>KOREKSI EXTECH A.100616</v>
      </c>
      <c r="O167" s="662"/>
      <c r="P167" s="662"/>
      <c r="Q167" s="662"/>
      <c r="R167" s="663"/>
      <c r="T167" s="646" t="s">
        <v>460</v>
      </c>
      <c r="U167" s="647"/>
    </row>
    <row r="168" spans="1:21" ht="13.5" thickBot="1" x14ac:dyDescent="0.3">
      <c r="A168" s="659"/>
      <c r="B168" s="648" t="s">
        <v>461</v>
      </c>
      <c r="C168" s="649"/>
      <c r="D168" s="650" t="s">
        <v>229</v>
      </c>
      <c r="E168" s="651"/>
      <c r="F168" s="652" t="s">
        <v>462</v>
      </c>
      <c r="H168" s="648" t="s">
        <v>463</v>
      </c>
      <c r="I168" s="649"/>
      <c r="J168" s="650" t="s">
        <v>229</v>
      </c>
      <c r="K168" s="651"/>
      <c r="L168" s="652" t="s">
        <v>462</v>
      </c>
      <c r="N168" s="648" t="s">
        <v>464</v>
      </c>
      <c r="O168" s="649"/>
      <c r="P168" s="650" t="s">
        <v>229</v>
      </c>
      <c r="Q168" s="651"/>
      <c r="R168" s="652" t="s">
        <v>462</v>
      </c>
      <c r="T168" s="227" t="s">
        <v>461</v>
      </c>
      <c r="U168" s="228">
        <v>0.4</v>
      </c>
    </row>
    <row r="169" spans="1:21" ht="15" thickBot="1" x14ac:dyDescent="0.3">
      <c r="A169" s="659"/>
      <c r="B169" s="654" t="s">
        <v>465</v>
      </c>
      <c r="C169" s="655"/>
      <c r="D169" s="257">
        <v>2020</v>
      </c>
      <c r="E169" s="274" t="s">
        <v>75</v>
      </c>
      <c r="F169" s="653"/>
      <c r="H169" s="656" t="s">
        <v>466</v>
      </c>
      <c r="I169" s="657"/>
      <c r="J169" s="258">
        <f>D169</f>
        <v>2020</v>
      </c>
      <c r="K169" s="258" t="str">
        <f>E169</f>
        <v>-</v>
      </c>
      <c r="L169" s="653"/>
      <c r="N169" s="656" t="s">
        <v>467</v>
      </c>
      <c r="O169" s="657"/>
      <c r="P169" s="258">
        <f>J169</f>
        <v>2020</v>
      </c>
      <c r="Q169" s="258" t="str">
        <f>K169</f>
        <v>-</v>
      </c>
      <c r="R169" s="653"/>
      <c r="T169" s="227" t="s">
        <v>466</v>
      </c>
      <c r="U169" s="228">
        <v>2.2000000000000002</v>
      </c>
    </row>
    <row r="170" spans="1:21" ht="13.5" thickBot="1" x14ac:dyDescent="0.3">
      <c r="A170" s="659"/>
      <c r="B170" s="231">
        <v>1</v>
      </c>
      <c r="C170" s="235">
        <v>15</v>
      </c>
      <c r="D170" s="266">
        <v>0.1</v>
      </c>
      <c r="E170" s="275" t="s">
        <v>75</v>
      </c>
      <c r="F170" s="260">
        <f t="shared" ref="F170:F176" si="48">0.5*(MAX(D170:E170)-MIN(D170:E170))</f>
        <v>0</v>
      </c>
      <c r="H170" s="231">
        <v>1</v>
      </c>
      <c r="I170" s="235">
        <v>30</v>
      </c>
      <c r="J170" s="266">
        <v>-1.6</v>
      </c>
      <c r="K170" s="275" t="s">
        <v>75</v>
      </c>
      <c r="L170" s="260">
        <f t="shared" ref="L170:L176" si="49">0.5*(MAX(J170:K170)-MIN(J170:K170))</f>
        <v>0</v>
      </c>
      <c r="N170" s="231">
        <v>1</v>
      </c>
      <c r="O170" s="239">
        <v>800</v>
      </c>
      <c r="P170" s="240">
        <v>-2.9</v>
      </c>
      <c r="Q170" s="275" t="s">
        <v>75</v>
      </c>
      <c r="R170" s="260">
        <f t="shared" ref="R170:R176" si="50">0.5*(MAX(P170:Q170)-MIN(P170:Q170))</f>
        <v>0</v>
      </c>
      <c r="T170" s="237" t="s">
        <v>467</v>
      </c>
      <c r="U170" s="238">
        <v>2.2999999999999998</v>
      </c>
    </row>
    <row r="171" spans="1:21" ht="13" x14ac:dyDescent="0.25">
      <c r="A171" s="659"/>
      <c r="B171" s="231">
        <v>2</v>
      </c>
      <c r="C171" s="239">
        <v>20</v>
      </c>
      <c r="D171" s="232">
        <v>0.2</v>
      </c>
      <c r="E171" s="276" t="s">
        <v>75</v>
      </c>
      <c r="F171" s="234">
        <f t="shared" si="48"/>
        <v>0</v>
      </c>
      <c r="H171" s="231">
        <v>2</v>
      </c>
      <c r="I171" s="239">
        <v>40</v>
      </c>
      <c r="J171" s="232">
        <v>-1.4</v>
      </c>
      <c r="K171" s="276" t="s">
        <v>75</v>
      </c>
      <c r="L171" s="234">
        <f t="shared" si="49"/>
        <v>0</v>
      </c>
      <c r="N171" s="231">
        <v>2</v>
      </c>
      <c r="O171" s="239">
        <v>850</v>
      </c>
      <c r="P171" s="240">
        <v>-2.2999999999999998</v>
      </c>
      <c r="Q171" s="276" t="s">
        <v>75</v>
      </c>
      <c r="R171" s="234">
        <f t="shared" si="50"/>
        <v>0</v>
      </c>
    </row>
    <row r="172" spans="1:21" ht="13" x14ac:dyDescent="0.25">
      <c r="A172" s="659"/>
      <c r="B172" s="231">
        <v>3</v>
      </c>
      <c r="C172" s="239">
        <v>25</v>
      </c>
      <c r="D172" s="232">
        <v>0.2</v>
      </c>
      <c r="E172" s="276" t="s">
        <v>75</v>
      </c>
      <c r="F172" s="234">
        <f t="shared" si="48"/>
        <v>0</v>
      </c>
      <c r="H172" s="231">
        <v>3</v>
      </c>
      <c r="I172" s="239">
        <v>50</v>
      </c>
      <c r="J172" s="232">
        <v>-1.4</v>
      </c>
      <c r="K172" s="276" t="s">
        <v>75</v>
      </c>
      <c r="L172" s="234">
        <f t="shared" si="49"/>
        <v>0</v>
      </c>
      <c r="N172" s="231">
        <v>3</v>
      </c>
      <c r="O172" s="244">
        <v>900</v>
      </c>
      <c r="P172" s="242">
        <v>-1.7</v>
      </c>
      <c r="Q172" s="276" t="s">
        <v>75</v>
      </c>
      <c r="R172" s="234">
        <f t="shared" si="50"/>
        <v>0</v>
      </c>
    </row>
    <row r="173" spans="1:21" ht="13" x14ac:dyDescent="0.25">
      <c r="A173" s="659"/>
      <c r="B173" s="231">
        <v>4</v>
      </c>
      <c r="C173" s="244">
        <v>30</v>
      </c>
      <c r="D173" s="241">
        <v>0.2</v>
      </c>
      <c r="E173" s="243" t="s">
        <v>75</v>
      </c>
      <c r="F173" s="234">
        <f t="shared" si="48"/>
        <v>0</v>
      </c>
      <c r="H173" s="231">
        <v>4</v>
      </c>
      <c r="I173" s="244">
        <v>60</v>
      </c>
      <c r="J173" s="241">
        <v>-1.5</v>
      </c>
      <c r="K173" s="243" t="s">
        <v>75</v>
      </c>
      <c r="L173" s="234">
        <f t="shared" si="49"/>
        <v>0</v>
      </c>
      <c r="N173" s="231">
        <v>4</v>
      </c>
      <c r="O173" s="244">
        <v>950</v>
      </c>
      <c r="P173" s="242">
        <v>-1.1000000000000001</v>
      </c>
      <c r="Q173" s="243" t="s">
        <v>75</v>
      </c>
      <c r="R173" s="234">
        <f t="shared" si="50"/>
        <v>0</v>
      </c>
    </row>
    <row r="174" spans="1:21" ht="13" x14ac:dyDescent="0.25">
      <c r="A174" s="659"/>
      <c r="B174" s="231">
        <v>5</v>
      </c>
      <c r="C174" s="244">
        <v>35</v>
      </c>
      <c r="D174" s="241">
        <v>0.1</v>
      </c>
      <c r="E174" s="243" t="s">
        <v>75</v>
      </c>
      <c r="F174" s="234">
        <f t="shared" si="48"/>
        <v>0</v>
      </c>
      <c r="H174" s="231">
        <v>5</v>
      </c>
      <c r="I174" s="244">
        <v>70</v>
      </c>
      <c r="J174" s="241">
        <v>-1.8</v>
      </c>
      <c r="K174" s="243" t="s">
        <v>75</v>
      </c>
      <c r="L174" s="234">
        <f t="shared" si="49"/>
        <v>0</v>
      </c>
      <c r="N174" s="231">
        <v>5</v>
      </c>
      <c r="O174" s="244">
        <v>1000</v>
      </c>
      <c r="P174" s="242">
        <v>-0.4</v>
      </c>
      <c r="Q174" s="243" t="s">
        <v>75</v>
      </c>
      <c r="R174" s="234">
        <f t="shared" si="50"/>
        <v>0</v>
      </c>
    </row>
    <row r="175" spans="1:21" ht="13.5" thickBot="1" x14ac:dyDescent="0.3">
      <c r="A175" s="659"/>
      <c r="B175" s="231">
        <v>6</v>
      </c>
      <c r="C175" s="244">
        <v>37</v>
      </c>
      <c r="D175" s="241">
        <v>0</v>
      </c>
      <c r="E175" s="243" t="s">
        <v>75</v>
      </c>
      <c r="F175" s="234">
        <f t="shared" si="48"/>
        <v>0</v>
      </c>
      <c r="H175" s="231">
        <v>6</v>
      </c>
      <c r="I175" s="244">
        <v>80</v>
      </c>
      <c r="J175" s="241">
        <v>-2.2999999999999998</v>
      </c>
      <c r="K175" s="243" t="s">
        <v>75</v>
      </c>
      <c r="L175" s="234">
        <f t="shared" si="49"/>
        <v>0</v>
      </c>
      <c r="N175" s="231">
        <v>6</v>
      </c>
      <c r="O175" s="250">
        <v>1005</v>
      </c>
      <c r="P175" s="251">
        <v>-0.4</v>
      </c>
      <c r="Q175" s="243" t="s">
        <v>75</v>
      </c>
      <c r="R175" s="234">
        <f t="shared" si="50"/>
        <v>0</v>
      </c>
    </row>
    <row r="176" spans="1:21" ht="13.5" thickBot="1" x14ac:dyDescent="0.3">
      <c r="A176" s="660"/>
      <c r="B176" s="245">
        <v>7</v>
      </c>
      <c r="C176" s="283">
        <v>40</v>
      </c>
      <c r="D176" s="246">
        <v>0</v>
      </c>
      <c r="E176" s="247" t="s">
        <v>75</v>
      </c>
      <c r="F176" s="248">
        <f t="shared" si="48"/>
        <v>0</v>
      </c>
      <c r="G176" s="249"/>
      <c r="H176" s="245">
        <v>7</v>
      </c>
      <c r="I176" s="283">
        <v>90</v>
      </c>
      <c r="J176" s="246">
        <v>-3</v>
      </c>
      <c r="K176" s="247" t="s">
        <v>75</v>
      </c>
      <c r="L176" s="248">
        <f t="shared" si="49"/>
        <v>0</v>
      </c>
      <c r="M176" s="249"/>
      <c r="N176" s="245">
        <v>7</v>
      </c>
      <c r="O176" s="250">
        <v>1020</v>
      </c>
      <c r="P176" s="251">
        <v>0</v>
      </c>
      <c r="Q176" s="247" t="s">
        <v>75</v>
      </c>
      <c r="R176" s="248">
        <f t="shared" si="50"/>
        <v>0</v>
      </c>
    </row>
    <row r="177" spans="1:21" ht="13" thickBot="1" x14ac:dyDescent="0.3">
      <c r="A177" s="285"/>
      <c r="C177" s="286"/>
      <c r="D177" s="287"/>
      <c r="E177" s="288"/>
      <c r="F177" s="289"/>
      <c r="I177" s="286"/>
      <c r="J177" s="287"/>
      <c r="K177" s="288"/>
      <c r="L177" s="289"/>
      <c r="O177" s="287"/>
      <c r="P177" s="290"/>
      <c r="Q177" s="288"/>
      <c r="R177" s="289"/>
    </row>
    <row r="178" spans="1:21" ht="13" thickBot="1" x14ac:dyDescent="0.3">
      <c r="A178" s="658">
        <v>17</v>
      </c>
      <c r="B178" s="661" t="s">
        <v>483</v>
      </c>
      <c r="C178" s="662"/>
      <c r="D178" s="662"/>
      <c r="E178" s="662"/>
      <c r="F178" s="663"/>
      <c r="G178" s="226"/>
      <c r="H178" s="661" t="str">
        <f>B178</f>
        <v>KOREKSI EXTECH A.100617</v>
      </c>
      <c r="I178" s="662"/>
      <c r="J178" s="662"/>
      <c r="K178" s="662"/>
      <c r="L178" s="663"/>
      <c r="M178" s="226"/>
      <c r="N178" s="661" t="str">
        <f>H178</f>
        <v>KOREKSI EXTECH A.100617</v>
      </c>
      <c r="O178" s="662"/>
      <c r="P178" s="662"/>
      <c r="Q178" s="662"/>
      <c r="R178" s="663"/>
      <c r="T178" s="646" t="s">
        <v>460</v>
      </c>
      <c r="U178" s="647"/>
    </row>
    <row r="179" spans="1:21" ht="13.5" thickBot="1" x14ac:dyDescent="0.3">
      <c r="A179" s="659"/>
      <c r="B179" s="648" t="s">
        <v>461</v>
      </c>
      <c r="C179" s="649"/>
      <c r="D179" s="650" t="s">
        <v>229</v>
      </c>
      <c r="E179" s="651"/>
      <c r="F179" s="652" t="s">
        <v>462</v>
      </c>
      <c r="H179" s="648" t="s">
        <v>463</v>
      </c>
      <c r="I179" s="649"/>
      <c r="J179" s="650" t="s">
        <v>229</v>
      </c>
      <c r="K179" s="651"/>
      <c r="L179" s="652" t="s">
        <v>462</v>
      </c>
      <c r="N179" s="648" t="s">
        <v>464</v>
      </c>
      <c r="O179" s="649"/>
      <c r="P179" s="650" t="s">
        <v>229</v>
      </c>
      <c r="Q179" s="651"/>
      <c r="R179" s="652" t="s">
        <v>462</v>
      </c>
      <c r="T179" s="227" t="s">
        <v>461</v>
      </c>
      <c r="U179" s="228">
        <v>0.3</v>
      </c>
    </row>
    <row r="180" spans="1:21" ht="15" thickBot="1" x14ac:dyDescent="0.3">
      <c r="A180" s="659"/>
      <c r="B180" s="654" t="s">
        <v>465</v>
      </c>
      <c r="C180" s="655"/>
      <c r="D180" s="257">
        <v>2020</v>
      </c>
      <c r="E180" s="274" t="s">
        <v>75</v>
      </c>
      <c r="F180" s="653"/>
      <c r="H180" s="656" t="s">
        <v>466</v>
      </c>
      <c r="I180" s="657"/>
      <c r="J180" s="258">
        <f>D180</f>
        <v>2020</v>
      </c>
      <c r="K180" s="258" t="str">
        <f>E180</f>
        <v>-</v>
      </c>
      <c r="L180" s="653"/>
      <c r="N180" s="656" t="s">
        <v>467</v>
      </c>
      <c r="O180" s="657"/>
      <c r="P180" s="258">
        <f>J180</f>
        <v>2020</v>
      </c>
      <c r="Q180" s="258" t="str">
        <f>K180</f>
        <v>-</v>
      </c>
      <c r="R180" s="653"/>
      <c r="T180" s="227" t="s">
        <v>466</v>
      </c>
      <c r="U180" s="228">
        <v>2.8</v>
      </c>
    </row>
    <row r="181" spans="1:21" ht="13.5" thickBot="1" x14ac:dyDescent="0.3">
      <c r="A181" s="659"/>
      <c r="B181" s="231">
        <v>1</v>
      </c>
      <c r="C181" s="235">
        <v>15</v>
      </c>
      <c r="D181" s="266">
        <v>0.1</v>
      </c>
      <c r="E181" s="275" t="s">
        <v>75</v>
      </c>
      <c r="F181" s="260">
        <f t="shared" ref="F181:F187" si="51">0.5*(MAX(D181:E181)-MIN(D181:E181))</f>
        <v>0</v>
      </c>
      <c r="H181" s="231">
        <v>1</v>
      </c>
      <c r="I181" s="235">
        <v>30</v>
      </c>
      <c r="J181" s="266">
        <v>0.1</v>
      </c>
      <c r="K181" s="275" t="s">
        <v>75</v>
      </c>
      <c r="L181" s="260">
        <f t="shared" ref="L181:L187" si="52">0.5*(MAX(J181:K181)-MIN(J181:K181))</f>
        <v>0</v>
      </c>
      <c r="N181" s="231">
        <v>1</v>
      </c>
      <c r="O181" s="239">
        <v>960</v>
      </c>
      <c r="P181" s="240">
        <v>-0.6</v>
      </c>
      <c r="Q181" s="275" t="s">
        <v>75</v>
      </c>
      <c r="R181" s="260">
        <f t="shared" ref="R181:R187" si="53">0.5*(MAX(P181:Q181)-MIN(P181:Q181))</f>
        <v>0</v>
      </c>
      <c r="T181" s="237" t="s">
        <v>467</v>
      </c>
      <c r="U181" s="238">
        <v>2.1</v>
      </c>
    </row>
    <row r="182" spans="1:21" ht="13" x14ac:dyDescent="0.25">
      <c r="A182" s="659"/>
      <c r="B182" s="231">
        <v>2</v>
      </c>
      <c r="C182" s="239">
        <v>20</v>
      </c>
      <c r="D182" s="232">
        <v>0.1</v>
      </c>
      <c r="E182" s="276" t="s">
        <v>75</v>
      </c>
      <c r="F182" s="234">
        <f t="shared" si="51"/>
        <v>0</v>
      </c>
      <c r="H182" s="231">
        <v>2</v>
      </c>
      <c r="I182" s="239">
        <v>40</v>
      </c>
      <c r="J182" s="232">
        <v>0.2</v>
      </c>
      <c r="K182" s="276" t="s">
        <v>75</v>
      </c>
      <c r="L182" s="234">
        <f t="shared" si="52"/>
        <v>0</v>
      </c>
      <c r="N182" s="231">
        <v>2</v>
      </c>
      <c r="O182" s="239">
        <v>970</v>
      </c>
      <c r="P182" s="240">
        <v>-0.6</v>
      </c>
      <c r="Q182" s="276" t="s">
        <v>75</v>
      </c>
      <c r="R182" s="234">
        <f t="shared" si="53"/>
        <v>0</v>
      </c>
    </row>
    <row r="183" spans="1:21" ht="13" x14ac:dyDescent="0.25">
      <c r="A183" s="659"/>
      <c r="B183" s="231">
        <v>3</v>
      </c>
      <c r="C183" s="239">
        <v>25</v>
      </c>
      <c r="D183" s="232">
        <v>0</v>
      </c>
      <c r="E183" s="276" t="s">
        <v>75</v>
      </c>
      <c r="F183" s="234">
        <f t="shared" si="51"/>
        <v>0</v>
      </c>
      <c r="H183" s="231">
        <v>3</v>
      </c>
      <c r="I183" s="239">
        <v>50</v>
      </c>
      <c r="J183" s="232">
        <v>0.2</v>
      </c>
      <c r="K183" s="276" t="s">
        <v>75</v>
      </c>
      <c r="L183" s="234">
        <f t="shared" si="52"/>
        <v>0</v>
      </c>
      <c r="N183" s="231">
        <v>3</v>
      </c>
      <c r="O183" s="244">
        <v>980</v>
      </c>
      <c r="P183" s="242">
        <v>-0.6</v>
      </c>
      <c r="Q183" s="276" t="s">
        <v>75</v>
      </c>
      <c r="R183" s="234">
        <f t="shared" si="53"/>
        <v>0</v>
      </c>
    </row>
    <row r="184" spans="1:21" ht="13" x14ac:dyDescent="0.25">
      <c r="A184" s="659"/>
      <c r="B184" s="231">
        <v>4</v>
      </c>
      <c r="C184" s="244">
        <v>30</v>
      </c>
      <c r="D184" s="241">
        <v>-0.2</v>
      </c>
      <c r="E184" s="243" t="s">
        <v>75</v>
      </c>
      <c r="F184" s="234">
        <f t="shared" si="51"/>
        <v>0</v>
      </c>
      <c r="H184" s="231">
        <v>4</v>
      </c>
      <c r="I184" s="244">
        <v>60</v>
      </c>
      <c r="J184" s="241">
        <v>0</v>
      </c>
      <c r="K184" s="243" t="s">
        <v>75</v>
      </c>
      <c r="L184" s="234">
        <f t="shared" si="52"/>
        <v>0</v>
      </c>
      <c r="N184" s="231">
        <v>4</v>
      </c>
      <c r="O184" s="244">
        <v>990</v>
      </c>
      <c r="P184" s="242">
        <v>-0.6</v>
      </c>
      <c r="Q184" s="243" t="s">
        <v>75</v>
      </c>
      <c r="R184" s="234">
        <f t="shared" si="53"/>
        <v>0</v>
      </c>
    </row>
    <row r="185" spans="1:21" ht="13" x14ac:dyDescent="0.25">
      <c r="A185" s="659"/>
      <c r="B185" s="231">
        <v>5</v>
      </c>
      <c r="C185" s="244">
        <v>35</v>
      </c>
      <c r="D185" s="241">
        <v>-0.5</v>
      </c>
      <c r="E185" s="243" t="s">
        <v>75</v>
      </c>
      <c r="F185" s="234">
        <f t="shared" si="51"/>
        <v>0</v>
      </c>
      <c r="H185" s="231">
        <v>5</v>
      </c>
      <c r="I185" s="244">
        <v>70</v>
      </c>
      <c r="J185" s="241">
        <v>-0.3</v>
      </c>
      <c r="K185" s="243" t="s">
        <v>75</v>
      </c>
      <c r="L185" s="234">
        <f t="shared" si="52"/>
        <v>0</v>
      </c>
      <c r="N185" s="231">
        <v>5</v>
      </c>
      <c r="O185" s="244">
        <v>1000</v>
      </c>
      <c r="P185" s="242">
        <v>-0.6</v>
      </c>
      <c r="Q185" s="243" t="s">
        <v>75</v>
      </c>
      <c r="R185" s="234">
        <f t="shared" si="53"/>
        <v>0</v>
      </c>
    </row>
    <row r="186" spans="1:21" ht="13.5" thickBot="1" x14ac:dyDescent="0.3">
      <c r="A186" s="659"/>
      <c r="B186" s="231">
        <v>6</v>
      </c>
      <c r="C186" s="244">
        <v>37</v>
      </c>
      <c r="D186" s="241">
        <v>-0.6</v>
      </c>
      <c r="E186" s="243" t="s">
        <v>75</v>
      </c>
      <c r="F186" s="234">
        <f t="shared" si="51"/>
        <v>0</v>
      </c>
      <c r="H186" s="231">
        <v>6</v>
      </c>
      <c r="I186" s="244">
        <v>80</v>
      </c>
      <c r="J186" s="241">
        <v>-0.8</v>
      </c>
      <c r="K186" s="243" t="s">
        <v>75</v>
      </c>
      <c r="L186" s="234">
        <f t="shared" si="52"/>
        <v>0</v>
      </c>
      <c r="N186" s="231">
        <v>6</v>
      </c>
      <c r="O186" s="250">
        <v>1005</v>
      </c>
      <c r="P186" s="251">
        <v>-0.6</v>
      </c>
      <c r="Q186" s="243" t="s">
        <v>75</v>
      </c>
      <c r="R186" s="234">
        <f t="shared" si="53"/>
        <v>0</v>
      </c>
    </row>
    <row r="187" spans="1:21" ht="13.5" thickBot="1" x14ac:dyDescent="0.3">
      <c r="A187" s="660"/>
      <c r="B187" s="245">
        <v>7</v>
      </c>
      <c r="C187" s="283">
        <v>40</v>
      </c>
      <c r="D187" s="246">
        <v>-0.8</v>
      </c>
      <c r="E187" s="247" t="s">
        <v>75</v>
      </c>
      <c r="F187" s="248">
        <f t="shared" si="51"/>
        <v>0</v>
      </c>
      <c r="G187" s="249"/>
      <c r="H187" s="245">
        <v>7</v>
      </c>
      <c r="I187" s="283">
        <v>90</v>
      </c>
      <c r="J187" s="246">
        <v>-1.4</v>
      </c>
      <c r="K187" s="247" t="s">
        <v>75</v>
      </c>
      <c r="L187" s="248">
        <f t="shared" si="52"/>
        <v>0</v>
      </c>
      <c r="M187" s="249"/>
      <c r="N187" s="245">
        <v>7</v>
      </c>
      <c r="O187" s="250">
        <v>1020</v>
      </c>
      <c r="P187" s="251">
        <v>0</v>
      </c>
      <c r="Q187" s="247" t="s">
        <v>75</v>
      </c>
      <c r="R187" s="248">
        <f t="shared" si="53"/>
        <v>0</v>
      </c>
    </row>
    <row r="188" spans="1:21" ht="13" thickBot="1" x14ac:dyDescent="0.3">
      <c r="A188" s="285"/>
      <c r="C188" s="286"/>
      <c r="D188" s="287"/>
      <c r="E188" s="288"/>
      <c r="F188" s="289"/>
      <c r="I188" s="286"/>
      <c r="J188" s="287"/>
      <c r="K188" s="288"/>
      <c r="L188" s="289"/>
      <c r="O188" s="287"/>
      <c r="P188" s="290"/>
      <c r="Q188" s="288"/>
      <c r="R188" s="289"/>
    </row>
    <row r="189" spans="1:21" ht="13" thickBot="1" x14ac:dyDescent="0.3">
      <c r="A189" s="658">
        <v>18</v>
      </c>
      <c r="B189" s="661" t="s">
        <v>484</v>
      </c>
      <c r="C189" s="662"/>
      <c r="D189" s="662"/>
      <c r="E189" s="662"/>
      <c r="F189" s="663"/>
      <c r="G189" s="226"/>
      <c r="H189" s="661" t="str">
        <f>B189</f>
        <v>KOREKSI EXTECH A.100618</v>
      </c>
      <c r="I189" s="662"/>
      <c r="J189" s="662"/>
      <c r="K189" s="662"/>
      <c r="L189" s="663"/>
      <c r="M189" s="226"/>
      <c r="N189" s="661" t="str">
        <f>H189</f>
        <v>KOREKSI EXTECH A.100618</v>
      </c>
      <c r="O189" s="662"/>
      <c r="P189" s="662"/>
      <c r="Q189" s="662"/>
      <c r="R189" s="663"/>
      <c r="T189" s="646" t="s">
        <v>460</v>
      </c>
      <c r="U189" s="647"/>
    </row>
    <row r="190" spans="1:21" ht="13.5" thickBot="1" x14ac:dyDescent="0.3">
      <c r="A190" s="659"/>
      <c r="B190" s="648" t="s">
        <v>461</v>
      </c>
      <c r="C190" s="649"/>
      <c r="D190" s="650" t="s">
        <v>229</v>
      </c>
      <c r="E190" s="651"/>
      <c r="F190" s="652" t="s">
        <v>462</v>
      </c>
      <c r="H190" s="648" t="s">
        <v>463</v>
      </c>
      <c r="I190" s="649"/>
      <c r="J190" s="650" t="s">
        <v>229</v>
      </c>
      <c r="K190" s="651"/>
      <c r="L190" s="652" t="s">
        <v>462</v>
      </c>
      <c r="N190" s="648" t="s">
        <v>464</v>
      </c>
      <c r="O190" s="649"/>
      <c r="P190" s="650" t="s">
        <v>229</v>
      </c>
      <c r="Q190" s="651"/>
      <c r="R190" s="652" t="s">
        <v>462</v>
      </c>
      <c r="T190" s="227" t="s">
        <v>461</v>
      </c>
      <c r="U190" s="228">
        <v>0.3</v>
      </c>
    </row>
    <row r="191" spans="1:21" ht="15" thickBot="1" x14ac:dyDescent="0.3">
      <c r="A191" s="659"/>
      <c r="B191" s="654" t="s">
        <v>465</v>
      </c>
      <c r="C191" s="655"/>
      <c r="D191" s="257">
        <v>2020</v>
      </c>
      <c r="E191" s="274" t="s">
        <v>75</v>
      </c>
      <c r="F191" s="653"/>
      <c r="H191" s="656" t="s">
        <v>466</v>
      </c>
      <c r="I191" s="657"/>
      <c r="J191" s="258">
        <f>D191</f>
        <v>2020</v>
      </c>
      <c r="K191" s="258" t="str">
        <f>E191</f>
        <v>-</v>
      </c>
      <c r="L191" s="653"/>
      <c r="N191" s="656" t="s">
        <v>467</v>
      </c>
      <c r="O191" s="657"/>
      <c r="P191" s="258">
        <f>J191</f>
        <v>2020</v>
      </c>
      <c r="Q191" s="258" t="str">
        <f>K191</f>
        <v>-</v>
      </c>
      <c r="R191" s="653"/>
      <c r="T191" s="227" t="s">
        <v>466</v>
      </c>
      <c r="U191" s="228">
        <v>1.6</v>
      </c>
    </row>
    <row r="192" spans="1:21" ht="13.5" thickBot="1" x14ac:dyDescent="0.3">
      <c r="A192" s="659"/>
      <c r="B192" s="231">
        <v>1</v>
      </c>
      <c r="C192" s="235">
        <v>15</v>
      </c>
      <c r="D192" s="266">
        <v>0</v>
      </c>
      <c r="E192" s="275" t="s">
        <v>75</v>
      </c>
      <c r="F192" s="260">
        <f t="shared" ref="F192:F198" si="54">0.5*(MAX(D192:E192)-MIN(D192:E192))</f>
        <v>0</v>
      </c>
      <c r="H192" s="231">
        <v>1</v>
      </c>
      <c r="I192" s="235">
        <v>30</v>
      </c>
      <c r="J192" s="266">
        <v>-0.4</v>
      </c>
      <c r="K192" s="275" t="s">
        <v>75</v>
      </c>
      <c r="L192" s="260">
        <f t="shared" ref="L192:L198" si="55">0.5*(MAX(J192:K192)-MIN(J192:K192))</f>
        <v>0</v>
      </c>
      <c r="N192" s="231">
        <v>1</v>
      </c>
      <c r="O192" s="239">
        <v>800</v>
      </c>
      <c r="P192" s="240">
        <v>-1.5</v>
      </c>
      <c r="Q192" s="275" t="s">
        <v>75</v>
      </c>
      <c r="R192" s="260">
        <f t="shared" ref="R192:R198" si="56">0.5*(MAX(P192:Q192)-MIN(P192:Q192))</f>
        <v>0</v>
      </c>
      <c r="T192" s="237" t="s">
        <v>467</v>
      </c>
      <c r="U192" s="238">
        <v>2.4</v>
      </c>
    </row>
    <row r="193" spans="1:21" ht="13" x14ac:dyDescent="0.25">
      <c r="A193" s="659"/>
      <c r="B193" s="231">
        <v>2</v>
      </c>
      <c r="C193" s="239">
        <v>20</v>
      </c>
      <c r="D193" s="232">
        <v>-0.1</v>
      </c>
      <c r="E193" s="276" t="s">
        <v>75</v>
      </c>
      <c r="F193" s="234">
        <f t="shared" si="54"/>
        <v>0</v>
      </c>
      <c r="H193" s="231">
        <v>2</v>
      </c>
      <c r="I193" s="239">
        <v>40</v>
      </c>
      <c r="J193" s="232">
        <v>-0.2</v>
      </c>
      <c r="K193" s="276" t="s">
        <v>75</v>
      </c>
      <c r="L193" s="234">
        <f t="shared" si="55"/>
        <v>0</v>
      </c>
      <c r="N193" s="231">
        <v>2</v>
      </c>
      <c r="O193" s="239">
        <v>850</v>
      </c>
      <c r="P193" s="240">
        <v>-1.3</v>
      </c>
      <c r="Q193" s="276" t="s">
        <v>75</v>
      </c>
      <c r="R193" s="234">
        <f t="shared" si="56"/>
        <v>0</v>
      </c>
    </row>
    <row r="194" spans="1:21" ht="13" x14ac:dyDescent="0.25">
      <c r="A194" s="659"/>
      <c r="B194" s="231">
        <v>3</v>
      </c>
      <c r="C194" s="239">
        <v>25</v>
      </c>
      <c r="D194" s="232">
        <v>-0.2</v>
      </c>
      <c r="E194" s="276" t="s">
        <v>75</v>
      </c>
      <c r="F194" s="234">
        <f t="shared" si="54"/>
        <v>0</v>
      </c>
      <c r="H194" s="231">
        <v>3</v>
      </c>
      <c r="I194" s="239">
        <v>50</v>
      </c>
      <c r="J194" s="232">
        <v>-0.2</v>
      </c>
      <c r="K194" s="276" t="s">
        <v>75</v>
      </c>
      <c r="L194" s="234">
        <f t="shared" si="55"/>
        <v>0</v>
      </c>
      <c r="N194" s="231">
        <v>3</v>
      </c>
      <c r="O194" s="244">
        <v>900</v>
      </c>
      <c r="P194" s="242">
        <v>-1.1000000000000001</v>
      </c>
      <c r="Q194" s="276" t="s">
        <v>75</v>
      </c>
      <c r="R194" s="234">
        <f t="shared" si="56"/>
        <v>0</v>
      </c>
    </row>
    <row r="195" spans="1:21" ht="13" x14ac:dyDescent="0.25">
      <c r="A195" s="659"/>
      <c r="B195" s="231">
        <v>4</v>
      </c>
      <c r="C195" s="244">
        <v>30</v>
      </c>
      <c r="D195" s="241">
        <v>-0.2</v>
      </c>
      <c r="E195" s="243" t="s">
        <v>75</v>
      </c>
      <c r="F195" s="234">
        <f t="shared" si="54"/>
        <v>0</v>
      </c>
      <c r="H195" s="231">
        <v>4</v>
      </c>
      <c r="I195" s="244">
        <v>60</v>
      </c>
      <c r="J195" s="241">
        <v>-0.2</v>
      </c>
      <c r="K195" s="243" t="s">
        <v>75</v>
      </c>
      <c r="L195" s="234">
        <f t="shared" si="55"/>
        <v>0</v>
      </c>
      <c r="N195" s="231">
        <v>4</v>
      </c>
      <c r="O195" s="244">
        <v>950</v>
      </c>
      <c r="P195" s="242">
        <v>-0.9</v>
      </c>
      <c r="Q195" s="243" t="s">
        <v>75</v>
      </c>
      <c r="R195" s="234">
        <f t="shared" si="56"/>
        <v>0</v>
      </c>
    </row>
    <row r="196" spans="1:21" ht="13" x14ac:dyDescent="0.25">
      <c r="A196" s="659"/>
      <c r="B196" s="231">
        <v>5</v>
      </c>
      <c r="C196" s="244">
        <v>35</v>
      </c>
      <c r="D196" s="241">
        <v>-0.3</v>
      </c>
      <c r="E196" s="243" t="s">
        <v>75</v>
      </c>
      <c r="F196" s="234">
        <f t="shared" si="54"/>
        <v>0</v>
      </c>
      <c r="H196" s="231">
        <v>5</v>
      </c>
      <c r="I196" s="244">
        <v>70</v>
      </c>
      <c r="J196" s="241">
        <v>-0.3</v>
      </c>
      <c r="K196" s="243" t="s">
        <v>75</v>
      </c>
      <c r="L196" s="234">
        <f t="shared" si="55"/>
        <v>0</v>
      </c>
      <c r="N196" s="231">
        <v>5</v>
      </c>
      <c r="O196" s="244">
        <v>1000</v>
      </c>
      <c r="P196" s="242">
        <v>-0.8</v>
      </c>
      <c r="Q196" s="243" t="s">
        <v>75</v>
      </c>
      <c r="R196" s="234">
        <f t="shared" si="56"/>
        <v>0</v>
      </c>
    </row>
    <row r="197" spans="1:21" ht="13.5" thickBot="1" x14ac:dyDescent="0.3">
      <c r="A197" s="659"/>
      <c r="B197" s="231">
        <v>6</v>
      </c>
      <c r="C197" s="244">
        <v>37</v>
      </c>
      <c r="D197" s="241">
        <v>-0.3</v>
      </c>
      <c r="E197" s="243" t="s">
        <v>75</v>
      </c>
      <c r="F197" s="234">
        <f t="shared" si="54"/>
        <v>0</v>
      </c>
      <c r="H197" s="231">
        <v>6</v>
      </c>
      <c r="I197" s="244">
        <v>80</v>
      </c>
      <c r="J197" s="241">
        <v>-0.5</v>
      </c>
      <c r="K197" s="243" t="s">
        <v>75</v>
      </c>
      <c r="L197" s="234">
        <f t="shared" si="55"/>
        <v>0</v>
      </c>
      <c r="N197" s="231">
        <v>6</v>
      </c>
      <c r="O197" s="250">
        <v>1005</v>
      </c>
      <c r="P197" s="251">
        <v>-0.7</v>
      </c>
      <c r="Q197" s="243" t="s">
        <v>75</v>
      </c>
      <c r="R197" s="234">
        <f t="shared" si="56"/>
        <v>0</v>
      </c>
    </row>
    <row r="198" spans="1:21" ht="13.5" thickBot="1" x14ac:dyDescent="0.3">
      <c r="A198" s="660"/>
      <c r="B198" s="245">
        <v>7</v>
      </c>
      <c r="C198" s="283">
        <v>40</v>
      </c>
      <c r="D198" s="246">
        <v>-0.4</v>
      </c>
      <c r="E198" s="247" t="s">
        <v>75</v>
      </c>
      <c r="F198" s="248">
        <f t="shared" si="54"/>
        <v>0</v>
      </c>
      <c r="G198" s="249"/>
      <c r="H198" s="245">
        <v>7</v>
      </c>
      <c r="I198" s="283">
        <v>90</v>
      </c>
      <c r="J198" s="246">
        <v>-0.8</v>
      </c>
      <c r="K198" s="247" t="s">
        <v>75</v>
      </c>
      <c r="L198" s="248">
        <f t="shared" si="55"/>
        <v>0</v>
      </c>
      <c r="M198" s="249"/>
      <c r="N198" s="245">
        <v>7</v>
      </c>
      <c r="O198" s="250">
        <v>1020</v>
      </c>
      <c r="P198" s="251">
        <v>0</v>
      </c>
      <c r="Q198" s="247" t="s">
        <v>75</v>
      </c>
      <c r="R198" s="248">
        <f t="shared" si="56"/>
        <v>0</v>
      </c>
    </row>
    <row r="199" spans="1:21" ht="13" thickBot="1" x14ac:dyDescent="0.3">
      <c r="A199" s="285"/>
      <c r="C199" s="286"/>
      <c r="D199" s="287"/>
      <c r="E199" s="288"/>
      <c r="F199" s="289"/>
      <c r="I199" s="286"/>
      <c r="J199" s="287"/>
      <c r="K199" s="288"/>
      <c r="L199" s="289"/>
      <c r="O199" s="287"/>
      <c r="P199" s="290"/>
      <c r="Q199" s="288"/>
      <c r="R199" s="289"/>
    </row>
    <row r="200" spans="1:21" ht="13" thickBot="1" x14ac:dyDescent="0.3">
      <c r="A200" s="658">
        <v>19</v>
      </c>
      <c r="B200" s="661" t="s">
        <v>485</v>
      </c>
      <c r="C200" s="662"/>
      <c r="D200" s="662"/>
      <c r="E200" s="662"/>
      <c r="F200" s="663"/>
      <c r="G200" s="226"/>
      <c r="H200" s="661" t="str">
        <f>B200</f>
        <v>KOREKSI EXTECH A.100615</v>
      </c>
      <c r="I200" s="662"/>
      <c r="J200" s="662"/>
      <c r="K200" s="662"/>
      <c r="L200" s="663"/>
      <c r="M200" s="226"/>
      <c r="N200" s="661" t="str">
        <f>H200</f>
        <v>KOREKSI EXTECH A.100615</v>
      </c>
      <c r="O200" s="662"/>
      <c r="P200" s="662"/>
      <c r="Q200" s="662"/>
      <c r="R200" s="663"/>
      <c r="T200" s="646" t="s">
        <v>460</v>
      </c>
      <c r="U200" s="647"/>
    </row>
    <row r="201" spans="1:21" ht="13.5" thickBot="1" x14ac:dyDescent="0.3">
      <c r="A201" s="659"/>
      <c r="B201" s="648" t="s">
        <v>461</v>
      </c>
      <c r="C201" s="649"/>
      <c r="D201" s="650" t="s">
        <v>229</v>
      </c>
      <c r="E201" s="651"/>
      <c r="F201" s="652" t="s">
        <v>462</v>
      </c>
      <c r="H201" s="648" t="s">
        <v>463</v>
      </c>
      <c r="I201" s="649"/>
      <c r="J201" s="650" t="s">
        <v>229</v>
      </c>
      <c r="K201" s="651"/>
      <c r="L201" s="652" t="s">
        <v>462</v>
      </c>
      <c r="N201" s="648" t="s">
        <v>464</v>
      </c>
      <c r="O201" s="649"/>
      <c r="P201" s="650" t="s">
        <v>229</v>
      </c>
      <c r="Q201" s="651"/>
      <c r="R201" s="652" t="s">
        <v>462</v>
      </c>
      <c r="T201" s="227" t="s">
        <v>461</v>
      </c>
      <c r="U201" s="228">
        <v>0.1</v>
      </c>
    </row>
    <row r="202" spans="1:21" ht="15" thickBot="1" x14ac:dyDescent="0.3">
      <c r="A202" s="659"/>
      <c r="B202" s="654" t="s">
        <v>465</v>
      </c>
      <c r="C202" s="655"/>
      <c r="D202" s="257">
        <v>2021</v>
      </c>
      <c r="E202" s="274" t="s">
        <v>75</v>
      </c>
      <c r="F202" s="653"/>
      <c r="H202" s="656" t="s">
        <v>466</v>
      </c>
      <c r="I202" s="657"/>
      <c r="J202" s="258">
        <f>D202</f>
        <v>2021</v>
      </c>
      <c r="K202" s="258" t="str">
        <f>E202</f>
        <v>-</v>
      </c>
      <c r="L202" s="653"/>
      <c r="N202" s="656" t="s">
        <v>467</v>
      </c>
      <c r="O202" s="657"/>
      <c r="P202" s="258">
        <f>J202</f>
        <v>2021</v>
      </c>
      <c r="Q202" s="258" t="str">
        <f>K202</f>
        <v>-</v>
      </c>
      <c r="R202" s="653"/>
      <c r="T202" s="227" t="s">
        <v>466</v>
      </c>
      <c r="U202" s="228">
        <v>1.5</v>
      </c>
    </row>
    <row r="203" spans="1:21" ht="13.5" thickBot="1" x14ac:dyDescent="0.3">
      <c r="A203" s="659"/>
      <c r="B203" s="231">
        <v>1</v>
      </c>
      <c r="C203" s="235">
        <v>15</v>
      </c>
      <c r="D203" s="266">
        <v>0</v>
      </c>
      <c r="E203" s="275" t="s">
        <v>75</v>
      </c>
      <c r="F203" s="260">
        <f t="shared" ref="F203:F209" si="57">0.5*(MAX(D203:E203)-MIN(D203:E203))</f>
        <v>0</v>
      </c>
      <c r="H203" s="231">
        <v>1</v>
      </c>
      <c r="I203" s="235">
        <v>30</v>
      </c>
      <c r="J203" s="266">
        <v>-1.5</v>
      </c>
      <c r="K203" s="275" t="s">
        <v>75</v>
      </c>
      <c r="L203" s="260">
        <f t="shared" ref="L203:L209" si="58">0.5*(MAX(J203:K203)-MIN(J203:K203))</f>
        <v>0</v>
      </c>
      <c r="N203" s="231">
        <v>1</v>
      </c>
      <c r="O203" s="235">
        <v>750</v>
      </c>
      <c r="P203" s="236">
        <v>2.5</v>
      </c>
      <c r="Q203" s="275" t="s">
        <v>75</v>
      </c>
      <c r="R203" s="260">
        <f t="shared" ref="R203:R209" si="59">0.5*(MAX(P203:Q203)-MIN(P203:Q203))</f>
        <v>0</v>
      </c>
      <c r="T203" s="237" t="s">
        <v>467</v>
      </c>
      <c r="U203" s="238">
        <v>0.4</v>
      </c>
    </row>
    <row r="204" spans="1:21" ht="13" x14ac:dyDescent="0.25">
      <c r="A204" s="659"/>
      <c r="B204" s="231">
        <v>2</v>
      </c>
      <c r="C204" s="239">
        <v>20</v>
      </c>
      <c r="D204" s="232">
        <v>0.1</v>
      </c>
      <c r="E204" s="276" t="s">
        <v>75</v>
      </c>
      <c r="F204" s="234">
        <f t="shared" si="57"/>
        <v>0</v>
      </c>
      <c r="H204" s="231">
        <v>2</v>
      </c>
      <c r="I204" s="239">
        <v>40</v>
      </c>
      <c r="J204" s="232">
        <v>-0.8</v>
      </c>
      <c r="K204" s="276" t="s">
        <v>75</v>
      </c>
      <c r="L204" s="234">
        <f t="shared" si="58"/>
        <v>0</v>
      </c>
      <c r="N204" s="231">
        <v>2</v>
      </c>
      <c r="O204" s="239">
        <v>800</v>
      </c>
      <c r="P204" s="240">
        <v>2.5</v>
      </c>
      <c r="Q204" s="276" t="s">
        <v>75</v>
      </c>
      <c r="R204" s="234">
        <f t="shared" si="59"/>
        <v>0</v>
      </c>
    </row>
    <row r="205" spans="1:21" ht="13" x14ac:dyDescent="0.25">
      <c r="A205" s="659"/>
      <c r="B205" s="231">
        <v>3</v>
      </c>
      <c r="C205" s="239">
        <v>25</v>
      </c>
      <c r="D205" s="232">
        <v>0</v>
      </c>
      <c r="E205" s="276" t="s">
        <v>75</v>
      </c>
      <c r="F205" s="234">
        <f t="shared" si="57"/>
        <v>0</v>
      </c>
      <c r="H205" s="231">
        <v>3</v>
      </c>
      <c r="I205" s="239">
        <v>50</v>
      </c>
      <c r="J205" s="232">
        <v>-0.2</v>
      </c>
      <c r="K205" s="276" t="s">
        <v>75</v>
      </c>
      <c r="L205" s="234">
        <f t="shared" si="58"/>
        <v>0</v>
      </c>
      <c r="N205" s="231">
        <v>3</v>
      </c>
      <c r="O205" s="239">
        <v>850</v>
      </c>
      <c r="P205" s="240">
        <v>2.4</v>
      </c>
      <c r="Q205" s="276" t="s">
        <v>75</v>
      </c>
      <c r="R205" s="234">
        <f t="shared" si="59"/>
        <v>0</v>
      </c>
    </row>
    <row r="206" spans="1:21" ht="13" x14ac:dyDescent="0.25">
      <c r="A206" s="659"/>
      <c r="B206" s="231">
        <v>4</v>
      </c>
      <c r="C206" s="244">
        <v>30</v>
      </c>
      <c r="D206" s="241">
        <v>-0.1</v>
      </c>
      <c r="E206" s="243" t="s">
        <v>75</v>
      </c>
      <c r="F206" s="234">
        <f t="shared" si="57"/>
        <v>0</v>
      </c>
      <c r="H206" s="231">
        <v>4</v>
      </c>
      <c r="I206" s="244">
        <v>60</v>
      </c>
      <c r="J206" s="241">
        <v>0.4</v>
      </c>
      <c r="K206" s="243" t="s">
        <v>75</v>
      </c>
      <c r="L206" s="234">
        <f t="shared" si="58"/>
        <v>0</v>
      </c>
      <c r="N206" s="231">
        <v>4</v>
      </c>
      <c r="O206" s="244">
        <v>900</v>
      </c>
      <c r="P206" s="242">
        <v>2.2999999999999998</v>
      </c>
      <c r="Q206" s="243" t="s">
        <v>75</v>
      </c>
      <c r="R206" s="234">
        <f t="shared" si="59"/>
        <v>0</v>
      </c>
    </row>
    <row r="207" spans="1:21" ht="13" x14ac:dyDescent="0.25">
      <c r="A207" s="659"/>
      <c r="B207" s="231">
        <v>5</v>
      </c>
      <c r="C207" s="244">
        <v>35</v>
      </c>
      <c r="D207" s="241">
        <v>-0.1</v>
      </c>
      <c r="E207" s="243" t="s">
        <v>75</v>
      </c>
      <c r="F207" s="234">
        <f t="shared" si="57"/>
        <v>0</v>
      </c>
      <c r="H207" s="231">
        <v>5</v>
      </c>
      <c r="I207" s="244">
        <v>70</v>
      </c>
      <c r="J207" s="241">
        <v>-0.7</v>
      </c>
      <c r="K207" s="243" t="s">
        <v>75</v>
      </c>
      <c r="L207" s="234">
        <f t="shared" si="58"/>
        <v>0</v>
      </c>
      <c r="N207" s="231">
        <v>5</v>
      </c>
      <c r="O207" s="244">
        <v>1000</v>
      </c>
      <c r="P207" s="242">
        <v>2.2000000000000002</v>
      </c>
      <c r="Q207" s="243" t="s">
        <v>75</v>
      </c>
      <c r="R207" s="234">
        <f t="shared" si="59"/>
        <v>0</v>
      </c>
    </row>
    <row r="208" spans="1:21" ht="13" x14ac:dyDescent="0.25">
      <c r="A208" s="659"/>
      <c r="B208" s="231">
        <v>6</v>
      </c>
      <c r="C208" s="244">
        <v>37</v>
      </c>
      <c r="D208" s="241">
        <v>0</v>
      </c>
      <c r="E208" s="243" t="s">
        <v>75</v>
      </c>
      <c r="F208" s="234">
        <f t="shared" si="57"/>
        <v>0</v>
      </c>
      <c r="H208" s="231">
        <v>6</v>
      </c>
      <c r="I208" s="244">
        <v>80</v>
      </c>
      <c r="J208" s="241">
        <v>-0.9</v>
      </c>
      <c r="K208" s="243" t="s">
        <v>75</v>
      </c>
      <c r="L208" s="234">
        <f t="shared" si="58"/>
        <v>0</v>
      </c>
      <c r="N208" s="231">
        <v>6</v>
      </c>
      <c r="O208" s="244">
        <v>1005</v>
      </c>
      <c r="P208" s="242">
        <v>2.2000000000000002</v>
      </c>
      <c r="Q208" s="243" t="s">
        <v>75</v>
      </c>
      <c r="R208" s="234">
        <f t="shared" si="59"/>
        <v>0</v>
      </c>
    </row>
    <row r="209" spans="1:23" ht="13.5" thickBot="1" x14ac:dyDescent="0.3">
      <c r="A209" s="660"/>
      <c r="B209" s="245">
        <v>7</v>
      </c>
      <c r="C209" s="283">
        <v>40</v>
      </c>
      <c r="D209" s="246">
        <v>0.2</v>
      </c>
      <c r="E209" s="247" t="s">
        <v>75</v>
      </c>
      <c r="F209" s="248">
        <f t="shared" si="57"/>
        <v>0</v>
      </c>
      <c r="G209" s="249"/>
      <c r="H209" s="245">
        <v>7</v>
      </c>
      <c r="I209" s="283">
        <v>90</v>
      </c>
      <c r="J209" s="246">
        <v>-0.6</v>
      </c>
      <c r="K209" s="247" t="s">
        <v>75</v>
      </c>
      <c r="L209" s="248">
        <f t="shared" si="58"/>
        <v>0</v>
      </c>
      <c r="M209" s="249"/>
      <c r="N209" s="245">
        <v>7</v>
      </c>
      <c r="O209" s="250">
        <v>1020</v>
      </c>
      <c r="P209" s="251">
        <v>2.2999999999999998</v>
      </c>
      <c r="Q209" s="247" t="s">
        <v>75</v>
      </c>
      <c r="R209" s="248">
        <f t="shared" si="59"/>
        <v>0</v>
      </c>
    </row>
    <row r="210" spans="1:23" ht="13" thickBot="1" x14ac:dyDescent="0.3">
      <c r="A210" s="285"/>
      <c r="C210" s="286"/>
      <c r="D210" s="287"/>
      <c r="E210" s="288"/>
      <c r="F210" s="289"/>
      <c r="I210" s="286"/>
      <c r="J210" s="287"/>
      <c r="K210" s="288"/>
      <c r="L210" s="289"/>
      <c r="O210" s="287"/>
      <c r="P210" s="290"/>
      <c r="Q210" s="288"/>
      <c r="R210" s="289"/>
    </row>
    <row r="211" spans="1:23" ht="13" thickBot="1" x14ac:dyDescent="0.3">
      <c r="A211" s="658">
        <v>20</v>
      </c>
      <c r="B211" s="661">
        <v>20</v>
      </c>
      <c r="C211" s="662"/>
      <c r="D211" s="662"/>
      <c r="E211" s="662"/>
      <c r="F211" s="663"/>
      <c r="G211" s="226"/>
      <c r="H211" s="661">
        <f>B211</f>
        <v>20</v>
      </c>
      <c r="I211" s="662"/>
      <c r="J211" s="662"/>
      <c r="K211" s="662"/>
      <c r="L211" s="663"/>
      <c r="M211" s="226"/>
      <c r="N211" s="661">
        <f>H211</f>
        <v>20</v>
      </c>
      <c r="O211" s="662"/>
      <c r="P211" s="662"/>
      <c r="Q211" s="662"/>
      <c r="R211" s="663"/>
      <c r="T211" s="646" t="s">
        <v>460</v>
      </c>
      <c r="U211" s="647"/>
    </row>
    <row r="212" spans="1:23" ht="13.5" thickBot="1" x14ac:dyDescent="0.3">
      <c r="A212" s="659"/>
      <c r="B212" s="648" t="s">
        <v>461</v>
      </c>
      <c r="C212" s="649"/>
      <c r="D212" s="650" t="s">
        <v>229</v>
      </c>
      <c r="E212" s="651"/>
      <c r="F212" s="652" t="s">
        <v>462</v>
      </c>
      <c r="H212" s="648" t="s">
        <v>463</v>
      </c>
      <c r="I212" s="649"/>
      <c r="J212" s="650" t="s">
        <v>229</v>
      </c>
      <c r="K212" s="651"/>
      <c r="L212" s="652" t="s">
        <v>462</v>
      </c>
      <c r="N212" s="648" t="s">
        <v>464</v>
      </c>
      <c r="O212" s="649"/>
      <c r="P212" s="650" t="s">
        <v>229</v>
      </c>
      <c r="Q212" s="651"/>
      <c r="R212" s="652" t="s">
        <v>462</v>
      </c>
      <c r="T212" s="227" t="s">
        <v>461</v>
      </c>
      <c r="U212" s="228">
        <v>0</v>
      </c>
    </row>
    <row r="213" spans="1:23" ht="15" thickBot="1" x14ac:dyDescent="0.3">
      <c r="A213" s="659"/>
      <c r="B213" s="654" t="s">
        <v>465</v>
      </c>
      <c r="C213" s="655"/>
      <c r="D213" s="257">
        <v>2017</v>
      </c>
      <c r="E213" s="274" t="s">
        <v>75</v>
      </c>
      <c r="F213" s="653"/>
      <c r="H213" s="656" t="s">
        <v>466</v>
      </c>
      <c r="I213" s="657"/>
      <c r="J213" s="258">
        <f>D213</f>
        <v>2017</v>
      </c>
      <c r="K213" s="258" t="str">
        <f>E213</f>
        <v>-</v>
      </c>
      <c r="L213" s="653"/>
      <c r="N213" s="656" t="s">
        <v>467</v>
      </c>
      <c r="O213" s="657"/>
      <c r="P213" s="258">
        <f>J213</f>
        <v>2017</v>
      </c>
      <c r="Q213" s="258" t="str">
        <f>K213</f>
        <v>-</v>
      </c>
      <c r="R213" s="653"/>
      <c r="T213" s="227" t="s">
        <v>466</v>
      </c>
      <c r="U213" s="228">
        <v>0</v>
      </c>
    </row>
    <row r="214" spans="1:23" ht="13.5" thickBot="1" x14ac:dyDescent="0.3">
      <c r="A214" s="659"/>
      <c r="B214" s="231">
        <v>1</v>
      </c>
      <c r="C214" s="235">
        <v>14.8</v>
      </c>
      <c r="D214" s="266">
        <v>0</v>
      </c>
      <c r="E214" s="275" t="s">
        <v>75</v>
      </c>
      <c r="F214" s="260">
        <f t="shared" ref="F214:F220" si="60">0.5*(MAX(D214:E214)-MIN(D214:E214))</f>
        <v>0</v>
      </c>
      <c r="H214" s="231">
        <v>1</v>
      </c>
      <c r="I214" s="235">
        <v>45.7</v>
      </c>
      <c r="J214" s="266">
        <v>0</v>
      </c>
      <c r="K214" s="275" t="s">
        <v>75</v>
      </c>
      <c r="L214" s="260">
        <f t="shared" ref="L214:L220" si="61">0.5*(MAX(J214:K214)-MIN(J214:K214))</f>
        <v>0</v>
      </c>
      <c r="N214" s="231">
        <v>1</v>
      </c>
      <c r="O214" s="235">
        <v>750</v>
      </c>
      <c r="P214" s="236" t="s">
        <v>75</v>
      </c>
      <c r="Q214" s="275" t="s">
        <v>75</v>
      </c>
      <c r="R214" s="260">
        <f t="shared" ref="R214:R220" si="62">0.5*(MAX(P214:Q214)-MIN(P214:Q214))</f>
        <v>0</v>
      </c>
      <c r="T214" s="237" t="s">
        <v>467</v>
      </c>
      <c r="U214" s="238">
        <v>0</v>
      </c>
    </row>
    <row r="215" spans="1:23" ht="13" x14ac:dyDescent="0.25">
      <c r="A215" s="659"/>
      <c r="B215" s="231">
        <v>2</v>
      </c>
      <c r="C215" s="239">
        <v>19.7</v>
      </c>
      <c r="D215" s="232">
        <v>0</v>
      </c>
      <c r="E215" s="276" t="s">
        <v>75</v>
      </c>
      <c r="F215" s="234">
        <f t="shared" si="60"/>
        <v>0</v>
      </c>
      <c r="H215" s="231">
        <v>2</v>
      </c>
      <c r="I215" s="239">
        <v>54.3</v>
      </c>
      <c r="J215" s="232">
        <v>0</v>
      </c>
      <c r="K215" s="276" t="s">
        <v>75</v>
      </c>
      <c r="L215" s="234">
        <f t="shared" si="61"/>
        <v>0</v>
      </c>
      <c r="N215" s="231">
        <v>2</v>
      </c>
      <c r="O215" s="239">
        <v>800</v>
      </c>
      <c r="P215" s="240" t="s">
        <v>75</v>
      </c>
      <c r="Q215" s="276" t="s">
        <v>75</v>
      </c>
      <c r="R215" s="234">
        <f t="shared" si="62"/>
        <v>0</v>
      </c>
    </row>
    <row r="216" spans="1:23" ht="13" x14ac:dyDescent="0.25">
      <c r="A216" s="659"/>
      <c r="B216" s="231">
        <v>3</v>
      </c>
      <c r="C216" s="239">
        <v>24.6</v>
      </c>
      <c r="D216" s="232">
        <v>0</v>
      </c>
      <c r="E216" s="276" t="s">
        <v>75</v>
      </c>
      <c r="F216" s="234">
        <f t="shared" si="60"/>
        <v>0</v>
      </c>
      <c r="H216" s="231">
        <v>3</v>
      </c>
      <c r="I216" s="239">
        <v>62.5</v>
      </c>
      <c r="J216" s="232">
        <v>0</v>
      </c>
      <c r="K216" s="276" t="s">
        <v>75</v>
      </c>
      <c r="L216" s="234">
        <f t="shared" si="61"/>
        <v>0</v>
      </c>
      <c r="N216" s="231">
        <v>3</v>
      </c>
      <c r="O216" s="239">
        <v>850</v>
      </c>
      <c r="P216" s="240" t="s">
        <v>75</v>
      </c>
      <c r="Q216" s="276" t="s">
        <v>75</v>
      </c>
      <c r="R216" s="234">
        <f t="shared" si="62"/>
        <v>0</v>
      </c>
    </row>
    <row r="217" spans="1:23" ht="13" x14ac:dyDescent="0.25">
      <c r="A217" s="659"/>
      <c r="B217" s="231">
        <v>4</v>
      </c>
      <c r="C217" s="244">
        <v>29.5</v>
      </c>
      <c r="D217" s="241">
        <v>0</v>
      </c>
      <c r="E217" s="243" t="s">
        <v>75</v>
      </c>
      <c r="F217" s="234">
        <f t="shared" si="60"/>
        <v>0</v>
      </c>
      <c r="H217" s="231">
        <v>4</v>
      </c>
      <c r="I217" s="244">
        <v>71.5</v>
      </c>
      <c r="J217" s="241">
        <v>0</v>
      </c>
      <c r="K217" s="243" t="s">
        <v>75</v>
      </c>
      <c r="L217" s="234">
        <f t="shared" si="61"/>
        <v>0</v>
      </c>
      <c r="N217" s="231">
        <v>4</v>
      </c>
      <c r="O217" s="244">
        <v>900</v>
      </c>
      <c r="P217" s="242" t="s">
        <v>75</v>
      </c>
      <c r="Q217" s="243" t="s">
        <v>75</v>
      </c>
      <c r="R217" s="234">
        <f t="shared" si="62"/>
        <v>0</v>
      </c>
    </row>
    <row r="218" spans="1:23" ht="13" x14ac:dyDescent="0.25">
      <c r="A218" s="659"/>
      <c r="B218" s="231">
        <v>5</v>
      </c>
      <c r="C218" s="244">
        <v>34.5</v>
      </c>
      <c r="D218" s="241">
        <v>0</v>
      </c>
      <c r="E218" s="243" t="s">
        <v>75</v>
      </c>
      <c r="F218" s="234">
        <f t="shared" si="60"/>
        <v>0</v>
      </c>
      <c r="H218" s="231">
        <v>5</v>
      </c>
      <c r="I218" s="244">
        <v>80.8</v>
      </c>
      <c r="J218" s="241">
        <v>0</v>
      </c>
      <c r="K218" s="243" t="s">
        <v>75</v>
      </c>
      <c r="L218" s="234">
        <f t="shared" si="61"/>
        <v>0</v>
      </c>
      <c r="N218" s="231">
        <v>5</v>
      </c>
      <c r="O218" s="244">
        <v>1000</v>
      </c>
      <c r="P218" s="242" t="s">
        <v>75</v>
      </c>
      <c r="Q218" s="243" t="s">
        <v>75</v>
      </c>
      <c r="R218" s="234">
        <f t="shared" si="62"/>
        <v>0</v>
      </c>
    </row>
    <row r="219" spans="1:23" ht="13" x14ac:dyDescent="0.25">
      <c r="A219" s="659"/>
      <c r="B219" s="231">
        <v>6</v>
      </c>
      <c r="C219" s="244">
        <v>39.5</v>
      </c>
      <c r="D219" s="241">
        <v>0</v>
      </c>
      <c r="E219" s="243" t="s">
        <v>75</v>
      </c>
      <c r="F219" s="234">
        <f t="shared" si="60"/>
        <v>0</v>
      </c>
      <c r="H219" s="231">
        <v>6</v>
      </c>
      <c r="I219" s="244">
        <v>88.7</v>
      </c>
      <c r="J219" s="241">
        <v>0</v>
      </c>
      <c r="K219" s="243" t="s">
        <v>75</v>
      </c>
      <c r="L219" s="234">
        <f t="shared" si="61"/>
        <v>0</v>
      </c>
      <c r="N219" s="231">
        <v>6</v>
      </c>
      <c r="O219" s="244">
        <v>1005</v>
      </c>
      <c r="P219" s="242" t="s">
        <v>75</v>
      </c>
      <c r="Q219" s="243" t="s">
        <v>75</v>
      </c>
      <c r="R219" s="234">
        <f t="shared" si="62"/>
        <v>0</v>
      </c>
    </row>
    <row r="220" spans="1:23" ht="13.5" thickBot="1" x14ac:dyDescent="0.3">
      <c r="A220" s="660"/>
      <c r="B220" s="245">
        <v>7</v>
      </c>
      <c r="C220" s="283">
        <v>40</v>
      </c>
      <c r="D220" s="246">
        <v>0</v>
      </c>
      <c r="E220" s="247" t="s">
        <v>75</v>
      </c>
      <c r="F220" s="248">
        <f t="shared" si="60"/>
        <v>0</v>
      </c>
      <c r="G220" s="249"/>
      <c r="H220" s="245">
        <v>7</v>
      </c>
      <c r="I220" s="283">
        <v>90</v>
      </c>
      <c r="J220" s="246">
        <v>0</v>
      </c>
      <c r="K220" s="247" t="s">
        <v>75</v>
      </c>
      <c r="L220" s="248">
        <f t="shared" si="61"/>
        <v>0</v>
      </c>
      <c r="M220" s="249"/>
      <c r="N220" s="245">
        <v>7</v>
      </c>
      <c r="O220" s="250">
        <v>1020</v>
      </c>
      <c r="P220" s="251" t="s">
        <v>75</v>
      </c>
      <c r="Q220" s="247" t="s">
        <v>75</v>
      </c>
      <c r="R220" s="248">
        <f t="shared" si="62"/>
        <v>0</v>
      </c>
    </row>
    <row r="221" spans="1:23" ht="13.5" thickBot="1" x14ac:dyDescent="0.35">
      <c r="A221" s="291"/>
      <c r="B221" s="679"/>
      <c r="C221" s="679"/>
      <c r="D221" s="679"/>
      <c r="E221" s="679"/>
      <c r="F221" s="679"/>
      <c r="G221" s="679"/>
      <c r="H221" s="679"/>
      <c r="I221" s="679"/>
      <c r="J221" s="679"/>
      <c r="K221" s="679"/>
      <c r="L221" s="679"/>
      <c r="M221" s="679"/>
      <c r="N221" s="679"/>
      <c r="O221" s="679"/>
      <c r="P221" s="679"/>
      <c r="Q221" s="679"/>
      <c r="R221" s="679"/>
      <c r="S221" s="679"/>
      <c r="T221" s="679"/>
      <c r="U221" s="679"/>
    </row>
    <row r="222" spans="1:23" ht="13" x14ac:dyDescent="0.3">
      <c r="A222" s="254"/>
      <c r="B222" s="254"/>
      <c r="C222" s="254"/>
      <c r="D222" s="254"/>
      <c r="E222" s="254"/>
      <c r="F222" s="254"/>
      <c r="G222" s="254"/>
      <c r="H222" s="254"/>
      <c r="I222" s="254"/>
      <c r="J222" s="254"/>
      <c r="K222" s="254"/>
      <c r="L222" s="254"/>
      <c r="M222" s="254"/>
      <c r="N222" s="254"/>
      <c r="O222" s="254"/>
      <c r="P222" s="254"/>
    </row>
    <row r="223" spans="1:23" ht="12.75" hidden="1" customHeight="1" x14ac:dyDescent="0.25">
      <c r="A223" s="667" t="s">
        <v>258</v>
      </c>
      <c r="B223" s="669" t="s">
        <v>486</v>
      </c>
      <c r="C223" s="644" t="s">
        <v>487</v>
      </c>
      <c r="D223" s="644"/>
      <c r="E223" s="644"/>
      <c r="F223" s="644"/>
      <c r="G223" s="292"/>
      <c r="H223" s="671" t="s">
        <v>258</v>
      </c>
      <c r="I223" s="669" t="s">
        <v>486</v>
      </c>
      <c r="J223" s="644" t="s">
        <v>487</v>
      </c>
      <c r="K223" s="644"/>
      <c r="L223" s="644"/>
      <c r="M223" s="644"/>
      <c r="N223" s="293"/>
      <c r="O223" s="671" t="s">
        <v>258</v>
      </c>
      <c r="P223" s="669" t="s">
        <v>486</v>
      </c>
      <c r="Q223" s="644" t="s">
        <v>487</v>
      </c>
      <c r="R223" s="644"/>
      <c r="S223" s="644"/>
      <c r="T223" s="645"/>
      <c r="V223" s="673" t="s">
        <v>460</v>
      </c>
      <c r="W223" s="674"/>
    </row>
    <row r="224" spans="1:23" ht="13.5" hidden="1" x14ac:dyDescent="0.3">
      <c r="A224" s="668"/>
      <c r="B224" s="670"/>
      <c r="C224" s="294" t="s">
        <v>461</v>
      </c>
      <c r="D224" s="675" t="s">
        <v>229</v>
      </c>
      <c r="E224" s="675"/>
      <c r="F224" s="675" t="s">
        <v>462</v>
      </c>
      <c r="G224" s="254"/>
      <c r="H224" s="672"/>
      <c r="I224" s="670"/>
      <c r="J224" s="294" t="s">
        <v>463</v>
      </c>
      <c r="K224" s="675" t="s">
        <v>229</v>
      </c>
      <c r="L224" s="675"/>
      <c r="M224" s="675" t="s">
        <v>462</v>
      </c>
      <c r="N224" s="254"/>
      <c r="O224" s="672"/>
      <c r="P224" s="670"/>
      <c r="Q224" s="294" t="s">
        <v>464</v>
      </c>
      <c r="R224" s="675" t="s">
        <v>229</v>
      </c>
      <c r="S224" s="675"/>
      <c r="T224" s="676" t="s">
        <v>462</v>
      </c>
      <c r="V224" s="677" t="s">
        <v>461</v>
      </c>
      <c r="W224" s="678"/>
    </row>
    <row r="225" spans="1:23" ht="14" hidden="1" x14ac:dyDescent="0.3">
      <c r="A225" s="668"/>
      <c r="B225" s="670"/>
      <c r="C225" s="295" t="s">
        <v>488</v>
      </c>
      <c r="D225" s="294"/>
      <c r="E225" s="294"/>
      <c r="F225" s="675"/>
      <c r="G225" s="254"/>
      <c r="H225" s="672"/>
      <c r="I225" s="670"/>
      <c r="J225" s="295" t="s">
        <v>466</v>
      </c>
      <c r="K225" s="294"/>
      <c r="L225" s="294"/>
      <c r="M225" s="675"/>
      <c r="N225" s="254"/>
      <c r="O225" s="672"/>
      <c r="P225" s="670"/>
      <c r="Q225" s="295" t="s">
        <v>467</v>
      </c>
      <c r="R225" s="294"/>
      <c r="S225" s="294"/>
      <c r="T225" s="676"/>
      <c r="V225" s="296">
        <v>1</v>
      </c>
      <c r="W225" s="297">
        <f>U3</f>
        <v>0.6</v>
      </c>
    </row>
    <row r="226" spans="1:23" ht="13" hidden="1" x14ac:dyDescent="0.3">
      <c r="A226" s="686">
        <v>1</v>
      </c>
      <c r="B226" s="298">
        <v>1</v>
      </c>
      <c r="C226" s="299">
        <f>C5</f>
        <v>15</v>
      </c>
      <c r="D226" s="299">
        <f t="shared" ref="D226:F226" si="63">D5</f>
        <v>-0.5</v>
      </c>
      <c r="E226" s="299">
        <f t="shared" si="63"/>
        <v>0.3</v>
      </c>
      <c r="F226" s="299">
        <f t="shared" si="63"/>
        <v>0.4</v>
      </c>
      <c r="G226" s="254"/>
      <c r="H226" s="689">
        <v>1</v>
      </c>
      <c r="I226" s="298">
        <v>1</v>
      </c>
      <c r="J226" s="299">
        <f>I5</f>
        <v>35</v>
      </c>
      <c r="K226" s="299">
        <f t="shared" ref="K226:M226" si="64">J5</f>
        <v>-6</v>
      </c>
      <c r="L226" s="299">
        <f t="shared" si="64"/>
        <v>-9.4</v>
      </c>
      <c r="M226" s="299">
        <f t="shared" si="64"/>
        <v>1.7000000000000002</v>
      </c>
      <c r="N226" s="254"/>
      <c r="O226" s="689">
        <v>1</v>
      </c>
      <c r="P226" s="298">
        <v>1</v>
      </c>
      <c r="Q226" s="299">
        <f>O5</f>
        <v>750</v>
      </c>
      <c r="R226" s="299" t="str">
        <f t="shared" ref="R226:T226" si="65">P5</f>
        <v>-</v>
      </c>
      <c r="S226" s="299" t="str">
        <f t="shared" si="65"/>
        <v>-</v>
      </c>
      <c r="T226" s="300">
        <f t="shared" si="65"/>
        <v>0</v>
      </c>
      <c r="V226" s="301">
        <v>2</v>
      </c>
      <c r="W226" s="302">
        <f>U14</f>
        <v>0.3</v>
      </c>
    </row>
    <row r="227" spans="1:23" ht="13" hidden="1" x14ac:dyDescent="0.3">
      <c r="A227" s="687"/>
      <c r="B227" s="298">
        <v>2</v>
      </c>
      <c r="C227" s="299">
        <f>C16</f>
        <v>15</v>
      </c>
      <c r="D227" s="299">
        <f t="shared" ref="D227:F227" si="66">D16</f>
        <v>0</v>
      </c>
      <c r="E227" s="299">
        <f t="shared" si="66"/>
        <v>0.5</v>
      </c>
      <c r="F227" s="299">
        <f t="shared" si="66"/>
        <v>0.25</v>
      </c>
      <c r="G227" s="254"/>
      <c r="H227" s="690"/>
      <c r="I227" s="298">
        <v>2</v>
      </c>
      <c r="J227" s="299">
        <f>I16</f>
        <v>35</v>
      </c>
      <c r="K227" s="299">
        <f t="shared" ref="K227:M227" si="67">J16</f>
        <v>-1.6</v>
      </c>
      <c r="L227" s="299">
        <f t="shared" si="67"/>
        <v>-0.9</v>
      </c>
      <c r="M227" s="299">
        <f t="shared" si="67"/>
        <v>0.35000000000000003</v>
      </c>
      <c r="N227" s="254"/>
      <c r="O227" s="690"/>
      <c r="P227" s="298">
        <v>2</v>
      </c>
      <c r="Q227" s="299">
        <f>O16</f>
        <v>750</v>
      </c>
      <c r="R227" s="299" t="str">
        <f t="shared" ref="R227:T227" si="68">P16</f>
        <v>-</v>
      </c>
      <c r="S227" s="299" t="str">
        <f t="shared" si="68"/>
        <v>-</v>
      </c>
      <c r="T227" s="300">
        <f t="shared" si="68"/>
        <v>0</v>
      </c>
      <c r="V227" s="301">
        <v>3</v>
      </c>
      <c r="W227" s="303">
        <f>U25</f>
        <v>0.3</v>
      </c>
    </row>
    <row r="228" spans="1:23" ht="13" hidden="1" x14ac:dyDescent="0.3">
      <c r="A228" s="687"/>
      <c r="B228" s="298">
        <v>3</v>
      </c>
      <c r="C228" s="299">
        <f>C27</f>
        <v>15</v>
      </c>
      <c r="D228" s="299">
        <f t="shared" ref="D228:F228" si="69">D27</f>
        <v>0</v>
      </c>
      <c r="E228" s="299">
        <f t="shared" si="69"/>
        <v>0.2</v>
      </c>
      <c r="F228" s="299">
        <f t="shared" si="69"/>
        <v>0.1</v>
      </c>
      <c r="G228" s="254"/>
      <c r="H228" s="690"/>
      <c r="I228" s="298">
        <v>3</v>
      </c>
      <c r="J228" s="299">
        <f>I27</f>
        <v>30</v>
      </c>
      <c r="K228" s="299">
        <f t="shared" ref="K228:M228" si="70">J27</f>
        <v>-5.7</v>
      </c>
      <c r="L228" s="299">
        <f t="shared" si="70"/>
        <v>-1.1000000000000001</v>
      </c>
      <c r="M228" s="299">
        <f t="shared" si="70"/>
        <v>2.2999999999999998</v>
      </c>
      <c r="N228" s="254"/>
      <c r="O228" s="690"/>
      <c r="P228" s="298">
        <v>3</v>
      </c>
      <c r="Q228" s="299">
        <f>O27</f>
        <v>750</v>
      </c>
      <c r="R228" s="299" t="str">
        <f t="shared" ref="R228:T228" si="71">P27</f>
        <v>-</v>
      </c>
      <c r="S228" s="299" t="str">
        <f t="shared" si="71"/>
        <v>-</v>
      </c>
      <c r="T228" s="300">
        <f t="shared" si="71"/>
        <v>0</v>
      </c>
      <c r="V228" s="301">
        <v>4</v>
      </c>
      <c r="W228" s="303">
        <f>U37</f>
        <v>0.3</v>
      </c>
    </row>
    <row r="229" spans="1:23" ht="13" hidden="1" x14ac:dyDescent="0.3">
      <c r="A229" s="687"/>
      <c r="B229" s="298">
        <v>4</v>
      </c>
      <c r="C229" s="304">
        <f>C38</f>
        <v>15</v>
      </c>
      <c r="D229" s="304">
        <f t="shared" ref="D229:F229" si="72">D38</f>
        <v>-0.2</v>
      </c>
      <c r="E229" s="304">
        <f t="shared" si="72"/>
        <v>-0.1</v>
      </c>
      <c r="F229" s="304">
        <f t="shared" si="72"/>
        <v>0.05</v>
      </c>
      <c r="G229" s="254"/>
      <c r="H229" s="690"/>
      <c r="I229" s="298">
        <v>4</v>
      </c>
      <c r="J229" s="304">
        <f>I38</f>
        <v>35</v>
      </c>
      <c r="K229" s="304">
        <f t="shared" ref="K229:M229" si="73">J38</f>
        <v>-4.5</v>
      </c>
      <c r="L229" s="304">
        <f t="shared" si="73"/>
        <v>-1.7</v>
      </c>
      <c r="M229" s="304">
        <f t="shared" si="73"/>
        <v>1.4</v>
      </c>
      <c r="N229" s="254"/>
      <c r="O229" s="690"/>
      <c r="P229" s="298">
        <v>4</v>
      </c>
      <c r="Q229" s="304">
        <f>O38</f>
        <v>750</v>
      </c>
      <c r="R229" s="304" t="str">
        <f t="shared" ref="R229:T229" si="74">P38</f>
        <v>-</v>
      </c>
      <c r="S229" s="304" t="str">
        <f t="shared" si="74"/>
        <v>-</v>
      </c>
      <c r="T229" s="305">
        <f t="shared" si="74"/>
        <v>0</v>
      </c>
      <c r="V229" s="301">
        <v>5</v>
      </c>
      <c r="W229" s="303">
        <f>U47</f>
        <v>0.4</v>
      </c>
    </row>
    <row r="230" spans="1:23" ht="13" hidden="1" x14ac:dyDescent="0.3">
      <c r="A230" s="687"/>
      <c r="B230" s="298">
        <v>5</v>
      </c>
      <c r="C230" s="304">
        <f>C49</f>
        <v>15</v>
      </c>
      <c r="D230" s="304">
        <f t="shared" ref="D230:F230" si="75">D49</f>
        <v>-0.3</v>
      </c>
      <c r="E230" s="304">
        <f t="shared" si="75"/>
        <v>0.3</v>
      </c>
      <c r="F230" s="304">
        <f t="shared" si="75"/>
        <v>0.3</v>
      </c>
      <c r="G230" s="254"/>
      <c r="H230" s="690"/>
      <c r="I230" s="298">
        <v>5</v>
      </c>
      <c r="J230" s="304">
        <f>I49</f>
        <v>35</v>
      </c>
      <c r="K230" s="304">
        <f t="shared" ref="K230:M230" si="76">J49</f>
        <v>-7.7</v>
      </c>
      <c r="L230" s="304">
        <f t="shared" si="76"/>
        <v>-9.6</v>
      </c>
      <c r="M230" s="304">
        <f t="shared" si="76"/>
        <v>0.94999999999999973</v>
      </c>
      <c r="N230" s="254"/>
      <c r="O230" s="690"/>
      <c r="P230" s="298">
        <v>5</v>
      </c>
      <c r="Q230" s="304">
        <f>O49</f>
        <v>750</v>
      </c>
      <c r="R230" s="304" t="str">
        <f t="shared" ref="R230:T230" si="77">P49</f>
        <v>-</v>
      </c>
      <c r="S230" s="304" t="str">
        <f t="shared" si="77"/>
        <v>-</v>
      </c>
      <c r="T230" s="305">
        <f t="shared" si="77"/>
        <v>0</v>
      </c>
      <c r="V230" s="296">
        <v>6</v>
      </c>
      <c r="W230" s="297">
        <f>U58</f>
        <v>0.5</v>
      </c>
    </row>
    <row r="231" spans="1:23" ht="13" hidden="1" x14ac:dyDescent="0.3">
      <c r="A231" s="687"/>
      <c r="B231" s="298">
        <v>6</v>
      </c>
      <c r="C231" s="304">
        <f>C60</f>
        <v>15</v>
      </c>
      <c r="D231" s="304">
        <f t="shared" ref="D231:F231" si="78">D60</f>
        <v>0.4</v>
      </c>
      <c r="E231" s="304">
        <f t="shared" si="78"/>
        <v>-0.2</v>
      </c>
      <c r="F231" s="304">
        <f t="shared" si="78"/>
        <v>0.30000000000000004</v>
      </c>
      <c r="G231" s="254"/>
      <c r="H231" s="690"/>
      <c r="I231" s="298">
        <v>6</v>
      </c>
      <c r="J231" s="304">
        <f>I60</f>
        <v>30</v>
      </c>
      <c r="K231" s="304">
        <f t="shared" ref="K231:M231" si="79">J60</f>
        <v>1.7</v>
      </c>
      <c r="L231" s="304">
        <f t="shared" si="79"/>
        <v>-4.9000000000000004</v>
      </c>
      <c r="M231" s="304">
        <f t="shared" si="79"/>
        <v>3.3000000000000003</v>
      </c>
      <c r="N231" s="254"/>
      <c r="O231" s="690"/>
      <c r="P231" s="298">
        <v>6</v>
      </c>
      <c r="Q231" s="304">
        <f>O60</f>
        <v>750</v>
      </c>
      <c r="R231" s="304">
        <f t="shared" ref="R231:T231" si="80">P60</f>
        <v>2.1</v>
      </c>
      <c r="S231" s="304" t="str">
        <f t="shared" si="80"/>
        <v>-</v>
      </c>
      <c r="T231" s="305">
        <f t="shared" si="80"/>
        <v>0</v>
      </c>
      <c r="V231" s="296">
        <v>7</v>
      </c>
      <c r="W231" s="297">
        <f>U69</f>
        <v>0.2</v>
      </c>
    </row>
    <row r="232" spans="1:23" ht="13" hidden="1" x14ac:dyDescent="0.3">
      <c r="A232" s="687"/>
      <c r="B232" s="298">
        <v>7</v>
      </c>
      <c r="C232" s="304">
        <f>C71</f>
        <v>15</v>
      </c>
      <c r="D232" s="304">
        <f t="shared" ref="D232:F232" si="81">D71</f>
        <v>0.1</v>
      </c>
      <c r="E232" s="304">
        <f t="shared" si="81"/>
        <v>0.3</v>
      </c>
      <c r="F232" s="304">
        <f t="shared" si="81"/>
        <v>9.9999999999999992E-2</v>
      </c>
      <c r="G232" s="254"/>
      <c r="H232" s="690"/>
      <c r="I232" s="298">
        <v>7</v>
      </c>
      <c r="J232" s="304">
        <f>I71</f>
        <v>30</v>
      </c>
      <c r="K232" s="304">
        <f t="shared" ref="K232:M232" si="82">J71</f>
        <v>-1.9</v>
      </c>
      <c r="L232" s="304">
        <f t="shared" si="82"/>
        <v>1.8</v>
      </c>
      <c r="M232" s="304">
        <f t="shared" si="82"/>
        <v>1.85</v>
      </c>
      <c r="N232" s="254"/>
      <c r="O232" s="690"/>
      <c r="P232" s="298">
        <v>7</v>
      </c>
      <c r="Q232" s="304">
        <f>O71</f>
        <v>750</v>
      </c>
      <c r="R232" s="304">
        <f t="shared" ref="R232:T232" si="83">P71</f>
        <v>0</v>
      </c>
      <c r="S232" s="304">
        <f t="shared" si="83"/>
        <v>3.2</v>
      </c>
      <c r="T232" s="305">
        <f t="shared" si="83"/>
        <v>1.6</v>
      </c>
      <c r="V232" s="296">
        <v>8</v>
      </c>
      <c r="W232" s="297">
        <f>U80</f>
        <v>0.3</v>
      </c>
    </row>
    <row r="233" spans="1:23" ht="13" hidden="1" x14ac:dyDescent="0.3">
      <c r="A233" s="687"/>
      <c r="B233" s="298">
        <v>8</v>
      </c>
      <c r="C233" s="304">
        <f>C82</f>
        <v>15</v>
      </c>
      <c r="D233" s="304">
        <f t="shared" ref="D233:F233" si="84">D82</f>
        <v>0.1</v>
      </c>
      <c r="E233" s="304">
        <f t="shared" si="84"/>
        <v>0</v>
      </c>
      <c r="F233" s="304">
        <f t="shared" si="84"/>
        <v>0.05</v>
      </c>
      <c r="G233" s="254"/>
      <c r="H233" s="690"/>
      <c r="I233" s="298">
        <v>8</v>
      </c>
      <c r="J233" s="304">
        <f>I82</f>
        <v>30</v>
      </c>
      <c r="K233" s="304">
        <f t="shared" ref="K233:M233" si="85">J82</f>
        <v>-4</v>
      </c>
      <c r="L233" s="304">
        <f t="shared" si="85"/>
        <v>-1.4</v>
      </c>
      <c r="M233" s="304">
        <f t="shared" si="85"/>
        <v>1.3</v>
      </c>
      <c r="N233" s="254"/>
      <c r="O233" s="690"/>
      <c r="P233" s="298">
        <v>8</v>
      </c>
      <c r="Q233" s="304">
        <f>O82</f>
        <v>750</v>
      </c>
      <c r="R233" s="304">
        <f t="shared" ref="R233:T233" si="86">P82</f>
        <v>0</v>
      </c>
      <c r="S233" s="304">
        <f t="shared" si="86"/>
        <v>0</v>
      </c>
      <c r="T233" s="305">
        <f t="shared" si="86"/>
        <v>0</v>
      </c>
      <c r="V233" s="296">
        <v>9</v>
      </c>
      <c r="W233" s="297">
        <f>U91</f>
        <v>0.3</v>
      </c>
    </row>
    <row r="234" spans="1:23" ht="13" hidden="1" x14ac:dyDescent="0.3">
      <c r="A234" s="687"/>
      <c r="B234" s="298">
        <v>9</v>
      </c>
      <c r="C234" s="304">
        <f>C93</f>
        <v>15</v>
      </c>
      <c r="D234" s="304">
        <f t="shared" ref="D234:F234" si="87">D93</f>
        <v>0</v>
      </c>
      <c r="E234" s="304" t="str">
        <f t="shared" si="87"/>
        <v>-</v>
      </c>
      <c r="F234" s="304">
        <f t="shared" si="87"/>
        <v>0</v>
      </c>
      <c r="G234" s="254"/>
      <c r="H234" s="690"/>
      <c r="I234" s="298">
        <v>9</v>
      </c>
      <c r="J234" s="304">
        <f>I93</f>
        <v>30</v>
      </c>
      <c r="K234" s="304">
        <f t="shared" ref="K234:M234" si="88">J93</f>
        <v>-1.2</v>
      </c>
      <c r="L234" s="304" t="str">
        <f t="shared" si="88"/>
        <v>-</v>
      </c>
      <c r="M234" s="304">
        <f t="shared" si="88"/>
        <v>0</v>
      </c>
      <c r="N234" s="254"/>
      <c r="O234" s="690"/>
      <c r="P234" s="298">
        <v>9</v>
      </c>
      <c r="Q234" s="304">
        <f>O93</f>
        <v>750</v>
      </c>
      <c r="R234" s="304">
        <f t="shared" ref="R234:T234" si="89">P93</f>
        <v>0</v>
      </c>
      <c r="S234" s="304" t="str">
        <f t="shared" si="89"/>
        <v>-</v>
      </c>
      <c r="T234" s="305">
        <f t="shared" si="89"/>
        <v>0</v>
      </c>
      <c r="V234" s="296">
        <v>10</v>
      </c>
      <c r="W234" s="297">
        <f>U102</f>
        <v>0.3</v>
      </c>
    </row>
    <row r="235" spans="1:23" ht="13" hidden="1" x14ac:dyDescent="0.3">
      <c r="A235" s="687"/>
      <c r="B235" s="298">
        <v>10</v>
      </c>
      <c r="C235" s="304">
        <f>C104</f>
        <v>15</v>
      </c>
      <c r="D235" s="304">
        <f t="shared" ref="D235:F235" si="90">D104</f>
        <v>0.2</v>
      </c>
      <c r="E235" s="304">
        <f t="shared" si="90"/>
        <v>0.2</v>
      </c>
      <c r="F235" s="304">
        <f t="shared" si="90"/>
        <v>0</v>
      </c>
      <c r="G235" s="254"/>
      <c r="H235" s="690"/>
      <c r="I235" s="298">
        <v>10</v>
      </c>
      <c r="J235" s="304">
        <f>I104</f>
        <v>30</v>
      </c>
      <c r="K235" s="304">
        <f t="shared" ref="K235:M235" si="91">J104</f>
        <v>-2.9</v>
      </c>
      <c r="L235" s="304">
        <f t="shared" si="91"/>
        <v>-5.8</v>
      </c>
      <c r="M235" s="304">
        <f t="shared" si="91"/>
        <v>1.45</v>
      </c>
      <c r="N235" s="254"/>
      <c r="O235" s="690"/>
      <c r="P235" s="298">
        <v>10</v>
      </c>
      <c r="Q235" s="304">
        <f>O104</f>
        <v>750</v>
      </c>
      <c r="R235" s="304" t="str">
        <f t="shared" ref="R235:T235" si="92">P104</f>
        <v>-</v>
      </c>
      <c r="S235" s="304" t="str">
        <f t="shared" si="92"/>
        <v>-</v>
      </c>
      <c r="T235" s="305">
        <f t="shared" si="92"/>
        <v>0</v>
      </c>
      <c r="V235" s="296">
        <v>11</v>
      </c>
      <c r="W235" s="297">
        <f>U113</f>
        <v>0.3</v>
      </c>
    </row>
    <row r="236" spans="1:23" ht="13" hidden="1" x14ac:dyDescent="0.3">
      <c r="A236" s="687"/>
      <c r="B236" s="298">
        <v>11</v>
      </c>
      <c r="C236" s="304">
        <f>C115</f>
        <v>15</v>
      </c>
      <c r="D236" s="304">
        <f t="shared" ref="D236:F236" si="93">D115</f>
        <v>0.3</v>
      </c>
      <c r="E236" s="304">
        <f t="shared" si="93"/>
        <v>0.3</v>
      </c>
      <c r="F236" s="304">
        <f t="shared" si="93"/>
        <v>0</v>
      </c>
      <c r="G236" s="254"/>
      <c r="H236" s="690"/>
      <c r="I236" s="298">
        <v>11</v>
      </c>
      <c r="J236" s="304">
        <f>I115</f>
        <v>30</v>
      </c>
      <c r="K236" s="304">
        <f t="shared" ref="K236:M236" si="94">J115</f>
        <v>-5.2</v>
      </c>
      <c r="L236" s="304">
        <f t="shared" si="94"/>
        <v>-6.4</v>
      </c>
      <c r="M236" s="304">
        <f t="shared" si="94"/>
        <v>0.60000000000000009</v>
      </c>
      <c r="N236" s="254"/>
      <c r="O236" s="690"/>
      <c r="P236" s="298">
        <v>11</v>
      </c>
      <c r="Q236" s="304">
        <f>O115</f>
        <v>750</v>
      </c>
      <c r="R236" s="304" t="str">
        <f t="shared" ref="R236:T236" si="95">P115</f>
        <v>-</v>
      </c>
      <c r="S236" s="304" t="str">
        <f t="shared" si="95"/>
        <v>-</v>
      </c>
      <c r="T236" s="305">
        <f t="shared" si="95"/>
        <v>0</v>
      </c>
      <c r="V236" s="296">
        <v>12</v>
      </c>
      <c r="W236" s="297">
        <f>U124</f>
        <v>0.3</v>
      </c>
    </row>
    <row r="237" spans="1:23" ht="13" hidden="1" x14ac:dyDescent="0.3">
      <c r="A237" s="687"/>
      <c r="B237" s="298">
        <v>12</v>
      </c>
      <c r="C237" s="304">
        <f>C126</f>
        <v>15</v>
      </c>
      <c r="D237" s="304">
        <f t="shared" ref="D237:F237" si="96">D126</f>
        <v>0</v>
      </c>
      <c r="E237" s="304" t="str">
        <f t="shared" si="96"/>
        <v>-</v>
      </c>
      <c r="F237" s="304">
        <f t="shared" si="96"/>
        <v>0</v>
      </c>
      <c r="G237" s="254"/>
      <c r="H237" s="690"/>
      <c r="I237" s="298">
        <v>12</v>
      </c>
      <c r="J237" s="304">
        <f>I126</f>
        <v>30</v>
      </c>
      <c r="K237" s="304">
        <f t="shared" ref="K237:M237" si="97">J126</f>
        <v>-0.4</v>
      </c>
      <c r="L237" s="304" t="str">
        <f t="shared" si="97"/>
        <v>-</v>
      </c>
      <c r="M237" s="304">
        <f t="shared" si="97"/>
        <v>0</v>
      </c>
      <c r="N237" s="254"/>
      <c r="O237" s="690"/>
      <c r="P237" s="298">
        <v>12</v>
      </c>
      <c r="Q237" s="304">
        <f>O126</f>
        <v>800</v>
      </c>
      <c r="R237" s="304">
        <f t="shared" ref="R237:T237" si="98">P126</f>
        <v>-0.4</v>
      </c>
      <c r="S237" s="304" t="str">
        <f t="shared" si="98"/>
        <v>-</v>
      </c>
      <c r="T237" s="305">
        <f t="shared" si="98"/>
        <v>0</v>
      </c>
      <c r="U237" s="254"/>
      <c r="V237" s="296">
        <v>13</v>
      </c>
      <c r="W237" s="306">
        <f>U135</f>
        <v>0.3</v>
      </c>
    </row>
    <row r="238" spans="1:23" ht="13" hidden="1" x14ac:dyDescent="0.3">
      <c r="A238" s="687"/>
      <c r="B238" s="298">
        <v>13</v>
      </c>
      <c r="C238" s="304">
        <f>C137</f>
        <v>15</v>
      </c>
      <c r="D238" s="304">
        <f t="shared" ref="D238:F238" si="99">D137</f>
        <v>-0.7</v>
      </c>
      <c r="E238" s="304" t="str">
        <f t="shared" si="99"/>
        <v>-</v>
      </c>
      <c r="F238" s="304">
        <f t="shared" si="99"/>
        <v>0</v>
      </c>
      <c r="G238" s="254"/>
      <c r="H238" s="690"/>
      <c r="I238" s="298">
        <v>13</v>
      </c>
      <c r="J238" s="304">
        <f>I137</f>
        <v>35</v>
      </c>
      <c r="K238" s="304">
        <f t="shared" ref="K238:M238" si="100">J137</f>
        <v>-1.4</v>
      </c>
      <c r="L238" s="304" t="str">
        <f t="shared" si="100"/>
        <v>-</v>
      </c>
      <c r="M238" s="304">
        <f t="shared" si="100"/>
        <v>0</v>
      </c>
      <c r="N238" s="254"/>
      <c r="O238" s="690"/>
      <c r="P238" s="298">
        <v>13</v>
      </c>
      <c r="Q238" s="304">
        <f>O137</f>
        <v>960</v>
      </c>
      <c r="R238" s="304">
        <f t="shared" ref="R238:T238" si="101">P137</f>
        <v>0.9</v>
      </c>
      <c r="S238" s="304" t="str">
        <f t="shared" si="101"/>
        <v>-</v>
      </c>
      <c r="T238" s="305">
        <f t="shared" si="101"/>
        <v>0</v>
      </c>
      <c r="U238" s="254"/>
      <c r="V238" s="296">
        <v>14</v>
      </c>
      <c r="W238" s="306">
        <f>U146</f>
        <v>0.4</v>
      </c>
    </row>
    <row r="239" spans="1:23" ht="13" hidden="1" x14ac:dyDescent="0.3">
      <c r="A239" s="687"/>
      <c r="B239" s="298">
        <v>14</v>
      </c>
      <c r="C239" s="304">
        <f>C148</f>
        <v>15</v>
      </c>
      <c r="D239" s="304">
        <f t="shared" ref="D239:F239" si="102">D148</f>
        <v>-0.2</v>
      </c>
      <c r="E239" s="304" t="str">
        <f t="shared" si="102"/>
        <v>-</v>
      </c>
      <c r="F239" s="304">
        <f t="shared" si="102"/>
        <v>0</v>
      </c>
      <c r="G239" s="254"/>
      <c r="H239" s="690"/>
      <c r="I239" s="298">
        <v>14</v>
      </c>
      <c r="J239" s="304">
        <f>I148</f>
        <v>35</v>
      </c>
      <c r="K239" s="304">
        <f t="shared" ref="K239:M239" si="103">J148</f>
        <v>0.6</v>
      </c>
      <c r="L239" s="304" t="str">
        <f t="shared" si="103"/>
        <v>-</v>
      </c>
      <c r="M239" s="304">
        <f t="shared" si="103"/>
        <v>0</v>
      </c>
      <c r="N239" s="254"/>
      <c r="O239" s="690"/>
      <c r="P239" s="298">
        <v>14</v>
      </c>
      <c r="Q239" s="304">
        <f>O148</f>
        <v>960</v>
      </c>
      <c r="R239" s="304">
        <f t="shared" ref="R239:T239" si="104">P148</f>
        <v>0.9</v>
      </c>
      <c r="S239" s="304" t="str">
        <f t="shared" si="104"/>
        <v>-</v>
      </c>
      <c r="T239" s="305">
        <f t="shared" si="104"/>
        <v>0</v>
      </c>
      <c r="U239" s="254"/>
      <c r="V239" s="296">
        <v>15</v>
      </c>
      <c r="W239" s="306">
        <f>U157</f>
        <v>0.3</v>
      </c>
    </row>
    <row r="240" spans="1:23" ht="13" hidden="1" x14ac:dyDescent="0.3">
      <c r="A240" s="687"/>
      <c r="B240" s="298">
        <v>15</v>
      </c>
      <c r="C240" s="304">
        <f>C159</f>
        <v>15</v>
      </c>
      <c r="D240" s="304">
        <f t="shared" ref="D240:F240" si="105">D159</f>
        <v>-0.6</v>
      </c>
      <c r="E240" s="304" t="str">
        <f t="shared" si="105"/>
        <v>-</v>
      </c>
      <c r="F240" s="304">
        <f t="shared" si="105"/>
        <v>0</v>
      </c>
      <c r="G240" s="254"/>
      <c r="H240" s="690"/>
      <c r="I240" s="298">
        <v>15</v>
      </c>
      <c r="J240" s="304">
        <f>I159</f>
        <v>35</v>
      </c>
      <c r="K240" s="304">
        <f t="shared" ref="K240:M240" si="106">J159</f>
        <v>-0.4</v>
      </c>
      <c r="L240" s="304" t="str">
        <f t="shared" si="106"/>
        <v>-</v>
      </c>
      <c r="M240" s="304">
        <f t="shared" si="106"/>
        <v>0</v>
      </c>
      <c r="N240" s="254"/>
      <c r="O240" s="690"/>
      <c r="P240" s="298">
        <v>15</v>
      </c>
      <c r="Q240" s="304">
        <f>O159</f>
        <v>960</v>
      </c>
      <c r="R240" s="304">
        <f t="shared" ref="R240:T240" si="107">P159</f>
        <v>0.9</v>
      </c>
      <c r="S240" s="304" t="str">
        <f t="shared" si="107"/>
        <v>-</v>
      </c>
      <c r="T240" s="305">
        <f t="shared" si="107"/>
        <v>0</v>
      </c>
      <c r="U240" s="254"/>
      <c r="V240" s="296">
        <v>16</v>
      </c>
      <c r="W240" s="306">
        <f>U168</f>
        <v>0.4</v>
      </c>
    </row>
    <row r="241" spans="1:23" ht="13" hidden="1" x14ac:dyDescent="0.3">
      <c r="A241" s="687"/>
      <c r="B241" s="298">
        <v>16</v>
      </c>
      <c r="C241" s="304">
        <f>C170</f>
        <v>15</v>
      </c>
      <c r="D241" s="304">
        <f t="shared" ref="D241:F241" si="108">D170</f>
        <v>0.1</v>
      </c>
      <c r="E241" s="304" t="str">
        <f t="shared" si="108"/>
        <v>-</v>
      </c>
      <c r="F241" s="304">
        <f t="shared" si="108"/>
        <v>0</v>
      </c>
      <c r="G241" s="254"/>
      <c r="H241" s="690"/>
      <c r="I241" s="298">
        <v>16</v>
      </c>
      <c r="J241" s="304">
        <f>I170</f>
        <v>30</v>
      </c>
      <c r="K241" s="304">
        <f t="shared" ref="K241:M241" si="109">J170</f>
        <v>-1.6</v>
      </c>
      <c r="L241" s="304" t="str">
        <f t="shared" si="109"/>
        <v>-</v>
      </c>
      <c r="M241" s="304">
        <f t="shared" si="109"/>
        <v>0</v>
      </c>
      <c r="N241" s="254"/>
      <c r="O241" s="690"/>
      <c r="P241" s="298">
        <v>16</v>
      </c>
      <c r="Q241" s="304">
        <f>O170</f>
        <v>800</v>
      </c>
      <c r="R241" s="304">
        <f t="shared" ref="R241:T241" si="110">P170</f>
        <v>-2.9</v>
      </c>
      <c r="S241" s="304" t="str">
        <f t="shared" si="110"/>
        <v>-</v>
      </c>
      <c r="T241" s="305">
        <f t="shared" si="110"/>
        <v>0</v>
      </c>
      <c r="U241" s="254"/>
      <c r="V241" s="296">
        <v>17</v>
      </c>
      <c r="W241" s="306">
        <f>U179</f>
        <v>0.3</v>
      </c>
    </row>
    <row r="242" spans="1:23" ht="13" hidden="1" x14ac:dyDescent="0.3">
      <c r="A242" s="687"/>
      <c r="B242" s="298">
        <v>17</v>
      </c>
      <c r="C242" s="304">
        <f>C181</f>
        <v>15</v>
      </c>
      <c r="D242" s="304">
        <f t="shared" ref="D242:F242" si="111">D181</f>
        <v>0.1</v>
      </c>
      <c r="E242" s="304" t="str">
        <f t="shared" si="111"/>
        <v>-</v>
      </c>
      <c r="F242" s="304">
        <f t="shared" si="111"/>
        <v>0</v>
      </c>
      <c r="G242" s="254"/>
      <c r="H242" s="690"/>
      <c r="I242" s="298">
        <v>17</v>
      </c>
      <c r="J242" s="304">
        <f>I181</f>
        <v>30</v>
      </c>
      <c r="K242" s="304">
        <f t="shared" ref="K242:M242" si="112">J181</f>
        <v>0.1</v>
      </c>
      <c r="L242" s="304" t="str">
        <f t="shared" si="112"/>
        <v>-</v>
      </c>
      <c r="M242" s="304">
        <f t="shared" si="112"/>
        <v>0</v>
      </c>
      <c r="N242" s="254"/>
      <c r="O242" s="690"/>
      <c r="P242" s="298">
        <v>17</v>
      </c>
      <c r="Q242" s="304">
        <f>O181</f>
        <v>960</v>
      </c>
      <c r="R242" s="304">
        <f t="shared" ref="R242:T242" si="113">P181</f>
        <v>-0.6</v>
      </c>
      <c r="S242" s="304" t="str">
        <f t="shared" si="113"/>
        <v>-</v>
      </c>
      <c r="T242" s="305">
        <f t="shared" si="113"/>
        <v>0</v>
      </c>
      <c r="U242" s="254"/>
      <c r="V242" s="296">
        <v>18</v>
      </c>
      <c r="W242" s="306">
        <f>U190</f>
        <v>0.3</v>
      </c>
    </row>
    <row r="243" spans="1:23" ht="13" hidden="1" x14ac:dyDescent="0.3">
      <c r="A243" s="687"/>
      <c r="B243" s="298">
        <v>18</v>
      </c>
      <c r="C243" s="304">
        <f>C192</f>
        <v>15</v>
      </c>
      <c r="D243" s="304">
        <f t="shared" ref="D243:F243" si="114">D192</f>
        <v>0</v>
      </c>
      <c r="E243" s="304" t="str">
        <f t="shared" si="114"/>
        <v>-</v>
      </c>
      <c r="F243" s="304">
        <f t="shared" si="114"/>
        <v>0</v>
      </c>
      <c r="G243" s="254"/>
      <c r="H243" s="690"/>
      <c r="I243" s="298">
        <v>18</v>
      </c>
      <c r="J243" s="304">
        <f>I192</f>
        <v>30</v>
      </c>
      <c r="K243" s="304">
        <f t="shared" ref="K243:M243" si="115">J192</f>
        <v>-0.4</v>
      </c>
      <c r="L243" s="304" t="str">
        <f t="shared" si="115"/>
        <v>-</v>
      </c>
      <c r="M243" s="304">
        <f t="shared" si="115"/>
        <v>0</v>
      </c>
      <c r="N243" s="254"/>
      <c r="O243" s="690"/>
      <c r="P243" s="298">
        <v>18</v>
      </c>
      <c r="Q243" s="304">
        <f>O192</f>
        <v>800</v>
      </c>
      <c r="R243" s="304">
        <f t="shared" ref="R243:T243" si="116">P192</f>
        <v>-1.5</v>
      </c>
      <c r="S243" s="304" t="str">
        <f t="shared" si="116"/>
        <v>-</v>
      </c>
      <c r="T243" s="305">
        <f t="shared" si="116"/>
        <v>0</v>
      </c>
      <c r="U243" s="254"/>
      <c r="V243" s="296">
        <v>19</v>
      </c>
      <c r="W243" s="306">
        <f>U201</f>
        <v>0.1</v>
      </c>
    </row>
    <row r="244" spans="1:23" ht="13.5" hidden="1" thickBot="1" x14ac:dyDescent="0.35">
      <c r="A244" s="687"/>
      <c r="B244" s="298">
        <v>19</v>
      </c>
      <c r="C244" s="304">
        <f>C203</f>
        <v>15</v>
      </c>
      <c r="D244" s="304">
        <f t="shared" ref="D244:F244" si="117">D203</f>
        <v>0</v>
      </c>
      <c r="E244" s="304" t="str">
        <f t="shared" si="117"/>
        <v>-</v>
      </c>
      <c r="F244" s="304">
        <f t="shared" si="117"/>
        <v>0</v>
      </c>
      <c r="G244" s="254"/>
      <c r="H244" s="690"/>
      <c r="I244" s="298">
        <v>19</v>
      </c>
      <c r="J244" s="304">
        <f>I203</f>
        <v>30</v>
      </c>
      <c r="K244" s="304">
        <f t="shared" ref="K244:M244" si="118">J203</f>
        <v>-1.5</v>
      </c>
      <c r="L244" s="304" t="str">
        <f t="shared" si="118"/>
        <v>-</v>
      </c>
      <c r="M244" s="304">
        <f t="shared" si="118"/>
        <v>0</v>
      </c>
      <c r="N244" s="254"/>
      <c r="O244" s="690"/>
      <c r="P244" s="298">
        <v>19</v>
      </c>
      <c r="Q244" s="304">
        <f>O203</f>
        <v>750</v>
      </c>
      <c r="R244" s="304">
        <f t="shared" ref="R244:T244" si="119">P203</f>
        <v>2.5</v>
      </c>
      <c r="S244" s="304" t="str">
        <f t="shared" si="119"/>
        <v>-</v>
      </c>
      <c r="T244" s="305">
        <f t="shared" si="119"/>
        <v>0</v>
      </c>
      <c r="U244" s="254"/>
      <c r="V244" s="307">
        <v>20</v>
      </c>
      <c r="W244" s="308">
        <f>U212</f>
        <v>0</v>
      </c>
    </row>
    <row r="245" spans="1:23" ht="13.5" hidden="1" thickBot="1" x14ac:dyDescent="0.35">
      <c r="A245" s="688"/>
      <c r="B245" s="309">
        <v>20</v>
      </c>
      <c r="C245" s="310">
        <f>C214</f>
        <v>14.8</v>
      </c>
      <c r="D245" s="310">
        <f t="shared" ref="D245:F245" si="120">D214</f>
        <v>0</v>
      </c>
      <c r="E245" s="310" t="str">
        <f t="shared" si="120"/>
        <v>-</v>
      </c>
      <c r="F245" s="310">
        <f t="shared" si="120"/>
        <v>0</v>
      </c>
      <c r="G245" s="311"/>
      <c r="H245" s="691"/>
      <c r="I245" s="309">
        <v>20</v>
      </c>
      <c r="J245" s="310">
        <f>I214</f>
        <v>45.7</v>
      </c>
      <c r="K245" s="310">
        <f t="shared" ref="K245:M245" si="121">J214</f>
        <v>0</v>
      </c>
      <c r="L245" s="310" t="str">
        <f t="shared" si="121"/>
        <v>-</v>
      </c>
      <c r="M245" s="310">
        <f t="shared" si="121"/>
        <v>0</v>
      </c>
      <c r="N245" s="311"/>
      <c r="O245" s="691"/>
      <c r="P245" s="309">
        <v>20</v>
      </c>
      <c r="Q245" s="310">
        <f>O214</f>
        <v>750</v>
      </c>
      <c r="R245" s="310" t="str">
        <f t="shared" ref="R245:T245" si="122">P214</f>
        <v>-</v>
      </c>
      <c r="S245" s="310" t="str">
        <f t="shared" si="122"/>
        <v>-</v>
      </c>
      <c r="T245" s="312">
        <f t="shared" si="122"/>
        <v>0</v>
      </c>
      <c r="U245" s="254"/>
      <c r="V245" s="313"/>
    </row>
    <row r="246" spans="1:23" ht="13" hidden="1" x14ac:dyDescent="0.3">
      <c r="A246" s="314"/>
      <c r="B246" s="315"/>
      <c r="C246" s="316"/>
      <c r="D246" s="316"/>
      <c r="E246" s="316"/>
      <c r="F246" s="317"/>
      <c r="G246" s="318"/>
      <c r="H246" s="315"/>
      <c r="I246" s="315"/>
      <c r="J246" s="319"/>
      <c r="K246" s="319"/>
      <c r="L246" s="319"/>
      <c r="M246" s="319"/>
      <c r="N246" s="318"/>
      <c r="O246" s="315"/>
      <c r="P246" s="315"/>
      <c r="Q246" s="319"/>
      <c r="R246" s="319"/>
      <c r="S246" s="319"/>
      <c r="T246" s="320"/>
      <c r="U246" s="318"/>
      <c r="V246" s="318"/>
    </row>
    <row r="247" spans="1:23" ht="13" hidden="1" x14ac:dyDescent="0.3">
      <c r="A247" s="692">
        <v>2</v>
      </c>
      <c r="B247" s="321">
        <v>1</v>
      </c>
      <c r="C247" s="322">
        <f>C6</f>
        <v>20</v>
      </c>
      <c r="D247" s="322">
        <f t="shared" ref="D247:F247" si="123">D6</f>
        <v>-0.2</v>
      </c>
      <c r="E247" s="322">
        <f t="shared" si="123"/>
        <v>0.2</v>
      </c>
      <c r="F247" s="322">
        <f t="shared" si="123"/>
        <v>0.2</v>
      </c>
      <c r="G247" s="323"/>
      <c r="H247" s="683">
        <v>2</v>
      </c>
      <c r="I247" s="321">
        <v>1</v>
      </c>
      <c r="J247" s="322">
        <f>I6</f>
        <v>40</v>
      </c>
      <c r="K247" s="322">
        <f t="shared" ref="K247:M247" si="124">J6</f>
        <v>-6</v>
      </c>
      <c r="L247" s="322">
        <f t="shared" si="124"/>
        <v>-8.6</v>
      </c>
      <c r="M247" s="322">
        <f t="shared" si="124"/>
        <v>1.2999999999999998</v>
      </c>
      <c r="N247" s="323"/>
      <c r="O247" s="683">
        <v>2</v>
      </c>
      <c r="P247" s="321">
        <v>1</v>
      </c>
      <c r="Q247" s="322">
        <f>O6</f>
        <v>800</v>
      </c>
      <c r="R247" s="322" t="str">
        <f t="shared" ref="R247:T247" si="125">P6</f>
        <v>-</v>
      </c>
      <c r="S247" s="322" t="str">
        <f t="shared" si="125"/>
        <v>-</v>
      </c>
      <c r="T247" s="324">
        <f t="shared" si="125"/>
        <v>0</v>
      </c>
      <c r="V247" s="673" t="s">
        <v>460</v>
      </c>
      <c r="W247" s="674"/>
    </row>
    <row r="248" spans="1:23" ht="13" hidden="1" x14ac:dyDescent="0.3">
      <c r="A248" s="687"/>
      <c r="B248" s="298">
        <v>2</v>
      </c>
      <c r="C248" s="304">
        <f>C17</f>
        <v>20</v>
      </c>
      <c r="D248" s="304">
        <f t="shared" ref="D248:F248" si="126">D17</f>
        <v>-0.1</v>
      </c>
      <c r="E248" s="304">
        <f t="shared" si="126"/>
        <v>0</v>
      </c>
      <c r="F248" s="304">
        <f t="shared" si="126"/>
        <v>0.05</v>
      </c>
      <c r="G248" s="254"/>
      <c r="H248" s="684"/>
      <c r="I248" s="298">
        <v>2</v>
      </c>
      <c r="J248" s="304">
        <f>I17</f>
        <v>40</v>
      </c>
      <c r="K248" s="304">
        <f t="shared" ref="K248:M248" si="127">J17</f>
        <v>-1.6</v>
      </c>
      <c r="L248" s="304">
        <f t="shared" si="127"/>
        <v>-1.1000000000000001</v>
      </c>
      <c r="M248" s="304">
        <f t="shared" si="127"/>
        <v>0.25</v>
      </c>
      <c r="N248" s="254"/>
      <c r="O248" s="684"/>
      <c r="P248" s="298">
        <v>2</v>
      </c>
      <c r="Q248" s="304">
        <f>O17</f>
        <v>800</v>
      </c>
      <c r="R248" s="304" t="str">
        <f t="shared" ref="R248:T248" si="128">P17</f>
        <v>-</v>
      </c>
      <c r="S248" s="304" t="str">
        <f t="shared" si="128"/>
        <v>-</v>
      </c>
      <c r="T248" s="305">
        <f t="shared" si="128"/>
        <v>0</v>
      </c>
      <c r="V248" s="677" t="s">
        <v>463</v>
      </c>
      <c r="W248" s="678"/>
    </row>
    <row r="249" spans="1:23" ht="13" hidden="1" x14ac:dyDescent="0.3">
      <c r="A249" s="687"/>
      <c r="B249" s="298">
        <v>3</v>
      </c>
      <c r="C249" s="299">
        <f>C28</f>
        <v>20</v>
      </c>
      <c r="D249" s="299">
        <f t="shared" ref="D249:F249" si="129">D28</f>
        <v>0</v>
      </c>
      <c r="E249" s="299">
        <f t="shared" si="129"/>
        <v>0</v>
      </c>
      <c r="F249" s="299">
        <f t="shared" si="129"/>
        <v>0</v>
      </c>
      <c r="G249" s="254"/>
      <c r="H249" s="684"/>
      <c r="I249" s="298">
        <v>3</v>
      </c>
      <c r="J249" s="299">
        <f>I28</f>
        <v>40</v>
      </c>
      <c r="K249" s="299">
        <f t="shared" ref="K249:M249" si="130">J28</f>
        <v>-5.3</v>
      </c>
      <c r="L249" s="299">
        <f t="shared" si="130"/>
        <v>-1.9</v>
      </c>
      <c r="M249" s="299">
        <f t="shared" si="130"/>
        <v>1.7</v>
      </c>
      <c r="N249" s="254"/>
      <c r="O249" s="684"/>
      <c r="P249" s="298">
        <v>3</v>
      </c>
      <c r="Q249" s="299">
        <f>O28</f>
        <v>800</v>
      </c>
      <c r="R249" s="299" t="str">
        <f t="shared" ref="R249:T249" si="131">P28</f>
        <v>-</v>
      </c>
      <c r="S249" s="299" t="str">
        <f t="shared" si="131"/>
        <v>-</v>
      </c>
      <c r="T249" s="300">
        <f t="shared" si="131"/>
        <v>0</v>
      </c>
      <c r="V249" s="296">
        <v>1</v>
      </c>
      <c r="W249" s="297">
        <f>U4</f>
        <v>3.1</v>
      </c>
    </row>
    <row r="250" spans="1:23" ht="13" hidden="1" x14ac:dyDescent="0.3">
      <c r="A250" s="687"/>
      <c r="B250" s="298">
        <v>4</v>
      </c>
      <c r="C250" s="299">
        <f>C39</f>
        <v>20</v>
      </c>
      <c r="D250" s="299">
        <f t="shared" ref="D250:F250" si="132">D39</f>
        <v>-0.1</v>
      </c>
      <c r="E250" s="299">
        <f t="shared" si="132"/>
        <v>-0.3</v>
      </c>
      <c r="F250" s="299">
        <f t="shared" si="132"/>
        <v>9.9999999999999992E-2</v>
      </c>
      <c r="G250" s="254"/>
      <c r="H250" s="684"/>
      <c r="I250" s="298">
        <v>4</v>
      </c>
      <c r="J250" s="299">
        <f>I39</f>
        <v>40</v>
      </c>
      <c r="K250" s="299">
        <f t="shared" ref="K250:M250" si="133">J39</f>
        <v>-4.4000000000000004</v>
      </c>
      <c r="L250" s="299">
        <f t="shared" si="133"/>
        <v>-1.5</v>
      </c>
      <c r="M250" s="299">
        <f t="shared" si="133"/>
        <v>1.4500000000000002</v>
      </c>
      <c r="N250" s="254"/>
      <c r="O250" s="684"/>
      <c r="P250" s="298">
        <v>4</v>
      </c>
      <c r="Q250" s="299">
        <f>O39</f>
        <v>800</v>
      </c>
      <c r="R250" s="299" t="str">
        <f t="shared" ref="R250:T250" si="134">P39</f>
        <v>-</v>
      </c>
      <c r="S250" s="299" t="str">
        <f t="shared" si="134"/>
        <v>-</v>
      </c>
      <c r="T250" s="300">
        <f t="shared" si="134"/>
        <v>0</v>
      </c>
      <c r="V250" s="301">
        <v>2</v>
      </c>
      <c r="W250" s="302">
        <f>U15</f>
        <v>3.3</v>
      </c>
    </row>
    <row r="251" spans="1:23" ht="13" hidden="1" x14ac:dyDescent="0.3">
      <c r="A251" s="687"/>
      <c r="B251" s="298">
        <v>5</v>
      </c>
      <c r="C251" s="299">
        <f>C50</f>
        <v>20</v>
      </c>
      <c r="D251" s="299">
        <f t="shared" ref="D251:F251" si="135">D50</f>
        <v>0.1</v>
      </c>
      <c r="E251" s="299">
        <f t="shared" si="135"/>
        <v>0.3</v>
      </c>
      <c r="F251" s="299">
        <f t="shared" si="135"/>
        <v>9.9999999999999992E-2</v>
      </c>
      <c r="G251" s="254"/>
      <c r="H251" s="684"/>
      <c r="I251" s="298">
        <v>5</v>
      </c>
      <c r="J251" s="299">
        <f>I50</f>
        <v>40</v>
      </c>
      <c r="K251" s="299">
        <f t="shared" ref="K251:M251" si="136">J50</f>
        <v>-7.2</v>
      </c>
      <c r="L251" s="299">
        <f t="shared" si="136"/>
        <v>-8</v>
      </c>
      <c r="M251" s="299">
        <f t="shared" si="136"/>
        <v>0.39999999999999991</v>
      </c>
      <c r="N251" s="254"/>
      <c r="O251" s="684"/>
      <c r="P251" s="298">
        <v>5</v>
      </c>
      <c r="Q251" s="299">
        <f>O50</f>
        <v>800</v>
      </c>
      <c r="R251" s="299" t="str">
        <f t="shared" ref="R251:T251" si="137">P50</f>
        <v>-</v>
      </c>
      <c r="S251" s="299" t="str">
        <f t="shared" si="137"/>
        <v>-</v>
      </c>
      <c r="T251" s="300">
        <f t="shared" si="137"/>
        <v>0</v>
      </c>
      <c r="V251" s="301">
        <v>3</v>
      </c>
      <c r="W251" s="303">
        <f>U26</f>
        <v>3.1</v>
      </c>
    </row>
    <row r="252" spans="1:23" ht="13" hidden="1" x14ac:dyDescent="0.3">
      <c r="A252" s="687"/>
      <c r="B252" s="298">
        <v>6</v>
      </c>
      <c r="C252" s="299">
        <f>C61</f>
        <v>20</v>
      </c>
      <c r="D252" s="299">
        <f t="shared" ref="D252:F252" si="138">D61</f>
        <v>0.2</v>
      </c>
      <c r="E252" s="299">
        <f t="shared" si="138"/>
        <v>0</v>
      </c>
      <c r="F252" s="299">
        <f t="shared" si="138"/>
        <v>0.1</v>
      </c>
      <c r="G252" s="254"/>
      <c r="H252" s="684"/>
      <c r="I252" s="298">
        <v>6</v>
      </c>
      <c r="J252" s="299">
        <f>I61</f>
        <v>40</v>
      </c>
      <c r="K252" s="299">
        <f t="shared" ref="K252:M252" si="139">J61</f>
        <v>1.5</v>
      </c>
      <c r="L252" s="299">
        <f t="shared" si="139"/>
        <v>-3.4</v>
      </c>
      <c r="M252" s="299">
        <f t="shared" si="139"/>
        <v>2.4500000000000002</v>
      </c>
      <c r="N252" s="254"/>
      <c r="O252" s="684"/>
      <c r="P252" s="298">
        <v>6</v>
      </c>
      <c r="Q252" s="299">
        <f>O61</f>
        <v>800</v>
      </c>
      <c r="R252" s="299">
        <f t="shared" ref="R252:T252" si="140">P61</f>
        <v>1.6</v>
      </c>
      <c r="S252" s="299" t="str">
        <f t="shared" si="140"/>
        <v>-</v>
      </c>
      <c r="T252" s="300">
        <f t="shared" si="140"/>
        <v>0</v>
      </c>
      <c r="V252" s="301">
        <v>4</v>
      </c>
      <c r="W252" s="303">
        <f>U38</f>
        <v>1.3</v>
      </c>
    </row>
    <row r="253" spans="1:23" ht="13" hidden="1" x14ac:dyDescent="0.3">
      <c r="A253" s="687"/>
      <c r="B253" s="298">
        <v>7</v>
      </c>
      <c r="C253" s="299">
        <f>C72</f>
        <v>20</v>
      </c>
      <c r="D253" s="299">
        <f t="shared" ref="D253:F253" si="141">D72</f>
        <v>0</v>
      </c>
      <c r="E253" s="299">
        <f t="shared" si="141"/>
        <v>0.1</v>
      </c>
      <c r="F253" s="299">
        <f t="shared" si="141"/>
        <v>0.05</v>
      </c>
      <c r="G253" s="254"/>
      <c r="H253" s="684"/>
      <c r="I253" s="298">
        <v>7</v>
      </c>
      <c r="J253" s="299">
        <f>I72</f>
        <v>40</v>
      </c>
      <c r="K253" s="299">
        <f t="shared" ref="K253:M253" si="142">J72</f>
        <v>-1.9</v>
      </c>
      <c r="L253" s="299">
        <f t="shared" si="142"/>
        <v>1.2</v>
      </c>
      <c r="M253" s="299">
        <f t="shared" si="142"/>
        <v>1.5499999999999998</v>
      </c>
      <c r="N253" s="254"/>
      <c r="O253" s="684"/>
      <c r="P253" s="298">
        <v>7</v>
      </c>
      <c r="Q253" s="299">
        <f>O72</f>
        <v>800</v>
      </c>
      <c r="R253" s="299">
        <f t="shared" ref="R253:T253" si="143">P72</f>
        <v>0</v>
      </c>
      <c r="S253" s="299">
        <f t="shared" si="143"/>
        <v>2.5</v>
      </c>
      <c r="T253" s="300">
        <f t="shared" si="143"/>
        <v>1.25</v>
      </c>
      <c r="V253" s="301">
        <v>5</v>
      </c>
      <c r="W253" s="303">
        <f>U48</f>
        <v>2.8</v>
      </c>
    </row>
    <row r="254" spans="1:23" ht="13" hidden="1" x14ac:dyDescent="0.3">
      <c r="A254" s="687"/>
      <c r="B254" s="298">
        <v>8</v>
      </c>
      <c r="C254" s="299">
        <f>C83</f>
        <v>20</v>
      </c>
      <c r="D254" s="299">
        <f t="shared" ref="D254:F254" si="144">D83</f>
        <v>0</v>
      </c>
      <c r="E254" s="299">
        <f t="shared" si="144"/>
        <v>-0.2</v>
      </c>
      <c r="F254" s="299">
        <f t="shared" si="144"/>
        <v>0.1</v>
      </c>
      <c r="G254" s="254"/>
      <c r="H254" s="684"/>
      <c r="I254" s="298">
        <v>8</v>
      </c>
      <c r="J254" s="299">
        <f>I83</f>
        <v>40</v>
      </c>
      <c r="K254" s="299">
        <f t="shared" ref="K254:M254" si="145">J83</f>
        <v>-3.8</v>
      </c>
      <c r="L254" s="299">
        <f t="shared" si="145"/>
        <v>-1.2</v>
      </c>
      <c r="M254" s="299">
        <f t="shared" si="145"/>
        <v>1.2999999999999998</v>
      </c>
      <c r="N254" s="254"/>
      <c r="O254" s="684"/>
      <c r="P254" s="298">
        <v>8</v>
      </c>
      <c r="Q254" s="299">
        <f>O83</f>
        <v>800</v>
      </c>
      <c r="R254" s="299">
        <f t="shared" ref="R254:T254" si="146">P83</f>
        <v>0</v>
      </c>
      <c r="S254" s="299">
        <f t="shared" si="146"/>
        <v>0</v>
      </c>
      <c r="T254" s="300">
        <f t="shared" si="146"/>
        <v>0</v>
      </c>
      <c r="V254" s="296">
        <v>6</v>
      </c>
      <c r="W254" s="297">
        <f>U59</f>
        <v>2</v>
      </c>
    </row>
    <row r="255" spans="1:23" ht="13" hidden="1" x14ac:dyDescent="0.3">
      <c r="A255" s="687"/>
      <c r="B255" s="298">
        <v>9</v>
      </c>
      <c r="C255" s="299">
        <f>C94</f>
        <v>20</v>
      </c>
      <c r="D255" s="299">
        <f t="shared" ref="D255:F255" si="147">D94</f>
        <v>-0.2</v>
      </c>
      <c r="E255" s="299" t="str">
        <f t="shared" si="147"/>
        <v>-</v>
      </c>
      <c r="F255" s="299">
        <f t="shared" si="147"/>
        <v>0</v>
      </c>
      <c r="G255" s="254"/>
      <c r="H255" s="684"/>
      <c r="I255" s="298">
        <v>9</v>
      </c>
      <c r="J255" s="299">
        <f>I94</f>
        <v>40</v>
      </c>
      <c r="K255" s="299">
        <f t="shared" ref="K255:M255" si="148">J94</f>
        <v>-1</v>
      </c>
      <c r="L255" s="299" t="str">
        <f t="shared" si="148"/>
        <v>-</v>
      </c>
      <c r="M255" s="299">
        <f t="shared" si="148"/>
        <v>0</v>
      </c>
      <c r="N255" s="254"/>
      <c r="O255" s="684"/>
      <c r="P255" s="298">
        <v>9</v>
      </c>
      <c r="Q255" s="299">
        <f>O94</f>
        <v>800</v>
      </c>
      <c r="R255" s="299">
        <f t="shared" ref="R255:T255" si="149">P94</f>
        <v>0</v>
      </c>
      <c r="S255" s="299" t="str">
        <f t="shared" si="149"/>
        <v>-</v>
      </c>
      <c r="T255" s="300">
        <f t="shared" si="149"/>
        <v>0</v>
      </c>
      <c r="V255" s="296">
        <v>7</v>
      </c>
      <c r="W255" s="297">
        <f>U70</f>
        <v>2.4</v>
      </c>
    </row>
    <row r="256" spans="1:23" ht="13" hidden="1" x14ac:dyDescent="0.3">
      <c r="A256" s="687"/>
      <c r="B256" s="298">
        <v>10</v>
      </c>
      <c r="C256" s="299">
        <f>C105</f>
        <v>20</v>
      </c>
      <c r="D256" s="299">
        <f t="shared" ref="D256:F256" si="150">D105</f>
        <v>0.2</v>
      </c>
      <c r="E256" s="299">
        <f t="shared" si="150"/>
        <v>-0.7</v>
      </c>
      <c r="F256" s="299">
        <f t="shared" si="150"/>
        <v>0.44999999999999996</v>
      </c>
      <c r="G256" s="254"/>
      <c r="H256" s="684"/>
      <c r="I256" s="298">
        <v>10</v>
      </c>
      <c r="J256" s="299">
        <f>I105</f>
        <v>40</v>
      </c>
      <c r="K256" s="299">
        <f t="shared" ref="K256:M256" si="151">J105</f>
        <v>-3.3</v>
      </c>
      <c r="L256" s="299">
        <f t="shared" si="151"/>
        <v>-6.4</v>
      </c>
      <c r="M256" s="299">
        <f t="shared" si="151"/>
        <v>1.5500000000000003</v>
      </c>
      <c r="N256" s="254"/>
      <c r="O256" s="684"/>
      <c r="P256" s="298">
        <v>10</v>
      </c>
      <c r="Q256" s="299">
        <f>O105</f>
        <v>800</v>
      </c>
      <c r="R256" s="299" t="str">
        <f t="shared" ref="R256:T256" si="152">P105</f>
        <v>-</v>
      </c>
      <c r="S256" s="299" t="str">
        <f t="shared" si="152"/>
        <v>-</v>
      </c>
      <c r="T256" s="300">
        <f t="shared" si="152"/>
        <v>0</v>
      </c>
      <c r="V256" s="296">
        <v>8</v>
      </c>
      <c r="W256" s="297">
        <f>U81</f>
        <v>2.5</v>
      </c>
    </row>
    <row r="257" spans="1:23" ht="13" hidden="1" x14ac:dyDescent="0.3">
      <c r="A257" s="687"/>
      <c r="B257" s="298">
        <v>11</v>
      </c>
      <c r="C257" s="299">
        <f>C116</f>
        <v>20</v>
      </c>
      <c r="D257" s="299">
        <f t="shared" ref="D257:F257" si="153">D116</f>
        <v>0.4</v>
      </c>
      <c r="E257" s="299">
        <f t="shared" si="153"/>
        <v>0.5</v>
      </c>
      <c r="F257" s="299">
        <f t="shared" si="153"/>
        <v>4.9999999999999989E-2</v>
      </c>
      <c r="G257" s="254"/>
      <c r="H257" s="684"/>
      <c r="I257" s="298">
        <v>11</v>
      </c>
      <c r="J257" s="299">
        <f>I116</f>
        <v>40</v>
      </c>
      <c r="K257" s="299">
        <f t="shared" ref="K257:M257" si="154">J116</f>
        <v>-5.5</v>
      </c>
      <c r="L257" s="299">
        <f t="shared" si="154"/>
        <v>-5.9</v>
      </c>
      <c r="M257" s="299">
        <f t="shared" si="154"/>
        <v>0.20000000000000018</v>
      </c>
      <c r="N257" s="254"/>
      <c r="O257" s="684"/>
      <c r="P257" s="298">
        <v>11</v>
      </c>
      <c r="Q257" s="299">
        <f>O116</f>
        <v>800</v>
      </c>
      <c r="R257" s="299" t="str">
        <f t="shared" ref="R257:T257" si="155">P116</f>
        <v>-</v>
      </c>
      <c r="S257" s="299" t="str">
        <f t="shared" si="155"/>
        <v>-</v>
      </c>
      <c r="T257" s="300">
        <f t="shared" si="155"/>
        <v>0</v>
      </c>
      <c r="V257" s="296">
        <v>9</v>
      </c>
      <c r="W257" s="297">
        <f>U92</f>
        <v>2.4</v>
      </c>
    </row>
    <row r="258" spans="1:23" ht="13" hidden="1" x14ac:dyDescent="0.3">
      <c r="A258" s="687"/>
      <c r="B258" s="298">
        <v>12</v>
      </c>
      <c r="C258" s="299">
        <f>C127</f>
        <v>20</v>
      </c>
      <c r="D258" s="299">
        <f t="shared" ref="D258:F258" si="156">D127</f>
        <v>0</v>
      </c>
      <c r="E258" s="299" t="str">
        <f t="shared" si="156"/>
        <v>-</v>
      </c>
      <c r="F258" s="299">
        <f t="shared" si="156"/>
        <v>0</v>
      </c>
      <c r="G258" s="254"/>
      <c r="H258" s="684"/>
      <c r="I258" s="298">
        <v>12</v>
      </c>
      <c r="J258" s="299">
        <f>I127</f>
        <v>40</v>
      </c>
      <c r="K258" s="299">
        <f t="shared" ref="K258:M258" si="157">J127</f>
        <v>-0.1</v>
      </c>
      <c r="L258" s="299" t="str">
        <f t="shared" si="157"/>
        <v>-</v>
      </c>
      <c r="M258" s="299">
        <f t="shared" si="157"/>
        <v>0</v>
      </c>
      <c r="N258" s="254"/>
      <c r="O258" s="684"/>
      <c r="P258" s="298">
        <v>12</v>
      </c>
      <c r="Q258" s="299">
        <f>O127</f>
        <v>850</v>
      </c>
      <c r="R258" s="299">
        <f t="shared" ref="R258:T258" si="158">P127</f>
        <v>-0.5</v>
      </c>
      <c r="S258" s="299" t="str">
        <f t="shared" si="158"/>
        <v>-</v>
      </c>
      <c r="T258" s="300">
        <f t="shared" si="158"/>
        <v>0</v>
      </c>
      <c r="V258" s="296">
        <v>10</v>
      </c>
      <c r="W258" s="297">
        <f>U103</f>
        <v>1.5</v>
      </c>
    </row>
    <row r="259" spans="1:23" ht="13" hidden="1" x14ac:dyDescent="0.3">
      <c r="A259" s="687"/>
      <c r="B259" s="298">
        <v>13</v>
      </c>
      <c r="C259" s="299">
        <f>C138</f>
        <v>20</v>
      </c>
      <c r="D259" s="299">
        <f t="shared" ref="D259:F259" si="159">D138</f>
        <v>-0.4</v>
      </c>
      <c r="E259" s="299" t="str">
        <f t="shared" si="159"/>
        <v>-</v>
      </c>
      <c r="F259" s="299">
        <f t="shared" si="159"/>
        <v>0</v>
      </c>
      <c r="G259" s="254"/>
      <c r="H259" s="684"/>
      <c r="I259" s="298">
        <v>13</v>
      </c>
      <c r="J259" s="299">
        <f>I138</f>
        <v>40</v>
      </c>
      <c r="K259" s="299">
        <f t="shared" ref="K259:M259" si="160">J138</f>
        <v>-1.3</v>
      </c>
      <c r="L259" s="299" t="str">
        <f t="shared" si="160"/>
        <v>-</v>
      </c>
      <c r="M259" s="299">
        <f t="shared" si="160"/>
        <v>0</v>
      </c>
      <c r="N259" s="254"/>
      <c r="O259" s="684"/>
      <c r="P259" s="298">
        <v>13</v>
      </c>
      <c r="Q259" s="299">
        <f>O138</f>
        <v>970</v>
      </c>
      <c r="R259" s="299">
        <f t="shared" ref="R259:T259" si="161">P138</f>
        <v>1</v>
      </c>
      <c r="S259" s="299" t="str">
        <f t="shared" si="161"/>
        <v>-</v>
      </c>
      <c r="T259" s="300">
        <f t="shared" si="161"/>
        <v>0</v>
      </c>
      <c r="V259" s="296">
        <v>11</v>
      </c>
      <c r="W259" s="297">
        <f>U114</f>
        <v>1.8</v>
      </c>
    </row>
    <row r="260" spans="1:23" ht="13" hidden="1" x14ac:dyDescent="0.3">
      <c r="A260" s="687"/>
      <c r="B260" s="298">
        <v>14</v>
      </c>
      <c r="C260" s="299">
        <f>C149</f>
        <v>20</v>
      </c>
      <c r="D260" s="299">
        <f t="shared" ref="D260:F260" si="162">D149</f>
        <v>-0.1</v>
      </c>
      <c r="E260" s="299" t="str">
        <f t="shared" si="162"/>
        <v>-</v>
      </c>
      <c r="F260" s="299">
        <f t="shared" si="162"/>
        <v>0</v>
      </c>
      <c r="G260" s="254"/>
      <c r="H260" s="684"/>
      <c r="I260" s="298">
        <v>14</v>
      </c>
      <c r="J260" s="299">
        <f>I149</f>
        <v>40</v>
      </c>
      <c r="K260" s="299">
        <f t="shared" ref="K260:M260" si="163">J149</f>
        <v>0.3</v>
      </c>
      <c r="L260" s="299" t="str">
        <f t="shared" si="163"/>
        <v>-</v>
      </c>
      <c r="M260" s="299">
        <f t="shared" si="163"/>
        <v>0</v>
      </c>
      <c r="N260" s="254"/>
      <c r="O260" s="684"/>
      <c r="P260" s="298">
        <v>14</v>
      </c>
      <c r="Q260" s="299">
        <f>O149</f>
        <v>970</v>
      </c>
      <c r="R260" s="299">
        <f t="shared" ref="R260:T260" si="164">P149</f>
        <v>1</v>
      </c>
      <c r="S260" s="299" t="str">
        <f t="shared" si="164"/>
        <v>-</v>
      </c>
      <c r="T260" s="300">
        <f t="shared" si="164"/>
        <v>0</v>
      </c>
      <c r="V260" s="296">
        <v>12</v>
      </c>
      <c r="W260" s="325">
        <f>U125</f>
        <v>2</v>
      </c>
    </row>
    <row r="261" spans="1:23" ht="13" hidden="1" x14ac:dyDescent="0.3">
      <c r="A261" s="687"/>
      <c r="B261" s="298">
        <v>15</v>
      </c>
      <c r="C261" s="299">
        <f>C160</f>
        <v>20</v>
      </c>
      <c r="D261" s="299">
        <f t="shared" ref="D261:F261" si="165">D160</f>
        <v>-0.5</v>
      </c>
      <c r="E261" s="299" t="str">
        <f t="shared" si="165"/>
        <v>-</v>
      </c>
      <c r="F261" s="299">
        <f t="shared" si="165"/>
        <v>0</v>
      </c>
      <c r="G261" s="254"/>
      <c r="H261" s="684"/>
      <c r="I261" s="298">
        <v>15</v>
      </c>
      <c r="J261" s="299">
        <f>I160</f>
        <v>40</v>
      </c>
      <c r="K261" s="299">
        <f t="shared" ref="K261:M261" si="166">J160</f>
        <v>-0.3</v>
      </c>
      <c r="L261" s="299" t="str">
        <f t="shared" si="166"/>
        <v>-</v>
      </c>
      <c r="M261" s="299">
        <f t="shared" si="166"/>
        <v>0</v>
      </c>
      <c r="N261" s="254"/>
      <c r="O261" s="684"/>
      <c r="P261" s="298">
        <v>15</v>
      </c>
      <c r="Q261" s="299">
        <f>O160</f>
        <v>970</v>
      </c>
      <c r="R261" s="299">
        <f t="shared" ref="R261:T261" si="167">P160</f>
        <v>1</v>
      </c>
      <c r="S261" s="299" t="str">
        <f t="shared" si="167"/>
        <v>-</v>
      </c>
      <c r="T261" s="300">
        <f t="shared" si="167"/>
        <v>0</v>
      </c>
      <c r="V261" s="296">
        <v>13</v>
      </c>
      <c r="W261" s="297">
        <f>U136</f>
        <v>2.7</v>
      </c>
    </row>
    <row r="262" spans="1:23" ht="13" hidden="1" x14ac:dyDescent="0.3">
      <c r="A262" s="687"/>
      <c r="B262" s="298">
        <v>16</v>
      </c>
      <c r="C262" s="299">
        <f>C171</f>
        <v>20</v>
      </c>
      <c r="D262" s="299">
        <f t="shared" ref="D262:F262" si="168">D171</f>
        <v>0.2</v>
      </c>
      <c r="E262" s="299" t="str">
        <f t="shared" si="168"/>
        <v>-</v>
      </c>
      <c r="F262" s="299">
        <f t="shared" si="168"/>
        <v>0</v>
      </c>
      <c r="G262" s="254"/>
      <c r="H262" s="684"/>
      <c r="I262" s="298">
        <v>16</v>
      </c>
      <c r="J262" s="299">
        <f>I171</f>
        <v>40</v>
      </c>
      <c r="K262" s="299">
        <f t="shared" ref="K262:M262" si="169">J171</f>
        <v>-1.4</v>
      </c>
      <c r="L262" s="299" t="str">
        <f t="shared" si="169"/>
        <v>-</v>
      </c>
      <c r="M262" s="299">
        <f t="shared" si="169"/>
        <v>0</v>
      </c>
      <c r="N262" s="254"/>
      <c r="O262" s="684"/>
      <c r="P262" s="298">
        <v>16</v>
      </c>
      <c r="Q262" s="299">
        <f>O171</f>
        <v>850</v>
      </c>
      <c r="R262" s="299">
        <f t="shared" ref="R262:T262" si="170">P171</f>
        <v>-2.2999999999999998</v>
      </c>
      <c r="S262" s="299" t="str">
        <f t="shared" si="170"/>
        <v>-</v>
      </c>
      <c r="T262" s="300">
        <f t="shared" si="170"/>
        <v>0</v>
      </c>
      <c r="V262" s="296">
        <v>14</v>
      </c>
      <c r="W262" s="297">
        <f>U147</f>
        <v>2.2000000000000002</v>
      </c>
    </row>
    <row r="263" spans="1:23" ht="13" hidden="1" x14ac:dyDescent="0.3">
      <c r="A263" s="687"/>
      <c r="B263" s="298">
        <v>17</v>
      </c>
      <c r="C263" s="299">
        <f>C182</f>
        <v>20</v>
      </c>
      <c r="D263" s="299">
        <f t="shared" ref="D263:F263" si="171">D182</f>
        <v>0.1</v>
      </c>
      <c r="E263" s="299" t="str">
        <f t="shared" si="171"/>
        <v>-</v>
      </c>
      <c r="F263" s="299">
        <f t="shared" si="171"/>
        <v>0</v>
      </c>
      <c r="G263" s="254"/>
      <c r="H263" s="684"/>
      <c r="I263" s="298">
        <v>17</v>
      </c>
      <c r="J263" s="299">
        <f>I182</f>
        <v>40</v>
      </c>
      <c r="K263" s="299">
        <f t="shared" ref="K263:M263" si="172">J182</f>
        <v>0.2</v>
      </c>
      <c r="L263" s="299" t="str">
        <f t="shared" si="172"/>
        <v>-</v>
      </c>
      <c r="M263" s="299">
        <f t="shared" si="172"/>
        <v>0</v>
      </c>
      <c r="N263" s="254"/>
      <c r="O263" s="684"/>
      <c r="P263" s="298">
        <v>17</v>
      </c>
      <c r="Q263" s="299">
        <f>O182</f>
        <v>970</v>
      </c>
      <c r="R263" s="299">
        <f t="shared" ref="R263:T263" si="173">P182</f>
        <v>-0.6</v>
      </c>
      <c r="S263" s="299" t="str">
        <f t="shared" si="173"/>
        <v>-</v>
      </c>
      <c r="T263" s="300">
        <f t="shared" si="173"/>
        <v>0</v>
      </c>
      <c r="V263" s="296">
        <v>15</v>
      </c>
      <c r="W263" s="297">
        <f>U158</f>
        <v>2.7</v>
      </c>
    </row>
    <row r="264" spans="1:23" ht="13" hidden="1" x14ac:dyDescent="0.3">
      <c r="A264" s="687"/>
      <c r="B264" s="298">
        <v>18</v>
      </c>
      <c r="C264" s="299">
        <f>C193</f>
        <v>20</v>
      </c>
      <c r="D264" s="299">
        <f t="shared" ref="D264:F264" si="174">D193</f>
        <v>-0.1</v>
      </c>
      <c r="E264" s="299" t="str">
        <f t="shared" si="174"/>
        <v>-</v>
      </c>
      <c r="F264" s="299">
        <f t="shared" si="174"/>
        <v>0</v>
      </c>
      <c r="G264" s="254"/>
      <c r="H264" s="684"/>
      <c r="I264" s="298">
        <v>18</v>
      </c>
      <c r="J264" s="299">
        <f>I193</f>
        <v>40</v>
      </c>
      <c r="K264" s="299">
        <f t="shared" ref="K264:M264" si="175">J193</f>
        <v>-0.2</v>
      </c>
      <c r="L264" s="299" t="str">
        <f t="shared" si="175"/>
        <v>-</v>
      </c>
      <c r="M264" s="299">
        <f t="shared" si="175"/>
        <v>0</v>
      </c>
      <c r="N264" s="254"/>
      <c r="O264" s="684"/>
      <c r="P264" s="298">
        <v>18</v>
      </c>
      <c r="Q264" s="299">
        <f>O193</f>
        <v>850</v>
      </c>
      <c r="R264" s="299">
        <f t="shared" ref="R264:T264" si="176">P193</f>
        <v>-1.3</v>
      </c>
      <c r="S264" s="299" t="str">
        <f t="shared" si="176"/>
        <v>-</v>
      </c>
      <c r="T264" s="300">
        <f t="shared" si="176"/>
        <v>0</v>
      </c>
      <c r="V264" s="296">
        <v>16</v>
      </c>
      <c r="W264" s="297">
        <f>U169</f>
        <v>2.2000000000000002</v>
      </c>
    </row>
    <row r="265" spans="1:23" ht="13" hidden="1" x14ac:dyDescent="0.3">
      <c r="A265" s="687"/>
      <c r="B265" s="298">
        <v>19</v>
      </c>
      <c r="C265" s="299">
        <f>C204</f>
        <v>20</v>
      </c>
      <c r="D265" s="299">
        <f t="shared" ref="D265:F265" si="177">D204</f>
        <v>0.1</v>
      </c>
      <c r="E265" s="299" t="str">
        <f t="shared" si="177"/>
        <v>-</v>
      </c>
      <c r="F265" s="299">
        <f t="shared" si="177"/>
        <v>0</v>
      </c>
      <c r="G265" s="254"/>
      <c r="H265" s="684"/>
      <c r="I265" s="298">
        <v>19</v>
      </c>
      <c r="J265" s="299">
        <f>I204</f>
        <v>40</v>
      </c>
      <c r="K265" s="299">
        <f t="shared" ref="K265:M265" si="178">J204</f>
        <v>-0.8</v>
      </c>
      <c r="L265" s="299" t="str">
        <f t="shared" si="178"/>
        <v>-</v>
      </c>
      <c r="M265" s="299">
        <f t="shared" si="178"/>
        <v>0</v>
      </c>
      <c r="N265" s="254"/>
      <c r="O265" s="684"/>
      <c r="P265" s="298">
        <v>19</v>
      </c>
      <c r="Q265" s="299">
        <f>O204</f>
        <v>800</v>
      </c>
      <c r="R265" s="299">
        <f t="shared" ref="R265:T265" si="179">P204</f>
        <v>2.5</v>
      </c>
      <c r="S265" s="299" t="str">
        <f t="shared" si="179"/>
        <v>-</v>
      </c>
      <c r="T265" s="300">
        <f t="shared" si="179"/>
        <v>0</v>
      </c>
      <c r="V265" s="296">
        <v>17</v>
      </c>
      <c r="W265" s="297">
        <f>U180</f>
        <v>2.8</v>
      </c>
    </row>
    <row r="266" spans="1:23" ht="13.5" hidden="1" thickBot="1" x14ac:dyDescent="0.35">
      <c r="A266" s="688"/>
      <c r="B266" s="309">
        <v>20</v>
      </c>
      <c r="C266" s="326">
        <f>C215</f>
        <v>19.7</v>
      </c>
      <c r="D266" s="326">
        <f t="shared" ref="D266:F266" si="180">D215</f>
        <v>0</v>
      </c>
      <c r="E266" s="326" t="str">
        <f t="shared" si="180"/>
        <v>-</v>
      </c>
      <c r="F266" s="326">
        <f t="shared" si="180"/>
        <v>0</v>
      </c>
      <c r="G266" s="311"/>
      <c r="H266" s="685"/>
      <c r="I266" s="309">
        <v>20</v>
      </c>
      <c r="J266" s="326">
        <f>I215</f>
        <v>54.3</v>
      </c>
      <c r="K266" s="326">
        <f t="shared" ref="K266:M266" si="181">J215</f>
        <v>0</v>
      </c>
      <c r="L266" s="326" t="str">
        <f t="shared" si="181"/>
        <v>-</v>
      </c>
      <c r="M266" s="326">
        <f t="shared" si="181"/>
        <v>0</v>
      </c>
      <c r="N266" s="311"/>
      <c r="O266" s="685"/>
      <c r="P266" s="309">
        <v>20</v>
      </c>
      <c r="Q266" s="326">
        <f>O215</f>
        <v>800</v>
      </c>
      <c r="R266" s="326" t="str">
        <f t="shared" ref="R266:T266" si="182">P215</f>
        <v>-</v>
      </c>
      <c r="S266" s="326" t="str">
        <f t="shared" si="182"/>
        <v>-</v>
      </c>
      <c r="T266" s="327">
        <f t="shared" si="182"/>
        <v>0</v>
      </c>
      <c r="V266" s="296">
        <v>18</v>
      </c>
      <c r="W266" s="297">
        <f>U191</f>
        <v>1.6</v>
      </c>
    </row>
    <row r="267" spans="1:23" ht="13" hidden="1" x14ac:dyDescent="0.3">
      <c r="A267" s="314"/>
      <c r="B267" s="315"/>
      <c r="C267" s="328"/>
      <c r="D267" s="328"/>
      <c r="E267" s="328"/>
      <c r="F267" s="329"/>
      <c r="G267" s="318"/>
      <c r="H267" s="314"/>
      <c r="I267" s="315"/>
      <c r="J267" s="328"/>
      <c r="K267" s="328"/>
      <c r="L267" s="328"/>
      <c r="M267" s="329"/>
      <c r="N267" s="254"/>
      <c r="O267" s="314"/>
      <c r="P267" s="315"/>
      <c r="Q267" s="328"/>
      <c r="R267" s="328"/>
      <c r="S267" s="328"/>
      <c r="T267" s="329"/>
      <c r="V267" s="296">
        <v>19</v>
      </c>
      <c r="W267" s="306">
        <f>U202</f>
        <v>1.5</v>
      </c>
    </row>
    <row r="268" spans="1:23" ht="13.5" hidden="1" thickBot="1" x14ac:dyDescent="0.35">
      <c r="A268" s="680">
        <v>3</v>
      </c>
      <c r="B268" s="321">
        <v>1</v>
      </c>
      <c r="C268" s="330">
        <f>C7</f>
        <v>25</v>
      </c>
      <c r="D268" s="330">
        <f t="shared" ref="D268:F268" si="183">D7</f>
        <v>0</v>
      </c>
      <c r="E268" s="330">
        <f t="shared" si="183"/>
        <v>0.1</v>
      </c>
      <c r="F268" s="330">
        <f t="shared" si="183"/>
        <v>0.05</v>
      </c>
      <c r="G268" s="323"/>
      <c r="H268" s="683">
        <v>3</v>
      </c>
      <c r="I268" s="321">
        <v>1</v>
      </c>
      <c r="J268" s="330">
        <f>I7</f>
        <v>50</v>
      </c>
      <c r="K268" s="330">
        <f t="shared" ref="K268:M268" si="184">J7</f>
        <v>-5.8</v>
      </c>
      <c r="L268" s="330">
        <f t="shared" si="184"/>
        <v>-7.2</v>
      </c>
      <c r="M268" s="330">
        <f t="shared" si="184"/>
        <v>0.70000000000000018</v>
      </c>
      <c r="N268" s="323"/>
      <c r="O268" s="683">
        <v>3</v>
      </c>
      <c r="P268" s="321">
        <v>1</v>
      </c>
      <c r="Q268" s="330">
        <f>O7</f>
        <v>850</v>
      </c>
      <c r="R268" s="330" t="str">
        <f t="shared" ref="R268:T268" si="185">P7</f>
        <v>-</v>
      </c>
      <c r="S268" s="330" t="str">
        <f t="shared" si="185"/>
        <v>-</v>
      </c>
      <c r="T268" s="331">
        <f t="shared" si="185"/>
        <v>0</v>
      </c>
      <c r="V268" s="307">
        <v>20</v>
      </c>
      <c r="W268" s="308">
        <f>U213</f>
        <v>0</v>
      </c>
    </row>
    <row r="269" spans="1:23" ht="13" hidden="1" x14ac:dyDescent="0.3">
      <c r="A269" s="681"/>
      <c r="B269" s="298">
        <v>2</v>
      </c>
      <c r="C269" s="299">
        <f>C18</f>
        <v>25</v>
      </c>
      <c r="D269" s="299">
        <f t="shared" ref="D269:F269" si="186">D18</f>
        <v>-0.2</v>
      </c>
      <c r="E269" s="299">
        <f t="shared" si="186"/>
        <v>-0.5</v>
      </c>
      <c r="F269" s="299">
        <f t="shared" si="186"/>
        <v>0.15</v>
      </c>
      <c r="G269" s="254"/>
      <c r="H269" s="684"/>
      <c r="I269" s="298">
        <v>2</v>
      </c>
      <c r="J269" s="299">
        <f>I18</f>
        <v>50</v>
      </c>
      <c r="K269" s="299">
        <f t="shared" ref="K269:M269" si="187">J18</f>
        <v>-1.5</v>
      </c>
      <c r="L269" s="299">
        <f t="shared" si="187"/>
        <v>-1.4</v>
      </c>
      <c r="M269" s="299">
        <f t="shared" si="187"/>
        <v>5.0000000000000044E-2</v>
      </c>
      <c r="N269" s="254"/>
      <c r="O269" s="684"/>
      <c r="P269" s="298">
        <v>2</v>
      </c>
      <c r="Q269" s="299">
        <f>O18</f>
        <v>850</v>
      </c>
      <c r="R269" s="299" t="str">
        <f t="shared" ref="R269:T269" si="188">P18</f>
        <v>-</v>
      </c>
      <c r="S269" s="299" t="str">
        <f t="shared" si="188"/>
        <v>-</v>
      </c>
      <c r="T269" s="300">
        <f t="shared" si="188"/>
        <v>0</v>
      </c>
    </row>
    <row r="270" spans="1:23" ht="13" hidden="1" x14ac:dyDescent="0.3">
      <c r="A270" s="681"/>
      <c r="B270" s="298">
        <v>3</v>
      </c>
      <c r="C270" s="299">
        <f>C29</f>
        <v>25</v>
      </c>
      <c r="D270" s="299">
        <f t="shared" ref="D270:F270" si="189">D29</f>
        <v>-0.1</v>
      </c>
      <c r="E270" s="299">
        <f t="shared" si="189"/>
        <v>-0.2</v>
      </c>
      <c r="F270" s="299">
        <f t="shared" si="189"/>
        <v>0.05</v>
      </c>
      <c r="G270" s="254"/>
      <c r="H270" s="684"/>
      <c r="I270" s="298">
        <v>3</v>
      </c>
      <c r="J270" s="299">
        <f>I29</f>
        <v>50</v>
      </c>
      <c r="K270" s="299">
        <f t="shared" ref="K270:M270" si="190">J29</f>
        <v>-4.9000000000000004</v>
      </c>
      <c r="L270" s="299">
        <f t="shared" si="190"/>
        <v>-2.2999999999999998</v>
      </c>
      <c r="M270" s="299">
        <f t="shared" si="190"/>
        <v>1.3000000000000003</v>
      </c>
      <c r="N270" s="254"/>
      <c r="O270" s="684"/>
      <c r="P270" s="298">
        <v>3</v>
      </c>
      <c r="Q270" s="299">
        <f>O29</f>
        <v>850</v>
      </c>
      <c r="R270" s="299" t="str">
        <f t="shared" ref="R270:T270" si="191">P29</f>
        <v>-</v>
      </c>
      <c r="S270" s="299" t="str">
        <f t="shared" si="191"/>
        <v>-</v>
      </c>
      <c r="T270" s="300">
        <f t="shared" si="191"/>
        <v>0</v>
      </c>
    </row>
    <row r="271" spans="1:23" ht="13" hidden="1" x14ac:dyDescent="0.3">
      <c r="A271" s="681"/>
      <c r="B271" s="298">
        <v>4</v>
      </c>
      <c r="C271" s="299">
        <f>C40</f>
        <v>25</v>
      </c>
      <c r="D271" s="299">
        <f t="shared" ref="D271:F271" si="192">D40</f>
        <v>-0.1</v>
      </c>
      <c r="E271" s="299">
        <f t="shared" si="192"/>
        <v>-0.5</v>
      </c>
      <c r="F271" s="299">
        <f t="shared" si="192"/>
        <v>0.2</v>
      </c>
      <c r="G271" s="254"/>
      <c r="H271" s="684"/>
      <c r="I271" s="298">
        <v>4</v>
      </c>
      <c r="J271" s="299">
        <f>I40</f>
        <v>50</v>
      </c>
      <c r="K271" s="299">
        <f t="shared" ref="K271:M271" si="193">J40</f>
        <v>-4.3</v>
      </c>
      <c r="L271" s="299">
        <f t="shared" si="193"/>
        <v>-1</v>
      </c>
      <c r="M271" s="299">
        <f t="shared" si="193"/>
        <v>1.65</v>
      </c>
      <c r="N271" s="254"/>
      <c r="O271" s="684"/>
      <c r="P271" s="298">
        <v>4</v>
      </c>
      <c r="Q271" s="299">
        <f>O40</f>
        <v>850</v>
      </c>
      <c r="R271" s="299" t="str">
        <f t="shared" ref="R271:T271" si="194">P40</f>
        <v>-</v>
      </c>
      <c r="S271" s="299" t="str">
        <f t="shared" si="194"/>
        <v>-</v>
      </c>
      <c r="T271" s="300">
        <f t="shared" si="194"/>
        <v>0</v>
      </c>
      <c r="V271" s="673" t="s">
        <v>460</v>
      </c>
      <c r="W271" s="674"/>
    </row>
    <row r="272" spans="1:23" ht="13" hidden="1" x14ac:dyDescent="0.3">
      <c r="A272" s="681"/>
      <c r="B272" s="298">
        <v>5</v>
      </c>
      <c r="C272" s="299">
        <f>C51</f>
        <v>25</v>
      </c>
      <c r="D272" s="299">
        <f t="shared" ref="D272:F272" si="195">D51</f>
        <v>0.4</v>
      </c>
      <c r="E272" s="299">
        <f t="shared" si="195"/>
        <v>0.2</v>
      </c>
      <c r="F272" s="299">
        <f t="shared" si="195"/>
        <v>0.1</v>
      </c>
      <c r="G272" s="254"/>
      <c r="H272" s="684"/>
      <c r="I272" s="298">
        <v>5</v>
      </c>
      <c r="J272" s="299">
        <f>I51</f>
        <v>50</v>
      </c>
      <c r="K272" s="299">
        <f t="shared" ref="K272:M272" si="196">J51</f>
        <v>-6.2</v>
      </c>
      <c r="L272" s="299">
        <f t="shared" si="196"/>
        <v>-6.2</v>
      </c>
      <c r="M272" s="299">
        <f t="shared" si="196"/>
        <v>0</v>
      </c>
      <c r="N272" s="254"/>
      <c r="O272" s="684"/>
      <c r="P272" s="298">
        <v>5</v>
      </c>
      <c r="Q272" s="299">
        <f>O51</f>
        <v>850</v>
      </c>
      <c r="R272" s="299" t="str">
        <f t="shared" ref="R272:T272" si="197">P51</f>
        <v>-</v>
      </c>
      <c r="S272" s="299" t="str">
        <f t="shared" si="197"/>
        <v>-</v>
      </c>
      <c r="T272" s="300">
        <f t="shared" si="197"/>
        <v>0</v>
      </c>
      <c r="V272" s="677" t="s">
        <v>464</v>
      </c>
      <c r="W272" s="678"/>
    </row>
    <row r="273" spans="1:23" ht="13" hidden="1" x14ac:dyDescent="0.3">
      <c r="A273" s="681"/>
      <c r="B273" s="298">
        <v>6</v>
      </c>
      <c r="C273" s="299">
        <f>C62</f>
        <v>25</v>
      </c>
      <c r="D273" s="299">
        <f t="shared" ref="D273:F273" si="198">D62</f>
        <v>-0.1</v>
      </c>
      <c r="E273" s="299">
        <f t="shared" si="198"/>
        <v>0.1</v>
      </c>
      <c r="F273" s="299">
        <f t="shared" si="198"/>
        <v>0.1</v>
      </c>
      <c r="G273" s="254"/>
      <c r="H273" s="684"/>
      <c r="I273" s="298">
        <v>6</v>
      </c>
      <c r="J273" s="299">
        <f>I62</f>
        <v>50</v>
      </c>
      <c r="K273" s="299">
        <f t="shared" ref="K273:M273" si="199">J62</f>
        <v>1.2</v>
      </c>
      <c r="L273" s="299">
        <f t="shared" si="199"/>
        <v>-2.5</v>
      </c>
      <c r="M273" s="299">
        <f t="shared" si="199"/>
        <v>1.85</v>
      </c>
      <c r="N273" s="254"/>
      <c r="O273" s="684"/>
      <c r="P273" s="298">
        <v>6</v>
      </c>
      <c r="Q273" s="299">
        <f>O62</f>
        <v>850</v>
      </c>
      <c r="R273" s="299">
        <f t="shared" ref="R273:T273" si="200">P62</f>
        <v>1.1000000000000001</v>
      </c>
      <c r="S273" s="299" t="str">
        <f t="shared" si="200"/>
        <v>-</v>
      </c>
      <c r="T273" s="300">
        <f t="shared" si="200"/>
        <v>0</v>
      </c>
      <c r="V273" s="296">
        <v>1</v>
      </c>
      <c r="W273" s="297">
        <f>U5</f>
        <v>0</v>
      </c>
    </row>
    <row r="274" spans="1:23" ht="13" hidden="1" x14ac:dyDescent="0.3">
      <c r="A274" s="681"/>
      <c r="B274" s="298">
        <v>7</v>
      </c>
      <c r="C274" s="299">
        <f>C73</f>
        <v>25</v>
      </c>
      <c r="D274" s="299">
        <f t="shared" ref="D274:F274" si="201">D73</f>
        <v>0</v>
      </c>
      <c r="E274" s="299">
        <f t="shared" si="201"/>
        <v>-0.2</v>
      </c>
      <c r="F274" s="299">
        <f t="shared" si="201"/>
        <v>0.1</v>
      </c>
      <c r="G274" s="254"/>
      <c r="H274" s="684"/>
      <c r="I274" s="298">
        <v>7</v>
      </c>
      <c r="J274" s="299">
        <f>I73</f>
        <v>50</v>
      </c>
      <c r="K274" s="299">
        <f t="shared" ref="K274:M274" si="202">J73</f>
        <v>-1.9</v>
      </c>
      <c r="L274" s="299">
        <f t="shared" si="202"/>
        <v>0.8</v>
      </c>
      <c r="M274" s="299">
        <f t="shared" si="202"/>
        <v>1.35</v>
      </c>
      <c r="N274" s="254"/>
      <c r="O274" s="684"/>
      <c r="P274" s="298">
        <v>7</v>
      </c>
      <c r="Q274" s="299">
        <f>O73</f>
        <v>850</v>
      </c>
      <c r="R274" s="299">
        <f t="shared" ref="R274:T274" si="203">P73</f>
        <v>0</v>
      </c>
      <c r="S274" s="299">
        <f t="shared" si="203"/>
        <v>1.7</v>
      </c>
      <c r="T274" s="300">
        <f t="shared" si="203"/>
        <v>0.85</v>
      </c>
      <c r="V274" s="301">
        <v>2</v>
      </c>
      <c r="W274" s="297">
        <f>U16</f>
        <v>0</v>
      </c>
    </row>
    <row r="275" spans="1:23" ht="13" hidden="1" x14ac:dyDescent="0.3">
      <c r="A275" s="681"/>
      <c r="B275" s="298">
        <v>8</v>
      </c>
      <c r="C275" s="299">
        <f>C84</f>
        <v>25</v>
      </c>
      <c r="D275" s="299">
        <f t="shared" ref="D275:F275" si="204">D84</f>
        <v>-0.1</v>
      </c>
      <c r="E275" s="299">
        <f t="shared" si="204"/>
        <v>-0.4</v>
      </c>
      <c r="F275" s="299">
        <f t="shared" si="204"/>
        <v>0.15000000000000002</v>
      </c>
      <c r="G275" s="254"/>
      <c r="H275" s="684"/>
      <c r="I275" s="298">
        <v>8</v>
      </c>
      <c r="J275" s="299">
        <f>I84</f>
        <v>50</v>
      </c>
      <c r="K275" s="299">
        <f t="shared" ref="K275:M275" si="205">J84</f>
        <v>-3.8</v>
      </c>
      <c r="L275" s="299">
        <f t="shared" si="205"/>
        <v>-1.2</v>
      </c>
      <c r="M275" s="299">
        <f t="shared" si="205"/>
        <v>1.2999999999999998</v>
      </c>
      <c r="N275" s="254"/>
      <c r="O275" s="684"/>
      <c r="P275" s="298">
        <v>8</v>
      </c>
      <c r="Q275" s="299">
        <f>O84</f>
        <v>850</v>
      </c>
      <c r="R275" s="299">
        <f t="shared" ref="R275:T275" si="206">P84</f>
        <v>0</v>
      </c>
      <c r="S275" s="299">
        <f t="shared" si="206"/>
        <v>0</v>
      </c>
      <c r="T275" s="300">
        <f t="shared" si="206"/>
        <v>0</v>
      </c>
      <c r="V275" s="301">
        <v>3</v>
      </c>
      <c r="W275" s="332">
        <f>U27</f>
        <v>0</v>
      </c>
    </row>
    <row r="276" spans="1:23" ht="13" hidden="1" x14ac:dyDescent="0.3">
      <c r="A276" s="681"/>
      <c r="B276" s="298">
        <v>9</v>
      </c>
      <c r="C276" s="299">
        <f>C95</f>
        <v>25</v>
      </c>
      <c r="D276" s="299">
        <f t="shared" ref="D276:F276" si="207">D95</f>
        <v>-0.4</v>
      </c>
      <c r="E276" s="299" t="str">
        <f t="shared" si="207"/>
        <v>-</v>
      </c>
      <c r="F276" s="299">
        <f t="shared" si="207"/>
        <v>0</v>
      </c>
      <c r="G276" s="254"/>
      <c r="H276" s="684"/>
      <c r="I276" s="298">
        <v>9</v>
      </c>
      <c r="J276" s="299">
        <f>I95</f>
        <v>50</v>
      </c>
      <c r="K276" s="299">
        <f t="shared" ref="K276:M276" si="208">J95</f>
        <v>-0.9</v>
      </c>
      <c r="L276" s="299" t="str">
        <f t="shared" si="208"/>
        <v>-</v>
      </c>
      <c r="M276" s="299">
        <f t="shared" si="208"/>
        <v>0</v>
      </c>
      <c r="N276" s="254"/>
      <c r="O276" s="684"/>
      <c r="P276" s="298">
        <v>9</v>
      </c>
      <c r="Q276" s="299">
        <f>O95</f>
        <v>850</v>
      </c>
      <c r="R276" s="299">
        <f t="shared" ref="R276:T276" si="209">P95</f>
        <v>0</v>
      </c>
      <c r="S276" s="299" t="str">
        <f t="shared" si="209"/>
        <v>-</v>
      </c>
      <c r="T276" s="300">
        <f t="shared" si="209"/>
        <v>0</v>
      </c>
      <c r="V276" s="301">
        <v>4</v>
      </c>
      <c r="W276" s="332">
        <f>U39</f>
        <v>0</v>
      </c>
    </row>
    <row r="277" spans="1:23" ht="13" hidden="1" x14ac:dyDescent="0.3">
      <c r="A277" s="681"/>
      <c r="B277" s="298">
        <v>10</v>
      </c>
      <c r="C277" s="299">
        <f>C106</f>
        <v>25</v>
      </c>
      <c r="D277" s="299">
        <f t="shared" ref="D277:F277" si="210">D106</f>
        <v>0.1</v>
      </c>
      <c r="E277" s="299">
        <f t="shared" si="210"/>
        <v>-0.5</v>
      </c>
      <c r="F277" s="299">
        <f t="shared" si="210"/>
        <v>0.3</v>
      </c>
      <c r="G277" s="254"/>
      <c r="H277" s="684"/>
      <c r="I277" s="298">
        <v>10</v>
      </c>
      <c r="J277" s="299">
        <f>I106</f>
        <v>50</v>
      </c>
      <c r="K277" s="299">
        <f t="shared" ref="K277:M277" si="211">J106</f>
        <v>-3.1</v>
      </c>
      <c r="L277" s="299">
        <f t="shared" si="211"/>
        <v>-6.1</v>
      </c>
      <c r="M277" s="299">
        <f t="shared" si="211"/>
        <v>1.4999999999999998</v>
      </c>
      <c r="N277" s="254"/>
      <c r="O277" s="684"/>
      <c r="P277" s="298">
        <v>10</v>
      </c>
      <c r="Q277" s="299">
        <f>O106</f>
        <v>850</v>
      </c>
      <c r="R277" s="299" t="str">
        <f t="shared" ref="R277:T277" si="212">P106</f>
        <v>-</v>
      </c>
      <c r="S277" s="299" t="str">
        <f t="shared" si="212"/>
        <v>-</v>
      </c>
      <c r="T277" s="300">
        <f t="shared" si="212"/>
        <v>0</v>
      </c>
      <c r="V277" s="301">
        <v>5</v>
      </c>
      <c r="W277" s="332">
        <f>U49</f>
        <v>0</v>
      </c>
    </row>
    <row r="278" spans="1:23" ht="13" hidden="1" x14ac:dyDescent="0.3">
      <c r="A278" s="681"/>
      <c r="B278" s="298">
        <v>11</v>
      </c>
      <c r="C278" s="299">
        <f>C117</f>
        <v>25</v>
      </c>
      <c r="D278" s="299">
        <f t="shared" ref="D278:F278" si="213">D117</f>
        <v>0.4</v>
      </c>
      <c r="E278" s="299">
        <f t="shared" si="213"/>
        <v>0.5</v>
      </c>
      <c r="F278" s="299">
        <f t="shared" si="213"/>
        <v>4.9999999999999989E-2</v>
      </c>
      <c r="G278" s="254"/>
      <c r="H278" s="684"/>
      <c r="I278" s="298">
        <v>11</v>
      </c>
      <c r="J278" s="299">
        <f>I117</f>
        <v>50</v>
      </c>
      <c r="K278" s="299">
        <f t="shared" ref="K278:M278" si="214">J117</f>
        <v>-5.5</v>
      </c>
      <c r="L278" s="299">
        <f t="shared" si="214"/>
        <v>-5.6</v>
      </c>
      <c r="M278" s="299">
        <f t="shared" si="214"/>
        <v>4.9999999999999822E-2</v>
      </c>
      <c r="N278" s="254"/>
      <c r="O278" s="684"/>
      <c r="P278" s="298">
        <v>11</v>
      </c>
      <c r="Q278" s="299">
        <f>O117</f>
        <v>850</v>
      </c>
      <c r="R278" s="299" t="str">
        <f t="shared" ref="R278:T278" si="215">P117</f>
        <v>-</v>
      </c>
      <c r="S278" s="299" t="str">
        <f t="shared" si="215"/>
        <v>-</v>
      </c>
      <c r="T278" s="300">
        <f t="shared" si="215"/>
        <v>0</v>
      </c>
      <c r="V278" s="296">
        <v>6</v>
      </c>
      <c r="W278" s="297">
        <f>U60</f>
        <v>1.8</v>
      </c>
    </row>
    <row r="279" spans="1:23" ht="13" hidden="1" x14ac:dyDescent="0.3">
      <c r="A279" s="681"/>
      <c r="B279" s="298">
        <v>12</v>
      </c>
      <c r="C279" s="299">
        <f>C128</f>
        <v>25</v>
      </c>
      <c r="D279" s="299">
        <f t="shared" ref="D279:F279" si="216">D128</f>
        <v>0</v>
      </c>
      <c r="E279" s="299" t="str">
        <f t="shared" si="216"/>
        <v>-</v>
      </c>
      <c r="F279" s="299">
        <f t="shared" si="216"/>
        <v>0</v>
      </c>
      <c r="G279" s="254"/>
      <c r="H279" s="684"/>
      <c r="I279" s="298">
        <v>12</v>
      </c>
      <c r="J279" s="299">
        <f>I128</f>
        <v>50</v>
      </c>
      <c r="K279" s="299">
        <f t="shared" ref="K279:M279" si="217">J128</f>
        <v>0</v>
      </c>
      <c r="L279" s="299" t="str">
        <f t="shared" si="217"/>
        <v>-</v>
      </c>
      <c r="M279" s="299">
        <f t="shared" si="217"/>
        <v>0</v>
      </c>
      <c r="N279" s="254"/>
      <c r="O279" s="684"/>
      <c r="P279" s="298">
        <v>12</v>
      </c>
      <c r="Q279" s="299">
        <f>O128</f>
        <v>900</v>
      </c>
      <c r="R279" s="299">
        <f t="shared" ref="R279:T279" si="218">P128</f>
        <v>-0.6</v>
      </c>
      <c r="S279" s="299" t="str">
        <f t="shared" si="218"/>
        <v>-</v>
      </c>
      <c r="T279" s="300">
        <f t="shared" si="218"/>
        <v>0</v>
      </c>
      <c r="V279" s="296">
        <v>7</v>
      </c>
      <c r="W279" s="297">
        <f>U71</f>
        <v>2.4</v>
      </c>
    </row>
    <row r="280" spans="1:23" ht="13" hidden="1" x14ac:dyDescent="0.3">
      <c r="A280" s="681"/>
      <c r="B280" s="298">
        <v>13</v>
      </c>
      <c r="C280" s="299">
        <f>C139</f>
        <v>25</v>
      </c>
      <c r="D280" s="299">
        <f t="shared" ref="D280:F280" si="219">D139</f>
        <v>-0.2</v>
      </c>
      <c r="E280" s="299" t="str">
        <f t="shared" si="219"/>
        <v>-</v>
      </c>
      <c r="F280" s="299">
        <f t="shared" si="219"/>
        <v>0</v>
      </c>
      <c r="G280" s="254"/>
      <c r="H280" s="684"/>
      <c r="I280" s="298">
        <v>13</v>
      </c>
      <c r="J280" s="299">
        <f>I139</f>
        <v>50</v>
      </c>
      <c r="K280" s="299">
        <f t="shared" ref="K280:M280" si="220">J139</f>
        <v>-1.3</v>
      </c>
      <c r="L280" s="299" t="str">
        <f t="shared" si="220"/>
        <v>-</v>
      </c>
      <c r="M280" s="299">
        <f t="shared" si="220"/>
        <v>0</v>
      </c>
      <c r="N280" s="254"/>
      <c r="O280" s="684"/>
      <c r="P280" s="298">
        <v>13</v>
      </c>
      <c r="Q280" s="299">
        <f>O139</f>
        <v>980</v>
      </c>
      <c r="R280" s="299">
        <f t="shared" ref="R280:T280" si="221">P139</f>
        <v>1</v>
      </c>
      <c r="S280" s="299" t="str">
        <f t="shared" si="221"/>
        <v>-</v>
      </c>
      <c r="T280" s="300">
        <f t="shared" si="221"/>
        <v>0</v>
      </c>
      <c r="V280" s="296">
        <v>8</v>
      </c>
      <c r="W280" s="297">
        <f>U82</f>
        <v>2.1</v>
      </c>
    </row>
    <row r="281" spans="1:23" ht="13" hidden="1" x14ac:dyDescent="0.3">
      <c r="A281" s="681"/>
      <c r="B281" s="298">
        <v>14</v>
      </c>
      <c r="C281" s="299">
        <f>C150</f>
        <v>25</v>
      </c>
      <c r="D281" s="299">
        <f t="shared" ref="D281:F281" si="222">D150</f>
        <v>-0.1</v>
      </c>
      <c r="E281" s="299" t="str">
        <f t="shared" si="222"/>
        <v>-</v>
      </c>
      <c r="F281" s="299">
        <f t="shared" si="222"/>
        <v>0</v>
      </c>
      <c r="G281" s="254"/>
      <c r="H281" s="684"/>
      <c r="I281" s="298">
        <v>14</v>
      </c>
      <c r="J281" s="299">
        <f>I151</f>
        <v>60</v>
      </c>
      <c r="K281" s="299">
        <f t="shared" ref="K281:M281" si="223">J151</f>
        <v>-0.6</v>
      </c>
      <c r="L281" s="299" t="str">
        <f t="shared" si="223"/>
        <v>-</v>
      </c>
      <c r="M281" s="299">
        <f t="shared" si="223"/>
        <v>0</v>
      </c>
      <c r="N281" s="254"/>
      <c r="O281" s="684"/>
      <c r="P281" s="298">
        <v>14</v>
      </c>
      <c r="Q281" s="299">
        <f>O150</f>
        <v>980</v>
      </c>
      <c r="R281" s="299">
        <f t="shared" ref="R281:T281" si="224">P150</f>
        <v>1</v>
      </c>
      <c r="S281" s="299" t="str">
        <f t="shared" si="224"/>
        <v>-</v>
      </c>
      <c r="T281" s="300">
        <f t="shared" si="224"/>
        <v>0</v>
      </c>
      <c r="V281" s="296">
        <v>9</v>
      </c>
      <c r="W281" s="297">
        <f>U93</f>
        <v>2.2000000000000002</v>
      </c>
    </row>
    <row r="282" spans="1:23" ht="13" hidden="1" x14ac:dyDescent="0.3">
      <c r="A282" s="681"/>
      <c r="B282" s="298">
        <v>15</v>
      </c>
      <c r="C282" s="299">
        <f>C161</f>
        <v>25</v>
      </c>
      <c r="D282" s="299">
        <f t="shared" ref="D282:F282" si="225">D161</f>
        <v>-0.4</v>
      </c>
      <c r="E282" s="299" t="str">
        <f t="shared" si="225"/>
        <v>-</v>
      </c>
      <c r="F282" s="299">
        <f t="shared" si="225"/>
        <v>0</v>
      </c>
      <c r="G282" s="254"/>
      <c r="H282" s="684"/>
      <c r="I282" s="298">
        <v>15</v>
      </c>
      <c r="J282" s="299">
        <f>I161</f>
        <v>50</v>
      </c>
      <c r="K282" s="299">
        <f t="shared" ref="K282:M282" si="226">J161</f>
        <v>-0.3</v>
      </c>
      <c r="L282" s="299" t="str">
        <f t="shared" si="226"/>
        <v>-</v>
      </c>
      <c r="M282" s="299">
        <f t="shared" si="226"/>
        <v>0</v>
      </c>
      <c r="N282" s="254"/>
      <c r="O282" s="684"/>
      <c r="P282" s="298">
        <v>15</v>
      </c>
      <c r="Q282" s="299">
        <f>O161</f>
        <v>980</v>
      </c>
      <c r="R282" s="299">
        <f t="shared" ref="R282:T282" si="227">P161</f>
        <v>1</v>
      </c>
      <c r="S282" s="299" t="str">
        <f t="shared" si="227"/>
        <v>-</v>
      </c>
      <c r="T282" s="300">
        <f t="shared" si="227"/>
        <v>0</v>
      </c>
      <c r="V282" s="296">
        <v>10</v>
      </c>
      <c r="W282" s="297">
        <f>U104</f>
        <v>0</v>
      </c>
    </row>
    <row r="283" spans="1:23" ht="13" hidden="1" x14ac:dyDescent="0.3">
      <c r="A283" s="681"/>
      <c r="B283" s="298">
        <v>16</v>
      </c>
      <c r="C283" s="299">
        <f>C172</f>
        <v>25</v>
      </c>
      <c r="D283" s="299">
        <f t="shared" ref="D283:F283" si="228">D172</f>
        <v>0.2</v>
      </c>
      <c r="E283" s="299" t="str">
        <f t="shared" si="228"/>
        <v>-</v>
      </c>
      <c r="F283" s="299">
        <f t="shared" si="228"/>
        <v>0</v>
      </c>
      <c r="G283" s="254"/>
      <c r="H283" s="684"/>
      <c r="I283" s="298">
        <v>16</v>
      </c>
      <c r="J283" s="299">
        <f>I172</f>
        <v>50</v>
      </c>
      <c r="K283" s="299">
        <f t="shared" ref="K283:M283" si="229">J172</f>
        <v>-1.4</v>
      </c>
      <c r="L283" s="299" t="str">
        <f t="shared" si="229"/>
        <v>-</v>
      </c>
      <c r="M283" s="299">
        <f t="shared" si="229"/>
        <v>0</v>
      </c>
      <c r="N283" s="254"/>
      <c r="O283" s="684"/>
      <c r="P283" s="298">
        <v>16</v>
      </c>
      <c r="Q283" s="299">
        <f>O172</f>
        <v>900</v>
      </c>
      <c r="R283" s="299">
        <f t="shared" ref="R283:T283" si="230">P172</f>
        <v>-1.7</v>
      </c>
      <c r="S283" s="299" t="str">
        <f t="shared" si="230"/>
        <v>-</v>
      </c>
      <c r="T283" s="300">
        <f t="shared" si="230"/>
        <v>0</v>
      </c>
      <c r="V283" s="296">
        <v>11</v>
      </c>
      <c r="W283" s="297">
        <f>U115</f>
        <v>0</v>
      </c>
    </row>
    <row r="284" spans="1:23" ht="13" hidden="1" x14ac:dyDescent="0.3">
      <c r="A284" s="681"/>
      <c r="B284" s="298">
        <v>17</v>
      </c>
      <c r="C284" s="299">
        <f>C183</f>
        <v>25</v>
      </c>
      <c r="D284" s="299">
        <f t="shared" ref="D284:F284" si="231">D183</f>
        <v>0</v>
      </c>
      <c r="E284" s="299" t="str">
        <f t="shared" si="231"/>
        <v>-</v>
      </c>
      <c r="F284" s="299">
        <f t="shared" si="231"/>
        <v>0</v>
      </c>
      <c r="G284" s="254"/>
      <c r="H284" s="684"/>
      <c r="I284" s="298">
        <v>17</v>
      </c>
      <c r="J284" s="299">
        <f>I183</f>
        <v>50</v>
      </c>
      <c r="K284" s="299">
        <f t="shared" ref="K284:M284" si="232">J183</f>
        <v>0.2</v>
      </c>
      <c r="L284" s="299" t="str">
        <f t="shared" si="232"/>
        <v>-</v>
      </c>
      <c r="M284" s="299">
        <f t="shared" si="232"/>
        <v>0</v>
      </c>
      <c r="N284" s="254"/>
      <c r="O284" s="684"/>
      <c r="P284" s="298">
        <v>17</v>
      </c>
      <c r="Q284" s="299">
        <f>O183</f>
        <v>980</v>
      </c>
      <c r="R284" s="299">
        <f t="shared" ref="R284:T284" si="233">P183</f>
        <v>-0.6</v>
      </c>
      <c r="S284" s="299" t="str">
        <f t="shared" si="233"/>
        <v>-</v>
      </c>
      <c r="T284" s="300">
        <f t="shared" si="233"/>
        <v>0</v>
      </c>
      <c r="V284" s="296">
        <v>12</v>
      </c>
      <c r="W284" s="325">
        <f>U126</f>
        <v>2.4</v>
      </c>
    </row>
    <row r="285" spans="1:23" ht="13" hidden="1" x14ac:dyDescent="0.3">
      <c r="A285" s="681"/>
      <c r="B285" s="298">
        <v>18</v>
      </c>
      <c r="C285" s="299">
        <f>C194</f>
        <v>25</v>
      </c>
      <c r="D285" s="299">
        <f t="shared" ref="D285:F285" si="234">D194</f>
        <v>-0.2</v>
      </c>
      <c r="E285" s="299" t="str">
        <f t="shared" si="234"/>
        <v>-</v>
      </c>
      <c r="F285" s="299">
        <f t="shared" si="234"/>
        <v>0</v>
      </c>
      <c r="G285" s="254"/>
      <c r="H285" s="684"/>
      <c r="I285" s="298">
        <v>18</v>
      </c>
      <c r="J285" s="299">
        <f>I194</f>
        <v>50</v>
      </c>
      <c r="K285" s="299">
        <f t="shared" ref="K285:M285" si="235">J194</f>
        <v>-0.2</v>
      </c>
      <c r="L285" s="299" t="str">
        <f t="shared" si="235"/>
        <v>-</v>
      </c>
      <c r="M285" s="299">
        <f t="shared" si="235"/>
        <v>0</v>
      </c>
      <c r="N285" s="254"/>
      <c r="O285" s="684"/>
      <c r="P285" s="298">
        <v>18</v>
      </c>
      <c r="Q285" s="299">
        <f>O194</f>
        <v>900</v>
      </c>
      <c r="R285" s="299">
        <f t="shared" ref="R285:T285" si="236">P194</f>
        <v>-1.1000000000000001</v>
      </c>
      <c r="S285" s="299" t="str">
        <f t="shared" si="236"/>
        <v>-</v>
      </c>
      <c r="T285" s="300">
        <f t="shared" si="236"/>
        <v>0</v>
      </c>
      <c r="V285" s="296">
        <v>13</v>
      </c>
      <c r="W285" s="297">
        <f>U137</f>
        <v>1.5</v>
      </c>
    </row>
    <row r="286" spans="1:23" ht="13" hidden="1" x14ac:dyDescent="0.3">
      <c r="A286" s="681"/>
      <c r="B286" s="298">
        <v>19</v>
      </c>
      <c r="C286" s="299">
        <f>C194</f>
        <v>25</v>
      </c>
      <c r="D286" s="299">
        <f t="shared" ref="D286:F286" si="237">D194</f>
        <v>-0.2</v>
      </c>
      <c r="E286" s="299" t="str">
        <f t="shared" si="237"/>
        <v>-</v>
      </c>
      <c r="F286" s="299">
        <f t="shared" si="237"/>
        <v>0</v>
      </c>
      <c r="G286" s="254"/>
      <c r="H286" s="684"/>
      <c r="I286" s="298">
        <v>19</v>
      </c>
      <c r="J286" s="299">
        <f>I205</f>
        <v>50</v>
      </c>
      <c r="K286" s="299">
        <f t="shared" ref="K286:M286" si="238">J205</f>
        <v>-0.2</v>
      </c>
      <c r="L286" s="299" t="str">
        <f t="shared" si="238"/>
        <v>-</v>
      </c>
      <c r="M286" s="299">
        <f t="shared" si="238"/>
        <v>0</v>
      </c>
      <c r="N286" s="254"/>
      <c r="O286" s="684"/>
      <c r="P286" s="298">
        <v>19</v>
      </c>
      <c r="Q286" s="299">
        <f>O205</f>
        <v>850</v>
      </c>
      <c r="R286" s="299">
        <f t="shared" ref="R286:T286" si="239">P205</f>
        <v>2.4</v>
      </c>
      <c r="S286" s="299" t="str">
        <f t="shared" si="239"/>
        <v>-</v>
      </c>
      <c r="T286" s="300">
        <f t="shared" si="239"/>
        <v>0</v>
      </c>
      <c r="V286" s="296">
        <v>14</v>
      </c>
      <c r="W286" s="297">
        <f>U148</f>
        <v>1.5</v>
      </c>
    </row>
    <row r="287" spans="1:23" ht="13.5" hidden="1" thickBot="1" x14ac:dyDescent="0.35">
      <c r="A287" s="682"/>
      <c r="B287" s="309">
        <v>20</v>
      </c>
      <c r="C287" s="326">
        <f>C216</f>
        <v>24.6</v>
      </c>
      <c r="D287" s="326">
        <f t="shared" ref="D287:F287" si="240">D216</f>
        <v>0</v>
      </c>
      <c r="E287" s="326" t="str">
        <f t="shared" si="240"/>
        <v>-</v>
      </c>
      <c r="F287" s="326">
        <f t="shared" si="240"/>
        <v>0</v>
      </c>
      <c r="G287" s="311"/>
      <c r="H287" s="685"/>
      <c r="I287" s="309">
        <v>20</v>
      </c>
      <c r="J287" s="326">
        <f>I216</f>
        <v>62.5</v>
      </c>
      <c r="K287" s="326">
        <f t="shared" ref="K287:M287" si="241">J216</f>
        <v>0</v>
      </c>
      <c r="L287" s="326" t="str">
        <f t="shared" si="241"/>
        <v>-</v>
      </c>
      <c r="M287" s="326">
        <f t="shared" si="241"/>
        <v>0</v>
      </c>
      <c r="N287" s="311"/>
      <c r="O287" s="685"/>
      <c r="P287" s="309">
        <v>20</v>
      </c>
      <c r="Q287" s="326">
        <f>O216</f>
        <v>850</v>
      </c>
      <c r="R287" s="326" t="str">
        <f t="shared" ref="R287:T287" si="242">P216</f>
        <v>-</v>
      </c>
      <c r="S287" s="326" t="str">
        <f t="shared" si="242"/>
        <v>-</v>
      </c>
      <c r="T287" s="327">
        <f t="shared" si="242"/>
        <v>0</v>
      </c>
      <c r="V287" s="296">
        <v>15</v>
      </c>
      <c r="W287" s="297">
        <f>U159</f>
        <v>1.5</v>
      </c>
    </row>
    <row r="288" spans="1:23" ht="13" hidden="1" x14ac:dyDescent="0.3">
      <c r="A288" s="314"/>
      <c r="B288" s="315"/>
      <c r="C288" s="328"/>
      <c r="D288" s="328"/>
      <c r="E288" s="328"/>
      <c r="F288" s="329"/>
      <c r="G288" s="318"/>
      <c r="H288" s="314"/>
      <c r="I288" s="333"/>
      <c r="J288" s="328"/>
      <c r="K288" s="328"/>
      <c r="L288" s="328"/>
      <c r="M288" s="329"/>
      <c r="N288" s="254"/>
      <c r="O288" s="314"/>
      <c r="P288" s="333"/>
      <c r="Q288" s="328"/>
      <c r="R288" s="328"/>
      <c r="S288" s="328"/>
      <c r="T288" s="329"/>
      <c r="V288" s="296">
        <v>16</v>
      </c>
      <c r="W288" s="306">
        <f>U170</f>
        <v>2.2999999999999998</v>
      </c>
    </row>
    <row r="289" spans="1:23" ht="13" hidden="1" x14ac:dyDescent="0.3">
      <c r="A289" s="680">
        <v>4</v>
      </c>
      <c r="B289" s="321">
        <v>1</v>
      </c>
      <c r="C289" s="330">
        <f>C8</f>
        <v>30</v>
      </c>
      <c r="D289" s="330">
        <f t="shared" ref="D289:F289" si="243">D8</f>
        <v>0</v>
      </c>
      <c r="E289" s="330">
        <f t="shared" si="243"/>
        <v>-0.2</v>
      </c>
      <c r="F289" s="330">
        <f t="shared" si="243"/>
        <v>0.1</v>
      </c>
      <c r="G289" s="323"/>
      <c r="H289" s="683">
        <v>4</v>
      </c>
      <c r="I289" s="321">
        <v>1</v>
      </c>
      <c r="J289" s="330">
        <f>I8</f>
        <v>60</v>
      </c>
      <c r="K289" s="330">
        <f t="shared" ref="K289:M289" si="244">J8</f>
        <v>-5.3</v>
      </c>
      <c r="L289" s="330">
        <f t="shared" si="244"/>
        <v>-5.2</v>
      </c>
      <c r="M289" s="330">
        <f t="shared" si="244"/>
        <v>4.9999999999999822E-2</v>
      </c>
      <c r="N289" s="323"/>
      <c r="O289" s="683">
        <v>4</v>
      </c>
      <c r="P289" s="321">
        <v>1</v>
      </c>
      <c r="Q289" s="330">
        <f>O8</f>
        <v>900</v>
      </c>
      <c r="R289" s="330" t="str">
        <f t="shared" ref="R289:T289" si="245">P8</f>
        <v>-</v>
      </c>
      <c r="S289" s="330" t="str">
        <f t="shared" si="245"/>
        <v>-</v>
      </c>
      <c r="T289" s="331">
        <f t="shared" si="245"/>
        <v>0</v>
      </c>
      <c r="V289" s="296">
        <v>17</v>
      </c>
      <c r="W289" s="306">
        <f>U181</f>
        <v>2.1</v>
      </c>
    </row>
    <row r="290" spans="1:23" ht="13" hidden="1" x14ac:dyDescent="0.3">
      <c r="A290" s="681"/>
      <c r="B290" s="298">
        <v>2</v>
      </c>
      <c r="C290" s="299">
        <f>C19</f>
        <v>30</v>
      </c>
      <c r="D290" s="299">
        <f t="shared" ref="D290:F290" si="246">D19</f>
        <v>-0.3</v>
      </c>
      <c r="E290" s="299">
        <f t="shared" si="246"/>
        <v>-1</v>
      </c>
      <c r="F290" s="299">
        <f t="shared" si="246"/>
        <v>0.35</v>
      </c>
      <c r="G290" s="254"/>
      <c r="H290" s="684"/>
      <c r="I290" s="298">
        <v>2</v>
      </c>
      <c r="J290" s="299">
        <f>I19</f>
        <v>60</v>
      </c>
      <c r="K290" s="299">
        <f t="shared" ref="K290:M290" si="247">J19</f>
        <v>-1.3</v>
      </c>
      <c r="L290" s="299">
        <f t="shared" si="247"/>
        <v>-1.3</v>
      </c>
      <c r="M290" s="299">
        <f t="shared" si="247"/>
        <v>0</v>
      </c>
      <c r="N290" s="254"/>
      <c r="O290" s="684"/>
      <c r="P290" s="298">
        <v>2</v>
      </c>
      <c r="Q290" s="299">
        <f>O19</f>
        <v>900</v>
      </c>
      <c r="R290" s="299" t="str">
        <f t="shared" ref="R290:T290" si="248">P19</f>
        <v>-</v>
      </c>
      <c r="S290" s="299" t="str">
        <f t="shared" si="248"/>
        <v>-</v>
      </c>
      <c r="T290" s="300">
        <f t="shared" si="248"/>
        <v>0</v>
      </c>
      <c r="V290" s="296">
        <v>18</v>
      </c>
      <c r="W290" s="306">
        <f>U192</f>
        <v>2.4</v>
      </c>
    </row>
    <row r="291" spans="1:23" ht="13" hidden="1" x14ac:dyDescent="0.3">
      <c r="A291" s="681"/>
      <c r="B291" s="298">
        <v>3</v>
      </c>
      <c r="C291" s="299">
        <f>C30</f>
        <v>30</v>
      </c>
      <c r="D291" s="299">
        <f t="shared" ref="D291:F291" si="249">D30</f>
        <v>-0.3</v>
      </c>
      <c r="E291" s="299">
        <f t="shared" si="249"/>
        <v>-0.3</v>
      </c>
      <c r="F291" s="299">
        <f t="shared" si="249"/>
        <v>0</v>
      </c>
      <c r="G291" s="254"/>
      <c r="H291" s="684"/>
      <c r="I291" s="298">
        <v>3</v>
      </c>
      <c r="J291" s="299">
        <f>I30</f>
        <v>60</v>
      </c>
      <c r="K291" s="299">
        <f t="shared" ref="K291:M291" si="250">J30</f>
        <v>-4.3</v>
      </c>
      <c r="L291" s="299">
        <f t="shared" si="250"/>
        <v>-2.2000000000000002</v>
      </c>
      <c r="M291" s="299">
        <f t="shared" si="250"/>
        <v>1.0499999999999998</v>
      </c>
      <c r="N291" s="254"/>
      <c r="O291" s="684"/>
      <c r="P291" s="298">
        <v>3</v>
      </c>
      <c r="Q291" s="299">
        <f>O30</f>
        <v>900</v>
      </c>
      <c r="R291" s="299" t="str">
        <f t="shared" ref="R291:T291" si="251">P30</f>
        <v>-</v>
      </c>
      <c r="S291" s="299" t="str">
        <f t="shared" si="251"/>
        <v>-</v>
      </c>
      <c r="T291" s="300">
        <f t="shared" si="251"/>
        <v>0</v>
      </c>
      <c r="V291" s="296">
        <v>19</v>
      </c>
      <c r="W291" s="306">
        <f>U203</f>
        <v>0.4</v>
      </c>
    </row>
    <row r="292" spans="1:23" ht="13.5" hidden="1" thickBot="1" x14ac:dyDescent="0.35">
      <c r="A292" s="681"/>
      <c r="B292" s="298">
        <v>4</v>
      </c>
      <c r="C292" s="299">
        <f>C41</f>
        <v>30</v>
      </c>
      <c r="D292" s="299">
        <f t="shared" ref="D292:F292" si="252">D41</f>
        <v>-0.1</v>
      </c>
      <c r="E292" s="299">
        <f t="shared" si="252"/>
        <v>-0.6</v>
      </c>
      <c r="F292" s="299">
        <f t="shared" si="252"/>
        <v>0.25</v>
      </c>
      <c r="G292" s="254"/>
      <c r="H292" s="684"/>
      <c r="I292" s="298">
        <v>4</v>
      </c>
      <c r="J292" s="299">
        <f>I41</f>
        <v>60</v>
      </c>
      <c r="K292" s="299">
        <f t="shared" ref="K292:M292" si="253">J41</f>
        <v>-4.2</v>
      </c>
      <c r="L292" s="299">
        <f t="shared" si="253"/>
        <v>-0.3</v>
      </c>
      <c r="M292" s="299">
        <f t="shared" si="253"/>
        <v>1.9500000000000002</v>
      </c>
      <c r="N292" s="254"/>
      <c r="O292" s="684"/>
      <c r="P292" s="298">
        <v>4</v>
      </c>
      <c r="Q292" s="299">
        <f>O41</f>
        <v>900</v>
      </c>
      <c r="R292" s="299" t="str">
        <f t="shared" ref="R292:T292" si="254">P41</f>
        <v>-</v>
      </c>
      <c r="S292" s="299" t="str">
        <f t="shared" si="254"/>
        <v>-</v>
      </c>
      <c r="T292" s="300">
        <f t="shared" si="254"/>
        <v>0</v>
      </c>
      <c r="V292" s="307">
        <v>20</v>
      </c>
      <c r="W292" s="308">
        <f>U214</f>
        <v>0</v>
      </c>
    </row>
    <row r="293" spans="1:23" ht="13" hidden="1" x14ac:dyDescent="0.3">
      <c r="A293" s="681"/>
      <c r="B293" s="298">
        <v>5</v>
      </c>
      <c r="C293" s="299">
        <f>C52</f>
        <v>30</v>
      </c>
      <c r="D293" s="299">
        <f t="shared" ref="D293:F293" si="255">D52</f>
        <v>0.6</v>
      </c>
      <c r="E293" s="299">
        <f t="shared" si="255"/>
        <v>0.1</v>
      </c>
      <c r="F293" s="299">
        <f t="shared" si="255"/>
        <v>0.25</v>
      </c>
      <c r="G293" s="254"/>
      <c r="H293" s="684"/>
      <c r="I293" s="298">
        <v>5</v>
      </c>
      <c r="J293" s="299">
        <f>I52</f>
        <v>60</v>
      </c>
      <c r="K293" s="299">
        <f t="shared" ref="K293:M293" si="256">J52</f>
        <v>-5.2</v>
      </c>
      <c r="L293" s="299">
        <f t="shared" si="256"/>
        <v>-4.2</v>
      </c>
      <c r="M293" s="299">
        <f t="shared" si="256"/>
        <v>0.5</v>
      </c>
      <c r="N293" s="254"/>
      <c r="O293" s="684"/>
      <c r="P293" s="298">
        <v>5</v>
      </c>
      <c r="Q293" s="299">
        <f>O52</f>
        <v>900</v>
      </c>
      <c r="R293" s="299" t="str">
        <f t="shared" ref="R293:T293" si="257">P52</f>
        <v>-</v>
      </c>
      <c r="S293" s="299" t="str">
        <f t="shared" si="257"/>
        <v>-</v>
      </c>
      <c r="T293" s="300">
        <f t="shared" si="257"/>
        <v>0</v>
      </c>
    </row>
    <row r="294" spans="1:23" ht="13" hidden="1" x14ac:dyDescent="0.3">
      <c r="A294" s="681"/>
      <c r="B294" s="298">
        <v>6</v>
      </c>
      <c r="C294" s="299">
        <f>C63</f>
        <v>30</v>
      </c>
      <c r="D294" s="299">
        <f t="shared" ref="D294:F294" si="258">D63</f>
        <v>-0.5</v>
      </c>
      <c r="E294" s="299">
        <f t="shared" si="258"/>
        <v>0.13</v>
      </c>
      <c r="F294" s="299">
        <f t="shared" si="258"/>
        <v>0.315</v>
      </c>
      <c r="G294" s="254"/>
      <c r="H294" s="684"/>
      <c r="I294" s="298">
        <v>6</v>
      </c>
      <c r="J294" s="299">
        <f>I63</f>
        <v>60</v>
      </c>
      <c r="K294" s="299">
        <f t="shared" ref="K294:M294" si="259">J63</f>
        <v>1.1000000000000001</v>
      </c>
      <c r="L294" s="299">
        <f t="shared" si="259"/>
        <v>-2</v>
      </c>
      <c r="M294" s="299">
        <f t="shared" si="259"/>
        <v>1.55</v>
      </c>
      <c r="N294" s="254"/>
      <c r="O294" s="684"/>
      <c r="P294" s="298">
        <v>6</v>
      </c>
      <c r="Q294" s="299">
        <f>O63</f>
        <v>900</v>
      </c>
      <c r="R294" s="299">
        <f t="shared" ref="R294:T294" si="260">P63</f>
        <v>0.7</v>
      </c>
      <c r="S294" s="299" t="str">
        <f t="shared" si="260"/>
        <v>-</v>
      </c>
      <c r="T294" s="300">
        <f t="shared" si="260"/>
        <v>0</v>
      </c>
    </row>
    <row r="295" spans="1:23" ht="13" hidden="1" x14ac:dyDescent="0.3">
      <c r="A295" s="681"/>
      <c r="B295" s="298">
        <v>7</v>
      </c>
      <c r="C295" s="299">
        <f>C74</f>
        <v>30</v>
      </c>
      <c r="D295" s="299">
        <f t="shared" ref="D295:F295" si="261">D74</f>
        <v>0</v>
      </c>
      <c r="E295" s="299">
        <f t="shared" si="261"/>
        <v>-0.6</v>
      </c>
      <c r="F295" s="299">
        <f t="shared" si="261"/>
        <v>0.3</v>
      </c>
      <c r="G295" s="254"/>
      <c r="H295" s="684"/>
      <c r="I295" s="298">
        <v>7</v>
      </c>
      <c r="J295" s="299">
        <f>I74</f>
        <v>60</v>
      </c>
      <c r="K295" s="299">
        <f t="shared" ref="K295:M295" si="262">J74</f>
        <v>-2.1</v>
      </c>
      <c r="L295" s="299">
        <f t="shared" si="262"/>
        <v>0.7</v>
      </c>
      <c r="M295" s="299">
        <f t="shared" si="262"/>
        <v>1.4</v>
      </c>
      <c r="N295" s="254"/>
      <c r="O295" s="684"/>
      <c r="P295" s="298">
        <v>7</v>
      </c>
      <c r="Q295" s="299">
        <f>O74</f>
        <v>900</v>
      </c>
      <c r="R295" s="299">
        <f t="shared" ref="R295:T295" si="263">P74</f>
        <v>0</v>
      </c>
      <c r="S295" s="299">
        <f t="shared" si="263"/>
        <v>1</v>
      </c>
      <c r="T295" s="300">
        <f t="shared" si="263"/>
        <v>0.5</v>
      </c>
    </row>
    <row r="296" spans="1:23" ht="13" hidden="1" x14ac:dyDescent="0.3">
      <c r="A296" s="681"/>
      <c r="B296" s="298">
        <v>8</v>
      </c>
      <c r="C296" s="299">
        <f>C85</f>
        <v>30</v>
      </c>
      <c r="D296" s="299">
        <f t="shared" ref="D296:F296" si="264">D85</f>
        <v>-0.2</v>
      </c>
      <c r="E296" s="299">
        <f t="shared" si="264"/>
        <v>-0.4</v>
      </c>
      <c r="F296" s="299">
        <f t="shared" si="264"/>
        <v>0.1</v>
      </c>
      <c r="G296" s="254"/>
      <c r="H296" s="684"/>
      <c r="I296" s="298">
        <v>8</v>
      </c>
      <c r="J296" s="299">
        <f>I85</f>
        <v>60</v>
      </c>
      <c r="K296" s="299">
        <f t="shared" ref="K296:M296" si="265">J85</f>
        <v>-3.9</v>
      </c>
      <c r="L296" s="299">
        <f t="shared" si="265"/>
        <v>-1.1000000000000001</v>
      </c>
      <c r="M296" s="299">
        <f t="shared" si="265"/>
        <v>1.4</v>
      </c>
      <c r="N296" s="254"/>
      <c r="O296" s="684"/>
      <c r="P296" s="298">
        <v>8</v>
      </c>
      <c r="Q296" s="299">
        <f>O85</f>
        <v>900</v>
      </c>
      <c r="R296" s="299">
        <f t="shared" ref="R296:T296" si="266">P85</f>
        <v>-4.4000000000000004</v>
      </c>
      <c r="S296" s="299">
        <f t="shared" si="266"/>
        <v>0</v>
      </c>
      <c r="T296" s="300">
        <f t="shared" si="266"/>
        <v>2.2000000000000002</v>
      </c>
    </row>
    <row r="297" spans="1:23" ht="13" hidden="1" x14ac:dyDescent="0.3">
      <c r="A297" s="681"/>
      <c r="B297" s="298">
        <v>9</v>
      </c>
      <c r="C297" s="299">
        <f>C96</f>
        <v>30</v>
      </c>
      <c r="D297" s="299">
        <f t="shared" ref="D297:F297" si="267">D96</f>
        <v>-0.5</v>
      </c>
      <c r="E297" s="299" t="str">
        <f t="shared" si="267"/>
        <v>-</v>
      </c>
      <c r="F297" s="299">
        <f t="shared" si="267"/>
        <v>0</v>
      </c>
      <c r="G297" s="254"/>
      <c r="H297" s="684"/>
      <c r="I297" s="298">
        <v>9</v>
      </c>
      <c r="J297" s="299">
        <f>I96</f>
        <v>60</v>
      </c>
      <c r="K297" s="299">
        <f t="shared" ref="K297:M297" si="268">J96</f>
        <v>-0.8</v>
      </c>
      <c r="L297" s="299" t="str">
        <f t="shared" si="268"/>
        <v>-</v>
      </c>
      <c r="M297" s="299">
        <f t="shared" si="268"/>
        <v>0</v>
      </c>
      <c r="N297" s="254"/>
      <c r="O297" s="684"/>
      <c r="P297" s="298">
        <v>9</v>
      </c>
      <c r="Q297" s="299">
        <f>O96</f>
        <v>900</v>
      </c>
      <c r="R297" s="299">
        <f t="shared" ref="R297:T297" si="269">P96</f>
        <v>0</v>
      </c>
      <c r="S297" s="299" t="str">
        <f t="shared" si="269"/>
        <v>-</v>
      </c>
      <c r="T297" s="300">
        <f t="shared" si="269"/>
        <v>0</v>
      </c>
    </row>
    <row r="298" spans="1:23" ht="13" hidden="1" x14ac:dyDescent="0.3">
      <c r="A298" s="681"/>
      <c r="B298" s="298">
        <v>10</v>
      </c>
      <c r="C298" s="299">
        <f>C107</f>
        <v>30</v>
      </c>
      <c r="D298" s="299">
        <f t="shared" ref="D298:F298" si="270">D107</f>
        <v>0.1</v>
      </c>
      <c r="E298" s="299">
        <f t="shared" si="270"/>
        <v>0.2</v>
      </c>
      <c r="F298" s="299">
        <f t="shared" si="270"/>
        <v>0.05</v>
      </c>
      <c r="G298" s="254"/>
      <c r="H298" s="684"/>
      <c r="I298" s="298">
        <v>10</v>
      </c>
      <c r="J298" s="299">
        <f>I107</f>
        <v>60</v>
      </c>
      <c r="K298" s="299">
        <f t="shared" ref="K298:M298" si="271">J107</f>
        <v>-2.1</v>
      </c>
      <c r="L298" s="299">
        <f t="shared" si="271"/>
        <v>-5.6</v>
      </c>
      <c r="M298" s="299">
        <f t="shared" si="271"/>
        <v>1.7499999999999998</v>
      </c>
      <c r="N298" s="254"/>
      <c r="O298" s="684"/>
      <c r="P298" s="298">
        <v>10</v>
      </c>
      <c r="Q298" s="299">
        <f>O107</f>
        <v>900</v>
      </c>
      <c r="R298" s="299" t="str">
        <f t="shared" ref="R298:T298" si="272">P107</f>
        <v>-</v>
      </c>
      <c r="S298" s="299" t="str">
        <f t="shared" si="272"/>
        <v>-</v>
      </c>
      <c r="T298" s="300">
        <f t="shared" si="272"/>
        <v>0</v>
      </c>
    </row>
    <row r="299" spans="1:23" ht="13" hidden="1" x14ac:dyDescent="0.3">
      <c r="A299" s="681"/>
      <c r="B299" s="298">
        <v>11</v>
      </c>
      <c r="C299" s="299">
        <f>C118</f>
        <v>30</v>
      </c>
      <c r="D299" s="299">
        <f t="shared" ref="D299:F299" si="273">D118</f>
        <v>0.5</v>
      </c>
      <c r="E299" s="299">
        <f t="shared" si="273"/>
        <v>0.4</v>
      </c>
      <c r="F299" s="299">
        <f t="shared" si="273"/>
        <v>4.9999999999999989E-2</v>
      </c>
      <c r="G299" s="254"/>
      <c r="H299" s="684"/>
      <c r="I299" s="298">
        <v>11</v>
      </c>
      <c r="J299" s="299">
        <f>I118</f>
        <v>60</v>
      </c>
      <c r="K299" s="299">
        <f t="shared" ref="K299:M299" si="274">J118</f>
        <v>-4.8</v>
      </c>
      <c r="L299" s="299">
        <f t="shared" si="274"/>
        <v>-4.5</v>
      </c>
      <c r="M299" s="299">
        <f t="shared" si="274"/>
        <v>0.14999999999999991</v>
      </c>
      <c r="N299" s="254"/>
      <c r="O299" s="684"/>
      <c r="P299" s="298">
        <v>11</v>
      </c>
      <c r="Q299" s="299">
        <f>O118</f>
        <v>900</v>
      </c>
      <c r="R299" s="299" t="str">
        <f t="shared" ref="R299:T299" si="275">P118</f>
        <v>-</v>
      </c>
      <c r="S299" s="299" t="str">
        <f t="shared" si="275"/>
        <v>-</v>
      </c>
      <c r="T299" s="300">
        <f t="shared" si="275"/>
        <v>0</v>
      </c>
    </row>
    <row r="300" spans="1:23" ht="13" hidden="1" x14ac:dyDescent="0.3">
      <c r="A300" s="681"/>
      <c r="B300" s="298">
        <v>12</v>
      </c>
      <c r="C300" s="299">
        <f>C129</f>
        <v>30</v>
      </c>
      <c r="D300" s="299">
        <f t="shared" ref="D300:F300" si="276">D129</f>
        <v>-0.1</v>
      </c>
      <c r="E300" s="299" t="str">
        <f t="shared" si="276"/>
        <v>-</v>
      </c>
      <c r="F300" s="299">
        <f t="shared" si="276"/>
        <v>0</v>
      </c>
      <c r="G300" s="254"/>
      <c r="H300" s="684"/>
      <c r="I300" s="298">
        <v>12</v>
      </c>
      <c r="J300" s="299">
        <f>I129</f>
        <v>60</v>
      </c>
      <c r="K300" s="299">
        <f t="shared" ref="K300:M300" si="277">J129</f>
        <v>0</v>
      </c>
      <c r="L300" s="299" t="str">
        <f t="shared" si="277"/>
        <v>-</v>
      </c>
      <c r="M300" s="299">
        <f t="shared" si="277"/>
        <v>0</v>
      </c>
      <c r="N300" s="254"/>
      <c r="O300" s="684"/>
      <c r="P300" s="298">
        <v>12</v>
      </c>
      <c r="Q300" s="299">
        <f>O129</f>
        <v>950</v>
      </c>
      <c r="R300" s="299">
        <f t="shared" ref="R300:T300" si="278">P129</f>
        <v>-0.7</v>
      </c>
      <c r="S300" s="299" t="str">
        <f t="shared" si="278"/>
        <v>-</v>
      </c>
      <c r="T300" s="300">
        <f t="shared" si="278"/>
        <v>0</v>
      </c>
    </row>
    <row r="301" spans="1:23" ht="13" hidden="1" x14ac:dyDescent="0.3">
      <c r="A301" s="681"/>
      <c r="B301" s="298">
        <v>13</v>
      </c>
      <c r="C301" s="299">
        <f>C151</f>
        <v>30</v>
      </c>
      <c r="D301" s="299">
        <f t="shared" ref="D301:F301" si="279">D151</f>
        <v>-0.3</v>
      </c>
      <c r="E301" s="299" t="str">
        <f t="shared" si="279"/>
        <v>-</v>
      </c>
      <c r="F301" s="299">
        <f t="shared" si="279"/>
        <v>0</v>
      </c>
      <c r="G301" s="254"/>
      <c r="H301" s="684"/>
      <c r="I301" s="298">
        <v>13</v>
      </c>
      <c r="J301" s="299">
        <f>I140</f>
        <v>60</v>
      </c>
      <c r="K301" s="299">
        <f t="shared" ref="K301:M301" si="280">J140</f>
        <v>-1.5</v>
      </c>
      <c r="L301" s="299" t="str">
        <f t="shared" si="280"/>
        <v>-</v>
      </c>
      <c r="M301" s="299">
        <f t="shared" si="280"/>
        <v>0</v>
      </c>
      <c r="N301" s="254"/>
      <c r="O301" s="684"/>
      <c r="P301" s="298">
        <v>13</v>
      </c>
      <c r="Q301" s="299">
        <f>O140</f>
        <v>990</v>
      </c>
      <c r="R301" s="299">
        <f t="shared" ref="R301:T301" si="281">P140</f>
        <v>1.1000000000000001</v>
      </c>
      <c r="S301" s="299" t="str">
        <f t="shared" si="281"/>
        <v>-</v>
      </c>
      <c r="T301" s="300">
        <f t="shared" si="281"/>
        <v>0</v>
      </c>
    </row>
    <row r="302" spans="1:23" ht="13" hidden="1" x14ac:dyDescent="0.3">
      <c r="A302" s="681"/>
      <c r="B302" s="298">
        <v>14</v>
      </c>
      <c r="C302" s="299">
        <f>C151</f>
        <v>30</v>
      </c>
      <c r="D302" s="299">
        <f t="shared" ref="D302:F302" si="282">D151</f>
        <v>-0.3</v>
      </c>
      <c r="E302" s="299" t="str">
        <f t="shared" si="282"/>
        <v>-</v>
      </c>
      <c r="F302" s="299">
        <f t="shared" si="282"/>
        <v>0</v>
      </c>
      <c r="G302" s="254"/>
      <c r="H302" s="684"/>
      <c r="I302" s="298">
        <v>14</v>
      </c>
      <c r="J302" s="299">
        <f>I151</f>
        <v>60</v>
      </c>
      <c r="K302" s="299">
        <f t="shared" ref="K302:M302" si="283">J151</f>
        <v>-0.6</v>
      </c>
      <c r="L302" s="299" t="str">
        <f t="shared" si="283"/>
        <v>-</v>
      </c>
      <c r="M302" s="299">
        <f t="shared" si="283"/>
        <v>0</v>
      </c>
      <c r="N302" s="254"/>
      <c r="O302" s="684"/>
      <c r="P302" s="298">
        <v>14</v>
      </c>
      <c r="Q302" s="299">
        <f>O151</f>
        <v>990</v>
      </c>
      <c r="R302" s="299">
        <f t="shared" ref="R302:T302" si="284">P151</f>
        <v>1.1000000000000001</v>
      </c>
      <c r="S302" s="299" t="str">
        <f t="shared" si="284"/>
        <v>-</v>
      </c>
      <c r="T302" s="300">
        <f t="shared" si="284"/>
        <v>0</v>
      </c>
    </row>
    <row r="303" spans="1:23" ht="13" hidden="1" x14ac:dyDescent="0.3">
      <c r="A303" s="681"/>
      <c r="B303" s="298">
        <v>15</v>
      </c>
      <c r="C303" s="299">
        <f>C162</f>
        <v>30</v>
      </c>
      <c r="D303" s="299">
        <f t="shared" ref="D303:F303" si="285">D162</f>
        <v>-0.2</v>
      </c>
      <c r="E303" s="299" t="str">
        <f t="shared" si="285"/>
        <v>-</v>
      </c>
      <c r="F303" s="299">
        <f t="shared" si="285"/>
        <v>0</v>
      </c>
      <c r="G303" s="254"/>
      <c r="H303" s="684"/>
      <c r="I303" s="298">
        <v>15</v>
      </c>
      <c r="J303" s="299">
        <f>I162</f>
        <v>60</v>
      </c>
      <c r="K303" s="299">
        <f t="shared" ref="K303:M303" si="286">J162</f>
        <v>-0.5</v>
      </c>
      <c r="L303" s="299" t="str">
        <f t="shared" si="286"/>
        <v>-</v>
      </c>
      <c r="M303" s="299">
        <f t="shared" si="286"/>
        <v>0</v>
      </c>
      <c r="N303" s="254"/>
      <c r="O303" s="684"/>
      <c r="P303" s="298">
        <v>15</v>
      </c>
      <c r="Q303" s="299">
        <f>O162</f>
        <v>990</v>
      </c>
      <c r="R303" s="299">
        <f t="shared" ref="R303:T303" si="287">P162</f>
        <v>1.1000000000000001</v>
      </c>
      <c r="S303" s="299" t="str">
        <f t="shared" si="287"/>
        <v>-</v>
      </c>
      <c r="T303" s="300">
        <f t="shared" si="287"/>
        <v>0</v>
      </c>
    </row>
    <row r="304" spans="1:23" ht="13" hidden="1" x14ac:dyDescent="0.3">
      <c r="A304" s="681"/>
      <c r="B304" s="298">
        <v>16</v>
      </c>
      <c r="C304" s="299">
        <f>C173</f>
        <v>30</v>
      </c>
      <c r="D304" s="299">
        <f t="shared" ref="D304:F304" si="288">D173</f>
        <v>0.2</v>
      </c>
      <c r="E304" s="299" t="str">
        <f t="shared" si="288"/>
        <v>-</v>
      </c>
      <c r="F304" s="299">
        <f t="shared" si="288"/>
        <v>0</v>
      </c>
      <c r="G304" s="254"/>
      <c r="H304" s="684"/>
      <c r="I304" s="298">
        <v>16</v>
      </c>
      <c r="J304" s="299">
        <f>I173</f>
        <v>60</v>
      </c>
      <c r="K304" s="299">
        <f t="shared" ref="K304:M304" si="289">J173</f>
        <v>-1.5</v>
      </c>
      <c r="L304" s="299" t="str">
        <f t="shared" si="289"/>
        <v>-</v>
      </c>
      <c r="M304" s="299">
        <f t="shared" si="289"/>
        <v>0</v>
      </c>
      <c r="N304" s="254"/>
      <c r="O304" s="684"/>
      <c r="P304" s="298">
        <v>16</v>
      </c>
      <c r="Q304" s="299">
        <f>O173</f>
        <v>950</v>
      </c>
      <c r="R304" s="299">
        <f t="shared" ref="R304:T304" si="290">P173</f>
        <v>-1.1000000000000001</v>
      </c>
      <c r="S304" s="299" t="str">
        <f t="shared" si="290"/>
        <v>-</v>
      </c>
      <c r="T304" s="300">
        <f t="shared" si="290"/>
        <v>0</v>
      </c>
    </row>
    <row r="305" spans="1:20" ht="13" hidden="1" x14ac:dyDescent="0.3">
      <c r="A305" s="681"/>
      <c r="B305" s="298">
        <v>17</v>
      </c>
      <c r="C305" s="299">
        <f>C184</f>
        <v>30</v>
      </c>
      <c r="D305" s="299">
        <f t="shared" ref="D305:F305" si="291">D184</f>
        <v>-0.2</v>
      </c>
      <c r="E305" s="299" t="str">
        <f t="shared" si="291"/>
        <v>-</v>
      </c>
      <c r="F305" s="299">
        <f t="shared" si="291"/>
        <v>0</v>
      </c>
      <c r="G305" s="254"/>
      <c r="H305" s="684"/>
      <c r="I305" s="298">
        <v>17</v>
      </c>
      <c r="J305" s="299">
        <f>I184</f>
        <v>60</v>
      </c>
      <c r="K305" s="299">
        <f t="shared" ref="K305:M305" si="292">J184</f>
        <v>0</v>
      </c>
      <c r="L305" s="299" t="str">
        <f t="shared" si="292"/>
        <v>-</v>
      </c>
      <c r="M305" s="299">
        <f t="shared" si="292"/>
        <v>0</v>
      </c>
      <c r="N305" s="254"/>
      <c r="O305" s="684"/>
      <c r="P305" s="298">
        <v>17</v>
      </c>
      <c r="Q305" s="299">
        <f>O184</f>
        <v>990</v>
      </c>
      <c r="R305" s="299">
        <f t="shared" ref="R305:T305" si="293">P184</f>
        <v>-0.6</v>
      </c>
      <c r="S305" s="299" t="str">
        <f t="shared" si="293"/>
        <v>-</v>
      </c>
      <c r="T305" s="300">
        <f t="shared" si="293"/>
        <v>0</v>
      </c>
    </row>
    <row r="306" spans="1:20" ht="13" hidden="1" x14ac:dyDescent="0.3">
      <c r="A306" s="681"/>
      <c r="B306" s="298">
        <v>18</v>
      </c>
      <c r="C306" s="299">
        <f>C195</f>
        <v>30</v>
      </c>
      <c r="D306" s="299">
        <f t="shared" ref="D306:F306" si="294">D195</f>
        <v>-0.2</v>
      </c>
      <c r="E306" s="299" t="str">
        <f t="shared" si="294"/>
        <v>-</v>
      </c>
      <c r="F306" s="299">
        <f t="shared" si="294"/>
        <v>0</v>
      </c>
      <c r="G306" s="254"/>
      <c r="H306" s="684"/>
      <c r="I306" s="298">
        <v>18</v>
      </c>
      <c r="J306" s="299">
        <f>I195</f>
        <v>60</v>
      </c>
      <c r="K306" s="299">
        <f t="shared" ref="K306:M306" si="295">J195</f>
        <v>-0.2</v>
      </c>
      <c r="L306" s="299" t="str">
        <f t="shared" si="295"/>
        <v>-</v>
      </c>
      <c r="M306" s="299">
        <f t="shared" si="295"/>
        <v>0</v>
      </c>
      <c r="N306" s="254"/>
      <c r="O306" s="684"/>
      <c r="P306" s="298">
        <v>18</v>
      </c>
      <c r="Q306" s="299">
        <f>O195</f>
        <v>950</v>
      </c>
      <c r="R306" s="299">
        <f t="shared" ref="R306:T306" si="296">P195</f>
        <v>-0.9</v>
      </c>
      <c r="S306" s="299" t="str">
        <f t="shared" si="296"/>
        <v>-</v>
      </c>
      <c r="T306" s="300">
        <f t="shared" si="296"/>
        <v>0</v>
      </c>
    </row>
    <row r="307" spans="1:20" ht="13" hidden="1" x14ac:dyDescent="0.3">
      <c r="A307" s="681"/>
      <c r="B307" s="298">
        <v>19</v>
      </c>
      <c r="C307" s="299">
        <f>C206</f>
        <v>30</v>
      </c>
      <c r="D307" s="299">
        <f t="shared" ref="D307:F307" si="297">D206</f>
        <v>-0.1</v>
      </c>
      <c r="E307" s="299" t="str">
        <f t="shared" si="297"/>
        <v>-</v>
      </c>
      <c r="F307" s="299">
        <f t="shared" si="297"/>
        <v>0</v>
      </c>
      <c r="G307" s="254"/>
      <c r="H307" s="684"/>
      <c r="I307" s="298">
        <v>19</v>
      </c>
      <c r="J307" s="299">
        <f>I206</f>
        <v>60</v>
      </c>
      <c r="K307" s="299">
        <f t="shared" ref="K307:M307" si="298">J206</f>
        <v>0.4</v>
      </c>
      <c r="L307" s="299" t="str">
        <f t="shared" si="298"/>
        <v>-</v>
      </c>
      <c r="M307" s="299">
        <f t="shared" si="298"/>
        <v>0</v>
      </c>
      <c r="N307" s="254"/>
      <c r="O307" s="684"/>
      <c r="P307" s="298">
        <v>19</v>
      </c>
      <c r="Q307" s="299">
        <f>O206</f>
        <v>900</v>
      </c>
      <c r="R307" s="299">
        <f t="shared" ref="R307:T307" si="299">P206</f>
        <v>2.2999999999999998</v>
      </c>
      <c r="S307" s="299" t="str">
        <f t="shared" si="299"/>
        <v>-</v>
      </c>
      <c r="T307" s="300">
        <f t="shared" si="299"/>
        <v>0</v>
      </c>
    </row>
    <row r="308" spans="1:20" ht="13.5" hidden="1" thickBot="1" x14ac:dyDescent="0.35">
      <c r="A308" s="682"/>
      <c r="B308" s="309">
        <v>20</v>
      </c>
      <c r="C308" s="326">
        <f>C217</f>
        <v>29.5</v>
      </c>
      <c r="D308" s="326">
        <f t="shared" ref="D308:F308" si="300">D217</f>
        <v>0</v>
      </c>
      <c r="E308" s="326" t="str">
        <f t="shared" si="300"/>
        <v>-</v>
      </c>
      <c r="F308" s="326">
        <f t="shared" si="300"/>
        <v>0</v>
      </c>
      <c r="G308" s="311"/>
      <c r="H308" s="685"/>
      <c r="I308" s="309">
        <v>20</v>
      </c>
      <c r="J308" s="326">
        <f>I217</f>
        <v>71.5</v>
      </c>
      <c r="K308" s="326">
        <f t="shared" ref="K308:M308" si="301">J217</f>
        <v>0</v>
      </c>
      <c r="L308" s="326" t="str">
        <f t="shared" si="301"/>
        <v>-</v>
      </c>
      <c r="M308" s="326">
        <f t="shared" si="301"/>
        <v>0</v>
      </c>
      <c r="N308" s="311"/>
      <c r="O308" s="685"/>
      <c r="P308" s="309">
        <v>20</v>
      </c>
      <c r="Q308" s="326">
        <f>O217</f>
        <v>900</v>
      </c>
      <c r="R308" s="326" t="str">
        <f t="shared" ref="R308:T308" si="302">P217</f>
        <v>-</v>
      </c>
      <c r="S308" s="326" t="str">
        <f t="shared" si="302"/>
        <v>-</v>
      </c>
      <c r="T308" s="327">
        <f t="shared" si="302"/>
        <v>0</v>
      </c>
    </row>
    <row r="309" spans="1:20" ht="13" hidden="1" x14ac:dyDescent="0.3">
      <c r="A309" s="314"/>
      <c r="B309" s="315"/>
      <c r="C309" s="328"/>
      <c r="D309" s="328"/>
      <c r="E309" s="328"/>
      <c r="F309" s="329"/>
      <c r="G309" s="318"/>
      <c r="H309" s="314"/>
      <c r="I309" s="333"/>
      <c r="J309" s="328"/>
      <c r="K309" s="328"/>
      <c r="L309" s="328"/>
      <c r="M309" s="329"/>
      <c r="N309" s="254"/>
      <c r="O309" s="314"/>
      <c r="P309" s="333"/>
      <c r="Q309" s="328"/>
      <c r="R309" s="328"/>
      <c r="S309" s="328"/>
      <c r="T309" s="329"/>
    </row>
    <row r="310" spans="1:20" ht="13" hidden="1" x14ac:dyDescent="0.3">
      <c r="A310" s="680">
        <v>5</v>
      </c>
      <c r="B310" s="321">
        <v>1</v>
      </c>
      <c r="C310" s="330">
        <f>C9</f>
        <v>35</v>
      </c>
      <c r="D310" s="330">
        <f t="shared" ref="D310:F310" si="303">D9</f>
        <v>-0.1</v>
      </c>
      <c r="E310" s="330">
        <f t="shared" si="303"/>
        <v>-0.5</v>
      </c>
      <c r="F310" s="330">
        <f t="shared" si="303"/>
        <v>0.2</v>
      </c>
      <c r="G310" s="323"/>
      <c r="H310" s="683">
        <v>5</v>
      </c>
      <c r="I310" s="321">
        <v>1</v>
      </c>
      <c r="J310" s="330">
        <f>I20</f>
        <v>70</v>
      </c>
      <c r="K310" s="330">
        <f t="shared" ref="K310:M310" si="304">J20</f>
        <v>-1.1000000000000001</v>
      </c>
      <c r="L310" s="330">
        <f t="shared" si="304"/>
        <v>-1</v>
      </c>
      <c r="M310" s="330">
        <f t="shared" si="304"/>
        <v>5.0000000000000044E-2</v>
      </c>
      <c r="N310" s="323"/>
      <c r="O310" s="683">
        <v>5</v>
      </c>
      <c r="P310" s="321">
        <v>1</v>
      </c>
      <c r="Q310" s="330">
        <f>O9</f>
        <v>1000</v>
      </c>
      <c r="R310" s="330" t="str">
        <f t="shared" ref="R310:T310" si="305">P9</f>
        <v>-</v>
      </c>
      <c r="S310" s="330" t="str">
        <f t="shared" si="305"/>
        <v>-</v>
      </c>
      <c r="T310" s="331">
        <f t="shared" si="305"/>
        <v>0</v>
      </c>
    </row>
    <row r="311" spans="1:20" ht="13" hidden="1" x14ac:dyDescent="0.3">
      <c r="A311" s="681"/>
      <c r="B311" s="298">
        <v>2</v>
      </c>
      <c r="C311" s="299">
        <f>C20</f>
        <v>35</v>
      </c>
      <c r="D311" s="299">
        <f t="shared" ref="D311:F311" si="306">D20</f>
        <v>-0.3</v>
      </c>
      <c r="E311" s="299">
        <f t="shared" si="306"/>
        <v>-1.6</v>
      </c>
      <c r="F311" s="299">
        <f t="shared" si="306"/>
        <v>0.65</v>
      </c>
      <c r="G311" s="254"/>
      <c r="H311" s="684"/>
      <c r="I311" s="298">
        <v>2</v>
      </c>
      <c r="J311" s="299">
        <f>I20</f>
        <v>70</v>
      </c>
      <c r="K311" s="299">
        <f t="shared" ref="K311:M311" si="307">J20</f>
        <v>-1.1000000000000001</v>
      </c>
      <c r="L311" s="299">
        <f t="shared" si="307"/>
        <v>-1</v>
      </c>
      <c r="M311" s="299">
        <f t="shared" si="307"/>
        <v>5.0000000000000044E-2</v>
      </c>
      <c r="N311" s="254"/>
      <c r="O311" s="684"/>
      <c r="P311" s="298">
        <v>2</v>
      </c>
      <c r="Q311" s="299">
        <f>O20</f>
        <v>1000</v>
      </c>
      <c r="R311" s="299" t="str">
        <f t="shared" ref="R311:T311" si="308">P20</f>
        <v>-</v>
      </c>
      <c r="S311" s="299" t="str">
        <f t="shared" si="308"/>
        <v>-</v>
      </c>
      <c r="T311" s="300">
        <f t="shared" si="308"/>
        <v>0</v>
      </c>
    </row>
    <row r="312" spans="1:20" ht="13" hidden="1" x14ac:dyDescent="0.3">
      <c r="A312" s="681"/>
      <c r="B312" s="298">
        <v>3</v>
      </c>
      <c r="C312" s="299">
        <f>C31</f>
        <v>35</v>
      </c>
      <c r="D312" s="299">
        <f t="shared" ref="D312:F312" si="309">D31</f>
        <v>-0.5</v>
      </c>
      <c r="E312" s="299">
        <f t="shared" si="309"/>
        <v>-0.4</v>
      </c>
      <c r="F312" s="299">
        <f t="shared" si="309"/>
        <v>4.9999999999999989E-2</v>
      </c>
      <c r="G312" s="254"/>
      <c r="H312" s="684"/>
      <c r="I312" s="298">
        <v>3</v>
      </c>
      <c r="J312" s="299">
        <f>I31</f>
        <v>70</v>
      </c>
      <c r="K312" s="299">
        <f t="shared" ref="K312:M312" si="310">J31</f>
        <v>-3.6</v>
      </c>
      <c r="L312" s="299">
        <f t="shared" si="310"/>
        <v>-1.6</v>
      </c>
      <c r="M312" s="299">
        <f t="shared" si="310"/>
        <v>1</v>
      </c>
      <c r="N312" s="254"/>
      <c r="O312" s="684"/>
      <c r="P312" s="298">
        <v>3</v>
      </c>
      <c r="Q312" s="299">
        <f>O31</f>
        <v>1000</v>
      </c>
      <c r="R312" s="299" t="str">
        <f t="shared" ref="R312:T312" si="311">P31</f>
        <v>-</v>
      </c>
      <c r="S312" s="299" t="str">
        <f t="shared" si="311"/>
        <v>-</v>
      </c>
      <c r="T312" s="300">
        <f t="shared" si="311"/>
        <v>0</v>
      </c>
    </row>
    <row r="313" spans="1:20" ht="13" hidden="1" x14ac:dyDescent="0.3">
      <c r="A313" s="681"/>
      <c r="B313" s="298">
        <v>4</v>
      </c>
      <c r="C313" s="299">
        <f>C42</f>
        <v>35</v>
      </c>
      <c r="D313" s="299">
        <f t="shared" ref="D313:F313" si="312">D42</f>
        <v>-0.3</v>
      </c>
      <c r="E313" s="299">
        <f t="shared" si="312"/>
        <v>-0.6</v>
      </c>
      <c r="F313" s="299">
        <f t="shared" si="312"/>
        <v>0.15</v>
      </c>
      <c r="G313" s="254"/>
      <c r="H313" s="684"/>
      <c r="I313" s="298">
        <v>4</v>
      </c>
      <c r="J313" s="299">
        <f>I42</f>
        <v>70</v>
      </c>
      <c r="K313" s="299">
        <f t="shared" ref="K313:M313" si="313">J42</f>
        <v>-4</v>
      </c>
      <c r="L313" s="299">
        <f t="shared" si="313"/>
        <v>0.7</v>
      </c>
      <c r="M313" s="299">
        <f t="shared" si="313"/>
        <v>2.35</v>
      </c>
      <c r="N313" s="254"/>
      <c r="O313" s="684"/>
      <c r="P313" s="298">
        <v>4</v>
      </c>
      <c r="Q313" s="299">
        <f>O42</f>
        <v>1000</v>
      </c>
      <c r="R313" s="299" t="str">
        <f t="shared" ref="R313:T313" si="314">P42</f>
        <v>-</v>
      </c>
      <c r="S313" s="299" t="str">
        <f t="shared" si="314"/>
        <v>-</v>
      </c>
      <c r="T313" s="300">
        <f t="shared" si="314"/>
        <v>0</v>
      </c>
    </row>
    <row r="314" spans="1:20" ht="13" hidden="1" x14ac:dyDescent="0.3">
      <c r="A314" s="681"/>
      <c r="B314" s="298">
        <v>5</v>
      </c>
      <c r="C314" s="299">
        <f>C53</f>
        <v>35</v>
      </c>
      <c r="D314" s="299">
        <f t="shared" ref="D314:F314" si="315">D53</f>
        <v>0.7</v>
      </c>
      <c r="E314" s="299">
        <f t="shared" si="315"/>
        <v>0</v>
      </c>
      <c r="F314" s="299">
        <f t="shared" si="315"/>
        <v>0.35</v>
      </c>
      <c r="G314" s="254"/>
      <c r="H314" s="684"/>
      <c r="I314" s="298">
        <v>5</v>
      </c>
      <c r="J314" s="299">
        <f>I53</f>
        <v>70</v>
      </c>
      <c r="K314" s="299">
        <f t="shared" ref="K314:M314" si="316">J53</f>
        <v>-4.0999999999999996</v>
      </c>
      <c r="L314" s="299">
        <f t="shared" si="316"/>
        <v>-2.1</v>
      </c>
      <c r="M314" s="299">
        <f t="shared" si="316"/>
        <v>0.99999999999999978</v>
      </c>
      <c r="N314" s="254"/>
      <c r="O314" s="684"/>
      <c r="P314" s="298">
        <v>5</v>
      </c>
      <c r="Q314" s="299">
        <f>O53</f>
        <v>1000</v>
      </c>
      <c r="R314" s="299" t="str">
        <f t="shared" ref="R314:T314" si="317">P53</f>
        <v>-</v>
      </c>
      <c r="S314" s="299" t="str">
        <f t="shared" si="317"/>
        <v>-</v>
      </c>
      <c r="T314" s="300">
        <f t="shared" si="317"/>
        <v>0</v>
      </c>
    </row>
    <row r="315" spans="1:20" ht="13" hidden="1" x14ac:dyDescent="0.3">
      <c r="A315" s="681"/>
      <c r="B315" s="298">
        <v>6</v>
      </c>
      <c r="C315" s="299">
        <f>C64</f>
        <v>35</v>
      </c>
      <c r="D315" s="299">
        <f t="shared" ref="D315:F315" si="318">D64</f>
        <v>-0.9</v>
      </c>
      <c r="E315" s="299">
        <f t="shared" si="318"/>
        <v>0.1</v>
      </c>
      <c r="F315" s="299">
        <f t="shared" si="318"/>
        <v>0.5</v>
      </c>
      <c r="G315" s="254"/>
      <c r="H315" s="684"/>
      <c r="I315" s="298">
        <v>6</v>
      </c>
      <c r="J315" s="299">
        <f>I64</f>
        <v>70</v>
      </c>
      <c r="K315" s="299">
        <f t="shared" ref="K315:M315" si="319">J64</f>
        <v>0.9</v>
      </c>
      <c r="L315" s="299">
        <f t="shared" si="319"/>
        <v>-2.1</v>
      </c>
      <c r="M315" s="299">
        <f t="shared" si="319"/>
        <v>1.5</v>
      </c>
      <c r="N315" s="254"/>
      <c r="O315" s="684"/>
      <c r="P315" s="298">
        <v>6</v>
      </c>
      <c r="Q315" s="299">
        <f>O64</f>
        <v>1000</v>
      </c>
      <c r="R315" s="299">
        <f t="shared" ref="R315:T315" si="320">P64</f>
        <v>-0.3</v>
      </c>
      <c r="S315" s="299" t="str">
        <f t="shared" si="320"/>
        <v>-</v>
      </c>
      <c r="T315" s="300">
        <f t="shared" si="320"/>
        <v>0</v>
      </c>
    </row>
    <row r="316" spans="1:20" ht="13" hidden="1" x14ac:dyDescent="0.3">
      <c r="A316" s="681"/>
      <c r="B316" s="298">
        <v>7</v>
      </c>
      <c r="C316" s="299">
        <f>C75</f>
        <v>35</v>
      </c>
      <c r="D316" s="299">
        <f t="shared" ref="D316:F316" si="321">D75</f>
        <v>0</v>
      </c>
      <c r="E316" s="299">
        <f t="shared" si="321"/>
        <v>-1.1000000000000001</v>
      </c>
      <c r="F316" s="299">
        <f t="shared" si="321"/>
        <v>0.55000000000000004</v>
      </c>
      <c r="G316" s="254"/>
      <c r="H316" s="684"/>
      <c r="I316" s="298">
        <v>7</v>
      </c>
      <c r="J316" s="299">
        <f>I75</f>
        <v>70</v>
      </c>
      <c r="K316" s="299">
        <f t="shared" ref="K316:M316" si="322">J75</f>
        <v>-2.2999999999999998</v>
      </c>
      <c r="L316" s="299">
        <f t="shared" si="322"/>
        <v>0.9</v>
      </c>
      <c r="M316" s="299">
        <f t="shared" si="322"/>
        <v>1.5999999999999999</v>
      </c>
      <c r="N316" s="254"/>
      <c r="O316" s="684"/>
      <c r="P316" s="298">
        <v>7</v>
      </c>
      <c r="Q316" s="299">
        <f>O75</f>
        <v>1000</v>
      </c>
      <c r="R316" s="299">
        <f t="shared" ref="R316:T316" si="323">P75</f>
        <v>-3.9</v>
      </c>
      <c r="S316" s="299">
        <f t="shared" si="323"/>
        <v>-0.4</v>
      </c>
      <c r="T316" s="300">
        <f t="shared" si="323"/>
        <v>1.75</v>
      </c>
    </row>
    <row r="317" spans="1:20" ht="13" hidden="1" x14ac:dyDescent="0.3">
      <c r="A317" s="681"/>
      <c r="B317" s="298">
        <v>8</v>
      </c>
      <c r="C317" s="299">
        <f>C86</f>
        <v>35</v>
      </c>
      <c r="D317" s="299">
        <f t="shared" ref="D317:F317" si="324">D86</f>
        <v>-0.1</v>
      </c>
      <c r="E317" s="299">
        <f t="shared" si="324"/>
        <v>-0.5</v>
      </c>
      <c r="F317" s="299">
        <f t="shared" si="324"/>
        <v>0.2</v>
      </c>
      <c r="G317" s="254"/>
      <c r="H317" s="684"/>
      <c r="I317" s="298">
        <v>8</v>
      </c>
      <c r="J317" s="299">
        <f>I86</f>
        <v>70</v>
      </c>
      <c r="K317" s="299">
        <f t="shared" ref="K317:M317" si="325">J86</f>
        <v>-4.0999999999999996</v>
      </c>
      <c r="L317" s="299">
        <f t="shared" si="325"/>
        <v>-1.2</v>
      </c>
      <c r="M317" s="299">
        <f t="shared" si="325"/>
        <v>1.4499999999999997</v>
      </c>
      <c r="N317" s="254"/>
      <c r="O317" s="684"/>
      <c r="P317" s="298">
        <v>8</v>
      </c>
      <c r="Q317" s="299">
        <f>O86</f>
        <v>1000</v>
      </c>
      <c r="R317" s="299">
        <f t="shared" ref="R317:T317" si="326">P86</f>
        <v>-3.5</v>
      </c>
      <c r="S317" s="299">
        <f t="shared" si="326"/>
        <v>0.2</v>
      </c>
      <c r="T317" s="300">
        <f t="shared" si="326"/>
        <v>1.85</v>
      </c>
    </row>
    <row r="318" spans="1:20" ht="13" hidden="1" x14ac:dyDescent="0.3">
      <c r="A318" s="681"/>
      <c r="B318" s="298">
        <v>9</v>
      </c>
      <c r="C318" s="299">
        <f>C97</f>
        <v>35</v>
      </c>
      <c r="D318" s="299">
        <f t="shared" ref="D318:F318" si="327">D97</f>
        <v>-0.5</v>
      </c>
      <c r="E318" s="299" t="str">
        <f t="shared" si="327"/>
        <v>-</v>
      </c>
      <c r="F318" s="299">
        <f t="shared" si="327"/>
        <v>0</v>
      </c>
      <c r="G318" s="254"/>
      <c r="H318" s="684"/>
      <c r="I318" s="298">
        <v>9</v>
      </c>
      <c r="J318" s="299">
        <f>I97</f>
        <v>70</v>
      </c>
      <c r="K318" s="299">
        <f t="shared" ref="K318:M318" si="328">J97</f>
        <v>-0.6</v>
      </c>
      <c r="L318" s="299" t="str">
        <f t="shared" si="328"/>
        <v>-</v>
      </c>
      <c r="M318" s="299">
        <f t="shared" si="328"/>
        <v>0</v>
      </c>
      <c r="N318" s="254"/>
      <c r="O318" s="684"/>
      <c r="P318" s="298">
        <v>9</v>
      </c>
      <c r="Q318" s="299">
        <f>O97</f>
        <v>1000</v>
      </c>
      <c r="R318" s="299">
        <f t="shared" ref="R318:T318" si="329">P97</f>
        <v>0.2</v>
      </c>
      <c r="S318" s="299" t="str">
        <f t="shared" si="329"/>
        <v>-</v>
      </c>
      <c r="T318" s="300">
        <f t="shared" si="329"/>
        <v>0</v>
      </c>
    </row>
    <row r="319" spans="1:20" ht="13" hidden="1" x14ac:dyDescent="0.3">
      <c r="A319" s="681"/>
      <c r="B319" s="298">
        <v>10</v>
      </c>
      <c r="C319" s="299">
        <f>C108</f>
        <v>35</v>
      </c>
      <c r="D319" s="299">
        <f t="shared" ref="D319:F319" si="330">D108</f>
        <v>0.2</v>
      </c>
      <c r="E319" s="299">
        <f t="shared" si="330"/>
        <v>0.8</v>
      </c>
      <c r="F319" s="299">
        <f t="shared" si="330"/>
        <v>0.30000000000000004</v>
      </c>
      <c r="G319" s="254"/>
      <c r="H319" s="684"/>
      <c r="I319" s="298">
        <v>10</v>
      </c>
      <c r="J319" s="299">
        <f>I108</f>
        <v>70</v>
      </c>
      <c r="K319" s="299">
        <f t="shared" ref="K319:M319" si="331">J108</f>
        <v>-0.3</v>
      </c>
      <c r="L319" s="299">
        <f t="shared" si="331"/>
        <v>-5.0999999999999996</v>
      </c>
      <c r="M319" s="299">
        <f t="shared" si="331"/>
        <v>2.4</v>
      </c>
      <c r="N319" s="254"/>
      <c r="O319" s="684"/>
      <c r="P319" s="298">
        <v>10</v>
      </c>
      <c r="Q319" s="299">
        <f>O108</f>
        <v>1000</v>
      </c>
      <c r="R319" s="299" t="str">
        <f t="shared" ref="R319:T319" si="332">P108</f>
        <v>-</v>
      </c>
      <c r="S319" s="299" t="str">
        <f t="shared" si="332"/>
        <v>-</v>
      </c>
      <c r="T319" s="300">
        <f t="shared" si="332"/>
        <v>0</v>
      </c>
    </row>
    <row r="320" spans="1:20" ht="13" hidden="1" x14ac:dyDescent="0.3">
      <c r="A320" s="681"/>
      <c r="B320" s="298">
        <v>11</v>
      </c>
      <c r="C320" s="299">
        <f>C119</f>
        <v>35</v>
      </c>
      <c r="D320" s="299">
        <f t="shared" ref="D320:F320" si="333">D119</f>
        <v>0.5</v>
      </c>
      <c r="E320" s="299">
        <f t="shared" si="333"/>
        <v>0.4</v>
      </c>
      <c r="F320" s="299">
        <f t="shared" si="333"/>
        <v>4.9999999999999989E-2</v>
      </c>
      <c r="G320" s="254"/>
      <c r="H320" s="684"/>
      <c r="I320" s="298">
        <v>11</v>
      </c>
      <c r="J320" s="299">
        <f>I119</f>
        <v>70</v>
      </c>
      <c r="K320" s="299">
        <f t="shared" ref="K320:M320" si="334">J119</f>
        <v>-3.4</v>
      </c>
      <c r="L320" s="299">
        <f t="shared" si="334"/>
        <v>-1.7</v>
      </c>
      <c r="M320" s="299">
        <f t="shared" si="334"/>
        <v>0.85</v>
      </c>
      <c r="N320" s="254"/>
      <c r="O320" s="684"/>
      <c r="P320" s="298">
        <v>11</v>
      </c>
      <c r="Q320" s="299">
        <f>O119</f>
        <v>1000</v>
      </c>
      <c r="R320" s="299" t="str">
        <f t="shared" ref="R320:T320" si="335">P119</f>
        <v>-</v>
      </c>
      <c r="S320" s="299" t="str">
        <f t="shared" si="335"/>
        <v>-</v>
      </c>
      <c r="T320" s="300">
        <f t="shared" si="335"/>
        <v>0</v>
      </c>
    </row>
    <row r="321" spans="1:20" ht="13" hidden="1" x14ac:dyDescent="0.3">
      <c r="A321" s="681"/>
      <c r="B321" s="298">
        <v>12</v>
      </c>
      <c r="C321" s="299">
        <f>C130</f>
        <v>35</v>
      </c>
      <c r="D321" s="299">
        <f t="shared" ref="D321:F321" si="336">D130</f>
        <v>-0.2</v>
      </c>
      <c r="E321" s="299" t="str">
        <f t="shared" si="336"/>
        <v>-</v>
      </c>
      <c r="F321" s="299">
        <f t="shared" si="336"/>
        <v>0</v>
      </c>
      <c r="G321" s="254"/>
      <c r="H321" s="684"/>
      <c r="I321" s="298">
        <v>12</v>
      </c>
      <c r="J321" s="299">
        <f>I130</f>
        <v>70</v>
      </c>
      <c r="K321" s="299">
        <f t="shared" ref="K321:M321" si="337">J130</f>
        <v>-0.1</v>
      </c>
      <c r="L321" s="299" t="str">
        <f t="shared" si="337"/>
        <v>-</v>
      </c>
      <c r="M321" s="299">
        <f t="shared" si="337"/>
        <v>0</v>
      </c>
      <c r="N321" s="254"/>
      <c r="O321" s="684"/>
      <c r="P321" s="298">
        <v>12</v>
      </c>
      <c r="Q321" s="299">
        <f>O130</f>
        <v>1000</v>
      </c>
      <c r="R321" s="299">
        <f t="shared" ref="R321:T321" si="338">P130</f>
        <v>-0.8</v>
      </c>
      <c r="S321" s="299" t="str">
        <f t="shared" si="338"/>
        <v>-</v>
      </c>
      <c r="T321" s="300">
        <f t="shared" si="338"/>
        <v>0</v>
      </c>
    </row>
    <row r="322" spans="1:20" ht="13" hidden="1" x14ac:dyDescent="0.3">
      <c r="A322" s="681"/>
      <c r="B322" s="298">
        <v>13</v>
      </c>
      <c r="C322" s="299">
        <f>C141</f>
        <v>35</v>
      </c>
      <c r="D322" s="299">
        <f t="shared" ref="D322:F322" si="339">D141</f>
        <v>0.3</v>
      </c>
      <c r="E322" s="299" t="str">
        <f t="shared" si="339"/>
        <v>-</v>
      </c>
      <c r="F322" s="299">
        <f t="shared" si="339"/>
        <v>0</v>
      </c>
      <c r="G322" s="254"/>
      <c r="H322" s="684"/>
      <c r="I322" s="298">
        <v>13</v>
      </c>
      <c r="J322" s="299">
        <f>I141</f>
        <v>70</v>
      </c>
      <c r="K322" s="299">
        <f t="shared" ref="K322:M322" si="340">J141</f>
        <v>-1.9</v>
      </c>
      <c r="L322" s="299" t="str">
        <f t="shared" si="340"/>
        <v>-</v>
      </c>
      <c r="M322" s="299">
        <f t="shared" si="340"/>
        <v>0</v>
      </c>
      <c r="N322" s="254"/>
      <c r="O322" s="684"/>
      <c r="P322" s="298">
        <v>13</v>
      </c>
      <c r="Q322" s="299">
        <f>O141</f>
        <v>1000</v>
      </c>
      <c r="R322" s="299">
        <f t="shared" ref="R322:T322" si="341">P141</f>
        <v>1.1000000000000001</v>
      </c>
      <c r="S322" s="299" t="str">
        <f t="shared" si="341"/>
        <v>-</v>
      </c>
      <c r="T322" s="300">
        <f t="shared" si="341"/>
        <v>0</v>
      </c>
    </row>
    <row r="323" spans="1:20" ht="13" hidden="1" x14ac:dyDescent="0.3">
      <c r="A323" s="681"/>
      <c r="B323" s="298">
        <v>14</v>
      </c>
      <c r="C323" s="299">
        <f>C152</f>
        <v>35</v>
      </c>
      <c r="D323" s="299">
        <f t="shared" ref="D323:F323" si="342">D152</f>
        <v>-0.6</v>
      </c>
      <c r="E323" s="299" t="str">
        <f t="shared" si="342"/>
        <v>-</v>
      </c>
      <c r="F323" s="299">
        <f t="shared" si="342"/>
        <v>0</v>
      </c>
      <c r="G323" s="254"/>
      <c r="H323" s="684"/>
      <c r="I323" s="298">
        <v>14</v>
      </c>
      <c r="J323" s="299">
        <f>I152</f>
        <v>70</v>
      </c>
      <c r="K323" s="299">
        <f t="shared" ref="K323:M323" si="343">J152</f>
        <v>-0.8</v>
      </c>
      <c r="L323" s="299" t="str">
        <f t="shared" si="343"/>
        <v>-</v>
      </c>
      <c r="M323" s="299">
        <f t="shared" si="343"/>
        <v>0</v>
      </c>
      <c r="N323" s="254"/>
      <c r="O323" s="684"/>
      <c r="P323" s="298">
        <v>14</v>
      </c>
      <c r="Q323" s="299">
        <f>O152</f>
        <v>1000</v>
      </c>
      <c r="R323" s="299">
        <f t="shared" ref="R323:T323" si="344">P152</f>
        <v>1.1000000000000001</v>
      </c>
      <c r="S323" s="299" t="str">
        <f t="shared" si="344"/>
        <v>-</v>
      </c>
      <c r="T323" s="300">
        <f t="shared" si="344"/>
        <v>0</v>
      </c>
    </row>
    <row r="324" spans="1:20" ht="13" hidden="1" x14ac:dyDescent="0.3">
      <c r="A324" s="681"/>
      <c r="B324" s="298">
        <v>15</v>
      </c>
      <c r="C324" s="299">
        <f>C163</f>
        <v>35</v>
      </c>
      <c r="D324" s="299">
        <f t="shared" ref="D324:F324" si="345">D163</f>
        <v>-0.1</v>
      </c>
      <c r="E324" s="299" t="str">
        <f t="shared" si="345"/>
        <v>-</v>
      </c>
      <c r="F324" s="299">
        <f t="shared" si="345"/>
        <v>0</v>
      </c>
      <c r="G324" s="254"/>
      <c r="H324" s="684"/>
      <c r="I324" s="298">
        <v>15</v>
      </c>
      <c r="J324" s="299">
        <f>I163</f>
        <v>70</v>
      </c>
      <c r="K324" s="299">
        <f t="shared" ref="K324:M324" si="346">J163</f>
        <v>-0.8</v>
      </c>
      <c r="L324" s="299" t="str">
        <f t="shared" si="346"/>
        <v>-</v>
      </c>
      <c r="M324" s="299">
        <f t="shared" si="346"/>
        <v>0</v>
      </c>
      <c r="N324" s="254"/>
      <c r="O324" s="684"/>
      <c r="P324" s="298">
        <v>15</v>
      </c>
      <c r="Q324" s="299">
        <f>O163</f>
        <v>1000</v>
      </c>
      <c r="R324" s="299">
        <f t="shared" ref="R324:T324" si="347">P163</f>
        <v>1.1000000000000001</v>
      </c>
      <c r="S324" s="299" t="str">
        <f t="shared" si="347"/>
        <v>-</v>
      </c>
      <c r="T324" s="300">
        <f t="shared" si="347"/>
        <v>0</v>
      </c>
    </row>
    <row r="325" spans="1:20" ht="13" hidden="1" x14ac:dyDescent="0.3">
      <c r="A325" s="681"/>
      <c r="B325" s="298">
        <v>16</v>
      </c>
      <c r="C325" s="299">
        <f>C174</f>
        <v>35</v>
      </c>
      <c r="D325" s="299">
        <f t="shared" ref="D325:F325" si="348">D174</f>
        <v>0.1</v>
      </c>
      <c r="E325" s="299" t="str">
        <f t="shared" si="348"/>
        <v>-</v>
      </c>
      <c r="F325" s="299">
        <f t="shared" si="348"/>
        <v>0</v>
      </c>
      <c r="G325" s="254"/>
      <c r="H325" s="684"/>
      <c r="I325" s="298">
        <v>16</v>
      </c>
      <c r="J325" s="299">
        <f>I174</f>
        <v>70</v>
      </c>
      <c r="K325" s="299">
        <f t="shared" ref="K325:M325" si="349">J174</f>
        <v>-1.8</v>
      </c>
      <c r="L325" s="299" t="str">
        <f t="shared" si="349"/>
        <v>-</v>
      </c>
      <c r="M325" s="299">
        <f t="shared" si="349"/>
        <v>0</v>
      </c>
      <c r="N325" s="254"/>
      <c r="O325" s="684"/>
      <c r="P325" s="298">
        <v>16</v>
      </c>
      <c r="Q325" s="299">
        <f>O174</f>
        <v>1000</v>
      </c>
      <c r="R325" s="299">
        <f t="shared" ref="R325:T325" si="350">P174</f>
        <v>-0.4</v>
      </c>
      <c r="S325" s="299" t="str">
        <f t="shared" si="350"/>
        <v>-</v>
      </c>
      <c r="T325" s="300">
        <f t="shared" si="350"/>
        <v>0</v>
      </c>
    </row>
    <row r="326" spans="1:20" ht="13" hidden="1" x14ac:dyDescent="0.3">
      <c r="A326" s="681"/>
      <c r="B326" s="298">
        <v>17</v>
      </c>
      <c r="C326" s="299">
        <f>C185</f>
        <v>35</v>
      </c>
      <c r="D326" s="299">
        <f t="shared" ref="D326:F326" si="351">D185</f>
        <v>-0.5</v>
      </c>
      <c r="E326" s="299" t="str">
        <f t="shared" si="351"/>
        <v>-</v>
      </c>
      <c r="F326" s="299">
        <f t="shared" si="351"/>
        <v>0</v>
      </c>
      <c r="G326" s="254"/>
      <c r="H326" s="684"/>
      <c r="I326" s="298">
        <v>17</v>
      </c>
      <c r="J326" s="299">
        <f>I185</f>
        <v>70</v>
      </c>
      <c r="K326" s="299">
        <f t="shared" ref="K326:M326" si="352">J185</f>
        <v>-0.3</v>
      </c>
      <c r="L326" s="299" t="str">
        <f t="shared" si="352"/>
        <v>-</v>
      </c>
      <c r="M326" s="299">
        <f t="shared" si="352"/>
        <v>0</v>
      </c>
      <c r="N326" s="254"/>
      <c r="O326" s="684"/>
      <c r="P326" s="298">
        <v>17</v>
      </c>
      <c r="Q326" s="299">
        <f>O185</f>
        <v>1000</v>
      </c>
      <c r="R326" s="299">
        <f t="shared" ref="R326:T326" si="353">P185</f>
        <v>-0.6</v>
      </c>
      <c r="S326" s="299" t="str">
        <f t="shared" si="353"/>
        <v>-</v>
      </c>
      <c r="T326" s="300">
        <f t="shared" si="353"/>
        <v>0</v>
      </c>
    </row>
    <row r="327" spans="1:20" ht="13" hidden="1" x14ac:dyDescent="0.3">
      <c r="A327" s="681"/>
      <c r="B327" s="298">
        <v>18</v>
      </c>
      <c r="C327" s="299">
        <f>C196</f>
        <v>35</v>
      </c>
      <c r="D327" s="299">
        <f t="shared" ref="D327:F327" si="354">D196</f>
        <v>-0.3</v>
      </c>
      <c r="E327" s="299" t="str">
        <f t="shared" si="354"/>
        <v>-</v>
      </c>
      <c r="F327" s="299">
        <f t="shared" si="354"/>
        <v>0</v>
      </c>
      <c r="G327" s="254"/>
      <c r="H327" s="684"/>
      <c r="I327" s="298">
        <v>18</v>
      </c>
      <c r="J327" s="299">
        <f>I196</f>
        <v>70</v>
      </c>
      <c r="K327" s="299">
        <f t="shared" ref="K327:M327" si="355">J196</f>
        <v>-0.3</v>
      </c>
      <c r="L327" s="299" t="str">
        <f t="shared" si="355"/>
        <v>-</v>
      </c>
      <c r="M327" s="299">
        <f t="shared" si="355"/>
        <v>0</v>
      </c>
      <c r="N327" s="254"/>
      <c r="O327" s="684"/>
      <c r="P327" s="298">
        <v>18</v>
      </c>
      <c r="Q327" s="299">
        <f>O196</f>
        <v>1000</v>
      </c>
      <c r="R327" s="299">
        <f t="shared" ref="R327:T327" si="356">P196</f>
        <v>-0.8</v>
      </c>
      <c r="S327" s="299" t="str">
        <f t="shared" si="356"/>
        <v>-</v>
      </c>
      <c r="T327" s="300">
        <f t="shared" si="356"/>
        <v>0</v>
      </c>
    </row>
    <row r="328" spans="1:20" ht="13" hidden="1" x14ac:dyDescent="0.3">
      <c r="A328" s="681"/>
      <c r="B328" s="298">
        <v>19</v>
      </c>
      <c r="C328" s="299">
        <f>C207</f>
        <v>35</v>
      </c>
      <c r="D328" s="299">
        <f t="shared" ref="D328:F328" si="357">D207</f>
        <v>-0.1</v>
      </c>
      <c r="E328" s="299" t="str">
        <f t="shared" si="357"/>
        <v>-</v>
      </c>
      <c r="F328" s="299">
        <f t="shared" si="357"/>
        <v>0</v>
      </c>
      <c r="G328" s="254"/>
      <c r="H328" s="684"/>
      <c r="I328" s="298">
        <v>19</v>
      </c>
      <c r="J328" s="299">
        <f>I207</f>
        <v>70</v>
      </c>
      <c r="K328" s="299">
        <f t="shared" ref="K328:M328" si="358">J207</f>
        <v>-0.7</v>
      </c>
      <c r="L328" s="299" t="str">
        <f t="shared" si="358"/>
        <v>-</v>
      </c>
      <c r="M328" s="299">
        <f t="shared" si="358"/>
        <v>0</v>
      </c>
      <c r="N328" s="254"/>
      <c r="O328" s="684"/>
      <c r="P328" s="298">
        <v>19</v>
      </c>
      <c r="Q328" s="299">
        <f>O207</f>
        <v>1000</v>
      </c>
      <c r="R328" s="299">
        <f t="shared" ref="R328:T328" si="359">P207</f>
        <v>2.2000000000000002</v>
      </c>
      <c r="S328" s="299" t="str">
        <f t="shared" si="359"/>
        <v>-</v>
      </c>
      <c r="T328" s="300">
        <f t="shared" si="359"/>
        <v>0</v>
      </c>
    </row>
    <row r="329" spans="1:20" ht="13.5" hidden="1" thickBot="1" x14ac:dyDescent="0.35">
      <c r="A329" s="682"/>
      <c r="B329" s="309">
        <v>20</v>
      </c>
      <c r="C329" s="326">
        <f>C218</f>
        <v>34.5</v>
      </c>
      <c r="D329" s="326">
        <f t="shared" ref="D329:F329" si="360">D218</f>
        <v>0</v>
      </c>
      <c r="E329" s="326" t="str">
        <f t="shared" si="360"/>
        <v>-</v>
      </c>
      <c r="F329" s="326">
        <f t="shared" si="360"/>
        <v>0</v>
      </c>
      <c r="G329" s="311"/>
      <c r="H329" s="685"/>
      <c r="I329" s="309">
        <v>20</v>
      </c>
      <c r="J329" s="326">
        <f>I218</f>
        <v>80.8</v>
      </c>
      <c r="K329" s="326">
        <f t="shared" ref="K329:M329" si="361">J218</f>
        <v>0</v>
      </c>
      <c r="L329" s="326" t="str">
        <f t="shared" si="361"/>
        <v>-</v>
      </c>
      <c r="M329" s="326">
        <f t="shared" si="361"/>
        <v>0</v>
      </c>
      <c r="N329" s="311"/>
      <c r="O329" s="685"/>
      <c r="P329" s="309">
        <v>20</v>
      </c>
      <c r="Q329" s="326">
        <f>O218</f>
        <v>1000</v>
      </c>
      <c r="R329" s="326" t="str">
        <f t="shared" ref="R329:T329" si="362">P218</f>
        <v>-</v>
      </c>
      <c r="S329" s="326" t="str">
        <f t="shared" si="362"/>
        <v>-</v>
      </c>
      <c r="T329" s="327">
        <f t="shared" si="362"/>
        <v>0</v>
      </c>
    </row>
    <row r="330" spans="1:20" ht="13" hidden="1" x14ac:dyDescent="0.3">
      <c r="A330" s="314"/>
      <c r="B330" s="315"/>
      <c r="C330" s="328"/>
      <c r="D330" s="328"/>
      <c r="E330" s="328"/>
      <c r="F330" s="329"/>
      <c r="G330" s="318"/>
      <c r="H330" s="314"/>
      <c r="I330" s="315"/>
      <c r="J330" s="328"/>
      <c r="K330" s="328"/>
      <c r="L330" s="328"/>
      <c r="M330" s="329"/>
      <c r="N330" s="254"/>
      <c r="O330" s="314"/>
      <c r="P330" s="315"/>
      <c r="Q330" s="328"/>
      <c r="R330" s="328"/>
      <c r="S330" s="328"/>
      <c r="T330" s="329"/>
    </row>
    <row r="331" spans="1:20" ht="13" hidden="1" x14ac:dyDescent="0.3">
      <c r="A331" s="680">
        <v>6</v>
      </c>
      <c r="B331" s="321">
        <v>1</v>
      </c>
      <c r="C331" s="330">
        <f>C10</f>
        <v>37</v>
      </c>
      <c r="D331" s="330">
        <f t="shared" ref="D331:F331" si="363">D10</f>
        <v>-0.2</v>
      </c>
      <c r="E331" s="330">
        <f t="shared" si="363"/>
        <v>-0.6</v>
      </c>
      <c r="F331" s="330">
        <f t="shared" si="363"/>
        <v>0.19999999999999998</v>
      </c>
      <c r="G331" s="323"/>
      <c r="H331" s="683">
        <v>6</v>
      </c>
      <c r="I331" s="321">
        <v>1</v>
      </c>
      <c r="J331" s="330">
        <f>I10</f>
        <v>80</v>
      </c>
      <c r="K331" s="330">
        <f t="shared" ref="K331:M331" si="364">J10</f>
        <v>-3.2</v>
      </c>
      <c r="L331" s="330">
        <f t="shared" si="364"/>
        <v>0.7</v>
      </c>
      <c r="M331" s="330">
        <f t="shared" si="364"/>
        <v>1.9500000000000002</v>
      </c>
      <c r="N331" s="323"/>
      <c r="O331" s="683">
        <v>6</v>
      </c>
      <c r="P331" s="321">
        <v>1</v>
      </c>
      <c r="Q331" s="330">
        <f>O10</f>
        <v>1005</v>
      </c>
      <c r="R331" s="330" t="str">
        <f t="shared" ref="R331:T331" si="365">P10</f>
        <v>-</v>
      </c>
      <c r="S331" s="330" t="str">
        <f t="shared" si="365"/>
        <v>-</v>
      </c>
      <c r="T331" s="331">
        <f t="shared" si="365"/>
        <v>0</v>
      </c>
    </row>
    <row r="332" spans="1:20" ht="13" hidden="1" x14ac:dyDescent="0.3">
      <c r="A332" s="681"/>
      <c r="B332" s="298">
        <v>2</v>
      </c>
      <c r="C332" s="299">
        <f>C21</f>
        <v>37</v>
      </c>
      <c r="D332" s="299">
        <f t="shared" ref="D332:F332" si="366">D21</f>
        <v>-0.3</v>
      </c>
      <c r="E332" s="299">
        <f t="shared" si="366"/>
        <v>-1.8</v>
      </c>
      <c r="F332" s="299">
        <f t="shared" si="366"/>
        <v>0.75</v>
      </c>
      <c r="G332" s="254"/>
      <c r="H332" s="684"/>
      <c r="I332" s="298">
        <v>2</v>
      </c>
      <c r="J332" s="299">
        <f>I21</f>
        <v>80</v>
      </c>
      <c r="K332" s="299">
        <f t="shared" ref="K332:M332" si="367">J21</f>
        <v>-0.7</v>
      </c>
      <c r="L332" s="299">
        <f t="shared" si="367"/>
        <v>-0.4</v>
      </c>
      <c r="M332" s="299">
        <f t="shared" si="367"/>
        <v>0.14999999999999997</v>
      </c>
      <c r="N332" s="254"/>
      <c r="O332" s="684"/>
      <c r="P332" s="298">
        <v>2</v>
      </c>
      <c r="Q332" s="299">
        <f>O21</f>
        <v>1005</v>
      </c>
      <c r="R332" s="299" t="str">
        <f t="shared" ref="R332:T332" si="368">P21</f>
        <v>-</v>
      </c>
      <c r="S332" s="299" t="str">
        <f t="shared" si="368"/>
        <v>-</v>
      </c>
      <c r="T332" s="300">
        <f t="shared" si="368"/>
        <v>0</v>
      </c>
    </row>
    <row r="333" spans="1:20" ht="13" hidden="1" x14ac:dyDescent="0.3">
      <c r="A333" s="681"/>
      <c r="B333" s="298">
        <v>3</v>
      </c>
      <c r="C333" s="299">
        <f>C32</f>
        <v>37</v>
      </c>
      <c r="D333" s="299">
        <f t="shared" ref="D333:F333" si="369">D32</f>
        <v>-0.6</v>
      </c>
      <c r="E333" s="299">
        <f t="shared" si="369"/>
        <v>-0.5</v>
      </c>
      <c r="F333" s="299">
        <f t="shared" si="369"/>
        <v>4.9999999999999989E-2</v>
      </c>
      <c r="G333" s="254"/>
      <c r="H333" s="684"/>
      <c r="I333" s="298">
        <v>3</v>
      </c>
      <c r="J333" s="299">
        <f>I32</f>
        <v>80</v>
      </c>
      <c r="K333" s="299">
        <f t="shared" ref="K333:M333" si="370">J32</f>
        <v>-2.9</v>
      </c>
      <c r="L333" s="299">
        <f t="shared" si="370"/>
        <v>-0.6</v>
      </c>
      <c r="M333" s="299">
        <f t="shared" si="370"/>
        <v>1.1499999999999999</v>
      </c>
      <c r="N333" s="254"/>
      <c r="O333" s="684"/>
      <c r="P333" s="298">
        <v>3</v>
      </c>
      <c r="Q333" s="299">
        <f>O32</f>
        <v>1005</v>
      </c>
      <c r="R333" s="299" t="str">
        <f t="shared" ref="R333:T333" si="371">P32</f>
        <v>-</v>
      </c>
      <c r="S333" s="299" t="str">
        <f t="shared" si="371"/>
        <v>-</v>
      </c>
      <c r="T333" s="300">
        <f t="shared" si="371"/>
        <v>0</v>
      </c>
    </row>
    <row r="334" spans="1:20" ht="13" hidden="1" x14ac:dyDescent="0.3">
      <c r="A334" s="681"/>
      <c r="B334" s="298">
        <v>4</v>
      </c>
      <c r="C334" s="299">
        <f>C43</f>
        <v>37</v>
      </c>
      <c r="D334" s="299">
        <f t="shared" ref="D334:F334" si="372">D43</f>
        <v>-0.4</v>
      </c>
      <c r="E334" s="299">
        <f t="shared" si="372"/>
        <v>-0.6</v>
      </c>
      <c r="F334" s="299">
        <f t="shared" si="372"/>
        <v>9.9999999999999978E-2</v>
      </c>
      <c r="G334" s="254"/>
      <c r="H334" s="684"/>
      <c r="I334" s="298">
        <v>4</v>
      </c>
      <c r="J334" s="299">
        <f>I43</f>
        <v>80</v>
      </c>
      <c r="K334" s="299">
        <f t="shared" ref="K334:M334" si="373">J43</f>
        <v>-3.8</v>
      </c>
      <c r="L334" s="299">
        <f t="shared" si="373"/>
        <v>1.9</v>
      </c>
      <c r="M334" s="299">
        <f t="shared" si="373"/>
        <v>2.8499999999999996</v>
      </c>
      <c r="N334" s="254"/>
      <c r="O334" s="684"/>
      <c r="P334" s="298">
        <v>4</v>
      </c>
      <c r="Q334" s="299">
        <f>O43</f>
        <v>1005</v>
      </c>
      <c r="R334" s="299" t="str">
        <f t="shared" ref="R334:T334" si="374">P43</f>
        <v>-</v>
      </c>
      <c r="S334" s="299" t="str">
        <f t="shared" si="374"/>
        <v>-</v>
      </c>
      <c r="T334" s="300">
        <f t="shared" si="374"/>
        <v>0</v>
      </c>
    </row>
    <row r="335" spans="1:20" ht="13" hidden="1" x14ac:dyDescent="0.3">
      <c r="A335" s="681"/>
      <c r="B335" s="298">
        <v>5</v>
      </c>
      <c r="C335" s="299">
        <f>C54</f>
        <v>37</v>
      </c>
      <c r="D335" s="299">
        <f t="shared" ref="D335:F335" si="375">D54</f>
        <v>0.7</v>
      </c>
      <c r="E335" s="299">
        <f t="shared" si="375"/>
        <v>0</v>
      </c>
      <c r="F335" s="299">
        <f t="shared" si="375"/>
        <v>0.35</v>
      </c>
      <c r="G335" s="254"/>
      <c r="H335" s="684"/>
      <c r="I335" s="298">
        <v>5</v>
      </c>
      <c r="J335" s="299">
        <f>I54</f>
        <v>80</v>
      </c>
      <c r="K335" s="299">
        <f t="shared" ref="K335:M335" si="376">J54</f>
        <v>-3</v>
      </c>
      <c r="L335" s="299">
        <f t="shared" si="376"/>
        <v>0.2</v>
      </c>
      <c r="M335" s="299">
        <f t="shared" si="376"/>
        <v>1.6</v>
      </c>
      <c r="N335" s="254"/>
      <c r="O335" s="684"/>
      <c r="P335" s="298">
        <v>5</v>
      </c>
      <c r="Q335" s="299">
        <f>O54</f>
        <v>1005</v>
      </c>
      <c r="R335" s="299" t="str">
        <f t="shared" ref="R335:T335" si="377">P54</f>
        <v>-</v>
      </c>
      <c r="S335" s="299" t="str">
        <f t="shared" si="377"/>
        <v>-</v>
      </c>
      <c r="T335" s="300">
        <f t="shared" si="377"/>
        <v>0</v>
      </c>
    </row>
    <row r="336" spans="1:20" ht="13" hidden="1" x14ac:dyDescent="0.3">
      <c r="A336" s="681"/>
      <c r="B336" s="298">
        <v>6</v>
      </c>
      <c r="C336" s="299">
        <f>C65</f>
        <v>37</v>
      </c>
      <c r="D336" s="299">
        <f t="shared" ref="D336:F336" si="378">D65</f>
        <v>-1.1000000000000001</v>
      </c>
      <c r="E336" s="299">
        <f t="shared" si="378"/>
        <v>0</v>
      </c>
      <c r="F336" s="299">
        <f t="shared" si="378"/>
        <v>0.55000000000000004</v>
      </c>
      <c r="G336" s="254"/>
      <c r="H336" s="684"/>
      <c r="I336" s="298">
        <v>6</v>
      </c>
      <c r="J336" s="299">
        <f>I65</f>
        <v>80</v>
      </c>
      <c r="K336" s="299">
        <f t="shared" ref="K336:M336" si="379">J65</f>
        <v>0.8</v>
      </c>
      <c r="L336" s="299">
        <f t="shared" si="379"/>
        <v>-2.6</v>
      </c>
      <c r="M336" s="299">
        <f t="shared" si="379"/>
        <v>1.7000000000000002</v>
      </c>
      <c r="N336" s="254"/>
      <c r="O336" s="684"/>
      <c r="P336" s="298">
        <v>6</v>
      </c>
      <c r="Q336" s="299">
        <f>O65</f>
        <v>1005</v>
      </c>
      <c r="R336" s="299">
        <f t="shared" ref="R336:T336" si="380">P65</f>
        <v>-0.3</v>
      </c>
      <c r="S336" s="299" t="str">
        <f t="shared" si="380"/>
        <v>-</v>
      </c>
      <c r="T336" s="300">
        <f t="shared" si="380"/>
        <v>0</v>
      </c>
    </row>
    <row r="337" spans="1:20" ht="13" hidden="1" x14ac:dyDescent="0.3">
      <c r="A337" s="681"/>
      <c r="B337" s="298">
        <v>7</v>
      </c>
      <c r="C337" s="299">
        <f>C76</f>
        <v>37</v>
      </c>
      <c r="D337" s="299">
        <f t="shared" ref="D337:F337" si="381">D76</f>
        <v>0</v>
      </c>
      <c r="E337" s="299">
        <f t="shared" si="381"/>
        <v>-1.4</v>
      </c>
      <c r="F337" s="299">
        <f t="shared" si="381"/>
        <v>0.7</v>
      </c>
      <c r="G337" s="254"/>
      <c r="H337" s="684"/>
      <c r="I337" s="298">
        <v>7</v>
      </c>
      <c r="J337" s="299">
        <f>I76</f>
        <v>80</v>
      </c>
      <c r="K337" s="299">
        <f t="shared" ref="K337:M337" si="382">J76</f>
        <v>-2.6</v>
      </c>
      <c r="L337" s="299">
        <f t="shared" si="382"/>
        <v>1.2</v>
      </c>
      <c r="M337" s="299">
        <f t="shared" si="382"/>
        <v>1.9</v>
      </c>
      <c r="N337" s="254"/>
      <c r="O337" s="684"/>
      <c r="P337" s="298">
        <v>7</v>
      </c>
      <c r="Q337" s="299">
        <f>O76</f>
        <v>1005</v>
      </c>
      <c r="R337" s="299">
        <f t="shared" ref="R337:T337" si="383">P76</f>
        <v>-3.8</v>
      </c>
      <c r="S337" s="299">
        <f t="shared" si="383"/>
        <v>-0.5</v>
      </c>
      <c r="T337" s="300">
        <f t="shared" si="383"/>
        <v>1.65</v>
      </c>
    </row>
    <row r="338" spans="1:20" ht="13" hidden="1" x14ac:dyDescent="0.3">
      <c r="A338" s="681"/>
      <c r="B338" s="298">
        <v>8</v>
      </c>
      <c r="C338" s="299">
        <f>C87</f>
        <v>37</v>
      </c>
      <c r="D338" s="299">
        <f t="shared" ref="D338:F338" si="384">D87</f>
        <v>-0.1</v>
      </c>
      <c r="E338" s="299">
        <f t="shared" si="384"/>
        <v>-0.5</v>
      </c>
      <c r="F338" s="299">
        <f t="shared" si="384"/>
        <v>0.2</v>
      </c>
      <c r="G338" s="254"/>
      <c r="H338" s="684"/>
      <c r="I338" s="298">
        <v>8</v>
      </c>
      <c r="J338" s="299">
        <f>I87</f>
        <v>80</v>
      </c>
      <c r="K338" s="299">
        <f t="shared" ref="K338:M338" si="385">J87</f>
        <v>-4.5</v>
      </c>
      <c r="L338" s="299">
        <f t="shared" si="385"/>
        <v>-1.2</v>
      </c>
      <c r="M338" s="299">
        <f t="shared" si="385"/>
        <v>1.65</v>
      </c>
      <c r="N338" s="254"/>
      <c r="O338" s="684"/>
      <c r="P338" s="298">
        <v>8</v>
      </c>
      <c r="Q338" s="299">
        <f>O87</f>
        <v>1005</v>
      </c>
      <c r="R338" s="299">
        <f t="shared" ref="R338:T338" si="386">P87</f>
        <v>-3.4</v>
      </c>
      <c r="S338" s="299">
        <f t="shared" si="386"/>
        <v>0.2</v>
      </c>
      <c r="T338" s="300">
        <f t="shared" si="386"/>
        <v>1.8</v>
      </c>
    </row>
    <row r="339" spans="1:20" ht="13" hidden="1" x14ac:dyDescent="0.3">
      <c r="A339" s="681"/>
      <c r="B339" s="298">
        <v>9</v>
      </c>
      <c r="C339" s="299">
        <f>C98</f>
        <v>37</v>
      </c>
      <c r="D339" s="299">
        <f t="shared" ref="D339:F339" si="387">D98</f>
        <v>-0.5</v>
      </c>
      <c r="E339" s="299" t="str">
        <f t="shared" si="387"/>
        <v>-</v>
      </c>
      <c r="F339" s="299">
        <f t="shared" si="387"/>
        <v>0</v>
      </c>
      <c r="G339" s="254"/>
      <c r="H339" s="684"/>
      <c r="I339" s="298">
        <v>9</v>
      </c>
      <c r="J339" s="299">
        <f>I98</f>
        <v>80</v>
      </c>
      <c r="K339" s="299">
        <f t="shared" ref="K339:M339" si="388">J98</f>
        <v>-0.5</v>
      </c>
      <c r="L339" s="299" t="str">
        <f t="shared" si="388"/>
        <v>-</v>
      </c>
      <c r="M339" s="299">
        <f t="shared" si="388"/>
        <v>0</v>
      </c>
      <c r="N339" s="254"/>
      <c r="O339" s="684"/>
      <c r="P339" s="298">
        <v>9</v>
      </c>
      <c r="Q339" s="299">
        <f>O98</f>
        <v>1005</v>
      </c>
      <c r="R339" s="299">
        <f t="shared" ref="R339:T339" si="389">P98</f>
        <v>0.2</v>
      </c>
      <c r="S339" s="299" t="str">
        <f t="shared" si="389"/>
        <v>-</v>
      </c>
      <c r="T339" s="300">
        <f t="shared" si="389"/>
        <v>0</v>
      </c>
    </row>
    <row r="340" spans="1:20" ht="13" hidden="1" x14ac:dyDescent="0.3">
      <c r="A340" s="681"/>
      <c r="B340" s="298">
        <v>10</v>
      </c>
      <c r="C340" s="299">
        <f>C109</f>
        <v>37</v>
      </c>
      <c r="D340" s="299">
        <f t="shared" ref="D340:F340" si="390">D109</f>
        <v>0.2</v>
      </c>
      <c r="E340" s="299">
        <f t="shared" si="390"/>
        <v>0.4</v>
      </c>
      <c r="F340" s="299">
        <f t="shared" si="390"/>
        <v>0.1</v>
      </c>
      <c r="G340" s="254"/>
      <c r="H340" s="684"/>
      <c r="I340" s="298">
        <v>10</v>
      </c>
      <c r="J340" s="299">
        <f>I109</f>
        <v>80</v>
      </c>
      <c r="K340" s="299">
        <f t="shared" ref="K340:M340" si="391">J109</f>
        <v>2.2000000000000002</v>
      </c>
      <c r="L340" s="299">
        <f t="shared" si="391"/>
        <v>-4.7</v>
      </c>
      <c r="M340" s="299">
        <f t="shared" si="391"/>
        <v>3.45</v>
      </c>
      <c r="N340" s="254"/>
      <c r="O340" s="684"/>
      <c r="P340" s="298">
        <v>10</v>
      </c>
      <c r="Q340" s="299">
        <f>O109</f>
        <v>1005</v>
      </c>
      <c r="R340" s="299" t="str">
        <f t="shared" ref="R340:T340" si="392">P109</f>
        <v>-</v>
      </c>
      <c r="S340" s="299" t="str">
        <f t="shared" si="392"/>
        <v>-</v>
      </c>
      <c r="T340" s="300">
        <f t="shared" si="392"/>
        <v>0</v>
      </c>
    </row>
    <row r="341" spans="1:20" ht="13" hidden="1" x14ac:dyDescent="0.3">
      <c r="A341" s="681"/>
      <c r="B341" s="298">
        <v>11</v>
      </c>
      <c r="C341" s="299">
        <f>C120</f>
        <v>37</v>
      </c>
      <c r="D341" s="299">
        <f t="shared" ref="D341:F341" si="393">D120</f>
        <v>0.5</v>
      </c>
      <c r="E341" s="299">
        <f t="shared" si="393"/>
        <v>0.5</v>
      </c>
      <c r="F341" s="299">
        <f t="shared" si="393"/>
        <v>0</v>
      </c>
      <c r="G341" s="254"/>
      <c r="H341" s="684"/>
      <c r="I341" s="298">
        <v>11</v>
      </c>
      <c r="J341" s="299">
        <f>I120</f>
        <v>80</v>
      </c>
      <c r="K341" s="299">
        <f t="shared" ref="K341:M341" si="394">J120</f>
        <v>-1.4</v>
      </c>
      <c r="L341" s="299">
        <f t="shared" si="394"/>
        <v>2.6</v>
      </c>
      <c r="M341" s="299">
        <f t="shared" si="394"/>
        <v>2</v>
      </c>
      <c r="N341" s="254"/>
      <c r="O341" s="684"/>
      <c r="P341" s="298">
        <v>11</v>
      </c>
      <c r="Q341" s="299">
        <f>O120</f>
        <v>1005</v>
      </c>
      <c r="R341" s="299" t="str">
        <f t="shared" ref="R341:T341" si="395">P120</f>
        <v>-</v>
      </c>
      <c r="S341" s="299" t="str">
        <f t="shared" si="395"/>
        <v>-</v>
      </c>
      <c r="T341" s="300">
        <f t="shared" si="395"/>
        <v>0</v>
      </c>
    </row>
    <row r="342" spans="1:20" ht="13" hidden="1" x14ac:dyDescent="0.3">
      <c r="A342" s="681"/>
      <c r="B342" s="298">
        <v>12</v>
      </c>
      <c r="C342" s="299">
        <f>C131</f>
        <v>37</v>
      </c>
      <c r="D342" s="299">
        <f t="shared" ref="D342:F342" si="396">D131</f>
        <v>-0.3</v>
      </c>
      <c r="E342" s="299" t="str">
        <f t="shared" si="396"/>
        <v>-</v>
      </c>
      <c r="F342" s="299">
        <f t="shared" si="396"/>
        <v>0</v>
      </c>
      <c r="G342" s="254"/>
      <c r="H342" s="684"/>
      <c r="I342" s="298">
        <v>12</v>
      </c>
      <c r="J342" s="299">
        <f>I131</f>
        <v>80</v>
      </c>
      <c r="K342" s="299">
        <f t="shared" ref="K342:M342" si="397">J131</f>
        <v>-0.5</v>
      </c>
      <c r="L342" s="299" t="str">
        <f t="shared" si="397"/>
        <v>-</v>
      </c>
      <c r="M342" s="299">
        <f t="shared" si="397"/>
        <v>0</v>
      </c>
      <c r="N342" s="254"/>
      <c r="O342" s="684"/>
      <c r="P342" s="298">
        <v>12</v>
      </c>
      <c r="Q342" s="299">
        <f>O131</f>
        <v>1005</v>
      </c>
      <c r="R342" s="299">
        <f t="shared" ref="R342:T342" si="398">P131</f>
        <v>-0.8</v>
      </c>
      <c r="S342" s="299" t="str">
        <f t="shared" si="398"/>
        <v>-</v>
      </c>
      <c r="T342" s="300">
        <f t="shared" si="398"/>
        <v>0</v>
      </c>
    </row>
    <row r="343" spans="1:20" ht="13" hidden="1" x14ac:dyDescent="0.3">
      <c r="A343" s="681"/>
      <c r="B343" s="298">
        <v>13</v>
      </c>
      <c r="C343" s="299">
        <f>C142</f>
        <v>37</v>
      </c>
      <c r="D343" s="299">
        <f t="shared" ref="D343:F343" si="399">D142</f>
        <v>0.4</v>
      </c>
      <c r="E343" s="299" t="str">
        <f t="shared" si="399"/>
        <v>-</v>
      </c>
      <c r="F343" s="299">
        <f t="shared" si="399"/>
        <v>0</v>
      </c>
      <c r="G343" s="254"/>
      <c r="H343" s="684"/>
      <c r="I343" s="298">
        <v>13</v>
      </c>
      <c r="J343" s="299">
        <f>I142</f>
        <v>80</v>
      </c>
      <c r="K343" s="299">
        <f t="shared" ref="K343:M343" si="400">J142</f>
        <v>-2.5</v>
      </c>
      <c r="L343" s="299" t="str">
        <f t="shared" si="400"/>
        <v>-</v>
      </c>
      <c r="M343" s="299">
        <f t="shared" si="400"/>
        <v>0</v>
      </c>
      <c r="N343" s="254"/>
      <c r="O343" s="684"/>
      <c r="P343" s="298">
        <v>13</v>
      </c>
      <c r="Q343" s="299">
        <f>O142</f>
        <v>1005</v>
      </c>
      <c r="R343" s="299">
        <f t="shared" ref="R343:T343" si="401">P142</f>
        <v>1.1000000000000001</v>
      </c>
      <c r="S343" s="299" t="str">
        <f t="shared" si="401"/>
        <v>-</v>
      </c>
      <c r="T343" s="300">
        <f t="shared" si="401"/>
        <v>0</v>
      </c>
    </row>
    <row r="344" spans="1:20" ht="13" hidden="1" x14ac:dyDescent="0.3">
      <c r="A344" s="681"/>
      <c r="B344" s="298">
        <v>14</v>
      </c>
      <c r="C344" s="299">
        <f>C153</f>
        <v>37</v>
      </c>
      <c r="D344" s="299">
        <f t="shared" ref="D344:F344" si="402">D153</f>
        <v>-0.8</v>
      </c>
      <c r="E344" s="299" t="str">
        <f t="shared" si="402"/>
        <v>-</v>
      </c>
      <c r="F344" s="299">
        <f t="shared" si="402"/>
        <v>0</v>
      </c>
      <c r="G344" s="254"/>
      <c r="H344" s="684"/>
      <c r="I344" s="298">
        <v>14</v>
      </c>
      <c r="J344" s="299">
        <f>I153</f>
        <v>80</v>
      </c>
      <c r="K344" s="299">
        <f t="shared" ref="K344:M344" si="403">J153</f>
        <v>-0.9</v>
      </c>
      <c r="L344" s="299" t="str">
        <f t="shared" si="403"/>
        <v>-</v>
      </c>
      <c r="M344" s="299">
        <f t="shared" si="403"/>
        <v>0</v>
      </c>
      <c r="N344" s="254"/>
      <c r="O344" s="684"/>
      <c r="P344" s="298">
        <v>14</v>
      </c>
      <c r="Q344" s="299">
        <f>O153</f>
        <v>1005</v>
      </c>
      <c r="R344" s="299">
        <f t="shared" ref="R344:T344" si="404">P153</f>
        <v>1.1000000000000001</v>
      </c>
      <c r="S344" s="299" t="str">
        <f t="shared" si="404"/>
        <v>-</v>
      </c>
      <c r="T344" s="300">
        <f t="shared" si="404"/>
        <v>0</v>
      </c>
    </row>
    <row r="345" spans="1:20" ht="13" hidden="1" x14ac:dyDescent="0.3">
      <c r="A345" s="681"/>
      <c r="B345" s="298">
        <v>15</v>
      </c>
      <c r="C345" s="299">
        <f>C164</f>
        <v>37</v>
      </c>
      <c r="D345" s="299">
        <f t="shared" ref="D345:F345" si="405">D164</f>
        <v>-0.1</v>
      </c>
      <c r="E345" s="299" t="str">
        <f t="shared" si="405"/>
        <v>-</v>
      </c>
      <c r="F345" s="299">
        <f t="shared" si="405"/>
        <v>0</v>
      </c>
      <c r="G345" s="254"/>
      <c r="H345" s="684"/>
      <c r="I345" s="298">
        <v>15</v>
      </c>
      <c r="J345" s="299">
        <f>I164</f>
        <v>80</v>
      </c>
      <c r="K345" s="299">
        <f t="shared" ref="K345:M345" si="406">J164</f>
        <v>-1.3</v>
      </c>
      <c r="L345" s="299" t="str">
        <f t="shared" si="406"/>
        <v>-</v>
      </c>
      <c r="M345" s="299">
        <f t="shared" si="406"/>
        <v>0</v>
      </c>
      <c r="N345" s="254"/>
      <c r="O345" s="684"/>
      <c r="P345" s="298">
        <v>15</v>
      </c>
      <c r="Q345" s="299">
        <f>O164</f>
        <v>1005</v>
      </c>
      <c r="R345" s="299">
        <f t="shared" ref="R345:T345" si="407">P164</f>
        <v>1.1000000000000001</v>
      </c>
      <c r="S345" s="299" t="str">
        <f t="shared" si="407"/>
        <v>-</v>
      </c>
      <c r="T345" s="300">
        <f t="shared" si="407"/>
        <v>0</v>
      </c>
    </row>
    <row r="346" spans="1:20" ht="13" hidden="1" x14ac:dyDescent="0.3">
      <c r="A346" s="681"/>
      <c r="B346" s="298">
        <v>16</v>
      </c>
      <c r="C346" s="299">
        <f>C175</f>
        <v>37</v>
      </c>
      <c r="D346" s="299">
        <f t="shared" ref="D346:F346" si="408">D175</f>
        <v>0</v>
      </c>
      <c r="E346" s="299" t="str">
        <f t="shared" si="408"/>
        <v>-</v>
      </c>
      <c r="F346" s="299">
        <f t="shared" si="408"/>
        <v>0</v>
      </c>
      <c r="G346" s="254"/>
      <c r="H346" s="684"/>
      <c r="I346" s="298">
        <v>16</v>
      </c>
      <c r="J346" s="299">
        <f>I175</f>
        <v>80</v>
      </c>
      <c r="K346" s="299">
        <f t="shared" ref="K346:M346" si="409">J175</f>
        <v>-2.2999999999999998</v>
      </c>
      <c r="L346" s="299" t="str">
        <f t="shared" si="409"/>
        <v>-</v>
      </c>
      <c r="M346" s="299">
        <f t="shared" si="409"/>
        <v>0</v>
      </c>
      <c r="N346" s="254"/>
      <c r="O346" s="684"/>
      <c r="P346" s="298">
        <v>16</v>
      </c>
      <c r="Q346" s="299">
        <f>O175</f>
        <v>1005</v>
      </c>
      <c r="R346" s="299">
        <f t="shared" ref="R346:T346" si="410">P175</f>
        <v>-0.4</v>
      </c>
      <c r="S346" s="299" t="str">
        <f t="shared" si="410"/>
        <v>-</v>
      </c>
      <c r="T346" s="300">
        <f t="shared" si="410"/>
        <v>0</v>
      </c>
    </row>
    <row r="347" spans="1:20" ht="13" hidden="1" x14ac:dyDescent="0.3">
      <c r="A347" s="681"/>
      <c r="B347" s="298">
        <v>17</v>
      </c>
      <c r="C347" s="299">
        <f>C186</f>
        <v>37</v>
      </c>
      <c r="D347" s="299">
        <f t="shared" ref="D347:F347" si="411">D186</f>
        <v>-0.6</v>
      </c>
      <c r="E347" s="299" t="str">
        <f t="shared" si="411"/>
        <v>-</v>
      </c>
      <c r="F347" s="299">
        <f t="shared" si="411"/>
        <v>0</v>
      </c>
      <c r="G347" s="254"/>
      <c r="H347" s="684"/>
      <c r="I347" s="298">
        <v>17</v>
      </c>
      <c r="J347" s="299">
        <f>I186</f>
        <v>80</v>
      </c>
      <c r="K347" s="299">
        <f t="shared" ref="K347:M347" si="412">J186</f>
        <v>-0.8</v>
      </c>
      <c r="L347" s="299" t="str">
        <f t="shared" si="412"/>
        <v>-</v>
      </c>
      <c r="M347" s="299">
        <f t="shared" si="412"/>
        <v>0</v>
      </c>
      <c r="N347" s="254"/>
      <c r="O347" s="684"/>
      <c r="P347" s="298">
        <v>17</v>
      </c>
      <c r="Q347" s="299">
        <f>O186</f>
        <v>1005</v>
      </c>
      <c r="R347" s="299">
        <f t="shared" ref="R347:T347" si="413">P186</f>
        <v>-0.6</v>
      </c>
      <c r="S347" s="299" t="str">
        <f t="shared" si="413"/>
        <v>-</v>
      </c>
      <c r="T347" s="300">
        <f t="shared" si="413"/>
        <v>0</v>
      </c>
    </row>
    <row r="348" spans="1:20" ht="13" hidden="1" x14ac:dyDescent="0.3">
      <c r="A348" s="681"/>
      <c r="B348" s="298">
        <v>18</v>
      </c>
      <c r="C348" s="299">
        <f>C197</f>
        <v>37</v>
      </c>
      <c r="D348" s="299">
        <f t="shared" ref="D348:F348" si="414">D197</f>
        <v>-0.3</v>
      </c>
      <c r="E348" s="299" t="str">
        <f t="shared" si="414"/>
        <v>-</v>
      </c>
      <c r="F348" s="299">
        <f t="shared" si="414"/>
        <v>0</v>
      </c>
      <c r="G348" s="254"/>
      <c r="H348" s="684"/>
      <c r="I348" s="298">
        <v>18</v>
      </c>
      <c r="J348" s="299">
        <f>I197</f>
        <v>80</v>
      </c>
      <c r="K348" s="299">
        <f t="shared" ref="K348:M348" si="415">J197</f>
        <v>-0.5</v>
      </c>
      <c r="L348" s="299" t="str">
        <f t="shared" si="415"/>
        <v>-</v>
      </c>
      <c r="M348" s="299">
        <f t="shared" si="415"/>
        <v>0</v>
      </c>
      <c r="N348" s="254"/>
      <c r="O348" s="684"/>
      <c r="P348" s="298">
        <v>18</v>
      </c>
      <c r="Q348" s="299">
        <f>O197</f>
        <v>1005</v>
      </c>
      <c r="R348" s="299">
        <f t="shared" ref="R348:T348" si="416">P197</f>
        <v>-0.7</v>
      </c>
      <c r="S348" s="299" t="str">
        <f t="shared" si="416"/>
        <v>-</v>
      </c>
      <c r="T348" s="300">
        <f t="shared" si="416"/>
        <v>0</v>
      </c>
    </row>
    <row r="349" spans="1:20" ht="13" hidden="1" x14ac:dyDescent="0.3">
      <c r="A349" s="681"/>
      <c r="B349" s="298">
        <v>19</v>
      </c>
      <c r="C349" s="299">
        <f>C208</f>
        <v>37</v>
      </c>
      <c r="D349" s="299">
        <f t="shared" ref="D349:F349" si="417">D208</f>
        <v>0</v>
      </c>
      <c r="E349" s="299" t="str">
        <f t="shared" si="417"/>
        <v>-</v>
      </c>
      <c r="F349" s="299">
        <f t="shared" si="417"/>
        <v>0</v>
      </c>
      <c r="G349" s="254"/>
      <c r="H349" s="684"/>
      <c r="I349" s="298">
        <v>19</v>
      </c>
      <c r="J349" s="299">
        <f>I208</f>
        <v>80</v>
      </c>
      <c r="K349" s="299">
        <f t="shared" ref="K349:M349" si="418">J208</f>
        <v>-0.9</v>
      </c>
      <c r="L349" s="299" t="str">
        <f t="shared" si="418"/>
        <v>-</v>
      </c>
      <c r="M349" s="299">
        <f t="shared" si="418"/>
        <v>0</v>
      </c>
      <c r="N349" s="254"/>
      <c r="O349" s="684"/>
      <c r="P349" s="298">
        <v>19</v>
      </c>
      <c r="Q349" s="299">
        <f>O208</f>
        <v>1005</v>
      </c>
      <c r="R349" s="299">
        <f t="shared" ref="R349:T349" si="419">P208</f>
        <v>2.2000000000000002</v>
      </c>
      <c r="S349" s="299" t="str">
        <f t="shared" si="419"/>
        <v>-</v>
      </c>
      <c r="T349" s="300">
        <f t="shared" si="419"/>
        <v>0</v>
      </c>
    </row>
    <row r="350" spans="1:20" ht="13.5" hidden="1" thickBot="1" x14ac:dyDescent="0.35">
      <c r="A350" s="682"/>
      <c r="B350" s="309">
        <v>20</v>
      </c>
      <c r="C350" s="326">
        <f>C219</f>
        <v>39.5</v>
      </c>
      <c r="D350" s="326">
        <f t="shared" ref="D350:F350" si="420">D219</f>
        <v>0</v>
      </c>
      <c r="E350" s="326" t="str">
        <f t="shared" si="420"/>
        <v>-</v>
      </c>
      <c r="F350" s="326">
        <f t="shared" si="420"/>
        <v>0</v>
      </c>
      <c r="G350" s="311"/>
      <c r="H350" s="685"/>
      <c r="I350" s="309">
        <v>20</v>
      </c>
      <c r="J350" s="326">
        <f>I219</f>
        <v>88.7</v>
      </c>
      <c r="K350" s="326">
        <f t="shared" ref="K350:M350" si="421">J219</f>
        <v>0</v>
      </c>
      <c r="L350" s="326" t="str">
        <f t="shared" si="421"/>
        <v>-</v>
      </c>
      <c r="M350" s="326">
        <f t="shared" si="421"/>
        <v>0</v>
      </c>
      <c r="N350" s="311"/>
      <c r="O350" s="685"/>
      <c r="P350" s="309">
        <v>20</v>
      </c>
      <c r="Q350" s="326">
        <f>O219</f>
        <v>1005</v>
      </c>
      <c r="R350" s="326" t="str">
        <f t="shared" ref="R350:T350" si="422">P219</f>
        <v>-</v>
      </c>
      <c r="S350" s="326" t="str">
        <f t="shared" si="422"/>
        <v>-</v>
      </c>
      <c r="T350" s="327">
        <f t="shared" si="422"/>
        <v>0</v>
      </c>
    </row>
    <row r="351" spans="1:20" ht="13" hidden="1" x14ac:dyDescent="0.3">
      <c r="A351" s="314"/>
      <c r="B351" s="315"/>
      <c r="C351" s="328"/>
      <c r="D351" s="328"/>
      <c r="E351" s="328"/>
      <c r="F351" s="329"/>
      <c r="G351" s="318"/>
      <c r="H351" s="334"/>
      <c r="I351" s="315"/>
      <c r="J351" s="328"/>
      <c r="K351" s="328"/>
      <c r="L351" s="328"/>
      <c r="M351" s="329"/>
      <c r="N351" s="254"/>
      <c r="O351" s="334"/>
      <c r="P351" s="315"/>
      <c r="Q351" s="328"/>
      <c r="R351" s="328"/>
      <c r="S351" s="328"/>
      <c r="T351" s="329"/>
    </row>
    <row r="352" spans="1:20" ht="13" hidden="1" x14ac:dyDescent="0.3">
      <c r="A352" s="692">
        <v>7</v>
      </c>
      <c r="B352" s="321">
        <v>1</v>
      </c>
      <c r="C352" s="330">
        <f>C11</f>
        <v>40</v>
      </c>
      <c r="D352" s="330">
        <f t="shared" ref="D352:F352" si="423">D11</f>
        <v>-0.3</v>
      </c>
      <c r="E352" s="330">
        <f t="shared" si="423"/>
        <v>-0.8</v>
      </c>
      <c r="F352" s="330">
        <f t="shared" si="423"/>
        <v>0.25</v>
      </c>
      <c r="G352" s="323"/>
      <c r="H352" s="693">
        <v>7</v>
      </c>
      <c r="I352" s="321">
        <v>1</v>
      </c>
      <c r="J352" s="330">
        <f>I11</f>
        <v>90</v>
      </c>
      <c r="K352" s="330">
        <f t="shared" ref="K352:M352" si="424">J11</f>
        <v>-1.6</v>
      </c>
      <c r="L352" s="330">
        <f t="shared" si="424"/>
        <v>4.5</v>
      </c>
      <c r="M352" s="330">
        <f t="shared" si="424"/>
        <v>3.05</v>
      </c>
      <c r="N352" s="323"/>
      <c r="O352" s="693">
        <v>7</v>
      </c>
      <c r="P352" s="321">
        <v>1</v>
      </c>
      <c r="Q352" s="330">
        <f>O11</f>
        <v>1020</v>
      </c>
      <c r="R352" s="330" t="str">
        <f t="shared" ref="R352:T352" si="425">P11</f>
        <v>-</v>
      </c>
      <c r="S352" s="330" t="str">
        <f t="shared" si="425"/>
        <v>-</v>
      </c>
      <c r="T352" s="331">
        <f t="shared" si="425"/>
        <v>0</v>
      </c>
    </row>
    <row r="353" spans="1:20" ht="13" hidden="1" x14ac:dyDescent="0.3">
      <c r="A353" s="687"/>
      <c r="B353" s="298">
        <v>2</v>
      </c>
      <c r="C353" s="299">
        <f>C22</f>
        <v>40</v>
      </c>
      <c r="D353" s="299">
        <f t="shared" ref="D353:F353" si="426">D22</f>
        <v>-0.3</v>
      </c>
      <c r="E353" s="299">
        <f t="shared" si="426"/>
        <v>-2.1</v>
      </c>
      <c r="F353" s="299">
        <f t="shared" si="426"/>
        <v>0.9</v>
      </c>
      <c r="G353" s="254"/>
      <c r="H353" s="690"/>
      <c r="I353" s="298">
        <v>2</v>
      </c>
      <c r="J353" s="299">
        <f>I22</f>
        <v>90</v>
      </c>
      <c r="K353" s="299">
        <f t="shared" ref="K353:M353" si="427">J22</f>
        <v>-0.3</v>
      </c>
      <c r="L353" s="299">
        <f t="shared" si="427"/>
        <v>0.6</v>
      </c>
      <c r="M353" s="299">
        <f t="shared" si="427"/>
        <v>0.44999999999999996</v>
      </c>
      <c r="N353" s="254"/>
      <c r="O353" s="690"/>
      <c r="P353" s="298">
        <v>2</v>
      </c>
      <c r="Q353" s="299">
        <f>O22</f>
        <v>1020</v>
      </c>
      <c r="R353" s="299" t="str">
        <f t="shared" ref="R353:T353" si="428">P22</f>
        <v>-</v>
      </c>
      <c r="S353" s="299" t="str">
        <f t="shared" si="428"/>
        <v>-</v>
      </c>
      <c r="T353" s="300">
        <f t="shared" si="428"/>
        <v>0</v>
      </c>
    </row>
    <row r="354" spans="1:20" ht="13" hidden="1" x14ac:dyDescent="0.3">
      <c r="A354" s="687"/>
      <c r="B354" s="298">
        <v>3</v>
      </c>
      <c r="C354" s="299">
        <f>C33</f>
        <v>40</v>
      </c>
      <c r="D354" s="299">
        <f t="shared" ref="D354:F354" si="429">D33</f>
        <v>-0.7</v>
      </c>
      <c r="E354" s="299">
        <f t="shared" si="429"/>
        <v>-0.5</v>
      </c>
      <c r="F354" s="299">
        <f t="shared" si="429"/>
        <v>9.9999999999999978E-2</v>
      </c>
      <c r="G354" s="254"/>
      <c r="H354" s="690"/>
      <c r="I354" s="298">
        <v>3</v>
      </c>
      <c r="J354" s="299">
        <f>I33</f>
        <v>90</v>
      </c>
      <c r="K354" s="299">
        <f t="shared" ref="K354:M354" si="430">J33</f>
        <v>-2</v>
      </c>
      <c r="L354" s="299">
        <f t="shared" si="430"/>
        <v>0.9</v>
      </c>
      <c r="M354" s="299">
        <f t="shared" si="430"/>
        <v>1.45</v>
      </c>
      <c r="N354" s="254"/>
      <c r="O354" s="690"/>
      <c r="P354" s="298">
        <v>3</v>
      </c>
      <c r="Q354" s="299">
        <f>O33</f>
        <v>1020</v>
      </c>
      <c r="R354" s="299" t="str">
        <f t="shared" ref="R354:T354" si="431">P33</f>
        <v>-</v>
      </c>
      <c r="S354" s="299" t="str">
        <f t="shared" si="431"/>
        <v>-</v>
      </c>
      <c r="T354" s="300">
        <f t="shared" si="431"/>
        <v>0</v>
      </c>
    </row>
    <row r="355" spans="1:20" ht="13" hidden="1" x14ac:dyDescent="0.3">
      <c r="A355" s="687"/>
      <c r="B355" s="298">
        <v>4</v>
      </c>
      <c r="C355" s="299">
        <f>C44</f>
        <v>40</v>
      </c>
      <c r="D355" s="299">
        <f t="shared" ref="D355:F355" si="432">D44</f>
        <v>-0.5</v>
      </c>
      <c r="E355" s="299">
        <f t="shared" si="432"/>
        <v>-0.6</v>
      </c>
      <c r="F355" s="299">
        <f t="shared" si="432"/>
        <v>4.9999999999999989E-2</v>
      </c>
      <c r="G355" s="254"/>
      <c r="H355" s="690"/>
      <c r="I355" s="298">
        <v>4</v>
      </c>
      <c r="J355" s="299">
        <f>I44</f>
        <v>90</v>
      </c>
      <c r="K355" s="299">
        <f t="shared" ref="K355:M355" si="433">J44</f>
        <v>-3.5</v>
      </c>
      <c r="L355" s="299">
        <f t="shared" si="433"/>
        <v>3.3</v>
      </c>
      <c r="M355" s="299">
        <f t="shared" si="433"/>
        <v>3.4</v>
      </c>
      <c r="N355" s="254"/>
      <c r="O355" s="690"/>
      <c r="P355" s="298">
        <v>4</v>
      </c>
      <c r="Q355" s="299">
        <f>O44</f>
        <v>1020</v>
      </c>
      <c r="R355" s="299" t="str">
        <f t="shared" ref="R355:T355" si="434">P44</f>
        <v>-</v>
      </c>
      <c r="S355" s="299" t="str">
        <f t="shared" si="434"/>
        <v>-</v>
      </c>
      <c r="T355" s="300">
        <f t="shared" si="434"/>
        <v>0</v>
      </c>
    </row>
    <row r="356" spans="1:20" ht="13" hidden="1" x14ac:dyDescent="0.3">
      <c r="A356" s="687"/>
      <c r="B356" s="298">
        <v>5</v>
      </c>
      <c r="C356" s="299">
        <f>C55</f>
        <v>40</v>
      </c>
      <c r="D356" s="299">
        <f t="shared" ref="D356:F356" si="435">D55</f>
        <v>0.7</v>
      </c>
      <c r="E356" s="299">
        <f t="shared" si="435"/>
        <v>-0.1</v>
      </c>
      <c r="F356" s="299">
        <f t="shared" si="435"/>
        <v>0.39999999999999997</v>
      </c>
      <c r="G356" s="254"/>
      <c r="H356" s="690"/>
      <c r="I356" s="298">
        <v>5</v>
      </c>
      <c r="J356" s="299">
        <f>I55</f>
        <v>90</v>
      </c>
      <c r="K356" s="299">
        <f t="shared" ref="K356:M356" si="436">J55</f>
        <v>-1.8</v>
      </c>
      <c r="L356" s="299">
        <f t="shared" si="436"/>
        <v>2.7</v>
      </c>
      <c r="M356" s="299">
        <f t="shared" si="436"/>
        <v>2.25</v>
      </c>
      <c r="N356" s="254"/>
      <c r="O356" s="690"/>
      <c r="P356" s="298">
        <v>5</v>
      </c>
      <c r="Q356" s="299">
        <f>O55</f>
        <v>1020</v>
      </c>
      <c r="R356" s="299" t="str">
        <f t="shared" ref="R356:T356" si="437">P55</f>
        <v>-</v>
      </c>
      <c r="S356" s="299" t="str">
        <f t="shared" si="437"/>
        <v>-</v>
      </c>
      <c r="T356" s="300">
        <f t="shared" si="437"/>
        <v>0</v>
      </c>
    </row>
    <row r="357" spans="1:20" ht="13" hidden="1" x14ac:dyDescent="0.3">
      <c r="A357" s="687"/>
      <c r="B357" s="298">
        <v>6</v>
      </c>
      <c r="C357" s="299">
        <f>C66</f>
        <v>40</v>
      </c>
      <c r="D357" s="299">
        <f t="shared" ref="D357:F357" si="438">D66</f>
        <v>-1.4</v>
      </c>
      <c r="E357" s="299">
        <f t="shared" si="438"/>
        <v>-0.1</v>
      </c>
      <c r="F357" s="299">
        <f t="shared" si="438"/>
        <v>0.64999999999999991</v>
      </c>
      <c r="G357" s="254"/>
      <c r="H357" s="690"/>
      <c r="I357" s="298">
        <v>6</v>
      </c>
      <c r="J357" s="299">
        <f>I66</f>
        <v>90</v>
      </c>
      <c r="K357" s="299">
        <f t="shared" ref="K357:M357" si="439">J66</f>
        <v>0.7</v>
      </c>
      <c r="L357" s="299">
        <f t="shared" si="439"/>
        <v>-2.6</v>
      </c>
      <c r="M357" s="299">
        <f t="shared" si="439"/>
        <v>1.65</v>
      </c>
      <c r="N357" s="254"/>
      <c r="O357" s="690"/>
      <c r="P357" s="298">
        <v>6</v>
      </c>
      <c r="Q357" s="299">
        <f>O66</f>
        <v>1020</v>
      </c>
      <c r="R357" s="299">
        <f t="shared" ref="R357:T357" si="440">P66</f>
        <v>0</v>
      </c>
      <c r="S357" s="299" t="str">
        <f t="shared" si="440"/>
        <v>-</v>
      </c>
      <c r="T357" s="300">
        <f t="shared" si="440"/>
        <v>0</v>
      </c>
    </row>
    <row r="358" spans="1:20" ht="13" hidden="1" x14ac:dyDescent="0.3">
      <c r="A358" s="687"/>
      <c r="B358" s="298">
        <v>7</v>
      </c>
      <c r="C358" s="299">
        <f>C77</f>
        <v>40</v>
      </c>
      <c r="D358" s="299">
        <f t="shared" ref="D358:F358" si="441">D77</f>
        <v>0.1</v>
      </c>
      <c r="E358" s="299">
        <f t="shared" si="441"/>
        <v>-1.7</v>
      </c>
      <c r="F358" s="299">
        <f t="shared" si="441"/>
        <v>0.9</v>
      </c>
      <c r="G358" s="254"/>
      <c r="H358" s="690"/>
      <c r="I358" s="298">
        <v>7</v>
      </c>
      <c r="J358" s="299">
        <f>I77</f>
        <v>90</v>
      </c>
      <c r="K358" s="299">
        <f t="shared" ref="K358:M358" si="442">J77</f>
        <v>-3</v>
      </c>
      <c r="L358" s="299">
        <f t="shared" si="442"/>
        <v>1.8</v>
      </c>
      <c r="M358" s="299">
        <f t="shared" si="442"/>
        <v>2.4</v>
      </c>
      <c r="N358" s="254"/>
      <c r="O358" s="690"/>
      <c r="P358" s="298">
        <v>7</v>
      </c>
      <c r="Q358" s="299">
        <f>O77</f>
        <v>1020</v>
      </c>
      <c r="R358" s="299">
        <f t="shared" ref="R358:T358" si="443">P77</f>
        <v>-3.8</v>
      </c>
      <c r="S358" s="299">
        <f t="shared" si="443"/>
        <v>0</v>
      </c>
      <c r="T358" s="300">
        <f t="shared" si="443"/>
        <v>1.9</v>
      </c>
    </row>
    <row r="359" spans="1:20" ht="13" hidden="1" x14ac:dyDescent="0.3">
      <c r="A359" s="687"/>
      <c r="B359" s="298">
        <v>8</v>
      </c>
      <c r="C359" s="299">
        <f>C88</f>
        <v>40</v>
      </c>
      <c r="D359" s="299">
        <f t="shared" ref="D359:F359" si="444">D88</f>
        <v>0</v>
      </c>
      <c r="E359" s="299">
        <f t="shared" si="444"/>
        <v>-0.4</v>
      </c>
      <c r="F359" s="299">
        <f t="shared" si="444"/>
        <v>0.2</v>
      </c>
      <c r="G359" s="254"/>
      <c r="H359" s="690"/>
      <c r="I359" s="298">
        <v>8</v>
      </c>
      <c r="J359" s="299">
        <f>I88</f>
        <v>90</v>
      </c>
      <c r="K359" s="299">
        <f t="shared" ref="K359:M359" si="445">J88</f>
        <v>-4.9000000000000004</v>
      </c>
      <c r="L359" s="299">
        <f t="shared" si="445"/>
        <v>-1.3</v>
      </c>
      <c r="M359" s="299">
        <f t="shared" si="445"/>
        <v>1.8000000000000003</v>
      </c>
      <c r="N359" s="254"/>
      <c r="O359" s="690"/>
      <c r="P359" s="298">
        <v>8</v>
      </c>
      <c r="Q359" s="299">
        <f>O88</f>
        <v>1020</v>
      </c>
      <c r="R359" s="299">
        <f t="shared" ref="R359:T359" si="446">P88</f>
        <v>-3.4</v>
      </c>
      <c r="S359" s="299">
        <f t="shared" si="446"/>
        <v>0</v>
      </c>
      <c r="T359" s="300">
        <f t="shared" si="446"/>
        <v>1.7</v>
      </c>
    </row>
    <row r="360" spans="1:20" ht="13" hidden="1" x14ac:dyDescent="0.3">
      <c r="A360" s="687"/>
      <c r="B360" s="298">
        <v>9</v>
      </c>
      <c r="C360" s="299">
        <f>C99</f>
        <v>40</v>
      </c>
      <c r="D360" s="299">
        <f t="shared" ref="D360:F360" si="447">D99</f>
        <v>-0.4</v>
      </c>
      <c r="E360" s="299" t="str">
        <f t="shared" si="447"/>
        <v>-</v>
      </c>
      <c r="F360" s="299">
        <f t="shared" si="447"/>
        <v>0</v>
      </c>
      <c r="G360" s="254"/>
      <c r="H360" s="690"/>
      <c r="I360" s="298">
        <v>9</v>
      </c>
      <c r="J360" s="299">
        <f>I99</f>
        <v>90</v>
      </c>
      <c r="K360" s="299">
        <f t="shared" ref="K360:M360" si="448">J99</f>
        <v>-0.2</v>
      </c>
      <c r="L360" s="299" t="str">
        <f t="shared" si="448"/>
        <v>-</v>
      </c>
      <c r="M360" s="299">
        <f t="shared" si="448"/>
        <v>0</v>
      </c>
      <c r="N360" s="254"/>
      <c r="O360" s="690"/>
      <c r="P360" s="298">
        <v>9</v>
      </c>
      <c r="Q360" s="299">
        <f>O99</f>
        <v>1020</v>
      </c>
      <c r="R360" s="299">
        <f t="shared" ref="R360:T360" si="449">P99</f>
        <v>0</v>
      </c>
      <c r="S360" s="299" t="str">
        <f t="shared" si="449"/>
        <v>-</v>
      </c>
      <c r="T360" s="300">
        <f t="shared" si="449"/>
        <v>0</v>
      </c>
    </row>
    <row r="361" spans="1:20" ht="13" hidden="1" x14ac:dyDescent="0.3">
      <c r="A361" s="687"/>
      <c r="B361" s="298">
        <v>10</v>
      </c>
      <c r="C361" s="299">
        <f>C110</f>
        <v>40</v>
      </c>
      <c r="D361" s="299">
        <f t="shared" ref="D361:F361" si="450">D110</f>
        <v>0.2</v>
      </c>
      <c r="E361" s="299">
        <f t="shared" si="450"/>
        <v>0</v>
      </c>
      <c r="F361" s="299">
        <f t="shared" si="450"/>
        <v>0.1</v>
      </c>
      <c r="G361" s="254"/>
      <c r="H361" s="690"/>
      <c r="I361" s="298">
        <v>10</v>
      </c>
      <c r="J361" s="299">
        <f>I110</f>
        <v>90</v>
      </c>
      <c r="K361" s="299">
        <f t="shared" ref="K361:M361" si="451">J110</f>
        <v>5.4</v>
      </c>
      <c r="L361" s="299">
        <f t="shared" si="451"/>
        <v>0</v>
      </c>
      <c r="M361" s="299">
        <f t="shared" si="451"/>
        <v>2.7</v>
      </c>
      <c r="N361" s="254"/>
      <c r="O361" s="690"/>
      <c r="P361" s="298">
        <v>10</v>
      </c>
      <c r="Q361" s="299">
        <f>O110</f>
        <v>1020</v>
      </c>
      <c r="R361" s="299" t="str">
        <f t="shared" ref="R361:T361" si="452">P110</f>
        <v>-</v>
      </c>
      <c r="S361" s="299" t="str">
        <f t="shared" si="452"/>
        <v>-</v>
      </c>
      <c r="T361" s="300">
        <f t="shared" si="452"/>
        <v>0</v>
      </c>
    </row>
    <row r="362" spans="1:20" ht="13" hidden="1" x14ac:dyDescent="0.3">
      <c r="A362" s="687"/>
      <c r="B362" s="298">
        <v>11</v>
      </c>
      <c r="C362" s="299">
        <f>C121</f>
        <v>40</v>
      </c>
      <c r="D362" s="299">
        <f t="shared" ref="D362:F362" si="453">D121</f>
        <v>0.5</v>
      </c>
      <c r="E362" s="299">
        <f t="shared" si="453"/>
        <v>0</v>
      </c>
      <c r="F362" s="299">
        <f t="shared" si="453"/>
        <v>0.25</v>
      </c>
      <c r="G362" s="254"/>
      <c r="H362" s="690"/>
      <c r="I362" s="298">
        <v>11</v>
      </c>
      <c r="J362" s="299">
        <f>I121</f>
        <v>90</v>
      </c>
      <c r="K362" s="299">
        <f t="shared" ref="K362:M362" si="454">J121</f>
        <v>1.3</v>
      </c>
      <c r="L362" s="299">
        <f t="shared" si="454"/>
        <v>0</v>
      </c>
      <c r="M362" s="299">
        <f t="shared" si="454"/>
        <v>0.65</v>
      </c>
      <c r="N362" s="254"/>
      <c r="O362" s="690"/>
      <c r="P362" s="298">
        <v>11</v>
      </c>
      <c r="Q362" s="299">
        <f>O121</f>
        <v>1020</v>
      </c>
      <c r="R362" s="299" t="str">
        <f t="shared" ref="R362:T362" si="455">P121</f>
        <v>-</v>
      </c>
      <c r="S362" s="299" t="str">
        <f t="shared" si="455"/>
        <v>-</v>
      </c>
      <c r="T362" s="300">
        <f t="shared" si="455"/>
        <v>0</v>
      </c>
    </row>
    <row r="363" spans="1:20" ht="13" hidden="1" x14ac:dyDescent="0.3">
      <c r="A363" s="687"/>
      <c r="B363" s="298">
        <v>12</v>
      </c>
      <c r="C363" s="299">
        <f>C132</f>
        <v>40</v>
      </c>
      <c r="D363" s="299">
        <f t="shared" ref="D363:F363" si="456">D132</f>
        <v>-0.4</v>
      </c>
      <c r="E363" s="299" t="str">
        <f t="shared" si="456"/>
        <v>-</v>
      </c>
      <c r="F363" s="299">
        <f t="shared" si="456"/>
        <v>0</v>
      </c>
      <c r="G363" s="254"/>
      <c r="H363" s="690"/>
      <c r="I363" s="298">
        <v>12</v>
      </c>
      <c r="J363" s="299">
        <f>I132</f>
        <v>90</v>
      </c>
      <c r="K363" s="299">
        <f t="shared" ref="K363:M363" si="457">J132</f>
        <v>-0.9</v>
      </c>
      <c r="L363" s="299" t="str">
        <f t="shared" si="457"/>
        <v>-</v>
      </c>
      <c r="M363" s="299">
        <f t="shared" si="457"/>
        <v>0</v>
      </c>
      <c r="N363" s="254"/>
      <c r="O363" s="690"/>
      <c r="P363" s="298">
        <v>12</v>
      </c>
      <c r="Q363" s="299">
        <f>O132</f>
        <v>1020</v>
      </c>
      <c r="R363" s="299">
        <f t="shared" ref="R363:T363" si="458">P132</f>
        <v>0</v>
      </c>
      <c r="S363" s="299" t="str">
        <f t="shared" si="458"/>
        <v>-</v>
      </c>
      <c r="T363" s="300">
        <f t="shared" si="458"/>
        <v>0</v>
      </c>
    </row>
    <row r="364" spans="1:20" ht="13" hidden="1" x14ac:dyDescent="0.3">
      <c r="A364" s="687"/>
      <c r="B364" s="298">
        <v>13</v>
      </c>
      <c r="C364" s="299">
        <f>C143</f>
        <v>40</v>
      </c>
      <c r="D364" s="299">
        <f t="shared" ref="D364:F364" si="459">D143</f>
        <v>0.5</v>
      </c>
      <c r="E364" s="299" t="str">
        <f t="shared" si="459"/>
        <v>-</v>
      </c>
      <c r="F364" s="299">
        <f t="shared" si="459"/>
        <v>0</v>
      </c>
      <c r="G364" s="254"/>
      <c r="H364" s="690"/>
      <c r="I364" s="298">
        <v>13</v>
      </c>
      <c r="J364" s="299">
        <f>I143</f>
        <v>90</v>
      </c>
      <c r="K364" s="299">
        <f t="shared" ref="K364:M364" si="460">J143</f>
        <v>-3.2</v>
      </c>
      <c r="L364" s="299" t="str">
        <f t="shared" si="460"/>
        <v>-</v>
      </c>
      <c r="M364" s="299">
        <f t="shared" si="460"/>
        <v>0</v>
      </c>
      <c r="N364" s="254"/>
      <c r="O364" s="690"/>
      <c r="P364" s="298">
        <v>13</v>
      </c>
      <c r="Q364" s="299">
        <f>O143</f>
        <v>1020</v>
      </c>
      <c r="R364" s="299">
        <f t="shared" ref="R364:T364" si="461">P143</f>
        <v>0</v>
      </c>
      <c r="S364" s="299" t="str">
        <f t="shared" si="461"/>
        <v>-</v>
      </c>
      <c r="T364" s="300">
        <f t="shared" si="461"/>
        <v>0</v>
      </c>
    </row>
    <row r="365" spans="1:20" ht="13" hidden="1" x14ac:dyDescent="0.3">
      <c r="A365" s="687"/>
      <c r="B365" s="298">
        <v>14</v>
      </c>
      <c r="C365" s="299">
        <f>C154</f>
        <v>40</v>
      </c>
      <c r="D365" s="299">
        <f t="shared" ref="D365:F365" si="462">D154</f>
        <v>-1.1000000000000001</v>
      </c>
      <c r="E365" s="299" t="str">
        <f t="shared" si="462"/>
        <v>-</v>
      </c>
      <c r="F365" s="299">
        <f t="shared" si="462"/>
        <v>0</v>
      </c>
      <c r="G365" s="254"/>
      <c r="H365" s="690"/>
      <c r="I365" s="298">
        <v>14</v>
      </c>
      <c r="J365" s="299">
        <f>I154</f>
        <v>90</v>
      </c>
      <c r="K365" s="299">
        <f t="shared" ref="K365:M365" si="463">J154</f>
        <v>-0.8</v>
      </c>
      <c r="L365" s="299" t="str">
        <f t="shared" si="463"/>
        <v>-</v>
      </c>
      <c r="M365" s="299">
        <f t="shared" si="463"/>
        <v>0</v>
      </c>
      <c r="N365" s="254"/>
      <c r="O365" s="690"/>
      <c r="P365" s="298">
        <v>14</v>
      </c>
      <c r="Q365" s="299">
        <f>O154</f>
        <v>1020</v>
      </c>
      <c r="R365" s="299">
        <f t="shared" ref="R365:T365" si="464">P154</f>
        <v>0</v>
      </c>
      <c r="S365" s="299" t="str">
        <f t="shared" si="464"/>
        <v>-</v>
      </c>
      <c r="T365" s="300">
        <f t="shared" si="464"/>
        <v>0</v>
      </c>
    </row>
    <row r="366" spans="1:20" ht="13" hidden="1" x14ac:dyDescent="0.3">
      <c r="A366" s="687"/>
      <c r="B366" s="298">
        <v>15</v>
      </c>
      <c r="C366" s="299">
        <f>C165</f>
        <v>40</v>
      </c>
      <c r="D366" s="299">
        <f t="shared" ref="D366:F366" si="465">D165</f>
        <v>0</v>
      </c>
      <c r="E366" s="299" t="str">
        <f t="shared" si="465"/>
        <v>-</v>
      </c>
      <c r="F366" s="299">
        <f t="shared" si="465"/>
        <v>0</v>
      </c>
      <c r="G366" s="254"/>
      <c r="H366" s="690"/>
      <c r="I366" s="298">
        <v>15</v>
      </c>
      <c r="J366" s="299">
        <f>I165</f>
        <v>90</v>
      </c>
      <c r="K366" s="299">
        <f t="shared" ref="K366:M366" si="466">J165</f>
        <v>-2</v>
      </c>
      <c r="L366" s="299" t="str">
        <f t="shared" si="466"/>
        <v>-</v>
      </c>
      <c r="M366" s="299">
        <f t="shared" si="466"/>
        <v>0</v>
      </c>
      <c r="N366" s="254"/>
      <c r="O366" s="690"/>
      <c r="P366" s="298">
        <v>15</v>
      </c>
      <c r="Q366" s="299">
        <f>O165</f>
        <v>1020</v>
      </c>
      <c r="R366" s="299">
        <f t="shared" ref="R366:T366" si="467">P165</f>
        <v>0</v>
      </c>
      <c r="S366" s="299" t="str">
        <f t="shared" si="467"/>
        <v>-</v>
      </c>
      <c r="T366" s="300">
        <f t="shared" si="467"/>
        <v>0</v>
      </c>
    </row>
    <row r="367" spans="1:20" ht="13" hidden="1" x14ac:dyDescent="0.3">
      <c r="A367" s="687"/>
      <c r="B367" s="298">
        <v>16</v>
      </c>
      <c r="C367" s="299">
        <f>C176</f>
        <v>40</v>
      </c>
      <c r="D367" s="299">
        <f t="shared" ref="D367:F367" si="468">D176</f>
        <v>0</v>
      </c>
      <c r="E367" s="299" t="str">
        <f t="shared" si="468"/>
        <v>-</v>
      </c>
      <c r="F367" s="299">
        <f t="shared" si="468"/>
        <v>0</v>
      </c>
      <c r="G367" s="254"/>
      <c r="H367" s="690"/>
      <c r="I367" s="298">
        <v>16</v>
      </c>
      <c r="J367" s="299">
        <f>I176</f>
        <v>90</v>
      </c>
      <c r="K367" s="299">
        <f t="shared" ref="K367:M367" si="469">J176</f>
        <v>-3</v>
      </c>
      <c r="L367" s="299" t="str">
        <f t="shared" si="469"/>
        <v>-</v>
      </c>
      <c r="M367" s="299">
        <f t="shared" si="469"/>
        <v>0</v>
      </c>
      <c r="N367" s="254"/>
      <c r="O367" s="690"/>
      <c r="P367" s="298">
        <v>16</v>
      </c>
      <c r="Q367" s="299">
        <f>O176</f>
        <v>1020</v>
      </c>
      <c r="R367" s="299">
        <f t="shared" ref="R367:T367" si="470">P176</f>
        <v>0</v>
      </c>
      <c r="S367" s="299" t="str">
        <f t="shared" si="470"/>
        <v>-</v>
      </c>
      <c r="T367" s="300">
        <f t="shared" si="470"/>
        <v>0</v>
      </c>
    </row>
    <row r="368" spans="1:20" ht="13" hidden="1" x14ac:dyDescent="0.3">
      <c r="A368" s="687"/>
      <c r="B368" s="298">
        <v>17</v>
      </c>
      <c r="C368" s="299">
        <f>C187</f>
        <v>40</v>
      </c>
      <c r="D368" s="299">
        <f t="shared" ref="D368:F368" si="471">D187</f>
        <v>-0.8</v>
      </c>
      <c r="E368" s="299" t="str">
        <f t="shared" si="471"/>
        <v>-</v>
      </c>
      <c r="F368" s="299">
        <f t="shared" si="471"/>
        <v>0</v>
      </c>
      <c r="G368" s="254"/>
      <c r="H368" s="690"/>
      <c r="I368" s="298">
        <v>17</v>
      </c>
      <c r="J368" s="299">
        <f>I187</f>
        <v>90</v>
      </c>
      <c r="K368" s="299">
        <f t="shared" ref="K368:M368" si="472">J187</f>
        <v>-1.4</v>
      </c>
      <c r="L368" s="299" t="str">
        <f t="shared" si="472"/>
        <v>-</v>
      </c>
      <c r="M368" s="299">
        <f t="shared" si="472"/>
        <v>0</v>
      </c>
      <c r="N368" s="254"/>
      <c r="O368" s="690"/>
      <c r="P368" s="298">
        <v>17</v>
      </c>
      <c r="Q368" s="299">
        <f>O187</f>
        <v>1020</v>
      </c>
      <c r="R368" s="299">
        <f t="shared" ref="R368:T368" si="473">P187</f>
        <v>0</v>
      </c>
      <c r="S368" s="299" t="str">
        <f t="shared" si="473"/>
        <v>-</v>
      </c>
      <c r="T368" s="300">
        <f t="shared" si="473"/>
        <v>0</v>
      </c>
    </row>
    <row r="369" spans="1:20" ht="13" hidden="1" x14ac:dyDescent="0.3">
      <c r="A369" s="687"/>
      <c r="B369" s="298">
        <v>18</v>
      </c>
      <c r="C369" s="299">
        <f>C198</f>
        <v>40</v>
      </c>
      <c r="D369" s="299">
        <f t="shared" ref="D369:F369" si="474">D198</f>
        <v>-0.4</v>
      </c>
      <c r="E369" s="299" t="str">
        <f t="shared" si="474"/>
        <v>-</v>
      </c>
      <c r="F369" s="299">
        <f t="shared" si="474"/>
        <v>0</v>
      </c>
      <c r="G369" s="254"/>
      <c r="H369" s="690"/>
      <c r="I369" s="298">
        <v>18</v>
      </c>
      <c r="J369" s="299">
        <f>I198</f>
        <v>90</v>
      </c>
      <c r="K369" s="299">
        <f t="shared" ref="K369:M369" si="475">J198</f>
        <v>-0.8</v>
      </c>
      <c r="L369" s="299" t="str">
        <f t="shared" si="475"/>
        <v>-</v>
      </c>
      <c r="M369" s="299">
        <f t="shared" si="475"/>
        <v>0</v>
      </c>
      <c r="N369" s="254"/>
      <c r="O369" s="690"/>
      <c r="P369" s="298">
        <v>18</v>
      </c>
      <c r="Q369" s="299">
        <f>O198</f>
        <v>1020</v>
      </c>
      <c r="R369" s="299">
        <f t="shared" ref="R369:T369" si="476">P198</f>
        <v>0</v>
      </c>
      <c r="S369" s="299" t="str">
        <f t="shared" si="476"/>
        <v>-</v>
      </c>
      <c r="T369" s="300">
        <f t="shared" si="476"/>
        <v>0</v>
      </c>
    </row>
    <row r="370" spans="1:20" ht="13" hidden="1" x14ac:dyDescent="0.3">
      <c r="A370" s="687"/>
      <c r="B370" s="298">
        <v>19</v>
      </c>
      <c r="C370" s="299">
        <f>C209</f>
        <v>40</v>
      </c>
      <c r="D370" s="299">
        <f t="shared" ref="D370:F370" si="477">D209</f>
        <v>0.2</v>
      </c>
      <c r="E370" s="299" t="str">
        <f t="shared" si="477"/>
        <v>-</v>
      </c>
      <c r="F370" s="299">
        <f t="shared" si="477"/>
        <v>0</v>
      </c>
      <c r="G370" s="254"/>
      <c r="H370" s="690"/>
      <c r="I370" s="298">
        <v>19</v>
      </c>
      <c r="J370" s="299">
        <f>I209</f>
        <v>90</v>
      </c>
      <c r="K370" s="299">
        <f t="shared" ref="K370:M370" si="478">J209</f>
        <v>-0.6</v>
      </c>
      <c r="L370" s="299" t="str">
        <f t="shared" si="478"/>
        <v>-</v>
      </c>
      <c r="M370" s="299">
        <f t="shared" si="478"/>
        <v>0</v>
      </c>
      <c r="N370" s="254"/>
      <c r="O370" s="690"/>
      <c r="P370" s="298">
        <v>19</v>
      </c>
      <c r="Q370" s="299">
        <f>O209</f>
        <v>1020</v>
      </c>
      <c r="R370" s="299">
        <f t="shared" ref="R370:T370" si="479">P209</f>
        <v>2.2999999999999998</v>
      </c>
      <c r="S370" s="299" t="str">
        <f t="shared" si="479"/>
        <v>-</v>
      </c>
      <c r="T370" s="300">
        <f t="shared" si="479"/>
        <v>0</v>
      </c>
    </row>
    <row r="371" spans="1:20" ht="13.5" hidden="1" thickBot="1" x14ac:dyDescent="0.35">
      <c r="A371" s="688"/>
      <c r="B371" s="309">
        <v>20</v>
      </c>
      <c r="C371" s="326">
        <f>C220</f>
        <v>40</v>
      </c>
      <c r="D371" s="326">
        <f t="shared" ref="D371:F371" si="480">D220</f>
        <v>0</v>
      </c>
      <c r="E371" s="326" t="str">
        <f t="shared" si="480"/>
        <v>-</v>
      </c>
      <c r="F371" s="326">
        <f t="shared" si="480"/>
        <v>0</v>
      </c>
      <c r="G371" s="311"/>
      <c r="H371" s="691"/>
      <c r="I371" s="309">
        <v>20</v>
      </c>
      <c r="J371" s="326">
        <f>I220</f>
        <v>90</v>
      </c>
      <c r="K371" s="326">
        <f t="shared" ref="K371:M371" si="481">J220</f>
        <v>0</v>
      </c>
      <c r="L371" s="326" t="str">
        <f t="shared" si="481"/>
        <v>-</v>
      </c>
      <c r="M371" s="326">
        <f t="shared" si="481"/>
        <v>0</v>
      </c>
      <c r="N371" s="311"/>
      <c r="O371" s="691"/>
      <c r="P371" s="309">
        <v>20</v>
      </c>
      <c r="Q371" s="326">
        <f>O220</f>
        <v>1020</v>
      </c>
      <c r="R371" s="326" t="str">
        <f t="shared" ref="R371:T371" si="482">P220</f>
        <v>-</v>
      </c>
      <c r="S371" s="326" t="str">
        <f t="shared" si="482"/>
        <v>-</v>
      </c>
      <c r="T371" s="327">
        <f t="shared" si="482"/>
        <v>0</v>
      </c>
    </row>
    <row r="372" spans="1:20" ht="13.5" thickBot="1" x14ac:dyDescent="0.35">
      <c r="A372" s="335"/>
      <c r="B372" s="336"/>
      <c r="C372" s="318"/>
      <c r="D372" s="318"/>
      <c r="E372" s="318"/>
      <c r="F372" s="318"/>
      <c r="G372" s="318"/>
      <c r="H372" s="254"/>
      <c r="I372" s="313"/>
      <c r="J372" s="336"/>
      <c r="K372" s="318"/>
      <c r="L372" s="318"/>
      <c r="M372" s="318"/>
      <c r="N372" s="318"/>
      <c r="O372" s="318"/>
      <c r="P372" s="254"/>
    </row>
    <row r="373" spans="1:20" ht="29.25" customHeight="1" x14ac:dyDescent="0.25">
      <c r="A373" s="337">
        <f>A413</f>
        <v>19</v>
      </c>
      <c r="B373" s="699" t="str">
        <f>A392</f>
        <v>Thermohygrolight, Merek : EXTECH, Model : SD700, SN : A.100615</v>
      </c>
      <c r="C373" s="699"/>
      <c r="D373" s="700"/>
      <c r="E373" s="338"/>
      <c r="F373" s="337">
        <f>A373</f>
        <v>19</v>
      </c>
      <c r="G373" s="699" t="str">
        <f>B373</f>
        <v>Thermohygrolight, Merek : EXTECH, Model : SD700, SN : A.100615</v>
      </c>
      <c r="H373" s="699"/>
      <c r="I373" s="700"/>
      <c r="J373" s="338"/>
      <c r="K373" s="337">
        <f>F373</f>
        <v>19</v>
      </c>
      <c r="L373" s="699" t="str">
        <f>G373</f>
        <v>Thermohygrolight, Merek : EXTECH, Model : SD700, SN : A.100615</v>
      </c>
      <c r="M373" s="699"/>
      <c r="N373" s="700"/>
      <c r="O373" s="226"/>
      <c r="P373" s="337">
        <f>A373</f>
        <v>19</v>
      </c>
      <c r="Q373" s="699" t="str">
        <f>G373</f>
        <v>Thermohygrolight, Merek : EXTECH, Model : SD700, SN : A.100615</v>
      </c>
      <c r="R373" s="699"/>
      <c r="S373" s="699"/>
      <c r="T373" s="700"/>
    </row>
    <row r="374" spans="1:20" ht="13.5" x14ac:dyDescent="0.3">
      <c r="A374" s="339" t="s">
        <v>461</v>
      </c>
      <c r="B374" s="701" t="s">
        <v>229</v>
      </c>
      <c r="C374" s="701"/>
      <c r="D374" s="702" t="s">
        <v>462</v>
      </c>
      <c r="E374" s="318"/>
      <c r="F374" s="339" t="s">
        <v>463</v>
      </c>
      <c r="G374" s="701" t="s">
        <v>229</v>
      </c>
      <c r="H374" s="701"/>
      <c r="I374" s="702" t="s">
        <v>462</v>
      </c>
      <c r="J374" s="318"/>
      <c r="K374" s="339" t="s">
        <v>464</v>
      </c>
      <c r="L374" s="701" t="s">
        <v>229</v>
      </c>
      <c r="M374" s="701"/>
      <c r="N374" s="702" t="s">
        <v>462</v>
      </c>
      <c r="P374" s="717"/>
      <c r="Q374" s="694" t="s">
        <v>489</v>
      </c>
      <c r="R374" s="694" t="s">
        <v>490</v>
      </c>
      <c r="S374" s="694" t="s">
        <v>491</v>
      </c>
      <c r="T374" s="695" t="s">
        <v>460</v>
      </c>
    </row>
    <row r="375" spans="1:20" ht="14" x14ac:dyDescent="0.3">
      <c r="A375" s="340" t="s">
        <v>488</v>
      </c>
      <c r="B375" s="341">
        <f>VLOOKUP(B373,A393:K412,9,FALSE)</f>
        <v>2021</v>
      </c>
      <c r="C375" s="341" t="str">
        <f>VLOOKUP(B373,A393:K412,10,FALSE)</f>
        <v>-</v>
      </c>
      <c r="D375" s="702"/>
      <c r="E375" s="318"/>
      <c r="F375" s="342" t="s">
        <v>466</v>
      </c>
      <c r="G375" s="341">
        <f>B375</f>
        <v>2021</v>
      </c>
      <c r="H375" s="341" t="str">
        <f>C375</f>
        <v>-</v>
      </c>
      <c r="I375" s="702"/>
      <c r="J375" s="318"/>
      <c r="K375" s="342" t="s">
        <v>467</v>
      </c>
      <c r="L375" s="341">
        <f>G375</f>
        <v>2021</v>
      </c>
      <c r="M375" s="341" t="str">
        <f>H375</f>
        <v>-</v>
      </c>
      <c r="N375" s="702"/>
      <c r="P375" s="717"/>
      <c r="Q375" s="694"/>
      <c r="R375" s="694"/>
      <c r="S375" s="694"/>
      <c r="T375" s="695"/>
    </row>
    <row r="376" spans="1:20" ht="13" x14ac:dyDescent="0.3">
      <c r="A376" s="343">
        <f>VLOOKUP($A$373,$B$226:$F$245,2,FALSE)</f>
        <v>15</v>
      </c>
      <c r="B376" s="344">
        <f>VLOOKUP($A$373,$B$226:$F$245,3,FALSE)</f>
        <v>0</v>
      </c>
      <c r="C376" s="344" t="str">
        <f>VLOOKUP($A$373,$B$226:$F$245,4,FALSE)</f>
        <v>-</v>
      </c>
      <c r="D376" s="345">
        <f>VLOOKUP($A$373,$B$226:$F$245,5,FALSE)</f>
        <v>0</v>
      </c>
      <c r="E376" s="318"/>
      <c r="F376" s="343">
        <f>VLOOKUP($F$373,$I$226:$M$245,2,FALSE)</f>
        <v>30</v>
      </c>
      <c r="G376" s="344">
        <f>VLOOKUP($F$373,$I$226:$M$245,3,FALSE)</f>
        <v>-1.5</v>
      </c>
      <c r="H376" s="344" t="str">
        <f>VLOOKUP($F$373,$I$226:$M$245,4,FALSE)</f>
        <v>-</v>
      </c>
      <c r="I376" s="345">
        <f>VLOOKUP($F$373,$I$226:$M$245,5,FALSE)</f>
        <v>0</v>
      </c>
      <c r="J376" s="318"/>
      <c r="K376" s="343">
        <f>VLOOKUP($K$373,$P$226:$T$245,2,FALSE)</f>
        <v>750</v>
      </c>
      <c r="L376" s="344">
        <f>VLOOKUP($K$373,$P$226:$T$245,3,FALSE)</f>
        <v>2.5</v>
      </c>
      <c r="M376" s="344" t="str">
        <f>VLOOKUP($K$373,$P$226:$T$245,4,FALSE)</f>
        <v>-</v>
      </c>
      <c r="N376" s="345">
        <f>VLOOKUP($K$373,$P$226:$T$245,5,FALSE)</f>
        <v>0</v>
      </c>
      <c r="P376" s="717"/>
      <c r="Q376" s="694"/>
      <c r="R376" s="694"/>
      <c r="S376" s="694"/>
      <c r="T376" s="695"/>
    </row>
    <row r="377" spans="1:20" ht="13" x14ac:dyDescent="0.3">
      <c r="A377" s="343">
        <f>VLOOKUP($A$373,$B$247:$F$266,2,FALSE)</f>
        <v>20</v>
      </c>
      <c r="B377" s="344">
        <f>VLOOKUP($A$373,$B$247:$F$266,3,FALSE)</f>
        <v>0.1</v>
      </c>
      <c r="C377" s="344" t="str">
        <f>VLOOKUP($A$373,$B$247:$F$266,4,FALSE)</f>
        <v>-</v>
      </c>
      <c r="D377" s="345">
        <f>VLOOKUP($A$373,$B$247:$F$266,5,FALSE)</f>
        <v>0</v>
      </c>
      <c r="E377" s="318"/>
      <c r="F377" s="343">
        <f>VLOOKUP($F$373,$I$247:$M$266,2,FALSE)</f>
        <v>40</v>
      </c>
      <c r="G377" s="344">
        <f>VLOOKUP($F$373,$I$247:$M$266,3,FALSE)</f>
        <v>-0.8</v>
      </c>
      <c r="H377" s="344" t="str">
        <f>VLOOKUP($F$373,$I$247:$M$266,4,FALSE)</f>
        <v>-</v>
      </c>
      <c r="I377" s="345">
        <f>VLOOKUP($F$373,$I$247:$M$266,5,FALSE)</f>
        <v>0</v>
      </c>
      <c r="J377" s="318"/>
      <c r="K377" s="343">
        <f>VLOOKUP($K$373,$P$247:$T$266,2,FALSE)</f>
        <v>800</v>
      </c>
      <c r="L377" s="344">
        <f>VLOOKUP($K$373,$P$247:$T$266,3,FALSE)</f>
        <v>2.5</v>
      </c>
      <c r="M377" s="344" t="str">
        <f>VLOOKUP($K$373,$P$247:$T$266,4,FALSE)</f>
        <v>-</v>
      </c>
      <c r="N377" s="345">
        <f>VLOOKUP($K$373,$P$247:$T$266,5,FALSE)</f>
        <v>0</v>
      </c>
      <c r="P377" s="346" t="s">
        <v>461</v>
      </c>
      <c r="Q377" s="347">
        <f>ID!F16</f>
        <v>23</v>
      </c>
      <c r="R377" s="348">
        <f>Q377+C386</f>
        <v>22.92</v>
      </c>
      <c r="S377" s="347">
        <f>STDEV(ID!D16:E16)</f>
        <v>1.4142135623730951</v>
      </c>
      <c r="T377" s="349">
        <f>VLOOKUP(P373,V225:W244,2,(FALSE))</f>
        <v>0.1</v>
      </c>
    </row>
    <row r="378" spans="1:20" ht="13" x14ac:dyDescent="0.3">
      <c r="A378" s="343">
        <f>VLOOKUP($A$373,$B$268:$F$287,2,FALSE)</f>
        <v>25</v>
      </c>
      <c r="B378" s="344">
        <f>VLOOKUP($A$373,$B$268:$F$287,3,FALSE)</f>
        <v>-0.2</v>
      </c>
      <c r="C378" s="344" t="str">
        <f>VLOOKUP($A$373,$B$268:$F$287,4,FALSE)</f>
        <v>-</v>
      </c>
      <c r="D378" s="345">
        <f>VLOOKUP($A$373,$B$268:$F$287,5,FALSE)</f>
        <v>0</v>
      </c>
      <c r="E378" s="318"/>
      <c r="F378" s="343">
        <f>VLOOKUP($F$373,$I$268:$M$287,2,FALSE)</f>
        <v>50</v>
      </c>
      <c r="G378" s="344">
        <f>VLOOKUP($F$373,$I$268:$M$287,3,FALSE)</f>
        <v>-0.2</v>
      </c>
      <c r="H378" s="344" t="str">
        <f>VLOOKUP($F$373,$I$268:$M$287,4,FALSE)</f>
        <v>-</v>
      </c>
      <c r="I378" s="345">
        <f>VLOOKUP($F$373,$I$268:$M$287,5,FALSE)</f>
        <v>0</v>
      </c>
      <c r="J378" s="318"/>
      <c r="K378" s="343">
        <f>VLOOKUP($K$373,$P$268:$T$287,2,FALSE)</f>
        <v>850</v>
      </c>
      <c r="L378" s="344">
        <f>VLOOKUP($K$373,$P$268:$T$287,3,FALSE)</f>
        <v>2.4</v>
      </c>
      <c r="M378" s="344" t="str">
        <f>VLOOKUP($K$373,$P$268:$T$287,4,FALSE)</f>
        <v>-</v>
      </c>
      <c r="N378" s="345">
        <f>VLOOKUP($K$373,$P$268:$T$287,5,FALSE)</f>
        <v>0</v>
      </c>
      <c r="P378" s="346" t="s">
        <v>466</v>
      </c>
      <c r="Q378" s="347">
        <f>ID!F17</f>
        <v>61.5</v>
      </c>
      <c r="R378" s="348">
        <f>Q378+H386</f>
        <v>61.734999999999999</v>
      </c>
      <c r="S378" s="347">
        <f>STDEV(ID!D17:E17)</f>
        <v>2.1213203435596424</v>
      </c>
      <c r="T378" s="349">
        <f>VLOOKUP(P373,V249:W268,2,(FALSE))</f>
        <v>1.5</v>
      </c>
    </row>
    <row r="379" spans="1:20" ht="13.5" thickBot="1" x14ac:dyDescent="0.35">
      <c r="A379" s="343">
        <f>VLOOKUP($A$373,$B$289:$F$308,2,FALSE)</f>
        <v>30</v>
      </c>
      <c r="B379" s="344">
        <f>VLOOKUP($A$373,$B$289:$F$308,3,FALSE)</f>
        <v>-0.1</v>
      </c>
      <c r="C379" s="344" t="str">
        <f>VLOOKUP($A$373,$B$289:$F$308,4,FALSE)</f>
        <v>-</v>
      </c>
      <c r="D379" s="345">
        <f>VLOOKUP($A$373,$B$289:$F$308,5,FALSE)</f>
        <v>0</v>
      </c>
      <c r="E379" s="318"/>
      <c r="F379" s="343">
        <f>VLOOKUP($F$373,$I$289:$M$308,2,FALSE)</f>
        <v>60</v>
      </c>
      <c r="G379" s="344">
        <f>VLOOKUP($F$373,$I$289:$M$308,3,FALSE)</f>
        <v>0.4</v>
      </c>
      <c r="H379" s="344" t="str">
        <f>VLOOKUP($F$373,$I$289:$M$308,4,FALSE)</f>
        <v>-</v>
      </c>
      <c r="I379" s="345">
        <f>VLOOKUP($F$373,$I$289:$M$308,5,FALSE)</f>
        <v>0</v>
      </c>
      <c r="J379" s="318"/>
      <c r="K379" s="343">
        <f>VLOOKUP($K$373,$P$289:$T$308,2,FALSE)</f>
        <v>900</v>
      </c>
      <c r="L379" s="344">
        <f>VLOOKUP($K$373,$P$289:$T$308,3,FALSE)</f>
        <v>2.2999999999999998</v>
      </c>
      <c r="M379" s="344" t="str">
        <f>VLOOKUP($K$373,$P$289:$T$308,4,FALSE)</f>
        <v>-</v>
      </c>
      <c r="N379" s="345">
        <f>VLOOKUP($K$373,$P$289:$T$308,5,FALSE)</f>
        <v>0</v>
      </c>
      <c r="O379" s="350"/>
      <c r="P379" s="351" t="s">
        <v>467</v>
      </c>
      <c r="Q379" s="352">
        <f>ID!F18</f>
        <v>1001</v>
      </c>
      <c r="R379" s="353">
        <f>Q379+M386</f>
        <v>1003.2</v>
      </c>
      <c r="S379" s="347">
        <f>STDEV(ID!D18:E18)</f>
        <v>1.4142135623730951</v>
      </c>
      <c r="T379" s="354">
        <f>VLOOKUP(P373,V273:W292,2,(FALSE))</f>
        <v>0.4</v>
      </c>
    </row>
    <row r="380" spans="1:20" ht="13.5" thickBot="1" x14ac:dyDescent="0.35">
      <c r="A380" s="343">
        <f>VLOOKUP($A$373,$B$310:$F$329,2,FALSE)</f>
        <v>35</v>
      </c>
      <c r="B380" s="344">
        <f>VLOOKUP($A$373,$B$310:$F$329,3,FALSE)</f>
        <v>-0.1</v>
      </c>
      <c r="C380" s="344" t="str">
        <f>VLOOKUP($A$373,$B$310:$F$329,4,FALSE)</f>
        <v>-</v>
      </c>
      <c r="D380" s="345">
        <f>VLOOKUP($A$373,$B$310:$F$329,5,FALSE)</f>
        <v>0</v>
      </c>
      <c r="E380" s="318"/>
      <c r="F380" s="343">
        <f>VLOOKUP($F$373,$I$310:$M$329,2,FALSE)</f>
        <v>70</v>
      </c>
      <c r="G380" s="344">
        <f>VLOOKUP($F$373,$I$310:$M$329,3,FALSE)</f>
        <v>-0.7</v>
      </c>
      <c r="H380" s="344" t="str">
        <f>VLOOKUP($F$373,$I$310:$M$329,4,FALSE)</f>
        <v>-</v>
      </c>
      <c r="I380" s="345">
        <f>VLOOKUP($F$373,$I$310:$M$329,5,FALSE)</f>
        <v>0</v>
      </c>
      <c r="J380" s="318"/>
      <c r="K380" s="343">
        <f>VLOOKUP($K$373,$P$310:$T$329,2,FALSE)</f>
        <v>1000</v>
      </c>
      <c r="L380" s="344">
        <f>VLOOKUP($K$373,$P$310:$T$329,3,FALSE)</f>
        <v>2.2000000000000002</v>
      </c>
      <c r="M380" s="344" t="str">
        <f>VLOOKUP($K$373,$P$310:$T$329,4,FALSE)</f>
        <v>-</v>
      </c>
      <c r="N380" s="345">
        <f>VLOOKUP($K$373,$P$310:$T$329,5,FALSE)</f>
        <v>0</v>
      </c>
      <c r="O380" s="355"/>
      <c r="P380" s="226"/>
      <c r="T380" s="356"/>
    </row>
    <row r="381" spans="1:20" ht="14" x14ac:dyDescent="0.3">
      <c r="A381" s="343">
        <f>VLOOKUP($A$373,$B$331:$F$350,2,FALSE)</f>
        <v>37</v>
      </c>
      <c r="B381" s="344">
        <f>VLOOKUP($A$373,$B$331:$F$350,3,FALSE)</f>
        <v>0</v>
      </c>
      <c r="C381" s="344" t="str">
        <f>VLOOKUP($A$373,$B$331:$F$350,4,FALSE)</f>
        <v>-</v>
      </c>
      <c r="D381" s="345">
        <f>VLOOKUP($A$373,$B$331:$F$350,5,FALSE)</f>
        <v>0</v>
      </c>
      <c r="E381" s="318"/>
      <c r="F381" s="343">
        <f>VLOOKUP($F$373,$I$331:$M$350,2,FALSE)</f>
        <v>80</v>
      </c>
      <c r="G381" s="344">
        <f>VLOOKUP($F$373,$I$331:$M$350,3,FALSE)</f>
        <v>-0.9</v>
      </c>
      <c r="H381" s="344" t="str">
        <f>VLOOKUP($F$373,$I$331:$M$350,4,FALSE)</f>
        <v>-</v>
      </c>
      <c r="I381" s="345">
        <f>VLOOKUP($F$373,$I$331:$M$350,5,FALSE)</f>
        <v>0</v>
      </c>
      <c r="J381" s="318"/>
      <c r="K381" s="343">
        <f>VLOOKUP($K$373,$P$331:$T$350,2,FALSE)</f>
        <v>1005</v>
      </c>
      <c r="L381" s="344">
        <f>VLOOKUP($K$373,$P$331:$T$350,3,FALSE)</f>
        <v>2.2000000000000002</v>
      </c>
      <c r="M381" s="344" t="str">
        <f>VLOOKUP($K$373,$P$331:$T$350,4,FALSE)</f>
        <v>-</v>
      </c>
      <c r="N381" s="345">
        <f>VLOOKUP($K$373,$P$331:$T$350,5,FALSE)</f>
        <v>0</v>
      </c>
      <c r="O381" s="357"/>
      <c r="P381" s="696" t="s">
        <v>492</v>
      </c>
      <c r="Q381" s="358" t="str">
        <f>M396&amp;M393&amp;N396&amp;N393&amp;O396&amp;O393</f>
        <v>( 22.9 ± 0.1 ) °C</v>
      </c>
      <c r="R381" s="359"/>
      <c r="T381" s="356"/>
    </row>
    <row r="382" spans="1:20" ht="14.5" thickBot="1" x14ac:dyDescent="0.35">
      <c r="A382" s="360">
        <f>VLOOKUP($A$373,$B$352:$F$371,2,FALSE)</f>
        <v>40</v>
      </c>
      <c r="B382" s="361">
        <f>VLOOKUP($A$373,$B$352:$F$371,3,FALSE)</f>
        <v>0.2</v>
      </c>
      <c r="C382" s="361" t="str">
        <f>VLOOKUP($A$373,$B$352:$F$371,4,FALSE)</f>
        <v>-</v>
      </c>
      <c r="D382" s="362">
        <f>VLOOKUP($A$373,$B$352:$F$371,5,FALSE)</f>
        <v>0</v>
      </c>
      <c r="E382" s="318"/>
      <c r="F382" s="360">
        <f>VLOOKUP($F$373,$I$352:$M$371,2,FALSE)</f>
        <v>90</v>
      </c>
      <c r="G382" s="361">
        <f>VLOOKUP($F$373,$I$352:$M$371,3,FALSE)</f>
        <v>-0.6</v>
      </c>
      <c r="H382" s="361" t="str">
        <f>VLOOKUP($F$373,$I$352:$M$371,4,FALSE)</f>
        <v>-</v>
      </c>
      <c r="I382" s="362">
        <f>VLOOKUP($F$373,$I$352:$M$371,5,FALSE)</f>
        <v>0</v>
      </c>
      <c r="J382" s="318"/>
      <c r="K382" s="360">
        <f>VLOOKUP($K$373,$P$352:$T$371,2,FALSE)</f>
        <v>1020</v>
      </c>
      <c r="L382" s="361">
        <f>VLOOKUP($K$373,$P$352:$T$371,3,FALSE)</f>
        <v>2.2999999999999998</v>
      </c>
      <c r="M382" s="361" t="str">
        <f>VLOOKUP($K$373,$P$352:$T$371,4,FALSE)</f>
        <v>-</v>
      </c>
      <c r="N382" s="362">
        <f>VLOOKUP($K$373,$P$352:$T$371,5,FALSE)</f>
        <v>0</v>
      </c>
      <c r="O382" s="357"/>
      <c r="P382" s="697"/>
      <c r="Q382" s="363" t="str">
        <f>M396&amp;M394&amp;N396&amp;N394&amp;O396&amp;O394</f>
        <v>( 61.7 ± 1.5 ) %RH</v>
      </c>
      <c r="R382" s="364"/>
      <c r="T382" s="356"/>
    </row>
    <row r="383" spans="1:20" ht="14.5" thickBot="1" x14ac:dyDescent="0.35">
      <c r="A383" s="365"/>
      <c r="B383" s="318"/>
      <c r="C383" s="318"/>
      <c r="D383" s="318"/>
      <c r="E383" s="318"/>
      <c r="F383" s="318"/>
      <c r="G383" s="318"/>
      <c r="H383" s="318"/>
      <c r="I383" s="318"/>
      <c r="J383" s="318"/>
      <c r="K383" s="318"/>
      <c r="L383" s="318"/>
      <c r="M383" s="318"/>
      <c r="N383" s="318"/>
      <c r="O383" s="357"/>
      <c r="P383" s="698"/>
      <c r="Q383" s="366" t="str">
        <f>M396&amp;M395&amp;N396&amp;N395&amp;O396&amp;O395</f>
        <v>( 1003.2 ± 0.4 ) hPa</v>
      </c>
      <c r="R383" s="367"/>
      <c r="T383" s="356"/>
    </row>
    <row r="384" spans="1:20" ht="14.5" thickBot="1" x14ac:dyDescent="0.35">
      <c r="A384" s="703" t="s">
        <v>493</v>
      </c>
      <c r="B384" s="704"/>
      <c r="C384" s="704"/>
      <c r="D384" s="705"/>
      <c r="E384" s="368"/>
      <c r="F384" s="703" t="s">
        <v>494</v>
      </c>
      <c r="G384" s="704"/>
      <c r="H384" s="704"/>
      <c r="I384" s="705"/>
      <c r="J384" s="318"/>
      <c r="K384" s="703" t="s">
        <v>495</v>
      </c>
      <c r="L384" s="704"/>
      <c r="M384" s="704"/>
      <c r="N384" s="705"/>
      <c r="O384" s="357"/>
      <c r="P384" s="369"/>
      <c r="T384" s="356"/>
    </row>
    <row r="385" spans="1:20" ht="13.5" x14ac:dyDescent="0.3">
      <c r="A385" s="370"/>
      <c r="B385" s="371">
        <f>IF(A386&lt;=A377,A376,IF(A386&lt;=A378,A377,IF(A386&lt;=A379,A378,IF(A386&lt;=A380,A379,IF(A386&lt;=A381,A380,IF(A386&lt;=A382,A381))))))</f>
        <v>20</v>
      </c>
      <c r="C385" s="371"/>
      <c r="D385" s="372">
        <f>IF(A386&lt;=A377,B376,IF(A386&lt;=A378,B377,IF(A386&lt;=A379,B378,IF(A386&lt;=A380,B379,IF(A386&lt;=A381,B380,IF(A386&lt;=A382,B381))))))</f>
        <v>0.1</v>
      </c>
      <c r="E385" s="373"/>
      <c r="F385" s="374"/>
      <c r="G385" s="371">
        <f>IF(F386&lt;=F377,F376,IF(F386&lt;=F378,F377,IF(F386&lt;=F379,F378,IF(F386&lt;=F380,F379,IF(F386&lt;=F381,F380,IF(F386&lt;=F382,F381))))))</f>
        <v>60</v>
      </c>
      <c r="H385" s="371"/>
      <c r="I385" s="372">
        <f>IF(F386&lt;=F377,G376,IF(F386&lt;=F378,G377,IF(F386&lt;=F379,G378,IF(F386&lt;=F380,G379,IF(F386&lt;=F381,G380,IF(F386&lt;=F382,G381))))))</f>
        <v>0.4</v>
      </c>
      <c r="J385" s="318"/>
      <c r="K385" s="374"/>
      <c r="L385" s="371">
        <f>IF(K386&lt;=K377,K376,IF(K386&lt;=K378,K377,IF(K386&lt;=K379,K378,IF(K386&lt;=K380,K379,IF(K386&lt;=K381,K380,IF(K386&lt;=K382,K381))))))</f>
        <v>1000</v>
      </c>
      <c r="M385" s="371"/>
      <c r="N385" s="372">
        <f>IF(K386&lt;=K377,L376,IF(K386&lt;=K378,L377,IF(K386&lt;=K379,L378,IF(K386&lt;=K380,L379,IF(K386&lt;=K381,L380,IF(K386&lt;=K382,L381))))))</f>
        <v>2.2000000000000002</v>
      </c>
      <c r="O385" s="318"/>
      <c r="T385" s="356"/>
    </row>
    <row r="386" spans="1:20" ht="13.5" x14ac:dyDescent="0.3">
      <c r="A386" s="375">
        <f>Q377</f>
        <v>23</v>
      </c>
      <c r="B386" s="376"/>
      <c r="C386" s="376">
        <f>((A386-B385)/(B387-B385)*(D387-D385)+D385)</f>
        <v>-8.0000000000000016E-2</v>
      </c>
      <c r="D386" s="377"/>
      <c r="E386" s="373"/>
      <c r="F386" s="375">
        <f>Q378</f>
        <v>61.5</v>
      </c>
      <c r="G386" s="376"/>
      <c r="H386" s="376">
        <f>((F386-G385)/(G387-G385)*(I387-I385)+I385)</f>
        <v>0.23500000000000001</v>
      </c>
      <c r="I386" s="377"/>
      <c r="J386" s="318"/>
      <c r="K386" s="375">
        <f>Q379</f>
        <v>1001</v>
      </c>
      <c r="L386" s="376"/>
      <c r="M386" s="376">
        <f>((K386-L385)/(L387-L385)*(N387-N385)+N385)</f>
        <v>2.2000000000000002</v>
      </c>
      <c r="N386" s="377"/>
      <c r="O386" s="318"/>
      <c r="T386" s="356"/>
    </row>
    <row r="387" spans="1:20" ht="13.5" thickBot="1" x14ac:dyDescent="0.35">
      <c r="A387" s="378"/>
      <c r="B387" s="379">
        <f>IF(A386&lt;=A377,A377,IF(A386&lt;=A378,A378,IF(A386&lt;=A379,A379,IF(A386&lt;=A380,A380,IF(A386&lt;=A381,A381,IF(A386&lt;=A382,A382))))))</f>
        <v>25</v>
      </c>
      <c r="C387" s="380"/>
      <c r="D387" s="381">
        <f>IF(A386&lt;=A377,B377,IF(A386&lt;=A378,B378,IF(A386&lt;=A379,B379,IF(A386&lt;=A380,B380,IF(A386&lt;=A381,B381,IF(A386&lt;=A382,B382))))))</f>
        <v>-0.2</v>
      </c>
      <c r="E387" s="382"/>
      <c r="F387" s="378"/>
      <c r="G387" s="379">
        <f>IF(F386&lt;=F377,F377,IF(F386&lt;=F378,F378,IF(F386&lt;=F379,F379,IF(F386&lt;=F380,F380,IF(F386&lt;=F381,F381,IF(F386&lt;=F382,F382))))))</f>
        <v>70</v>
      </c>
      <c r="H387" s="380"/>
      <c r="I387" s="381">
        <f>IF(F386&lt;=F377,G377,IF(F386&lt;=F378,G378,IF(F386&lt;=F379,G379,IF(F386&lt;=F380,G380,IF(F386&lt;=F381,G381,IF(F386&lt;=F382,G382))))))</f>
        <v>-0.7</v>
      </c>
      <c r="J387" s="383"/>
      <c r="K387" s="378"/>
      <c r="L387" s="379">
        <f>IF(K386&lt;=K377,K377,IF(K386&lt;=K378,K378,IF(K386&lt;=K379,K379,IF(K386&lt;=K380,K380,IF(K386&lt;=K381,K381,IF(K386&lt;=K382,K382))))))</f>
        <v>1005</v>
      </c>
      <c r="M387" s="380"/>
      <c r="N387" s="381">
        <f>IF(K386&lt;=K377,L377,IF(K386&lt;=K378,L378,IF(K386&lt;=K379,L379,IF(K386&lt;=K380,L380,IF(K386&lt;=K381,L381,IF(K386&lt;=K382,L382))))))</f>
        <v>2.2000000000000002</v>
      </c>
      <c r="O387" s="383"/>
      <c r="P387" s="384"/>
      <c r="Q387" s="249"/>
      <c r="R387" s="249"/>
      <c r="S387" s="249"/>
      <c r="T387" s="385"/>
    </row>
    <row r="391" spans="1:20" ht="13" thickBot="1" x14ac:dyDescent="0.3"/>
    <row r="392" spans="1:20" ht="13.5" thickBot="1" x14ac:dyDescent="0.3">
      <c r="A392" s="706" t="str">
        <f>ID!B58</f>
        <v>Thermohygrolight, Merek : EXTECH, Model : SD700, SN : A.100615</v>
      </c>
      <c r="B392" s="707"/>
      <c r="C392" s="707"/>
      <c r="D392" s="707"/>
      <c r="E392" s="707"/>
      <c r="F392" s="707"/>
      <c r="G392" s="707"/>
      <c r="H392" s="707"/>
      <c r="I392" s="708"/>
      <c r="J392" s="708"/>
      <c r="K392" s="709"/>
      <c r="M392" s="710" t="s">
        <v>496</v>
      </c>
      <c r="N392" s="711"/>
      <c r="O392" s="712"/>
    </row>
    <row r="393" spans="1:20" ht="15.5" x14ac:dyDescent="0.25">
      <c r="A393" s="386" t="s">
        <v>497</v>
      </c>
      <c r="B393" s="387"/>
      <c r="C393" s="387"/>
      <c r="D393" s="388"/>
      <c r="E393" s="388"/>
      <c r="F393" s="388"/>
      <c r="G393" s="389"/>
      <c r="H393" s="390"/>
      <c r="I393" s="391">
        <f>D4</f>
        <v>2020</v>
      </c>
      <c r="J393" s="392">
        <f>E4</f>
        <v>2017</v>
      </c>
      <c r="K393" s="393">
        <v>1</v>
      </c>
      <c r="M393" s="394" t="str">
        <f>TEXT(R377,"0.0")</f>
        <v>22.9</v>
      </c>
      <c r="N393" s="395" t="str">
        <f>TEXT(T377,"0.0")</f>
        <v>0.1</v>
      </c>
      <c r="O393" s="396" t="s">
        <v>498</v>
      </c>
    </row>
    <row r="394" spans="1:20" ht="15.5" x14ac:dyDescent="0.25">
      <c r="A394" s="386" t="s">
        <v>499</v>
      </c>
      <c r="B394" s="387"/>
      <c r="C394" s="387"/>
      <c r="D394" s="388"/>
      <c r="E394" s="388"/>
      <c r="F394" s="388"/>
      <c r="G394" s="389"/>
      <c r="H394" s="390"/>
      <c r="I394" s="397">
        <f>D15</f>
        <v>2018</v>
      </c>
      <c r="J394" s="398">
        <f>E15</f>
        <v>2017</v>
      </c>
      <c r="K394" s="393">
        <v>2</v>
      </c>
      <c r="M394" s="394" t="str">
        <f>TEXT(R378,"0.0")</f>
        <v>61.7</v>
      </c>
      <c r="N394" s="395" t="str">
        <f>TEXT(T378,"0.0")</f>
        <v>1.5</v>
      </c>
      <c r="O394" s="396" t="s">
        <v>500</v>
      </c>
    </row>
    <row r="395" spans="1:20" ht="15.5" x14ac:dyDescent="0.25">
      <c r="A395" s="386" t="s">
        <v>501</v>
      </c>
      <c r="B395" s="387"/>
      <c r="C395" s="387"/>
      <c r="D395" s="388"/>
      <c r="E395" s="388"/>
      <c r="F395" s="388"/>
      <c r="G395" s="389"/>
      <c r="H395" s="390"/>
      <c r="I395" s="397">
        <f>D26</f>
        <v>2018</v>
      </c>
      <c r="J395" s="398">
        <f>E26</f>
        <v>2017</v>
      </c>
      <c r="K395" s="393">
        <v>3</v>
      </c>
      <c r="M395" s="394" t="str">
        <f>TEXT(R379,"0.0")</f>
        <v>1003.2</v>
      </c>
      <c r="N395" s="395" t="str">
        <f>TEXT(T379,"0.0")</f>
        <v>0.4</v>
      </c>
      <c r="O395" s="399" t="s">
        <v>502</v>
      </c>
    </row>
    <row r="396" spans="1:20" ht="16" thickBot="1" x14ac:dyDescent="0.35">
      <c r="A396" s="386" t="s">
        <v>503</v>
      </c>
      <c r="B396" s="387"/>
      <c r="C396" s="387"/>
      <c r="D396" s="388"/>
      <c r="E396" s="388"/>
      <c r="F396" s="388"/>
      <c r="G396" s="389"/>
      <c r="H396" s="390"/>
      <c r="I396" s="397">
        <f>D37</f>
        <v>2019</v>
      </c>
      <c r="J396" s="398">
        <f>E37</f>
        <v>2017</v>
      </c>
      <c r="K396" s="393">
        <v>4</v>
      </c>
      <c r="M396" s="400" t="s">
        <v>504</v>
      </c>
      <c r="N396" s="401" t="s">
        <v>505</v>
      </c>
      <c r="O396" s="402" t="s">
        <v>506</v>
      </c>
    </row>
    <row r="397" spans="1:20" ht="13" x14ac:dyDescent="0.25">
      <c r="A397" s="386" t="s">
        <v>507</v>
      </c>
      <c r="B397" s="387"/>
      <c r="C397" s="387"/>
      <c r="D397" s="388"/>
      <c r="E397" s="388"/>
      <c r="F397" s="388"/>
      <c r="G397" s="389"/>
      <c r="H397" s="390"/>
      <c r="I397" s="397">
        <f>D48</f>
        <v>2020</v>
      </c>
      <c r="J397" s="398">
        <f>E48</f>
        <v>2017</v>
      </c>
      <c r="K397" s="393">
        <v>5</v>
      </c>
    </row>
    <row r="398" spans="1:20" ht="13" x14ac:dyDescent="0.25">
      <c r="A398" s="386" t="s">
        <v>508</v>
      </c>
      <c r="B398" s="387"/>
      <c r="C398" s="387"/>
      <c r="D398" s="388"/>
      <c r="E398" s="388"/>
      <c r="F398" s="388"/>
      <c r="G398" s="389"/>
      <c r="H398" s="390"/>
      <c r="I398" s="397">
        <f>D59</f>
        <v>2018</v>
      </c>
      <c r="J398" s="398">
        <f>E59</f>
        <v>2017</v>
      </c>
      <c r="K398" s="393">
        <v>6</v>
      </c>
    </row>
    <row r="399" spans="1:20" ht="13" x14ac:dyDescent="0.25">
      <c r="A399" s="386" t="s">
        <v>509</v>
      </c>
      <c r="B399" s="387"/>
      <c r="C399" s="387"/>
      <c r="D399" s="388"/>
      <c r="E399" s="388"/>
      <c r="F399" s="388"/>
      <c r="G399" s="389"/>
      <c r="H399" s="390"/>
      <c r="I399" s="397">
        <f>D70</f>
        <v>2021</v>
      </c>
      <c r="J399" s="398">
        <f>E70</f>
        <v>2018</v>
      </c>
      <c r="K399" s="393">
        <v>7</v>
      </c>
    </row>
    <row r="400" spans="1:20" ht="13" x14ac:dyDescent="0.25">
      <c r="A400" s="386" t="s">
        <v>510</v>
      </c>
      <c r="B400" s="387"/>
      <c r="C400" s="387"/>
      <c r="D400" s="388"/>
      <c r="E400" s="388"/>
      <c r="F400" s="388"/>
      <c r="G400" s="389"/>
      <c r="H400" s="390"/>
      <c r="I400" s="397">
        <f>D81</f>
        <v>2021</v>
      </c>
      <c r="J400" s="398">
        <f>E81</f>
        <v>2019</v>
      </c>
      <c r="K400" s="393">
        <v>8</v>
      </c>
    </row>
    <row r="401" spans="1:11" ht="13" x14ac:dyDescent="0.25">
      <c r="A401" s="386" t="s">
        <v>511</v>
      </c>
      <c r="B401" s="387"/>
      <c r="C401" s="387"/>
      <c r="D401" s="388"/>
      <c r="E401" s="388"/>
      <c r="F401" s="388"/>
      <c r="G401" s="389"/>
      <c r="H401" s="390"/>
      <c r="I401" s="397">
        <f>D92</f>
        <v>2019</v>
      </c>
      <c r="J401" s="398" t="str">
        <f>E92</f>
        <v>-</v>
      </c>
      <c r="K401" s="393">
        <v>9</v>
      </c>
    </row>
    <row r="402" spans="1:11" ht="13" x14ac:dyDescent="0.25">
      <c r="A402" s="386" t="s">
        <v>512</v>
      </c>
      <c r="B402" s="387"/>
      <c r="C402" s="387"/>
      <c r="D402" s="388"/>
      <c r="E402" s="388"/>
      <c r="F402" s="388"/>
      <c r="G402" s="389"/>
      <c r="H402" s="390"/>
      <c r="I402" s="397">
        <f>D103</f>
        <v>2019</v>
      </c>
      <c r="J402" s="398">
        <f>E103</f>
        <v>2016</v>
      </c>
      <c r="K402" s="393">
        <v>10</v>
      </c>
    </row>
    <row r="403" spans="1:11" ht="13" x14ac:dyDescent="0.25">
      <c r="A403" s="386" t="s">
        <v>513</v>
      </c>
      <c r="B403" s="387"/>
      <c r="C403" s="387"/>
      <c r="D403" s="388"/>
      <c r="E403" s="388"/>
      <c r="F403" s="388"/>
      <c r="G403" s="389"/>
      <c r="H403" s="390"/>
      <c r="I403" s="397">
        <f>D114</f>
        <v>2020</v>
      </c>
      <c r="J403" s="398">
        <f>E114</f>
        <v>2016</v>
      </c>
      <c r="K403" s="393">
        <v>11</v>
      </c>
    </row>
    <row r="404" spans="1:11" ht="13" x14ac:dyDescent="0.25">
      <c r="A404" s="386" t="s">
        <v>514</v>
      </c>
      <c r="B404" s="387"/>
      <c r="C404" s="387"/>
      <c r="D404" s="388"/>
      <c r="E404" s="388"/>
      <c r="F404" s="388"/>
      <c r="G404" s="389"/>
      <c r="H404" s="390"/>
      <c r="I404" s="397">
        <f>D125</f>
        <v>2020</v>
      </c>
      <c r="J404" s="398" t="str">
        <f>E125</f>
        <v>-</v>
      </c>
      <c r="K404" s="393">
        <v>12</v>
      </c>
    </row>
    <row r="405" spans="1:11" ht="13" x14ac:dyDescent="0.25">
      <c r="A405" s="386" t="s">
        <v>515</v>
      </c>
      <c r="B405" s="403"/>
      <c r="C405" s="403"/>
      <c r="D405" s="404"/>
      <c r="E405" s="404"/>
      <c r="F405" s="404"/>
      <c r="G405" s="405"/>
      <c r="H405" s="406"/>
      <c r="I405" s="397">
        <f>D136</f>
        <v>2020</v>
      </c>
      <c r="J405" s="398" t="str">
        <f>E136</f>
        <v>-</v>
      </c>
      <c r="K405" s="393">
        <v>13</v>
      </c>
    </row>
    <row r="406" spans="1:11" ht="13" x14ac:dyDescent="0.25">
      <c r="A406" s="386" t="s">
        <v>516</v>
      </c>
      <c r="B406" s="403"/>
      <c r="C406" s="403"/>
      <c r="D406" s="404"/>
      <c r="E406" s="404"/>
      <c r="F406" s="404"/>
      <c r="G406" s="405"/>
      <c r="H406" s="406"/>
      <c r="I406" s="397">
        <f>D147</f>
        <v>2020</v>
      </c>
      <c r="J406" s="398" t="str">
        <f>E147</f>
        <v>-</v>
      </c>
      <c r="K406" s="393">
        <v>14</v>
      </c>
    </row>
    <row r="407" spans="1:11" ht="13" x14ac:dyDescent="0.25">
      <c r="A407" s="386" t="s">
        <v>517</v>
      </c>
      <c r="B407" s="403"/>
      <c r="C407" s="403"/>
      <c r="D407" s="404"/>
      <c r="E407" s="404"/>
      <c r="F407" s="404"/>
      <c r="G407" s="405"/>
      <c r="H407" s="406"/>
      <c r="I407" s="397">
        <f>D158</f>
        <v>2020</v>
      </c>
      <c r="J407" s="398" t="str">
        <f>E158</f>
        <v>-</v>
      </c>
      <c r="K407" s="393">
        <v>15</v>
      </c>
    </row>
    <row r="408" spans="1:11" ht="13" x14ac:dyDescent="0.25">
      <c r="A408" s="386" t="s">
        <v>518</v>
      </c>
      <c r="B408" s="403"/>
      <c r="C408" s="403"/>
      <c r="D408" s="404"/>
      <c r="E408" s="404"/>
      <c r="F408" s="404"/>
      <c r="G408" s="405"/>
      <c r="H408" s="406"/>
      <c r="I408" s="397">
        <f>D169</f>
        <v>2020</v>
      </c>
      <c r="J408" s="398" t="str">
        <f>E169</f>
        <v>-</v>
      </c>
      <c r="K408" s="393">
        <v>16</v>
      </c>
    </row>
    <row r="409" spans="1:11" ht="13" x14ac:dyDescent="0.25">
      <c r="A409" s="386" t="s">
        <v>519</v>
      </c>
      <c r="B409" s="403"/>
      <c r="C409" s="403"/>
      <c r="D409" s="404"/>
      <c r="E409" s="404"/>
      <c r="F409" s="404"/>
      <c r="G409" s="405"/>
      <c r="H409" s="406"/>
      <c r="I409" s="397">
        <f>D180</f>
        <v>2020</v>
      </c>
      <c r="J409" s="398" t="str">
        <f>E180</f>
        <v>-</v>
      </c>
      <c r="K409" s="393">
        <v>17</v>
      </c>
    </row>
    <row r="410" spans="1:11" ht="13" x14ac:dyDescent="0.25">
      <c r="A410" s="386" t="s">
        <v>520</v>
      </c>
      <c r="B410" s="403"/>
      <c r="C410" s="403"/>
      <c r="D410" s="404"/>
      <c r="E410" s="404"/>
      <c r="F410" s="404"/>
      <c r="G410" s="405"/>
      <c r="H410" s="406"/>
      <c r="I410" s="397">
        <f>D191</f>
        <v>2020</v>
      </c>
      <c r="J410" s="398" t="str">
        <f>E191</f>
        <v>-</v>
      </c>
      <c r="K410" s="393">
        <v>18</v>
      </c>
    </row>
    <row r="411" spans="1:11" ht="13" x14ac:dyDescent="0.25">
      <c r="A411" s="386" t="s">
        <v>166</v>
      </c>
      <c r="B411" s="403"/>
      <c r="C411" s="403"/>
      <c r="D411" s="404"/>
      <c r="E411" s="404"/>
      <c r="F411" s="404"/>
      <c r="G411" s="405"/>
      <c r="H411" s="406"/>
      <c r="I411" s="397">
        <v>2021</v>
      </c>
      <c r="J411" s="398" t="str">
        <f>E202</f>
        <v>-</v>
      </c>
      <c r="K411" s="393">
        <v>19</v>
      </c>
    </row>
    <row r="412" spans="1:11" ht="13.5" thickBot="1" x14ac:dyDescent="0.3">
      <c r="A412" s="407">
        <v>20</v>
      </c>
      <c r="B412" s="403"/>
      <c r="C412" s="403"/>
      <c r="D412" s="404"/>
      <c r="E412" s="404"/>
      <c r="F412" s="404"/>
      <c r="G412" s="405"/>
      <c r="H412" s="406"/>
      <c r="I412" s="408">
        <f>D213</f>
        <v>2017</v>
      </c>
      <c r="J412" s="409" t="str">
        <f>E213</f>
        <v>-</v>
      </c>
      <c r="K412" s="393">
        <v>20</v>
      </c>
    </row>
    <row r="413" spans="1:11" ht="13.5" thickBot="1" x14ac:dyDescent="0.3">
      <c r="A413" s="713">
        <f>VLOOKUP(A392,A393:K412,11,(FALSE))</f>
        <v>19</v>
      </c>
      <c r="B413" s="714"/>
      <c r="C413" s="714"/>
      <c r="D413" s="714"/>
      <c r="E413" s="714"/>
      <c r="F413" s="714"/>
      <c r="G413" s="714"/>
      <c r="H413" s="714"/>
      <c r="I413" s="715"/>
      <c r="J413" s="715"/>
      <c r="K413" s="716"/>
    </row>
  </sheetData>
  <sheetProtection algorithmName="SHA-512" hashValue="OeHaVy0ZOq0G+aHn79FpaAAMrVZ4UBDq6k0sbZ+NC6DbOrJ8ATYJFExg0Ao/wBG3MND8suiGvw8j6lOb1SqZmA==" saltValue="+uKpmIC/tsQfeoT/DdUZGQ==" spinCount="100000" sheet="1" formatCells="0" formatColumns="0" formatRows="0" insertColumns="0" insertRows="0" insertHyperlinks="0" deleteColumns="0" deleteRows="0" sort="0" autoFilter="0" pivotTables="0"/>
  <mergeCells count="406">
    <mergeCell ref="A384:D384"/>
    <mergeCell ref="F384:I384"/>
    <mergeCell ref="K384:N384"/>
    <mergeCell ref="A392:K392"/>
    <mergeCell ref="M392:O392"/>
    <mergeCell ref="A413:K413"/>
    <mergeCell ref="P374:P376"/>
    <mergeCell ref="Q374:Q376"/>
    <mergeCell ref="R374:R376"/>
    <mergeCell ref="S374:S376"/>
    <mergeCell ref="T374:T376"/>
    <mergeCell ref="P381:P383"/>
    <mergeCell ref="B373:D373"/>
    <mergeCell ref="G373:I373"/>
    <mergeCell ref="L373:N373"/>
    <mergeCell ref="Q373:T373"/>
    <mergeCell ref="B374:C374"/>
    <mergeCell ref="D374:D375"/>
    <mergeCell ref="G374:H374"/>
    <mergeCell ref="I374:I375"/>
    <mergeCell ref="L374:M374"/>
    <mergeCell ref="N374:N375"/>
    <mergeCell ref="A331:A350"/>
    <mergeCell ref="H331:H350"/>
    <mergeCell ref="O331:O350"/>
    <mergeCell ref="A352:A371"/>
    <mergeCell ref="H352:H371"/>
    <mergeCell ref="O352:O371"/>
    <mergeCell ref="A289:A308"/>
    <mergeCell ref="H289:H308"/>
    <mergeCell ref="O289:O308"/>
    <mergeCell ref="A310:A329"/>
    <mergeCell ref="H310:H329"/>
    <mergeCell ref="O310:O329"/>
    <mergeCell ref="V247:W247"/>
    <mergeCell ref="V248:W248"/>
    <mergeCell ref="A268:A287"/>
    <mergeCell ref="H268:H287"/>
    <mergeCell ref="O268:O287"/>
    <mergeCell ref="V271:W271"/>
    <mergeCell ref="V272:W272"/>
    <mergeCell ref="A226:A245"/>
    <mergeCell ref="H226:H245"/>
    <mergeCell ref="O226:O245"/>
    <mergeCell ref="A247:A266"/>
    <mergeCell ref="H247:H266"/>
    <mergeCell ref="O247:O266"/>
    <mergeCell ref="T211:U211"/>
    <mergeCell ref="B212:C212"/>
    <mergeCell ref="D212:E212"/>
    <mergeCell ref="F212:F213"/>
    <mergeCell ref="H212:I212"/>
    <mergeCell ref="J212:K212"/>
    <mergeCell ref="V223:W223"/>
    <mergeCell ref="D224:E224"/>
    <mergeCell ref="F224:F225"/>
    <mergeCell ref="K224:L224"/>
    <mergeCell ref="M224:M225"/>
    <mergeCell ref="R224:S224"/>
    <mergeCell ref="T224:T225"/>
    <mergeCell ref="V224:W224"/>
    <mergeCell ref="B221:U221"/>
    <mergeCell ref="L212:L213"/>
    <mergeCell ref="N212:O212"/>
    <mergeCell ref="P212:Q212"/>
    <mergeCell ref="R212:R213"/>
    <mergeCell ref="B213:C213"/>
    <mergeCell ref="H213:I213"/>
    <mergeCell ref="N213:O213"/>
    <mergeCell ref="A223:A225"/>
    <mergeCell ref="B223:B225"/>
    <mergeCell ref="C223:F223"/>
    <mergeCell ref="H223:H225"/>
    <mergeCell ref="I223:I225"/>
    <mergeCell ref="J223:M223"/>
    <mergeCell ref="O223:O225"/>
    <mergeCell ref="P223:P225"/>
    <mergeCell ref="Q223:T223"/>
    <mergeCell ref="A211:A220"/>
    <mergeCell ref="B211:F211"/>
    <mergeCell ref="H211:L211"/>
    <mergeCell ref="N211:R211"/>
    <mergeCell ref="T189:U189"/>
    <mergeCell ref="B190:C190"/>
    <mergeCell ref="D190:E190"/>
    <mergeCell ref="F190:F191"/>
    <mergeCell ref="H190:I190"/>
    <mergeCell ref="J190:K190"/>
    <mergeCell ref="L201:L202"/>
    <mergeCell ref="N201:O201"/>
    <mergeCell ref="P201:Q201"/>
    <mergeCell ref="R201:R202"/>
    <mergeCell ref="B202:C202"/>
    <mergeCell ref="H202:I202"/>
    <mergeCell ref="N202:O202"/>
    <mergeCell ref="A200:A209"/>
    <mergeCell ref="B200:F200"/>
    <mergeCell ref="H200:L200"/>
    <mergeCell ref="N200:R200"/>
    <mergeCell ref="T200:U200"/>
    <mergeCell ref="B201:C201"/>
    <mergeCell ref="D201:E201"/>
    <mergeCell ref="F201:F202"/>
    <mergeCell ref="H201:I201"/>
    <mergeCell ref="J201:K201"/>
    <mergeCell ref="L190:L191"/>
    <mergeCell ref="N190:O190"/>
    <mergeCell ref="P190:Q190"/>
    <mergeCell ref="R190:R191"/>
    <mergeCell ref="B191:C191"/>
    <mergeCell ref="H191:I191"/>
    <mergeCell ref="N191:O191"/>
    <mergeCell ref="A189:A198"/>
    <mergeCell ref="B189:F189"/>
    <mergeCell ref="H189:L189"/>
    <mergeCell ref="N189:R189"/>
    <mergeCell ref="T167:U167"/>
    <mergeCell ref="B168:C168"/>
    <mergeCell ref="D168:E168"/>
    <mergeCell ref="F168:F169"/>
    <mergeCell ref="H168:I168"/>
    <mergeCell ref="J168:K168"/>
    <mergeCell ref="L179:L180"/>
    <mergeCell ref="N179:O179"/>
    <mergeCell ref="P179:Q179"/>
    <mergeCell ref="R179:R180"/>
    <mergeCell ref="B180:C180"/>
    <mergeCell ref="H180:I180"/>
    <mergeCell ref="N180:O180"/>
    <mergeCell ref="A178:A187"/>
    <mergeCell ref="B178:F178"/>
    <mergeCell ref="H178:L178"/>
    <mergeCell ref="N178:R178"/>
    <mergeCell ref="T178:U178"/>
    <mergeCell ref="B179:C179"/>
    <mergeCell ref="D179:E179"/>
    <mergeCell ref="F179:F180"/>
    <mergeCell ref="H179:I179"/>
    <mergeCell ref="J179:K179"/>
    <mergeCell ref="L168:L169"/>
    <mergeCell ref="N168:O168"/>
    <mergeCell ref="P168:Q168"/>
    <mergeCell ref="R168:R169"/>
    <mergeCell ref="B169:C169"/>
    <mergeCell ref="H169:I169"/>
    <mergeCell ref="N169:O169"/>
    <mergeCell ref="A167:A176"/>
    <mergeCell ref="B167:F167"/>
    <mergeCell ref="H167:L167"/>
    <mergeCell ref="N167:R167"/>
    <mergeCell ref="T145:U145"/>
    <mergeCell ref="B146:C146"/>
    <mergeCell ref="D146:E146"/>
    <mergeCell ref="F146:F147"/>
    <mergeCell ref="H146:I146"/>
    <mergeCell ref="J146:K146"/>
    <mergeCell ref="L157:L158"/>
    <mergeCell ref="N157:O157"/>
    <mergeCell ref="P157:Q157"/>
    <mergeCell ref="R157:R158"/>
    <mergeCell ref="B158:C158"/>
    <mergeCell ref="H158:I158"/>
    <mergeCell ref="N158:O158"/>
    <mergeCell ref="A156:A165"/>
    <mergeCell ref="B156:F156"/>
    <mergeCell ref="H156:L156"/>
    <mergeCell ref="N156:R156"/>
    <mergeCell ref="T156:U156"/>
    <mergeCell ref="B157:C157"/>
    <mergeCell ref="D157:E157"/>
    <mergeCell ref="F157:F158"/>
    <mergeCell ref="H157:I157"/>
    <mergeCell ref="J157:K157"/>
    <mergeCell ref="L146:L147"/>
    <mergeCell ref="N146:O146"/>
    <mergeCell ref="P146:Q146"/>
    <mergeCell ref="R146:R147"/>
    <mergeCell ref="B147:C147"/>
    <mergeCell ref="H147:I147"/>
    <mergeCell ref="N147:O147"/>
    <mergeCell ref="A145:A154"/>
    <mergeCell ref="B145:F145"/>
    <mergeCell ref="H145:L145"/>
    <mergeCell ref="N145:R145"/>
    <mergeCell ref="T123:U123"/>
    <mergeCell ref="B124:C124"/>
    <mergeCell ref="D124:E124"/>
    <mergeCell ref="F124:F125"/>
    <mergeCell ref="H124:I124"/>
    <mergeCell ref="J124:K124"/>
    <mergeCell ref="L135:L136"/>
    <mergeCell ref="N135:O135"/>
    <mergeCell ref="P135:Q135"/>
    <mergeCell ref="R135:R136"/>
    <mergeCell ref="B136:C136"/>
    <mergeCell ref="H136:I136"/>
    <mergeCell ref="N136:O136"/>
    <mergeCell ref="A134:A143"/>
    <mergeCell ref="B134:F134"/>
    <mergeCell ref="H134:L134"/>
    <mergeCell ref="N134:R134"/>
    <mergeCell ref="T134:U134"/>
    <mergeCell ref="B135:C135"/>
    <mergeCell ref="D135:E135"/>
    <mergeCell ref="F135:F136"/>
    <mergeCell ref="H135:I135"/>
    <mergeCell ref="J135:K135"/>
    <mergeCell ref="L124:L125"/>
    <mergeCell ref="N124:O124"/>
    <mergeCell ref="P124:Q124"/>
    <mergeCell ref="R124:R125"/>
    <mergeCell ref="B125:C125"/>
    <mergeCell ref="H125:I125"/>
    <mergeCell ref="N125:O125"/>
    <mergeCell ref="A123:A132"/>
    <mergeCell ref="B123:F123"/>
    <mergeCell ref="H123:L123"/>
    <mergeCell ref="N123:R123"/>
    <mergeCell ref="T101:U101"/>
    <mergeCell ref="B102:C102"/>
    <mergeCell ref="D102:E102"/>
    <mergeCell ref="F102:F103"/>
    <mergeCell ref="H102:I102"/>
    <mergeCell ref="J102:K102"/>
    <mergeCell ref="L113:L114"/>
    <mergeCell ref="N113:O113"/>
    <mergeCell ref="P113:Q113"/>
    <mergeCell ref="R113:R114"/>
    <mergeCell ref="B114:C114"/>
    <mergeCell ref="H114:I114"/>
    <mergeCell ref="N114:O114"/>
    <mergeCell ref="A112:A121"/>
    <mergeCell ref="B112:F112"/>
    <mergeCell ref="H112:L112"/>
    <mergeCell ref="N112:R112"/>
    <mergeCell ref="T112:U112"/>
    <mergeCell ref="B113:C113"/>
    <mergeCell ref="D113:E113"/>
    <mergeCell ref="F113:F114"/>
    <mergeCell ref="H113:I113"/>
    <mergeCell ref="J113:K113"/>
    <mergeCell ref="L102:L103"/>
    <mergeCell ref="N102:O102"/>
    <mergeCell ref="P102:Q102"/>
    <mergeCell ref="R102:R103"/>
    <mergeCell ref="B103:C103"/>
    <mergeCell ref="H103:I103"/>
    <mergeCell ref="N103:O103"/>
    <mergeCell ref="A101:A110"/>
    <mergeCell ref="B101:F101"/>
    <mergeCell ref="H101:L101"/>
    <mergeCell ref="N101:R101"/>
    <mergeCell ref="T79:U79"/>
    <mergeCell ref="B80:C80"/>
    <mergeCell ref="D80:E80"/>
    <mergeCell ref="F80:F81"/>
    <mergeCell ref="H80:I80"/>
    <mergeCell ref="J80:K80"/>
    <mergeCell ref="L91:L92"/>
    <mergeCell ref="N91:O91"/>
    <mergeCell ref="P91:Q91"/>
    <mergeCell ref="R91:R92"/>
    <mergeCell ref="B92:C92"/>
    <mergeCell ref="H92:I92"/>
    <mergeCell ref="N92:O92"/>
    <mergeCell ref="A90:A99"/>
    <mergeCell ref="B90:F90"/>
    <mergeCell ref="H90:L90"/>
    <mergeCell ref="N90:R90"/>
    <mergeCell ref="T90:U90"/>
    <mergeCell ref="B91:C91"/>
    <mergeCell ref="D91:E91"/>
    <mergeCell ref="F91:F92"/>
    <mergeCell ref="H91:I91"/>
    <mergeCell ref="J91:K91"/>
    <mergeCell ref="L80:L81"/>
    <mergeCell ref="N80:O80"/>
    <mergeCell ref="P80:Q80"/>
    <mergeCell ref="R80:R81"/>
    <mergeCell ref="B81:C81"/>
    <mergeCell ref="H81:I81"/>
    <mergeCell ref="N81:O81"/>
    <mergeCell ref="A79:A88"/>
    <mergeCell ref="B79:F79"/>
    <mergeCell ref="H79:L79"/>
    <mergeCell ref="N79:R79"/>
    <mergeCell ref="T57:U57"/>
    <mergeCell ref="B58:C58"/>
    <mergeCell ref="D58:E58"/>
    <mergeCell ref="F58:F59"/>
    <mergeCell ref="H58:I58"/>
    <mergeCell ref="J58:K58"/>
    <mergeCell ref="L69:L70"/>
    <mergeCell ref="N69:O69"/>
    <mergeCell ref="P69:Q69"/>
    <mergeCell ref="R69:R70"/>
    <mergeCell ref="B70:C70"/>
    <mergeCell ref="H70:I70"/>
    <mergeCell ref="N70:O70"/>
    <mergeCell ref="A68:A77"/>
    <mergeCell ref="B68:F68"/>
    <mergeCell ref="H68:L68"/>
    <mergeCell ref="N68:R68"/>
    <mergeCell ref="T68:U68"/>
    <mergeCell ref="B69:C69"/>
    <mergeCell ref="D69:E69"/>
    <mergeCell ref="F69:F70"/>
    <mergeCell ref="H69:I69"/>
    <mergeCell ref="J69:K69"/>
    <mergeCell ref="L58:L59"/>
    <mergeCell ref="N58:O58"/>
    <mergeCell ref="P58:Q58"/>
    <mergeCell ref="R58:R59"/>
    <mergeCell ref="B59:C59"/>
    <mergeCell ref="H59:I59"/>
    <mergeCell ref="N59:O59"/>
    <mergeCell ref="A57:A66"/>
    <mergeCell ref="B57:F57"/>
    <mergeCell ref="H57:L57"/>
    <mergeCell ref="N57:R57"/>
    <mergeCell ref="A46:A55"/>
    <mergeCell ref="B46:F46"/>
    <mergeCell ref="H46:L46"/>
    <mergeCell ref="N46:R46"/>
    <mergeCell ref="T46:U46"/>
    <mergeCell ref="B47:C47"/>
    <mergeCell ref="D47:E47"/>
    <mergeCell ref="F47:F48"/>
    <mergeCell ref="H47:I47"/>
    <mergeCell ref="J47:K47"/>
    <mergeCell ref="L47:L48"/>
    <mergeCell ref="N47:O47"/>
    <mergeCell ref="P47:Q47"/>
    <mergeCell ref="R47:R48"/>
    <mergeCell ref="B48:C48"/>
    <mergeCell ref="H48:I48"/>
    <mergeCell ref="N48:O48"/>
    <mergeCell ref="A24:A33"/>
    <mergeCell ref="B24:F24"/>
    <mergeCell ref="H24:L24"/>
    <mergeCell ref="N24:R24"/>
    <mergeCell ref="N36:O36"/>
    <mergeCell ref="P36:Q36"/>
    <mergeCell ref="R36:R37"/>
    <mergeCell ref="T36:U36"/>
    <mergeCell ref="B37:C37"/>
    <mergeCell ref="H37:I37"/>
    <mergeCell ref="N37:O37"/>
    <mergeCell ref="A35:A44"/>
    <mergeCell ref="B35:F35"/>
    <mergeCell ref="H35:L35"/>
    <mergeCell ref="N35:R35"/>
    <mergeCell ref="B36:C36"/>
    <mergeCell ref="D36:E36"/>
    <mergeCell ref="F36:F37"/>
    <mergeCell ref="H36:I36"/>
    <mergeCell ref="J36:K36"/>
    <mergeCell ref="L36:L37"/>
    <mergeCell ref="T24:U24"/>
    <mergeCell ref="B25:C25"/>
    <mergeCell ref="D25:E25"/>
    <mergeCell ref="F25:F26"/>
    <mergeCell ref="H25:I25"/>
    <mergeCell ref="J25:K25"/>
    <mergeCell ref="L14:L15"/>
    <mergeCell ref="N14:O14"/>
    <mergeCell ref="P14:Q14"/>
    <mergeCell ref="R14:R15"/>
    <mergeCell ref="B15:C15"/>
    <mergeCell ref="H15:I15"/>
    <mergeCell ref="N15:O15"/>
    <mergeCell ref="L25:L26"/>
    <mergeCell ref="N25:O25"/>
    <mergeCell ref="P25:Q25"/>
    <mergeCell ref="R25:R26"/>
    <mergeCell ref="B26:C26"/>
    <mergeCell ref="H26:I26"/>
    <mergeCell ref="N26:O26"/>
    <mergeCell ref="A13:A22"/>
    <mergeCell ref="B13:F13"/>
    <mergeCell ref="H13:L13"/>
    <mergeCell ref="N13:R13"/>
    <mergeCell ref="T13:U13"/>
    <mergeCell ref="B14:C14"/>
    <mergeCell ref="D14:E14"/>
    <mergeCell ref="F14:F15"/>
    <mergeCell ref="H14:I14"/>
    <mergeCell ref="J14:K14"/>
    <mergeCell ref="J3:K3"/>
    <mergeCell ref="L3:L4"/>
    <mergeCell ref="N3:O3"/>
    <mergeCell ref="P3:Q3"/>
    <mergeCell ref="R3:R4"/>
    <mergeCell ref="B4:C4"/>
    <mergeCell ref="H4:I4"/>
    <mergeCell ref="N4:O4"/>
    <mergeCell ref="A1:U1"/>
    <mergeCell ref="A2:A11"/>
    <mergeCell ref="B2:F2"/>
    <mergeCell ref="H2:L2"/>
    <mergeCell ref="N2:R2"/>
    <mergeCell ref="T2:U2"/>
    <mergeCell ref="B3:C3"/>
    <mergeCell ref="D3:E3"/>
    <mergeCell ref="F3:F4"/>
    <mergeCell ref="H3:I3"/>
  </mergeCells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BDF64-D944-4F26-9CAA-BC491E526E06}">
  <dimension ref="A2:F61"/>
  <sheetViews>
    <sheetView topLeftCell="A58" workbookViewId="0">
      <selection activeCell="D1" sqref="D1"/>
    </sheetView>
  </sheetViews>
  <sheetFormatPr defaultColWidth="9.1796875" defaultRowHeight="14.5" x14ac:dyDescent="0.35"/>
  <cols>
    <col min="1" max="1" width="18.1796875" style="501" customWidth="1"/>
    <col min="2" max="2" width="25" style="501" customWidth="1"/>
    <col min="3" max="3" width="2.453125" style="501" customWidth="1"/>
    <col min="4" max="4" width="15.54296875" style="501" customWidth="1"/>
    <col min="5" max="5" width="9.1796875" style="501"/>
    <col min="6" max="6" width="22" style="501" customWidth="1"/>
    <col min="7" max="16384" width="9.1796875" style="501"/>
  </cols>
  <sheetData>
    <row r="2" spans="1:6" ht="32.25" customHeight="1" x14ac:dyDescent="0.35">
      <c r="A2" s="721" t="s">
        <v>227</v>
      </c>
      <c r="B2" s="721"/>
      <c r="C2" s="721"/>
      <c r="D2" s="721"/>
      <c r="E2" s="721"/>
      <c r="F2" s="721"/>
    </row>
    <row r="3" spans="1:6" x14ac:dyDescent="0.35">
      <c r="A3" s="722" t="str">
        <f>"Nomor : 78 /"&amp;" "&amp;ID!I2</f>
        <v>Nomor : 78 / 3 / I - 17 / E - 015.36 DL</v>
      </c>
      <c r="B3" s="722"/>
      <c r="C3" s="722"/>
      <c r="D3" s="722"/>
      <c r="E3" s="722"/>
      <c r="F3" s="722"/>
    </row>
    <row r="4" spans="1:6" x14ac:dyDescent="0.35">
      <c r="D4" s="723" t="s">
        <v>609</v>
      </c>
      <c r="E4" s="723"/>
      <c r="F4" s="723"/>
    </row>
    <row r="6" spans="1:6" ht="28.5" customHeight="1" x14ac:dyDescent="0.35">
      <c r="A6" s="502" t="s">
        <v>580</v>
      </c>
      <c r="B6" s="503" t="s">
        <v>110</v>
      </c>
      <c r="C6" s="504"/>
      <c r="D6" s="505" t="s">
        <v>581</v>
      </c>
      <c r="E6" s="506"/>
      <c r="F6" s="507" t="str">
        <f>MID(A3,SEARCH("E - ",A3),LEN(A3))</f>
        <v>E - 015.36 DL</v>
      </c>
    </row>
    <row r="7" spans="1:6" x14ac:dyDescent="0.35">
      <c r="A7" s="501" t="s">
        <v>582</v>
      </c>
    </row>
    <row r="8" spans="1:6" x14ac:dyDescent="0.35">
      <c r="A8" s="718" t="s">
        <v>32</v>
      </c>
      <c r="B8" s="718"/>
      <c r="C8" s="501" t="s">
        <v>33</v>
      </c>
      <c r="D8" s="501" t="str">
        <f>ID!D4</f>
        <v>-</v>
      </c>
    </row>
    <row r="9" spans="1:6" x14ac:dyDescent="0.35">
      <c r="A9" s="718" t="s">
        <v>231</v>
      </c>
      <c r="B9" s="718"/>
      <c r="C9" s="501" t="s">
        <v>33</v>
      </c>
      <c r="D9" s="501" t="str">
        <f>ID!D5</f>
        <v>-</v>
      </c>
    </row>
    <row r="10" spans="1:6" x14ac:dyDescent="0.35">
      <c r="A10" s="718" t="s">
        <v>232</v>
      </c>
      <c r="B10" s="718"/>
      <c r="C10" s="501" t="s">
        <v>33</v>
      </c>
      <c r="D10" s="501" t="str">
        <f>ID!D6</f>
        <v>-</v>
      </c>
    </row>
    <row r="11" spans="1:6" hidden="1" x14ac:dyDescent="0.35">
      <c r="A11" s="724" t="s">
        <v>233</v>
      </c>
      <c r="B11" s="724"/>
    </row>
    <row r="12" spans="1:6" x14ac:dyDescent="0.35">
      <c r="A12" s="724" t="s">
        <v>130</v>
      </c>
      <c r="B12" s="724"/>
      <c r="C12" s="501" t="s">
        <v>33</v>
      </c>
      <c r="D12" s="508">
        <f>ID!D7</f>
        <v>0.1</v>
      </c>
    </row>
    <row r="14" spans="1:6" ht="27.75" customHeight="1" x14ac:dyDescent="0.35">
      <c r="A14" s="509" t="s">
        <v>234</v>
      </c>
      <c r="B14" s="510"/>
      <c r="D14" s="725" t="s">
        <v>235</v>
      </c>
      <c r="E14" s="726"/>
      <c r="F14" s="511"/>
    </row>
    <row r="16" spans="1:6" ht="36.75" customHeight="1" x14ac:dyDescent="0.35">
      <c r="A16" s="512" t="s">
        <v>236</v>
      </c>
      <c r="C16" s="512" t="s">
        <v>33</v>
      </c>
      <c r="D16" s="512" t="s">
        <v>583</v>
      </c>
    </row>
    <row r="17" spans="1:6" x14ac:dyDescent="0.35">
      <c r="A17" s="718" t="s">
        <v>584</v>
      </c>
      <c r="B17" s="718"/>
      <c r="C17" s="501" t="s">
        <v>33</v>
      </c>
      <c r="D17" s="501" t="str">
        <f>ID!D11</f>
        <v>laboratorium kalibrasi lpfk banjarbaru</v>
      </c>
    </row>
    <row r="18" spans="1:6" x14ac:dyDescent="0.35">
      <c r="A18" s="718" t="s">
        <v>585</v>
      </c>
      <c r="B18" s="718"/>
      <c r="C18" s="501" t="s">
        <v>33</v>
      </c>
      <c r="D18" s="513">
        <f>ID!D8</f>
        <v>44741</v>
      </c>
    </row>
    <row r="19" spans="1:6" x14ac:dyDescent="0.35">
      <c r="A19" s="718" t="s">
        <v>39</v>
      </c>
      <c r="B19" s="718"/>
      <c r="C19" s="501" t="s">
        <v>33</v>
      </c>
      <c r="D19" s="513">
        <f>ID!D9</f>
        <v>44742</v>
      </c>
    </row>
    <row r="20" spans="1:6" x14ac:dyDescent="0.35">
      <c r="A20" s="718" t="s">
        <v>586</v>
      </c>
      <c r="B20" s="718"/>
      <c r="C20" s="501" t="s">
        <v>33</v>
      </c>
      <c r="D20" s="501" t="str">
        <f>ID!B64</f>
        <v>Siti Fathul Jannah</v>
      </c>
    </row>
    <row r="21" spans="1:6" x14ac:dyDescent="0.35">
      <c r="A21" s="718" t="s">
        <v>587</v>
      </c>
      <c r="B21" s="718"/>
      <c r="C21" s="501" t="s">
        <v>33</v>
      </c>
      <c r="D21" s="501" t="str">
        <f>ID!D10</f>
        <v>laboratorium kalibrasi lpfk banjarbaru</v>
      </c>
    </row>
    <row r="22" spans="1:6" ht="35.25" customHeight="1" x14ac:dyDescent="0.35">
      <c r="A22" s="514" t="s">
        <v>588</v>
      </c>
      <c r="C22" s="512" t="s">
        <v>33</v>
      </c>
      <c r="D22" s="719" t="s">
        <v>589</v>
      </c>
      <c r="E22" s="719"/>
      <c r="F22" s="719"/>
    </row>
    <row r="23" spans="1:6" x14ac:dyDescent="0.35">
      <c r="A23" s="504" t="s">
        <v>42</v>
      </c>
      <c r="C23" s="501" t="s">
        <v>33</v>
      </c>
      <c r="D23" s="501" t="str">
        <f>D4</f>
        <v>GM.141-19</v>
      </c>
    </row>
    <row r="26" spans="1:6" ht="21.75" customHeight="1" x14ac:dyDescent="0.35">
      <c r="D26" s="516" t="s">
        <v>238</v>
      </c>
      <c r="E26" s="720">
        <f ca="1">TODAY()</f>
        <v>45183</v>
      </c>
      <c r="F26" s="720"/>
    </row>
    <row r="27" spans="1:6" x14ac:dyDescent="0.35">
      <c r="D27" s="718" t="s">
        <v>239</v>
      </c>
      <c r="E27" s="718"/>
      <c r="F27" s="718"/>
    </row>
    <row r="28" spans="1:6" x14ac:dyDescent="0.35">
      <c r="D28" s="718" t="s">
        <v>240</v>
      </c>
      <c r="E28" s="718"/>
      <c r="F28" s="718"/>
    </row>
    <row r="29" spans="1:6" x14ac:dyDescent="0.35">
      <c r="D29" s="517"/>
      <c r="E29" s="517"/>
      <c r="F29" s="518"/>
    </row>
    <row r="30" spans="1:6" x14ac:dyDescent="0.35">
      <c r="D30" s="517"/>
      <c r="E30" s="517"/>
      <c r="F30" s="518"/>
    </row>
    <row r="31" spans="1:6" x14ac:dyDescent="0.35">
      <c r="D31" s="517"/>
      <c r="E31" s="517"/>
      <c r="F31" s="518"/>
    </row>
    <row r="32" spans="1:6" x14ac:dyDescent="0.35">
      <c r="D32" s="718" t="s">
        <v>241</v>
      </c>
      <c r="E32" s="718"/>
      <c r="F32" s="718"/>
    </row>
    <row r="33" spans="1:6" x14ac:dyDescent="0.35">
      <c r="D33" s="718" t="s">
        <v>242</v>
      </c>
      <c r="E33" s="718"/>
      <c r="F33" s="718"/>
    </row>
    <row r="42" spans="1:6" ht="15" thickBot="1" x14ac:dyDescent="0.4"/>
    <row r="43" spans="1:6" x14ac:dyDescent="0.35">
      <c r="A43" s="519" t="s">
        <v>590</v>
      </c>
      <c r="B43" s="520" t="str">
        <f>MID(ID!I2,SEARCH("E - ",ID!I2),LEN(ID!I2))</f>
        <v>E - 015.36 DL</v>
      </c>
      <c r="C43" s="520"/>
      <c r="D43" s="520"/>
      <c r="E43" s="521"/>
    </row>
    <row r="44" spans="1:6" x14ac:dyDescent="0.35">
      <c r="A44" s="522"/>
      <c r="E44" s="523"/>
    </row>
    <row r="45" spans="1:6" ht="26.5" x14ac:dyDescent="0.35">
      <c r="A45" s="524" t="s">
        <v>591</v>
      </c>
      <c r="B45" s="512" t="str">
        <f>ID!A1</f>
        <v>INPUT DATA TIMBANGAN DEWASA</v>
      </c>
      <c r="E45" s="523"/>
    </row>
    <row r="46" spans="1:6" ht="26.5" x14ac:dyDescent="0.35">
      <c r="A46" s="524" t="s">
        <v>592</v>
      </c>
      <c r="B46" s="501" t="str">
        <f>IF(B45="INPUT DATA KALIBRASI TIMBANGAN DEWASA",B47,B48)</f>
        <v>SERTIFIKAT PENGUJIAN</v>
      </c>
      <c r="E46" s="523"/>
    </row>
    <row r="47" spans="1:6" x14ac:dyDescent="0.35">
      <c r="A47" s="524" t="s">
        <v>593</v>
      </c>
      <c r="B47" s="525" t="s">
        <v>227</v>
      </c>
      <c r="E47" s="523"/>
    </row>
    <row r="48" spans="1:6" x14ac:dyDescent="0.35">
      <c r="A48" s="522"/>
      <c r="B48" s="525" t="s">
        <v>594</v>
      </c>
      <c r="E48" s="523"/>
    </row>
    <row r="49" spans="1:5" x14ac:dyDescent="0.35">
      <c r="A49" s="522"/>
      <c r="E49" s="523"/>
    </row>
    <row r="50" spans="1:5" ht="39.5" x14ac:dyDescent="0.35">
      <c r="A50" s="524" t="s">
        <v>595</v>
      </c>
      <c r="B50" s="501" t="str">
        <f>IF(RIGHT(A2,10)=" KALIBRASI","Kalibrasi","Pengujian")</f>
        <v>Kalibrasi</v>
      </c>
      <c r="E50" s="523"/>
    </row>
    <row r="51" spans="1:5" x14ac:dyDescent="0.35">
      <c r="A51" s="522"/>
      <c r="E51" s="523"/>
    </row>
    <row r="52" spans="1:5" ht="28" x14ac:dyDescent="0.35">
      <c r="A52" s="524" t="s">
        <v>596</v>
      </c>
      <c r="B52" s="526" t="s">
        <v>237</v>
      </c>
      <c r="E52" s="523"/>
    </row>
    <row r="53" spans="1:5" x14ac:dyDescent="0.35">
      <c r="A53" s="522"/>
      <c r="E53" s="523"/>
    </row>
    <row r="54" spans="1:5" ht="48.75" customHeight="1" x14ac:dyDescent="0.35">
      <c r="A54" s="527" t="s">
        <v>597</v>
      </c>
      <c r="B54" s="537">
        <f>DATE(YEAR(D19)+1,MONTH(D19),DAY(D19))</f>
        <v>45107</v>
      </c>
      <c r="E54" s="523"/>
    </row>
    <row r="55" spans="1:5" ht="26.5" x14ac:dyDescent="0.35">
      <c r="A55" s="524" t="s">
        <v>598</v>
      </c>
      <c r="B55" s="537" t="str">
        <f>TEXT(B54,"d mmmm yyyy")</f>
        <v>30 June 2023</v>
      </c>
      <c r="E55" s="523"/>
    </row>
    <row r="56" spans="1:5" x14ac:dyDescent="0.35">
      <c r="A56" s="522"/>
      <c r="E56" s="523"/>
    </row>
    <row r="57" spans="1:5" ht="28.5" x14ac:dyDescent="0.35">
      <c r="A57" s="527" t="s">
        <v>599</v>
      </c>
      <c r="B57" s="501" t="str">
        <f>IF(B46=B47,B58,B59)</f>
        <v>Laik Pakai, disarankan untuk diuji ulang pada tanggal 30 June 2023</v>
      </c>
      <c r="E57" s="523"/>
    </row>
    <row r="58" spans="1:5" ht="24.75" customHeight="1" x14ac:dyDescent="0.35">
      <c r="A58" s="522" t="s">
        <v>600</v>
      </c>
      <c r="B58" s="501" t="str">
        <f>CONCATENATE(B60,B55)</f>
        <v>Laik Pakai, disarankan untuk dikalibrasi ulang pada tanggal 30 June 2023</v>
      </c>
      <c r="E58" s="523"/>
    </row>
    <row r="59" spans="1:5" ht="24" customHeight="1" x14ac:dyDescent="0.35">
      <c r="A59" s="522"/>
      <c r="B59" s="501" t="str">
        <f>CONCATENATE(B61,B55)</f>
        <v>Laik Pakai, disarankan untuk diuji ulang pada tanggal 30 June 2023</v>
      </c>
      <c r="E59" s="523"/>
    </row>
    <row r="60" spans="1:5" ht="30" customHeight="1" x14ac:dyDescent="0.35">
      <c r="A60" s="528" t="s">
        <v>593</v>
      </c>
      <c r="B60" s="515" t="s">
        <v>601</v>
      </c>
      <c r="E60" s="523"/>
    </row>
    <row r="61" spans="1:5" ht="29.25" customHeight="1" thickBot="1" x14ac:dyDescent="0.4">
      <c r="A61" s="529"/>
      <c r="B61" s="530" t="s">
        <v>602</v>
      </c>
      <c r="C61" s="530"/>
      <c r="D61" s="530"/>
      <c r="E61" s="531"/>
    </row>
  </sheetData>
  <mergeCells count="20">
    <mergeCell ref="A19:B19"/>
    <mergeCell ref="A2:F2"/>
    <mergeCell ref="A3:F3"/>
    <mergeCell ref="D4:F4"/>
    <mergeCell ref="A8:B8"/>
    <mergeCell ref="A9:B9"/>
    <mergeCell ref="A10:B10"/>
    <mergeCell ref="A11:B11"/>
    <mergeCell ref="A12:B12"/>
    <mergeCell ref="D14:E14"/>
    <mergeCell ref="A17:B17"/>
    <mergeCell ref="A18:B18"/>
    <mergeCell ref="D32:F32"/>
    <mergeCell ref="D33:F33"/>
    <mergeCell ref="A20:B20"/>
    <mergeCell ref="A21:B21"/>
    <mergeCell ref="D22:F22"/>
    <mergeCell ref="E26:F26"/>
    <mergeCell ref="D27:F27"/>
    <mergeCell ref="D28:F28"/>
  </mergeCells>
  <dataValidations count="1">
    <dataValidation type="list" allowBlank="1" showInputMessage="1" showErrorMessage="1" sqref="A2:F2" xr:uid="{54C53A61-B0F4-4834-BA59-20A4BBD7985D}">
      <formula1>"SERTIFIKAT KALIBRASI,SERTIFIKAT PENGUJIAN"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Sheet1</vt:lpstr>
      <vt:lpstr>LK</vt:lpstr>
      <vt:lpstr>Riwayat Revisi</vt:lpstr>
      <vt:lpstr>ID</vt:lpstr>
      <vt:lpstr>LH</vt:lpstr>
      <vt:lpstr>BUDGETING</vt:lpstr>
      <vt:lpstr>PENYELIA</vt:lpstr>
      <vt:lpstr>DB Thermohygro</vt:lpstr>
      <vt:lpstr>SERTIFIKAT</vt:lpstr>
      <vt:lpstr>SURAT KETERANGAN</vt:lpstr>
      <vt:lpstr>DB SERTIFIKAT</vt:lpstr>
      <vt:lpstr>Setifikat </vt:lpstr>
      <vt:lpstr>Cetik Cetik</vt:lpstr>
      <vt:lpstr>BUDGETING!Print_Area</vt:lpstr>
      <vt:lpstr>ID!Print_Area</vt:lpstr>
      <vt:lpstr>LH!Print_Area</vt:lpstr>
      <vt:lpstr>LK!Print_Area</vt:lpstr>
      <vt:lpstr>PENYELIA!Print_Area</vt:lpstr>
      <vt:lpstr>'SURAT KETERANGAN'!Print_Area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hamdan syarif</dc:creator>
  <cp:keywords/>
  <dc:description>soft 2017</dc:description>
  <cp:lastModifiedBy>hamdan syarif</cp:lastModifiedBy>
  <cp:revision/>
  <dcterms:created xsi:type="dcterms:W3CDTF">2016-02-25T00:06:24Z</dcterms:created>
  <dcterms:modified xsi:type="dcterms:W3CDTF">2023-09-14T14:55:55Z</dcterms:modified>
  <cp:category/>
  <cp:contentStatus/>
</cp:coreProperties>
</file>