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EF57E83F-5F36-4461-AFF7-3E03F93DAA7D}" xr6:coauthVersionLast="47" xr6:coauthVersionMax="47" xr10:uidLastSave="{00000000-0000-0000-0000-000000000000}"/>
  <bookViews>
    <workbookView xWindow="-110" yWindow="-110" windowWidth="19420" windowHeight="10300" firstSheet="3" activeTab="8" xr2:uid="{00000000-000D-0000-FFFF-FFFF00000000}"/>
  </bookViews>
  <sheets>
    <sheet name="LK" sheetId="8" r:id="rId1"/>
    <sheet name="Revisi" sheetId="30" r:id="rId2"/>
    <sheet name="Riwayat Revisi" sheetId="29" state="hidden" r:id="rId3"/>
    <sheet name="UNCERT" sheetId="12" r:id="rId4"/>
    <sheet name="DB ANDILOG" sheetId="23" r:id="rId5"/>
    <sheet name="PENYELIA" sheetId="4" r:id="rId6"/>
    <sheet name="ID" sheetId="13" r:id="rId7"/>
    <sheet name="DB Stopwatch" sheetId="25" r:id="rId8"/>
    <sheet name="LH" sheetId="5" r:id="rId9"/>
    <sheet name="DB Kelistrikan" sheetId="32" r:id="rId10"/>
    <sheet name="DB Thermohygro (2)" sheetId="27" r:id="rId11"/>
    <sheet name="SERTIFIKAT" sheetId="31" state="hidden" r:id="rId12"/>
    <sheet name="Cetik - Cetik" sheetId="22" r:id="rId13"/>
  </sheets>
  <externalReferences>
    <externalReference r:id="rId14"/>
  </externalReferences>
  <definedNames>
    <definedName name="_xlnm.Print_Area" localSheetId="4">'DB ANDILOG'!$A$2:$Q$55,'DB ANDILOG'!$A$113:$N$148</definedName>
    <definedName name="_xlnm.Print_Area" localSheetId="7">'DB Stopwatch'!$A$2:$Q$86,'DB Stopwatch'!$A$169:$K$197</definedName>
    <definedName name="_xlnm.Print_Area" localSheetId="10">'DB Thermohygro (2)'!$A$1:$O$199,'DB Thermohygro (2)'!$A$337:$O$351</definedName>
    <definedName name="_xlnm.Print_Area" localSheetId="6">ID!$A$1:$N$65</definedName>
    <definedName name="_xlnm.Print_Area" localSheetId="8">LH!$A$1:$O$74</definedName>
    <definedName name="_xlnm.Print_Area" localSheetId="0">LK!$A$1:$J$65</definedName>
    <definedName name="_xlnm.Print_Area" localSheetId="5">PENYELIA!$A$1:$P$62</definedName>
    <definedName name="_xlnm.Print_Area" localSheetId="11">SERTIFIKAT!$A$1:$G$61</definedName>
    <definedName name="_xlnm.Print_Area" localSheetId="3">UNCERT!$A$1:$L$74</definedName>
  </definedNames>
  <calcPr calcId="191029"/>
</workbook>
</file>

<file path=xl/calcChain.xml><?xml version="1.0" encoding="utf-8"?>
<calcChain xmlns="http://schemas.openxmlformats.org/spreadsheetml/2006/main">
  <c r="I27" i="5" l="1"/>
  <c r="I26" i="5"/>
  <c r="O270" i="32"/>
  <c r="D21" i="12"/>
  <c r="D20" i="12"/>
  <c r="D7" i="12"/>
  <c r="D8" i="12"/>
  <c r="K194" i="25"/>
  <c r="D19" i="12" l="1"/>
  <c r="D6" i="12"/>
  <c r="O271" i="32"/>
  <c r="I25" i="5"/>
  <c r="E17" i="4"/>
  <c r="I25" i="4"/>
  <c r="E17" i="5"/>
  <c r="B47" i="13"/>
  <c r="M272" i="32"/>
  <c r="M271" i="32"/>
  <c r="H282" i="32" s="1"/>
  <c r="M270" i="32"/>
  <c r="M269" i="32"/>
  <c r="M268" i="32"/>
  <c r="H278" i="32" s="1"/>
  <c r="A298" i="32"/>
  <c r="A311" i="32" s="1"/>
  <c r="A265" i="32" s="1"/>
  <c r="A294" i="32" s="1"/>
  <c r="K310" i="32"/>
  <c r="J310" i="32"/>
  <c r="I310" i="32"/>
  <c r="K309" i="32"/>
  <c r="J309" i="32"/>
  <c r="I309" i="32"/>
  <c r="K308" i="32"/>
  <c r="J308" i="32"/>
  <c r="I308" i="32"/>
  <c r="K307" i="32"/>
  <c r="J307" i="32"/>
  <c r="I307" i="32"/>
  <c r="K306" i="32"/>
  <c r="J306" i="32"/>
  <c r="I306" i="32"/>
  <c r="K305" i="32"/>
  <c r="J305" i="32"/>
  <c r="I305" i="32"/>
  <c r="K304" i="32"/>
  <c r="J304" i="32"/>
  <c r="I304" i="32"/>
  <c r="K303" i="32"/>
  <c r="J303" i="32"/>
  <c r="I303" i="32"/>
  <c r="K302" i="32"/>
  <c r="J302" i="32"/>
  <c r="I302" i="32"/>
  <c r="K301" i="32"/>
  <c r="J301" i="32"/>
  <c r="I301" i="32"/>
  <c r="K300" i="32"/>
  <c r="J300" i="32"/>
  <c r="I300" i="32"/>
  <c r="K299" i="32"/>
  <c r="J299" i="32"/>
  <c r="I299" i="32"/>
  <c r="A289" i="32"/>
  <c r="A283" i="32"/>
  <c r="A275" i="32"/>
  <c r="A267" i="32"/>
  <c r="Q262" i="32"/>
  <c r="O262" i="32"/>
  <c r="N262" i="32"/>
  <c r="M262" i="32"/>
  <c r="L262" i="32"/>
  <c r="H262" i="32"/>
  <c r="F262" i="32"/>
  <c r="E262" i="32"/>
  <c r="D262" i="32"/>
  <c r="C262" i="32"/>
  <c r="Q261" i="32"/>
  <c r="O261" i="32"/>
  <c r="N261" i="32"/>
  <c r="M261" i="32"/>
  <c r="L261" i="32"/>
  <c r="H261" i="32"/>
  <c r="F261" i="32"/>
  <c r="E261" i="32"/>
  <c r="D261" i="32"/>
  <c r="C261" i="32"/>
  <c r="Q260" i="32"/>
  <c r="O260" i="32"/>
  <c r="N260" i="32"/>
  <c r="M260" i="32"/>
  <c r="L260" i="32"/>
  <c r="H260" i="32"/>
  <c r="F260" i="32"/>
  <c r="E260" i="32"/>
  <c r="D260" i="32"/>
  <c r="C260" i="32"/>
  <c r="O259" i="32"/>
  <c r="N259" i="32"/>
  <c r="M259" i="32"/>
  <c r="L259" i="32"/>
  <c r="F259" i="32"/>
  <c r="E259" i="32"/>
  <c r="D259" i="32"/>
  <c r="C259" i="32"/>
  <c r="O258" i="32"/>
  <c r="N258" i="32"/>
  <c r="M258" i="32"/>
  <c r="L258" i="32"/>
  <c r="F258" i="32"/>
  <c r="E258" i="32"/>
  <c r="D258" i="32"/>
  <c r="C258" i="32"/>
  <c r="O257" i="32"/>
  <c r="N257" i="32"/>
  <c r="M257" i="32"/>
  <c r="L257" i="32"/>
  <c r="F257" i="32"/>
  <c r="E257" i="32"/>
  <c r="D257" i="32"/>
  <c r="C257" i="32"/>
  <c r="O256" i="32"/>
  <c r="N256" i="32"/>
  <c r="M256" i="32"/>
  <c r="L256" i="32"/>
  <c r="F256" i="32"/>
  <c r="E256" i="32"/>
  <c r="D256" i="32"/>
  <c r="C256" i="32"/>
  <c r="O255" i="32"/>
  <c r="N255" i="32"/>
  <c r="M255" i="32"/>
  <c r="L255" i="32"/>
  <c r="F255" i="32"/>
  <c r="E255" i="32"/>
  <c r="D255" i="32"/>
  <c r="C255" i="32"/>
  <c r="O254" i="32"/>
  <c r="N254" i="32"/>
  <c r="M254" i="32"/>
  <c r="L254" i="32"/>
  <c r="F254" i="32"/>
  <c r="E254" i="32"/>
  <c r="D254" i="32"/>
  <c r="C254" i="32"/>
  <c r="O253" i="32"/>
  <c r="N253" i="32"/>
  <c r="M253" i="32"/>
  <c r="L253" i="32"/>
  <c r="F253" i="32"/>
  <c r="E253" i="32"/>
  <c r="D253" i="32"/>
  <c r="C253" i="32"/>
  <c r="O252" i="32"/>
  <c r="N252" i="32"/>
  <c r="M252" i="32"/>
  <c r="L252" i="32"/>
  <c r="F252" i="32"/>
  <c r="E252" i="32"/>
  <c r="D252" i="32"/>
  <c r="C252" i="32"/>
  <c r="O251" i="32"/>
  <c r="N251" i="32"/>
  <c r="M251" i="32"/>
  <c r="L251" i="32"/>
  <c r="F251" i="32"/>
  <c r="E251" i="32"/>
  <c r="D251" i="32"/>
  <c r="C251" i="32"/>
  <c r="Q249" i="32"/>
  <c r="O249" i="32"/>
  <c r="N249" i="32"/>
  <c r="M249" i="32"/>
  <c r="L249" i="32"/>
  <c r="H249" i="32"/>
  <c r="F249" i="32"/>
  <c r="E249" i="32"/>
  <c r="D249" i="32"/>
  <c r="C249" i="32"/>
  <c r="Q248" i="32"/>
  <c r="O248" i="32"/>
  <c r="N248" i="32"/>
  <c r="M248" i="32"/>
  <c r="L248" i="32"/>
  <c r="H248" i="32"/>
  <c r="F248" i="32"/>
  <c r="E248" i="32"/>
  <c r="D248" i="32"/>
  <c r="C248" i="32"/>
  <c r="Q247" i="32"/>
  <c r="O247" i="32"/>
  <c r="N247" i="32"/>
  <c r="M247" i="32"/>
  <c r="L247" i="32"/>
  <c r="H247" i="32"/>
  <c r="F247" i="32"/>
  <c r="E247" i="32"/>
  <c r="D247" i="32"/>
  <c r="C247" i="32"/>
  <c r="O246" i="32"/>
  <c r="N246" i="32"/>
  <c r="M246" i="32"/>
  <c r="L246" i="32"/>
  <c r="F246" i="32"/>
  <c r="E246" i="32"/>
  <c r="D246" i="32"/>
  <c r="C246" i="32"/>
  <c r="O245" i="32"/>
  <c r="N245" i="32"/>
  <c r="M245" i="32"/>
  <c r="L245" i="32"/>
  <c r="F245" i="32"/>
  <c r="E245" i="32"/>
  <c r="D245" i="32"/>
  <c r="C245" i="32"/>
  <c r="O244" i="32"/>
  <c r="N244" i="32"/>
  <c r="M244" i="32"/>
  <c r="L244" i="32"/>
  <c r="F244" i="32"/>
  <c r="E244" i="32"/>
  <c r="D244" i="32"/>
  <c r="C244" i="32"/>
  <c r="O243" i="32"/>
  <c r="N243" i="32"/>
  <c r="M243" i="32"/>
  <c r="L243" i="32"/>
  <c r="F243" i="32"/>
  <c r="E243" i="32"/>
  <c r="D243" i="32"/>
  <c r="C243" i="32"/>
  <c r="O242" i="32"/>
  <c r="N242" i="32"/>
  <c r="M242" i="32"/>
  <c r="L242" i="32"/>
  <c r="F242" i="32"/>
  <c r="E242" i="32"/>
  <c r="D242" i="32"/>
  <c r="C242" i="32"/>
  <c r="O241" i="32"/>
  <c r="N241" i="32"/>
  <c r="M241" i="32"/>
  <c r="L241" i="32"/>
  <c r="F241" i="32"/>
  <c r="E241" i="32"/>
  <c r="D241" i="32"/>
  <c r="C241" i="32"/>
  <c r="O240" i="32"/>
  <c r="N240" i="32"/>
  <c r="M240" i="32"/>
  <c r="L240" i="32"/>
  <c r="F240" i="32"/>
  <c r="E240" i="32"/>
  <c r="D240" i="32"/>
  <c r="C240" i="32"/>
  <c r="O239" i="32"/>
  <c r="N239" i="32"/>
  <c r="M239" i="32"/>
  <c r="L239" i="32"/>
  <c r="F239" i="32"/>
  <c r="E239" i="32"/>
  <c r="D239" i="32"/>
  <c r="C239" i="32"/>
  <c r="O238" i="32"/>
  <c r="N238" i="32"/>
  <c r="M238" i="32"/>
  <c r="L238" i="32"/>
  <c r="F238" i="32"/>
  <c r="E238" i="32"/>
  <c r="D238" i="32"/>
  <c r="C238" i="32"/>
  <c r="Q236" i="32"/>
  <c r="O236" i="32"/>
  <c r="N236" i="32"/>
  <c r="M236" i="32"/>
  <c r="L236" i="32"/>
  <c r="H236" i="32"/>
  <c r="F236" i="32"/>
  <c r="E236" i="32"/>
  <c r="D236" i="32"/>
  <c r="C236" i="32"/>
  <c r="Q235" i="32"/>
  <c r="O235" i="32"/>
  <c r="N235" i="32"/>
  <c r="M235" i="32"/>
  <c r="L235" i="32"/>
  <c r="H235" i="32"/>
  <c r="F235" i="32"/>
  <c r="E235" i="32"/>
  <c r="D235" i="32"/>
  <c r="C235" i="32"/>
  <c r="Q234" i="32"/>
  <c r="O234" i="32"/>
  <c r="N234" i="32"/>
  <c r="M234" i="32"/>
  <c r="L234" i="32"/>
  <c r="H234" i="32"/>
  <c r="F234" i="32"/>
  <c r="E234" i="32"/>
  <c r="D234" i="32"/>
  <c r="C234" i="32"/>
  <c r="O233" i="32"/>
  <c r="N233" i="32"/>
  <c r="M233" i="32"/>
  <c r="L233" i="32"/>
  <c r="F233" i="32"/>
  <c r="E233" i="32"/>
  <c r="D233" i="32"/>
  <c r="C233" i="32"/>
  <c r="O232" i="32"/>
  <c r="N232" i="32"/>
  <c r="M232" i="32"/>
  <c r="L232" i="32"/>
  <c r="F232" i="32"/>
  <c r="E232" i="32"/>
  <c r="D232" i="32"/>
  <c r="C232" i="32"/>
  <c r="O231" i="32"/>
  <c r="N231" i="32"/>
  <c r="M231" i="32"/>
  <c r="L231" i="32"/>
  <c r="F231" i="32"/>
  <c r="E231" i="32"/>
  <c r="D231" i="32"/>
  <c r="C231" i="32"/>
  <c r="O230" i="32"/>
  <c r="N230" i="32"/>
  <c r="M230" i="32"/>
  <c r="L230" i="32"/>
  <c r="F230" i="32"/>
  <c r="E230" i="32"/>
  <c r="D230" i="32"/>
  <c r="C230" i="32"/>
  <c r="O229" i="32"/>
  <c r="N229" i="32"/>
  <c r="M229" i="32"/>
  <c r="L229" i="32"/>
  <c r="F229" i="32"/>
  <c r="E229" i="32"/>
  <c r="D229" i="32"/>
  <c r="C229" i="32"/>
  <c r="O228" i="32"/>
  <c r="N228" i="32"/>
  <c r="M228" i="32"/>
  <c r="L228" i="32"/>
  <c r="F228" i="32"/>
  <c r="E228" i="32"/>
  <c r="D228" i="32"/>
  <c r="C228" i="32"/>
  <c r="O227" i="32"/>
  <c r="N227" i="32"/>
  <c r="M227" i="32"/>
  <c r="L227" i="32"/>
  <c r="F227" i="32"/>
  <c r="E227" i="32"/>
  <c r="D227" i="32"/>
  <c r="C227" i="32"/>
  <c r="O226" i="32"/>
  <c r="N226" i="32"/>
  <c r="M226" i="32"/>
  <c r="L226" i="32"/>
  <c r="F226" i="32"/>
  <c r="E226" i="32"/>
  <c r="D226" i="32"/>
  <c r="C226" i="32"/>
  <c r="O225" i="32"/>
  <c r="N225" i="32"/>
  <c r="M225" i="32"/>
  <c r="L225" i="32"/>
  <c r="F225" i="32"/>
  <c r="E225" i="32"/>
  <c r="D225" i="32"/>
  <c r="C225" i="32"/>
  <c r="Q223" i="32"/>
  <c r="O223" i="32"/>
  <c r="N223" i="32"/>
  <c r="M223" i="32"/>
  <c r="L223" i="32"/>
  <c r="H223" i="32"/>
  <c r="F223" i="32"/>
  <c r="E223" i="32"/>
  <c r="D223" i="32"/>
  <c r="C223" i="32"/>
  <c r="Q222" i="32"/>
  <c r="O222" i="32"/>
  <c r="N222" i="32"/>
  <c r="M222" i="32"/>
  <c r="L222" i="32"/>
  <c r="H222" i="32"/>
  <c r="F222" i="32"/>
  <c r="E222" i="32"/>
  <c r="D222" i="32"/>
  <c r="C222" i="32"/>
  <c r="Q221" i="32"/>
  <c r="O221" i="32"/>
  <c r="N221" i="32"/>
  <c r="M221" i="32"/>
  <c r="L221" i="32"/>
  <c r="H221" i="32"/>
  <c r="F221" i="32"/>
  <c r="E221" i="32"/>
  <c r="D221" i="32"/>
  <c r="C221" i="32"/>
  <c r="O220" i="32"/>
  <c r="N220" i="32"/>
  <c r="M220" i="32"/>
  <c r="L220" i="32"/>
  <c r="F220" i="32"/>
  <c r="E220" i="32"/>
  <c r="D220" i="32"/>
  <c r="C220" i="32"/>
  <c r="O219" i="32"/>
  <c r="N219" i="32"/>
  <c r="M219" i="32"/>
  <c r="L219" i="32"/>
  <c r="F219" i="32"/>
  <c r="E219" i="32"/>
  <c r="D219" i="32"/>
  <c r="C219" i="32"/>
  <c r="O218" i="32"/>
  <c r="N218" i="32"/>
  <c r="M218" i="32"/>
  <c r="L218" i="32"/>
  <c r="F218" i="32"/>
  <c r="E218" i="32"/>
  <c r="D218" i="32"/>
  <c r="C218" i="32"/>
  <c r="O217" i="32"/>
  <c r="N217" i="32"/>
  <c r="M217" i="32"/>
  <c r="L217" i="32"/>
  <c r="F217" i="32"/>
  <c r="E217" i="32"/>
  <c r="D217" i="32"/>
  <c r="C217" i="32"/>
  <c r="O216" i="32"/>
  <c r="N216" i="32"/>
  <c r="M216" i="32"/>
  <c r="L216" i="32"/>
  <c r="F216" i="32"/>
  <c r="E216" i="32"/>
  <c r="D216" i="32"/>
  <c r="C216" i="32"/>
  <c r="O215" i="32"/>
  <c r="N215" i="32"/>
  <c r="M215" i="32"/>
  <c r="L215" i="32"/>
  <c r="F215" i="32"/>
  <c r="E215" i="32"/>
  <c r="D215" i="32"/>
  <c r="C215" i="32"/>
  <c r="O214" i="32"/>
  <c r="N214" i="32"/>
  <c r="M214" i="32"/>
  <c r="L214" i="32"/>
  <c r="F214" i="32"/>
  <c r="E214" i="32"/>
  <c r="D214" i="32"/>
  <c r="C214" i="32"/>
  <c r="O213" i="32"/>
  <c r="N213" i="32"/>
  <c r="M213" i="32"/>
  <c r="L213" i="32"/>
  <c r="F213" i="32"/>
  <c r="E213" i="32"/>
  <c r="D213" i="32"/>
  <c r="C213" i="32"/>
  <c r="O212" i="32"/>
  <c r="N212" i="32"/>
  <c r="M212" i="32"/>
  <c r="L212" i="32"/>
  <c r="F212" i="32"/>
  <c r="E212" i="32"/>
  <c r="D212" i="32"/>
  <c r="C212" i="32"/>
  <c r="L210" i="32"/>
  <c r="C210" i="32"/>
  <c r="Q207" i="32"/>
  <c r="O207" i="32"/>
  <c r="N207" i="32"/>
  <c r="M207" i="32"/>
  <c r="L207" i="32"/>
  <c r="H207" i="32"/>
  <c r="F207" i="32"/>
  <c r="E207" i="32"/>
  <c r="D207" i="32"/>
  <c r="C207" i="32"/>
  <c r="Q206" i="32"/>
  <c r="O206" i="32"/>
  <c r="N206" i="32"/>
  <c r="M206" i="32"/>
  <c r="L206" i="32"/>
  <c r="H206" i="32"/>
  <c r="F206" i="32"/>
  <c r="E206" i="32"/>
  <c r="D206" i="32"/>
  <c r="C206" i="32"/>
  <c r="Q205" i="32"/>
  <c r="O205" i="32"/>
  <c r="N205" i="32"/>
  <c r="M205" i="32"/>
  <c r="L205" i="32"/>
  <c r="H205" i="32"/>
  <c r="F205" i="32"/>
  <c r="E205" i="32"/>
  <c r="D205" i="32"/>
  <c r="C205" i="32"/>
  <c r="O204" i="32"/>
  <c r="N204" i="32"/>
  <c r="M204" i="32"/>
  <c r="L204" i="32"/>
  <c r="F204" i="32"/>
  <c r="E204" i="32"/>
  <c r="D204" i="32"/>
  <c r="C204" i="32"/>
  <c r="O203" i="32"/>
  <c r="N203" i="32"/>
  <c r="M203" i="32"/>
  <c r="L203" i="32"/>
  <c r="F203" i="32"/>
  <c r="E203" i="32"/>
  <c r="D203" i="32"/>
  <c r="C203" i="32"/>
  <c r="O202" i="32"/>
  <c r="N202" i="32"/>
  <c r="M202" i="32"/>
  <c r="L202" i="32"/>
  <c r="F202" i="32"/>
  <c r="E202" i="32"/>
  <c r="D202" i="32"/>
  <c r="C202" i="32"/>
  <c r="O201" i="32"/>
  <c r="N201" i="32"/>
  <c r="M201" i="32"/>
  <c r="L201" i="32"/>
  <c r="F201" i="32"/>
  <c r="E201" i="32"/>
  <c r="D201" i="32"/>
  <c r="C201" i="32"/>
  <c r="O200" i="32"/>
  <c r="N200" i="32"/>
  <c r="M200" i="32"/>
  <c r="L200" i="32"/>
  <c r="F200" i="32"/>
  <c r="E200" i="32"/>
  <c r="D200" i="32"/>
  <c r="C200" i="32"/>
  <c r="O199" i="32"/>
  <c r="N199" i="32"/>
  <c r="M199" i="32"/>
  <c r="L199" i="32"/>
  <c r="F199" i="32"/>
  <c r="E199" i="32"/>
  <c r="D199" i="32"/>
  <c r="C199" i="32"/>
  <c r="O198" i="32"/>
  <c r="N198" i="32"/>
  <c r="M198" i="32"/>
  <c r="L198" i="32"/>
  <c r="F198" i="32"/>
  <c r="E198" i="32"/>
  <c r="D198" i="32"/>
  <c r="C198" i="32"/>
  <c r="O197" i="32"/>
  <c r="N197" i="32"/>
  <c r="M197" i="32"/>
  <c r="L197" i="32"/>
  <c r="F197" i="32"/>
  <c r="E197" i="32"/>
  <c r="D197" i="32"/>
  <c r="C197" i="32"/>
  <c r="O196" i="32"/>
  <c r="N196" i="32"/>
  <c r="M196" i="32"/>
  <c r="L196" i="32"/>
  <c r="F196" i="32"/>
  <c r="E196" i="32"/>
  <c r="D196" i="32"/>
  <c r="C196" i="32"/>
  <c r="Q194" i="32"/>
  <c r="O194" i="32"/>
  <c r="N194" i="32"/>
  <c r="M194" i="32"/>
  <c r="L194" i="32"/>
  <c r="H194" i="32"/>
  <c r="F194" i="32"/>
  <c r="E194" i="32"/>
  <c r="D194" i="32"/>
  <c r="C194" i="32"/>
  <c r="Q193" i="32"/>
  <c r="O193" i="32"/>
  <c r="N193" i="32"/>
  <c r="M193" i="32"/>
  <c r="L193" i="32"/>
  <c r="H193" i="32"/>
  <c r="F193" i="32"/>
  <c r="E193" i="32"/>
  <c r="D193" i="32"/>
  <c r="C193" i="32"/>
  <c r="Q192" i="32"/>
  <c r="O192" i="32"/>
  <c r="N192" i="32"/>
  <c r="M192" i="32"/>
  <c r="L192" i="32"/>
  <c r="H192" i="32"/>
  <c r="F192" i="32"/>
  <c r="E192" i="32"/>
  <c r="D192" i="32"/>
  <c r="C192" i="32"/>
  <c r="O191" i="32"/>
  <c r="N191" i="32"/>
  <c r="M191" i="32"/>
  <c r="L191" i="32"/>
  <c r="F191" i="32"/>
  <c r="E191" i="32"/>
  <c r="D191" i="32"/>
  <c r="C191" i="32"/>
  <c r="O190" i="32"/>
  <c r="N190" i="32"/>
  <c r="M190" i="32"/>
  <c r="L190" i="32"/>
  <c r="F190" i="32"/>
  <c r="E190" i="32"/>
  <c r="D190" i="32"/>
  <c r="C190" i="32"/>
  <c r="O189" i="32"/>
  <c r="N189" i="32"/>
  <c r="M189" i="32"/>
  <c r="L189" i="32"/>
  <c r="F189" i="32"/>
  <c r="E189" i="32"/>
  <c r="D189" i="32"/>
  <c r="C189" i="32"/>
  <c r="O188" i="32"/>
  <c r="N188" i="32"/>
  <c r="M188" i="32"/>
  <c r="L188" i="32"/>
  <c r="F188" i="32"/>
  <c r="E188" i="32"/>
  <c r="D188" i="32"/>
  <c r="C188" i="32"/>
  <c r="O187" i="32"/>
  <c r="N187" i="32"/>
  <c r="M187" i="32"/>
  <c r="L187" i="32"/>
  <c r="F187" i="32"/>
  <c r="E187" i="32"/>
  <c r="D187" i="32"/>
  <c r="C187" i="32"/>
  <c r="O186" i="32"/>
  <c r="N186" i="32"/>
  <c r="M186" i="32"/>
  <c r="L186" i="32"/>
  <c r="F186" i="32"/>
  <c r="E186" i="32"/>
  <c r="D186" i="32"/>
  <c r="C186" i="32"/>
  <c r="O185" i="32"/>
  <c r="N185" i="32"/>
  <c r="M185" i="32"/>
  <c r="L185" i="32"/>
  <c r="F185" i="32"/>
  <c r="E185" i="32"/>
  <c r="D185" i="32"/>
  <c r="C185" i="32"/>
  <c r="O184" i="32"/>
  <c r="N184" i="32"/>
  <c r="M184" i="32"/>
  <c r="L184" i="32"/>
  <c r="F184" i="32"/>
  <c r="E184" i="32"/>
  <c r="D184" i="32"/>
  <c r="C184" i="32"/>
  <c r="O183" i="32"/>
  <c r="N183" i="32"/>
  <c r="M183" i="32"/>
  <c r="L183" i="32"/>
  <c r="F183" i="32"/>
  <c r="E183" i="32"/>
  <c r="D183" i="32"/>
  <c r="C183" i="32"/>
  <c r="Q181" i="32"/>
  <c r="O181" i="32"/>
  <c r="N181" i="32"/>
  <c r="M181" i="32"/>
  <c r="L181" i="32"/>
  <c r="H181" i="32"/>
  <c r="F181" i="32"/>
  <c r="E181" i="32"/>
  <c r="D181" i="32"/>
  <c r="C181" i="32"/>
  <c r="Q180" i="32"/>
  <c r="O180" i="32"/>
  <c r="N180" i="32"/>
  <c r="M180" i="32"/>
  <c r="L180" i="32"/>
  <c r="H180" i="32"/>
  <c r="F180" i="32"/>
  <c r="E180" i="32"/>
  <c r="D180" i="32"/>
  <c r="C180" i="32"/>
  <c r="Q179" i="32"/>
  <c r="O179" i="32"/>
  <c r="N179" i="32"/>
  <c r="M179" i="32"/>
  <c r="L179" i="32"/>
  <c r="H179" i="32"/>
  <c r="F179" i="32"/>
  <c r="E179" i="32"/>
  <c r="D179" i="32"/>
  <c r="C179" i="32"/>
  <c r="O178" i="32"/>
  <c r="N178" i="32"/>
  <c r="M178" i="32"/>
  <c r="L178" i="32"/>
  <c r="F178" i="32"/>
  <c r="E178" i="32"/>
  <c r="D178" i="32"/>
  <c r="C178" i="32"/>
  <c r="O177" i="32"/>
  <c r="N177" i="32"/>
  <c r="M177" i="32"/>
  <c r="L177" i="32"/>
  <c r="F177" i="32"/>
  <c r="E177" i="32"/>
  <c r="D177" i="32"/>
  <c r="C177" i="32"/>
  <c r="O176" i="32"/>
  <c r="N176" i="32"/>
  <c r="M176" i="32"/>
  <c r="L176" i="32"/>
  <c r="F176" i="32"/>
  <c r="E176" i="32"/>
  <c r="D176" i="32"/>
  <c r="C176" i="32"/>
  <c r="O175" i="32"/>
  <c r="N175" i="32"/>
  <c r="M175" i="32"/>
  <c r="L175" i="32"/>
  <c r="F175" i="32"/>
  <c r="E175" i="32"/>
  <c r="D175" i="32"/>
  <c r="C175" i="32"/>
  <c r="O174" i="32"/>
  <c r="N174" i="32"/>
  <c r="M174" i="32"/>
  <c r="L174" i="32"/>
  <c r="F174" i="32"/>
  <c r="E174" i="32"/>
  <c r="D174" i="32"/>
  <c r="C174" i="32"/>
  <c r="O173" i="32"/>
  <c r="N173" i="32"/>
  <c r="M173" i="32"/>
  <c r="L173" i="32"/>
  <c r="F173" i="32"/>
  <c r="E173" i="32"/>
  <c r="D173" i="32"/>
  <c r="C173" i="32"/>
  <c r="O172" i="32"/>
  <c r="N172" i="32"/>
  <c r="M172" i="32"/>
  <c r="L172" i="32"/>
  <c r="F172" i="32"/>
  <c r="E172" i="32"/>
  <c r="D172" i="32"/>
  <c r="C172" i="32"/>
  <c r="O171" i="32"/>
  <c r="N171" i="32"/>
  <c r="M171" i="32"/>
  <c r="L171" i="32"/>
  <c r="F171" i="32"/>
  <c r="E171" i="32"/>
  <c r="D171" i="32"/>
  <c r="C171" i="32"/>
  <c r="O170" i="32"/>
  <c r="N170" i="32"/>
  <c r="M170" i="32"/>
  <c r="L170" i="32"/>
  <c r="F170" i="32"/>
  <c r="E170" i="32"/>
  <c r="D170" i="32"/>
  <c r="C170" i="32"/>
  <c r="Q168" i="32"/>
  <c r="O168" i="32"/>
  <c r="N168" i="32"/>
  <c r="M168" i="32"/>
  <c r="L168" i="32"/>
  <c r="H168" i="32"/>
  <c r="F168" i="32"/>
  <c r="E168" i="32"/>
  <c r="D168" i="32"/>
  <c r="C168" i="32"/>
  <c r="Q167" i="32"/>
  <c r="O167" i="32"/>
  <c r="N167" i="32"/>
  <c r="M167" i="32"/>
  <c r="L167" i="32"/>
  <c r="H167" i="32"/>
  <c r="F167" i="32"/>
  <c r="E167" i="32"/>
  <c r="D167" i="32"/>
  <c r="C167" i="32"/>
  <c r="Q166" i="32"/>
  <c r="O166" i="32"/>
  <c r="N166" i="32"/>
  <c r="M166" i="32"/>
  <c r="L166" i="32"/>
  <c r="H166" i="32"/>
  <c r="F166" i="32"/>
  <c r="E166" i="32"/>
  <c r="D166" i="32"/>
  <c r="C166" i="32"/>
  <c r="O165" i="32"/>
  <c r="N165" i="32"/>
  <c r="M165" i="32"/>
  <c r="L165" i="32"/>
  <c r="F165" i="32"/>
  <c r="E165" i="32"/>
  <c r="D165" i="32"/>
  <c r="C165" i="32"/>
  <c r="O164" i="32"/>
  <c r="N164" i="32"/>
  <c r="M164" i="32"/>
  <c r="L164" i="32"/>
  <c r="F164" i="32"/>
  <c r="E164" i="32"/>
  <c r="D164" i="32"/>
  <c r="C164" i="32"/>
  <c r="O163" i="32"/>
  <c r="N163" i="32"/>
  <c r="M163" i="32"/>
  <c r="L163" i="32"/>
  <c r="F163" i="32"/>
  <c r="E163" i="32"/>
  <c r="D163" i="32"/>
  <c r="C163" i="32"/>
  <c r="O162" i="32"/>
  <c r="N162" i="32"/>
  <c r="M162" i="32"/>
  <c r="L162" i="32"/>
  <c r="F162" i="32"/>
  <c r="E162" i="32"/>
  <c r="D162" i="32"/>
  <c r="C162" i="32"/>
  <c r="O161" i="32"/>
  <c r="N161" i="32"/>
  <c r="M161" i="32"/>
  <c r="L161" i="32"/>
  <c r="F161" i="32"/>
  <c r="E161" i="32"/>
  <c r="D161" i="32"/>
  <c r="C161" i="32"/>
  <c r="O160" i="32"/>
  <c r="N160" i="32"/>
  <c r="M160" i="32"/>
  <c r="L160" i="32"/>
  <c r="F160" i="32"/>
  <c r="E160" i="32"/>
  <c r="D160" i="32"/>
  <c r="C160" i="32"/>
  <c r="O159" i="32"/>
  <c r="N159" i="32"/>
  <c r="M159" i="32"/>
  <c r="L159" i="32"/>
  <c r="F159" i="32"/>
  <c r="E159" i="32"/>
  <c r="D159" i="32"/>
  <c r="C159" i="32"/>
  <c r="O158" i="32"/>
  <c r="N158" i="32"/>
  <c r="M158" i="32"/>
  <c r="L158" i="32"/>
  <c r="F158" i="32"/>
  <c r="E158" i="32"/>
  <c r="D158" i="32"/>
  <c r="C158" i="32"/>
  <c r="O157" i="32"/>
  <c r="N157" i="32"/>
  <c r="M157" i="32"/>
  <c r="L157" i="32"/>
  <c r="F157" i="32"/>
  <c r="E157" i="32"/>
  <c r="D157" i="32"/>
  <c r="C157" i="32"/>
  <c r="Q155" i="32"/>
  <c r="O155" i="32"/>
  <c r="N155" i="32"/>
  <c r="M155" i="32"/>
  <c r="L155" i="32"/>
  <c r="H155" i="32"/>
  <c r="F155" i="32"/>
  <c r="E155" i="32"/>
  <c r="D155" i="32"/>
  <c r="C155" i="32"/>
  <c r="Q154" i="32"/>
  <c r="O154" i="32"/>
  <c r="N154" i="32"/>
  <c r="M154" i="32"/>
  <c r="L154" i="32"/>
  <c r="H154" i="32"/>
  <c r="F154" i="32"/>
  <c r="E154" i="32"/>
  <c r="D154" i="32"/>
  <c r="C154" i="32"/>
  <c r="Q153" i="32"/>
  <c r="O153" i="32"/>
  <c r="N153" i="32"/>
  <c r="M153" i="32"/>
  <c r="L153" i="32"/>
  <c r="H153" i="32"/>
  <c r="F153" i="32"/>
  <c r="E153" i="32"/>
  <c r="D153" i="32"/>
  <c r="C153" i="32"/>
  <c r="O152" i="32"/>
  <c r="N152" i="32"/>
  <c r="M152" i="32"/>
  <c r="L152" i="32"/>
  <c r="F152" i="32"/>
  <c r="E152" i="32"/>
  <c r="D152" i="32"/>
  <c r="C152" i="32"/>
  <c r="O151" i="32"/>
  <c r="N151" i="32"/>
  <c r="M151" i="32"/>
  <c r="L151" i="32"/>
  <c r="F151" i="32"/>
  <c r="E151" i="32"/>
  <c r="D151" i="32"/>
  <c r="C151" i="32"/>
  <c r="O150" i="32"/>
  <c r="N150" i="32"/>
  <c r="M150" i="32"/>
  <c r="L150" i="32"/>
  <c r="F150" i="32"/>
  <c r="E150" i="32"/>
  <c r="D150" i="32"/>
  <c r="C150" i="32"/>
  <c r="O149" i="32"/>
  <c r="N149" i="32"/>
  <c r="M149" i="32"/>
  <c r="L149" i="32"/>
  <c r="F149" i="32"/>
  <c r="E149" i="32"/>
  <c r="D149" i="32"/>
  <c r="C149" i="32"/>
  <c r="O148" i="32"/>
  <c r="N148" i="32"/>
  <c r="M148" i="32"/>
  <c r="L148" i="32"/>
  <c r="F148" i="32"/>
  <c r="E148" i="32"/>
  <c r="D148" i="32"/>
  <c r="C148" i="32"/>
  <c r="O147" i="32"/>
  <c r="N147" i="32"/>
  <c r="M147" i="32"/>
  <c r="L147" i="32"/>
  <c r="F147" i="32"/>
  <c r="E147" i="32"/>
  <c r="D147" i="32"/>
  <c r="C147" i="32"/>
  <c r="O146" i="32"/>
  <c r="N146" i="32"/>
  <c r="M146" i="32"/>
  <c r="L146" i="32"/>
  <c r="F146" i="32"/>
  <c r="E146" i="32"/>
  <c r="D146" i="32"/>
  <c r="C146" i="32"/>
  <c r="O145" i="32"/>
  <c r="N145" i="32"/>
  <c r="M145" i="32"/>
  <c r="L145" i="32"/>
  <c r="F145" i="32"/>
  <c r="E145" i="32"/>
  <c r="D145" i="32"/>
  <c r="C145" i="32"/>
  <c r="O144" i="32"/>
  <c r="N144" i="32"/>
  <c r="M144" i="32"/>
  <c r="L144" i="32"/>
  <c r="F144" i="32"/>
  <c r="E144" i="32"/>
  <c r="D144" i="32"/>
  <c r="C144" i="32"/>
  <c r="Q142" i="32"/>
  <c r="O142" i="32"/>
  <c r="N142" i="32"/>
  <c r="M142" i="32"/>
  <c r="L142" i="32"/>
  <c r="H142" i="32"/>
  <c r="F142" i="32"/>
  <c r="E142" i="32"/>
  <c r="D142" i="32"/>
  <c r="C142" i="32"/>
  <c r="Q141" i="32"/>
  <c r="O141" i="32"/>
  <c r="N141" i="32"/>
  <c r="M141" i="32"/>
  <c r="L141" i="32"/>
  <c r="H141" i="32"/>
  <c r="F141" i="32"/>
  <c r="E141" i="32"/>
  <c r="D141" i="32"/>
  <c r="C141" i="32"/>
  <c r="Q140" i="32"/>
  <c r="O140" i="32"/>
  <c r="N140" i="32"/>
  <c r="M140" i="32"/>
  <c r="L140" i="32"/>
  <c r="H140" i="32"/>
  <c r="F140" i="32"/>
  <c r="E140" i="32"/>
  <c r="D140" i="32"/>
  <c r="C140" i="32"/>
  <c r="O139" i="32"/>
  <c r="N139" i="32"/>
  <c r="M139" i="32"/>
  <c r="L139" i="32"/>
  <c r="F139" i="32"/>
  <c r="E139" i="32"/>
  <c r="D139" i="32"/>
  <c r="C139" i="32"/>
  <c r="O138" i="32"/>
  <c r="N138" i="32"/>
  <c r="M138" i="32"/>
  <c r="L138" i="32"/>
  <c r="F138" i="32"/>
  <c r="E138" i="32"/>
  <c r="D138" i="32"/>
  <c r="C138" i="32"/>
  <c r="O137" i="32"/>
  <c r="N137" i="32"/>
  <c r="M137" i="32"/>
  <c r="L137" i="32"/>
  <c r="F137" i="32"/>
  <c r="E137" i="32"/>
  <c r="D137" i="32"/>
  <c r="C137" i="32"/>
  <c r="O136" i="32"/>
  <c r="N136" i="32"/>
  <c r="M136" i="32"/>
  <c r="L136" i="32"/>
  <c r="F136" i="32"/>
  <c r="E136" i="32"/>
  <c r="D136" i="32"/>
  <c r="C136" i="32"/>
  <c r="O135" i="32"/>
  <c r="N135" i="32"/>
  <c r="M135" i="32"/>
  <c r="L135" i="32"/>
  <c r="F135" i="32"/>
  <c r="E135" i="32"/>
  <c r="D135" i="32"/>
  <c r="C135" i="32"/>
  <c r="O134" i="32"/>
  <c r="N134" i="32"/>
  <c r="M134" i="32"/>
  <c r="L134" i="32"/>
  <c r="F134" i="32"/>
  <c r="E134" i="32"/>
  <c r="D134" i="32"/>
  <c r="C134" i="32"/>
  <c r="O133" i="32"/>
  <c r="N133" i="32"/>
  <c r="M133" i="32"/>
  <c r="L133" i="32"/>
  <c r="F133" i="32"/>
  <c r="E133" i="32"/>
  <c r="D133" i="32"/>
  <c r="C133" i="32"/>
  <c r="O132" i="32"/>
  <c r="N132" i="32"/>
  <c r="M132" i="32"/>
  <c r="L132" i="32"/>
  <c r="F132" i="32"/>
  <c r="E132" i="32"/>
  <c r="D132" i="32"/>
  <c r="C132" i="32"/>
  <c r="O131" i="32"/>
  <c r="N131" i="32"/>
  <c r="M131" i="32"/>
  <c r="L131" i="32"/>
  <c r="F131" i="32"/>
  <c r="E131" i="32"/>
  <c r="D131" i="32"/>
  <c r="C131" i="32"/>
  <c r="L129" i="32"/>
  <c r="C129" i="32"/>
  <c r="J128" i="32"/>
  <c r="T124" i="32"/>
  <c r="P262" i="32" s="1"/>
  <c r="M124" i="32"/>
  <c r="P261" i="32" s="1"/>
  <c r="F124" i="32"/>
  <c r="P260" i="32" s="1"/>
  <c r="T123" i="32"/>
  <c r="P249" i="32" s="1"/>
  <c r="M123" i="32"/>
  <c r="P248" i="32" s="1"/>
  <c r="F123" i="32"/>
  <c r="P247" i="32" s="1"/>
  <c r="T122" i="32"/>
  <c r="P236" i="32" s="1"/>
  <c r="M122" i="32"/>
  <c r="P235" i="32" s="1"/>
  <c r="F122" i="32"/>
  <c r="P234" i="32" s="1"/>
  <c r="T121" i="32"/>
  <c r="P223" i="32" s="1"/>
  <c r="M121" i="32"/>
  <c r="P222" i="32" s="1"/>
  <c r="F121" i="32"/>
  <c r="P221" i="32" s="1"/>
  <c r="S120" i="32"/>
  <c r="R120" i="32"/>
  <c r="Q120" i="32"/>
  <c r="L120" i="32"/>
  <c r="K120" i="32"/>
  <c r="J120" i="32"/>
  <c r="E120" i="32"/>
  <c r="D120" i="32"/>
  <c r="C120" i="32"/>
  <c r="P119" i="32"/>
  <c r="T118" i="32"/>
  <c r="G262" i="32" s="1"/>
  <c r="M118" i="32"/>
  <c r="G261" i="32" s="1"/>
  <c r="F118" i="32"/>
  <c r="G260" i="32" s="1"/>
  <c r="T117" i="32"/>
  <c r="G249" i="32" s="1"/>
  <c r="M117" i="32"/>
  <c r="G248" i="32" s="1"/>
  <c r="F117" i="32"/>
  <c r="G247" i="32" s="1"/>
  <c r="T116" i="32"/>
  <c r="G236" i="32" s="1"/>
  <c r="M116" i="32"/>
  <c r="G235" i="32" s="1"/>
  <c r="F116" i="32"/>
  <c r="G234" i="32" s="1"/>
  <c r="T115" i="32"/>
  <c r="G223" i="32" s="1"/>
  <c r="M115" i="32"/>
  <c r="G222" i="32" s="1"/>
  <c r="F115" i="32"/>
  <c r="G221" i="32" s="1"/>
  <c r="S114" i="32"/>
  <c r="R114" i="32"/>
  <c r="Q114" i="32"/>
  <c r="L114" i="32"/>
  <c r="K114" i="32"/>
  <c r="J114" i="32"/>
  <c r="E114" i="32"/>
  <c r="D114" i="32"/>
  <c r="C114" i="32"/>
  <c r="P113" i="32"/>
  <c r="T112" i="32"/>
  <c r="P207" i="32" s="1"/>
  <c r="M112" i="32"/>
  <c r="P206" i="32" s="1"/>
  <c r="F112" i="32"/>
  <c r="P205" i="32" s="1"/>
  <c r="T111" i="32"/>
  <c r="P194" i="32" s="1"/>
  <c r="M111" i="32"/>
  <c r="P193" i="32" s="1"/>
  <c r="F111" i="32"/>
  <c r="P192" i="32" s="1"/>
  <c r="T110" i="32"/>
  <c r="P181" i="32" s="1"/>
  <c r="M110" i="32"/>
  <c r="P180" i="32" s="1"/>
  <c r="F110" i="32"/>
  <c r="P179" i="32" s="1"/>
  <c r="T109" i="32"/>
  <c r="P168" i="32" s="1"/>
  <c r="M109" i="32"/>
  <c r="P167" i="32" s="1"/>
  <c r="F109" i="32"/>
  <c r="P166" i="32" s="1"/>
  <c r="T108" i="32"/>
  <c r="P155" i="32" s="1"/>
  <c r="M108" i="32"/>
  <c r="P154" i="32" s="1"/>
  <c r="F108" i="32"/>
  <c r="P153" i="32" s="1"/>
  <c r="T107" i="32"/>
  <c r="P142" i="32" s="1"/>
  <c r="M107" i="32"/>
  <c r="P141" i="32" s="1"/>
  <c r="F107" i="32"/>
  <c r="P140" i="32" s="1"/>
  <c r="S106" i="32"/>
  <c r="R106" i="32"/>
  <c r="Q106" i="32"/>
  <c r="L106" i="32"/>
  <c r="K106" i="32"/>
  <c r="J106" i="32"/>
  <c r="E106" i="32"/>
  <c r="D106" i="32"/>
  <c r="C106" i="32"/>
  <c r="P105" i="32"/>
  <c r="I105" i="32"/>
  <c r="T104" i="32"/>
  <c r="G207" i="32" s="1"/>
  <c r="M104" i="32"/>
  <c r="G206" i="32" s="1"/>
  <c r="F104" i="32"/>
  <c r="G205" i="32" s="1"/>
  <c r="T103" i="32"/>
  <c r="G194" i="32" s="1"/>
  <c r="M103" i="32"/>
  <c r="G193" i="32" s="1"/>
  <c r="F103" i="32"/>
  <c r="G192" i="32" s="1"/>
  <c r="T102" i="32"/>
  <c r="G181" i="32" s="1"/>
  <c r="M102" i="32"/>
  <c r="G180" i="32" s="1"/>
  <c r="F102" i="32"/>
  <c r="G179" i="32" s="1"/>
  <c r="T101" i="32"/>
  <c r="G168" i="32" s="1"/>
  <c r="M101" i="32"/>
  <c r="G167" i="32" s="1"/>
  <c r="F101" i="32"/>
  <c r="G166" i="32" s="1"/>
  <c r="T100" i="32"/>
  <c r="G155" i="32" s="1"/>
  <c r="M100" i="32"/>
  <c r="G154" i="32" s="1"/>
  <c r="F100" i="32"/>
  <c r="G153" i="32" s="1"/>
  <c r="T99" i="32"/>
  <c r="G142" i="32" s="1"/>
  <c r="M99" i="32"/>
  <c r="G141" i="32" s="1"/>
  <c r="F99" i="32"/>
  <c r="G140" i="32" s="1"/>
  <c r="P97" i="32"/>
  <c r="I97" i="32"/>
  <c r="U93" i="32"/>
  <c r="Q259" i="32" s="1"/>
  <c r="T93" i="32"/>
  <c r="P259" i="32" s="1"/>
  <c r="N93" i="32"/>
  <c r="Q258" i="32" s="1"/>
  <c r="M93" i="32"/>
  <c r="P258" i="32" s="1"/>
  <c r="G93" i="32"/>
  <c r="Q257" i="32" s="1"/>
  <c r="F93" i="32"/>
  <c r="P257" i="32" s="1"/>
  <c r="U92" i="32"/>
  <c r="Q246" i="32" s="1"/>
  <c r="T92" i="32"/>
  <c r="P246" i="32" s="1"/>
  <c r="N92" i="32"/>
  <c r="Q245" i="32" s="1"/>
  <c r="M92" i="32"/>
  <c r="P245" i="32" s="1"/>
  <c r="G92" i="32"/>
  <c r="Q244" i="32" s="1"/>
  <c r="F92" i="32"/>
  <c r="P244" i="32" s="1"/>
  <c r="U91" i="32"/>
  <c r="Q233" i="32" s="1"/>
  <c r="T91" i="32"/>
  <c r="P233" i="32" s="1"/>
  <c r="N91" i="32"/>
  <c r="Q232" i="32" s="1"/>
  <c r="M91" i="32"/>
  <c r="P232" i="32" s="1"/>
  <c r="G91" i="32"/>
  <c r="Q231" i="32" s="1"/>
  <c r="F91" i="32"/>
  <c r="P231" i="32" s="1"/>
  <c r="U90" i="32"/>
  <c r="Q220" i="32" s="1"/>
  <c r="T90" i="32"/>
  <c r="P220" i="32" s="1"/>
  <c r="N90" i="32"/>
  <c r="Q219" i="32" s="1"/>
  <c r="M90" i="32"/>
  <c r="P219" i="32" s="1"/>
  <c r="G90" i="32"/>
  <c r="Q218" i="32" s="1"/>
  <c r="F90" i="32"/>
  <c r="P218" i="32" s="1"/>
  <c r="S89" i="32"/>
  <c r="R89" i="32"/>
  <c r="Q89" i="32"/>
  <c r="L89" i="32"/>
  <c r="K89" i="32"/>
  <c r="J89" i="32"/>
  <c r="E89" i="32"/>
  <c r="D89" i="32"/>
  <c r="C89" i="32"/>
  <c r="P88" i="32"/>
  <c r="U87" i="32"/>
  <c r="H259" i="32" s="1"/>
  <c r="T87" i="32"/>
  <c r="G259" i="32" s="1"/>
  <c r="N87" i="32"/>
  <c r="H258" i="32" s="1"/>
  <c r="M87" i="32"/>
  <c r="G258" i="32" s="1"/>
  <c r="G87" i="32"/>
  <c r="H257" i="32" s="1"/>
  <c r="F87" i="32"/>
  <c r="G257" i="32" s="1"/>
  <c r="U86" i="32"/>
  <c r="H246" i="32" s="1"/>
  <c r="T86" i="32"/>
  <c r="G246" i="32" s="1"/>
  <c r="N86" i="32"/>
  <c r="H245" i="32" s="1"/>
  <c r="M86" i="32"/>
  <c r="G245" i="32" s="1"/>
  <c r="G86" i="32"/>
  <c r="H244" i="32" s="1"/>
  <c r="F86" i="32"/>
  <c r="G244" i="32" s="1"/>
  <c r="U85" i="32"/>
  <c r="H233" i="32" s="1"/>
  <c r="T85" i="32"/>
  <c r="G233" i="32" s="1"/>
  <c r="N85" i="32"/>
  <c r="H232" i="32" s="1"/>
  <c r="M85" i="32"/>
  <c r="G232" i="32" s="1"/>
  <c r="G85" i="32"/>
  <c r="H231" i="32" s="1"/>
  <c r="F85" i="32"/>
  <c r="G231" i="32" s="1"/>
  <c r="U84" i="32"/>
  <c r="H220" i="32" s="1"/>
  <c r="T84" i="32"/>
  <c r="G220" i="32" s="1"/>
  <c r="N84" i="32"/>
  <c r="H219" i="32" s="1"/>
  <c r="M84" i="32"/>
  <c r="G219" i="32" s="1"/>
  <c r="G84" i="32"/>
  <c r="H218" i="32" s="1"/>
  <c r="F84" i="32"/>
  <c r="G218" i="32" s="1"/>
  <c r="S83" i="32"/>
  <c r="R83" i="32"/>
  <c r="Q83" i="32"/>
  <c r="L83" i="32"/>
  <c r="K83" i="32"/>
  <c r="J83" i="32"/>
  <c r="E83" i="32"/>
  <c r="D83" i="32"/>
  <c r="C83" i="32"/>
  <c r="P82" i="32"/>
  <c r="U81" i="32"/>
  <c r="Q204" i="32" s="1"/>
  <c r="T81" i="32"/>
  <c r="P204" i="32" s="1"/>
  <c r="N81" i="32"/>
  <c r="Q203" i="32" s="1"/>
  <c r="M81" i="32"/>
  <c r="P203" i="32" s="1"/>
  <c r="G81" i="32"/>
  <c r="Q202" i="32" s="1"/>
  <c r="F81" i="32"/>
  <c r="P202" i="32" s="1"/>
  <c r="U80" i="32"/>
  <c r="Q191" i="32" s="1"/>
  <c r="T80" i="32"/>
  <c r="P191" i="32" s="1"/>
  <c r="N80" i="32"/>
  <c r="Q190" i="32" s="1"/>
  <c r="M80" i="32"/>
  <c r="P190" i="32" s="1"/>
  <c r="G80" i="32"/>
  <c r="Q189" i="32" s="1"/>
  <c r="F80" i="32"/>
  <c r="P189" i="32" s="1"/>
  <c r="U79" i="32"/>
  <c r="Q178" i="32" s="1"/>
  <c r="T79" i="32"/>
  <c r="P178" i="32" s="1"/>
  <c r="N79" i="32"/>
  <c r="Q177" i="32" s="1"/>
  <c r="M79" i="32"/>
  <c r="P177" i="32" s="1"/>
  <c r="G79" i="32"/>
  <c r="Q176" i="32" s="1"/>
  <c r="F79" i="32"/>
  <c r="P176" i="32" s="1"/>
  <c r="U78" i="32"/>
  <c r="Q165" i="32" s="1"/>
  <c r="T78" i="32"/>
  <c r="P165" i="32" s="1"/>
  <c r="N78" i="32"/>
  <c r="Q164" i="32" s="1"/>
  <c r="M78" i="32"/>
  <c r="P164" i="32" s="1"/>
  <c r="G78" i="32"/>
  <c r="Q163" i="32" s="1"/>
  <c r="F78" i="32"/>
  <c r="P163" i="32" s="1"/>
  <c r="U77" i="32"/>
  <c r="Q152" i="32" s="1"/>
  <c r="T77" i="32"/>
  <c r="P152" i="32" s="1"/>
  <c r="N77" i="32"/>
  <c r="Q151" i="32" s="1"/>
  <c r="M77" i="32"/>
  <c r="P151" i="32" s="1"/>
  <c r="G77" i="32"/>
  <c r="Q150" i="32" s="1"/>
  <c r="F77" i="32"/>
  <c r="P150" i="32" s="1"/>
  <c r="U76" i="32"/>
  <c r="Q139" i="32" s="1"/>
  <c r="T76" i="32"/>
  <c r="P139" i="32" s="1"/>
  <c r="N76" i="32"/>
  <c r="Q138" i="32" s="1"/>
  <c r="M76" i="32"/>
  <c r="P138" i="32" s="1"/>
  <c r="G76" i="32"/>
  <c r="Q137" i="32" s="1"/>
  <c r="F76" i="32"/>
  <c r="P137" i="32" s="1"/>
  <c r="S75" i="32"/>
  <c r="R75" i="32"/>
  <c r="Q75" i="32"/>
  <c r="L75" i="32"/>
  <c r="K75" i="32"/>
  <c r="J75" i="32"/>
  <c r="E75" i="32"/>
  <c r="D75" i="32"/>
  <c r="C75" i="32"/>
  <c r="P74" i="32"/>
  <c r="I74" i="32"/>
  <c r="U73" i="32"/>
  <c r="H204" i="32" s="1"/>
  <c r="T73" i="32"/>
  <c r="G204" i="32" s="1"/>
  <c r="N73" i="32"/>
  <c r="H203" i="32" s="1"/>
  <c r="M73" i="32"/>
  <c r="G203" i="32" s="1"/>
  <c r="G73" i="32"/>
  <c r="H202" i="32" s="1"/>
  <c r="F73" i="32"/>
  <c r="G202" i="32" s="1"/>
  <c r="U72" i="32"/>
  <c r="H191" i="32" s="1"/>
  <c r="T72" i="32"/>
  <c r="G191" i="32" s="1"/>
  <c r="N72" i="32"/>
  <c r="H190" i="32" s="1"/>
  <c r="M72" i="32"/>
  <c r="G190" i="32" s="1"/>
  <c r="G72" i="32"/>
  <c r="H189" i="32" s="1"/>
  <c r="F72" i="32"/>
  <c r="G189" i="32" s="1"/>
  <c r="U71" i="32"/>
  <c r="H178" i="32" s="1"/>
  <c r="T71" i="32"/>
  <c r="G178" i="32" s="1"/>
  <c r="N71" i="32"/>
  <c r="H177" i="32" s="1"/>
  <c r="M71" i="32"/>
  <c r="G177" i="32" s="1"/>
  <c r="G71" i="32"/>
  <c r="H176" i="32" s="1"/>
  <c r="F71" i="32"/>
  <c r="G176" i="32" s="1"/>
  <c r="U70" i="32"/>
  <c r="H165" i="32" s="1"/>
  <c r="T70" i="32"/>
  <c r="G165" i="32" s="1"/>
  <c r="N70" i="32"/>
  <c r="H164" i="32" s="1"/>
  <c r="M70" i="32"/>
  <c r="G164" i="32" s="1"/>
  <c r="G70" i="32"/>
  <c r="H163" i="32" s="1"/>
  <c r="F70" i="32"/>
  <c r="G163" i="32" s="1"/>
  <c r="U69" i="32"/>
  <c r="H152" i="32" s="1"/>
  <c r="T69" i="32"/>
  <c r="G152" i="32" s="1"/>
  <c r="N69" i="32"/>
  <c r="H151" i="32" s="1"/>
  <c r="M69" i="32"/>
  <c r="G151" i="32" s="1"/>
  <c r="G69" i="32"/>
  <c r="H150" i="32" s="1"/>
  <c r="F69" i="32"/>
  <c r="G150" i="32" s="1"/>
  <c r="U68" i="32"/>
  <c r="H139" i="32" s="1"/>
  <c r="T68" i="32"/>
  <c r="G139" i="32" s="1"/>
  <c r="N68" i="32"/>
  <c r="H138" i="32" s="1"/>
  <c r="M68" i="32"/>
  <c r="G138" i="32" s="1"/>
  <c r="G68" i="32"/>
  <c r="H137" i="32" s="1"/>
  <c r="F68" i="32"/>
  <c r="G137" i="32" s="1"/>
  <c r="P66" i="32"/>
  <c r="I66" i="32"/>
  <c r="U62" i="32"/>
  <c r="Q256" i="32" s="1"/>
  <c r="T62" i="32"/>
  <c r="P256" i="32" s="1"/>
  <c r="N62" i="32"/>
  <c r="Q255" i="32" s="1"/>
  <c r="M62" i="32"/>
  <c r="P255" i="32" s="1"/>
  <c r="G62" i="32"/>
  <c r="Q254" i="32" s="1"/>
  <c r="F62" i="32"/>
  <c r="P254" i="32" s="1"/>
  <c r="U61" i="32"/>
  <c r="Q243" i="32" s="1"/>
  <c r="T61" i="32"/>
  <c r="P243" i="32" s="1"/>
  <c r="N61" i="32"/>
  <c r="Q242" i="32" s="1"/>
  <c r="M61" i="32"/>
  <c r="P242" i="32" s="1"/>
  <c r="G61" i="32"/>
  <c r="Q241" i="32" s="1"/>
  <c r="F61" i="32"/>
  <c r="P241" i="32" s="1"/>
  <c r="U60" i="32"/>
  <c r="Q230" i="32" s="1"/>
  <c r="T60" i="32"/>
  <c r="P230" i="32" s="1"/>
  <c r="N60" i="32"/>
  <c r="Q229" i="32" s="1"/>
  <c r="M60" i="32"/>
  <c r="P229" i="32" s="1"/>
  <c r="G60" i="32"/>
  <c r="Q228" i="32" s="1"/>
  <c r="F60" i="32"/>
  <c r="P228" i="32" s="1"/>
  <c r="U59" i="32"/>
  <c r="Q217" i="32" s="1"/>
  <c r="T59" i="32"/>
  <c r="P217" i="32" s="1"/>
  <c r="N59" i="32"/>
  <c r="Q216" i="32" s="1"/>
  <c r="M59" i="32"/>
  <c r="P216" i="32" s="1"/>
  <c r="G59" i="32"/>
  <c r="Q215" i="32" s="1"/>
  <c r="F59" i="32"/>
  <c r="P215" i="32" s="1"/>
  <c r="S58" i="32"/>
  <c r="R58" i="32"/>
  <c r="Q58" i="32"/>
  <c r="L58" i="32"/>
  <c r="K58" i="32"/>
  <c r="J58" i="32"/>
  <c r="E58" i="32"/>
  <c r="D58" i="32"/>
  <c r="C58" i="32"/>
  <c r="I57" i="32"/>
  <c r="P57" i="32" s="1"/>
  <c r="B57" i="32"/>
  <c r="U56" i="32"/>
  <c r="H256" i="32" s="1"/>
  <c r="T56" i="32"/>
  <c r="G256" i="32" s="1"/>
  <c r="N56" i="32"/>
  <c r="H255" i="32" s="1"/>
  <c r="M56" i="32"/>
  <c r="G255" i="32" s="1"/>
  <c r="G56" i="32"/>
  <c r="H254" i="32" s="1"/>
  <c r="F56" i="32"/>
  <c r="G254" i="32" s="1"/>
  <c r="U55" i="32"/>
  <c r="H243" i="32" s="1"/>
  <c r="T55" i="32"/>
  <c r="G243" i="32" s="1"/>
  <c r="N55" i="32"/>
  <c r="H242" i="32" s="1"/>
  <c r="M55" i="32"/>
  <c r="G242" i="32" s="1"/>
  <c r="G55" i="32"/>
  <c r="H241" i="32" s="1"/>
  <c r="F55" i="32"/>
  <c r="G241" i="32" s="1"/>
  <c r="U54" i="32"/>
  <c r="H230" i="32" s="1"/>
  <c r="T54" i="32"/>
  <c r="G230" i="32" s="1"/>
  <c r="N54" i="32"/>
  <c r="H229" i="32" s="1"/>
  <c r="M54" i="32"/>
  <c r="G229" i="32" s="1"/>
  <c r="G54" i="32"/>
  <c r="H228" i="32" s="1"/>
  <c r="F54" i="32"/>
  <c r="G228" i="32" s="1"/>
  <c r="U53" i="32"/>
  <c r="H217" i="32" s="1"/>
  <c r="T53" i="32"/>
  <c r="G217" i="32" s="1"/>
  <c r="N53" i="32"/>
  <c r="H216" i="32" s="1"/>
  <c r="M53" i="32"/>
  <c r="G216" i="32" s="1"/>
  <c r="G53" i="32"/>
  <c r="H215" i="32" s="1"/>
  <c r="F53" i="32"/>
  <c r="G215" i="32" s="1"/>
  <c r="S52" i="32"/>
  <c r="R52" i="32"/>
  <c r="Q52" i="32"/>
  <c r="L52" i="32"/>
  <c r="K52" i="32"/>
  <c r="J52" i="32"/>
  <c r="E52" i="32"/>
  <c r="D52" i="32"/>
  <c r="C52" i="32"/>
  <c r="B51" i="32"/>
  <c r="I51" i="32" s="1"/>
  <c r="P51" i="32" s="1"/>
  <c r="U50" i="32"/>
  <c r="Q201" i="32" s="1"/>
  <c r="T50" i="32"/>
  <c r="P201" i="32" s="1"/>
  <c r="N50" i="32"/>
  <c r="Q200" i="32" s="1"/>
  <c r="M50" i="32"/>
  <c r="P200" i="32" s="1"/>
  <c r="G50" i="32"/>
  <c r="Q199" i="32" s="1"/>
  <c r="F50" i="32"/>
  <c r="P199" i="32" s="1"/>
  <c r="U49" i="32"/>
  <c r="Q188" i="32" s="1"/>
  <c r="T49" i="32"/>
  <c r="P188" i="32" s="1"/>
  <c r="N49" i="32"/>
  <c r="Q187" i="32" s="1"/>
  <c r="M49" i="32"/>
  <c r="P187" i="32" s="1"/>
  <c r="G49" i="32"/>
  <c r="Q186" i="32" s="1"/>
  <c r="F49" i="32"/>
  <c r="P186" i="32" s="1"/>
  <c r="U48" i="32"/>
  <c r="Q175" i="32" s="1"/>
  <c r="T48" i="32"/>
  <c r="P175" i="32" s="1"/>
  <c r="N48" i="32"/>
  <c r="Q174" i="32" s="1"/>
  <c r="M48" i="32"/>
  <c r="P174" i="32" s="1"/>
  <c r="G48" i="32"/>
  <c r="Q173" i="32" s="1"/>
  <c r="F48" i="32"/>
  <c r="P173" i="32" s="1"/>
  <c r="U47" i="32"/>
  <c r="Q162" i="32" s="1"/>
  <c r="T47" i="32"/>
  <c r="P162" i="32" s="1"/>
  <c r="N47" i="32"/>
  <c r="Q161" i="32" s="1"/>
  <c r="M47" i="32"/>
  <c r="P161" i="32" s="1"/>
  <c r="G47" i="32"/>
  <c r="Q160" i="32" s="1"/>
  <c r="F47" i="32"/>
  <c r="P160" i="32" s="1"/>
  <c r="U46" i="32"/>
  <c r="Q149" i="32" s="1"/>
  <c r="T46" i="32"/>
  <c r="P149" i="32" s="1"/>
  <c r="N46" i="32"/>
  <c r="Q148" i="32" s="1"/>
  <c r="M46" i="32"/>
  <c r="P148" i="32" s="1"/>
  <c r="G46" i="32"/>
  <c r="Q147" i="32" s="1"/>
  <c r="F46" i="32"/>
  <c r="P147" i="32" s="1"/>
  <c r="U45" i="32"/>
  <c r="Q136" i="32" s="1"/>
  <c r="T45" i="32"/>
  <c r="P136" i="32" s="1"/>
  <c r="N45" i="32"/>
  <c r="Q135" i="32" s="1"/>
  <c r="M45" i="32"/>
  <c r="P135" i="32" s="1"/>
  <c r="G45" i="32"/>
  <c r="Q134" i="32" s="1"/>
  <c r="F45" i="32"/>
  <c r="P134" i="32" s="1"/>
  <c r="S44" i="32"/>
  <c r="R44" i="32"/>
  <c r="Q44" i="32"/>
  <c r="L44" i="32"/>
  <c r="K44" i="32"/>
  <c r="J44" i="32"/>
  <c r="E44" i="32"/>
  <c r="D44" i="32"/>
  <c r="C44" i="32"/>
  <c r="B43" i="32"/>
  <c r="I43" i="32" s="1"/>
  <c r="P43" i="32" s="1"/>
  <c r="U42" i="32"/>
  <c r="H201" i="32" s="1"/>
  <c r="T42" i="32"/>
  <c r="G201" i="32" s="1"/>
  <c r="N42" i="32"/>
  <c r="H200" i="32" s="1"/>
  <c r="M42" i="32"/>
  <c r="G200" i="32" s="1"/>
  <c r="G42" i="32"/>
  <c r="H199" i="32" s="1"/>
  <c r="F42" i="32"/>
  <c r="G199" i="32" s="1"/>
  <c r="U41" i="32"/>
  <c r="H188" i="32" s="1"/>
  <c r="T41" i="32"/>
  <c r="G188" i="32" s="1"/>
  <c r="N41" i="32"/>
  <c r="H187" i="32" s="1"/>
  <c r="M41" i="32"/>
  <c r="G187" i="32" s="1"/>
  <c r="G41" i="32"/>
  <c r="H186" i="32" s="1"/>
  <c r="F41" i="32"/>
  <c r="G186" i="32" s="1"/>
  <c r="U40" i="32"/>
  <c r="H175" i="32" s="1"/>
  <c r="T40" i="32"/>
  <c r="G175" i="32" s="1"/>
  <c r="N40" i="32"/>
  <c r="H174" i="32" s="1"/>
  <c r="M40" i="32"/>
  <c r="G174" i="32" s="1"/>
  <c r="G40" i="32"/>
  <c r="H173" i="32" s="1"/>
  <c r="F40" i="32"/>
  <c r="G173" i="32" s="1"/>
  <c r="U39" i="32"/>
  <c r="H162" i="32" s="1"/>
  <c r="T39" i="32"/>
  <c r="G162" i="32" s="1"/>
  <c r="N39" i="32"/>
  <c r="H161" i="32" s="1"/>
  <c r="M39" i="32"/>
  <c r="G161" i="32" s="1"/>
  <c r="G39" i="32"/>
  <c r="H160" i="32" s="1"/>
  <c r="F39" i="32"/>
  <c r="G160" i="32" s="1"/>
  <c r="U38" i="32"/>
  <c r="H149" i="32" s="1"/>
  <c r="T38" i="32"/>
  <c r="G149" i="32" s="1"/>
  <c r="N38" i="32"/>
  <c r="H148" i="32" s="1"/>
  <c r="M38" i="32"/>
  <c r="G148" i="32" s="1"/>
  <c r="G38" i="32"/>
  <c r="H147" i="32" s="1"/>
  <c r="F38" i="32"/>
  <c r="G147" i="32" s="1"/>
  <c r="U37" i="32"/>
  <c r="H136" i="32" s="1"/>
  <c r="T37" i="32"/>
  <c r="G136" i="32" s="1"/>
  <c r="N37" i="32"/>
  <c r="H135" i="32" s="1"/>
  <c r="M37" i="32"/>
  <c r="G135" i="32" s="1"/>
  <c r="G37" i="32"/>
  <c r="H134" i="32" s="1"/>
  <c r="F37" i="32"/>
  <c r="G134" i="32" s="1"/>
  <c r="I35" i="32"/>
  <c r="P35" i="32" s="1"/>
  <c r="B35" i="32"/>
  <c r="U31" i="32"/>
  <c r="Q253" i="32" s="1"/>
  <c r="T31" i="32"/>
  <c r="P253" i="32" s="1"/>
  <c r="N31" i="32"/>
  <c r="Q252" i="32" s="1"/>
  <c r="M31" i="32"/>
  <c r="P252" i="32" s="1"/>
  <c r="G31" i="32"/>
  <c r="Q251" i="32" s="1"/>
  <c r="F31" i="32"/>
  <c r="P251" i="32" s="1"/>
  <c r="U30" i="32"/>
  <c r="Q240" i="32" s="1"/>
  <c r="T30" i="32"/>
  <c r="P240" i="32" s="1"/>
  <c r="N30" i="32"/>
  <c r="Q239" i="32" s="1"/>
  <c r="M30" i="32"/>
  <c r="P239" i="32" s="1"/>
  <c r="G30" i="32"/>
  <c r="Q238" i="32" s="1"/>
  <c r="F30" i="32"/>
  <c r="P238" i="32" s="1"/>
  <c r="U29" i="32"/>
  <c r="Q227" i="32" s="1"/>
  <c r="T29" i="32"/>
  <c r="P227" i="32" s="1"/>
  <c r="N29" i="32"/>
  <c r="Q226" i="32" s="1"/>
  <c r="M29" i="32"/>
  <c r="P226" i="32" s="1"/>
  <c r="G29" i="32"/>
  <c r="Q225" i="32" s="1"/>
  <c r="F29" i="32"/>
  <c r="P225" i="32" s="1"/>
  <c r="U28" i="32"/>
  <c r="Q214" i="32" s="1"/>
  <c r="T28" i="32"/>
  <c r="P214" i="32" s="1"/>
  <c r="N28" i="32"/>
  <c r="Q213" i="32" s="1"/>
  <c r="M28" i="32"/>
  <c r="P213" i="32" s="1"/>
  <c r="G28" i="32"/>
  <c r="Q212" i="32" s="1"/>
  <c r="F28" i="32"/>
  <c r="P212" i="32" s="1"/>
  <c r="S27" i="32"/>
  <c r="R27" i="32"/>
  <c r="Q27" i="32"/>
  <c r="L27" i="32"/>
  <c r="K27" i="32"/>
  <c r="J27" i="32"/>
  <c r="E27" i="32"/>
  <c r="D27" i="32"/>
  <c r="C27" i="32"/>
  <c r="P26" i="32"/>
  <c r="I26" i="32"/>
  <c r="U25" i="32"/>
  <c r="H253" i="32" s="1"/>
  <c r="T25" i="32"/>
  <c r="G253" i="32" s="1"/>
  <c r="N25" i="32"/>
  <c r="H252" i="32" s="1"/>
  <c r="M25" i="32"/>
  <c r="G252" i="32" s="1"/>
  <c r="G25" i="32"/>
  <c r="H251" i="32" s="1"/>
  <c r="F25" i="32"/>
  <c r="G251" i="32" s="1"/>
  <c r="U24" i="32"/>
  <c r="H240" i="32" s="1"/>
  <c r="T24" i="32"/>
  <c r="G240" i="32" s="1"/>
  <c r="N24" i="32"/>
  <c r="H239" i="32" s="1"/>
  <c r="M24" i="32"/>
  <c r="G239" i="32" s="1"/>
  <c r="G24" i="32"/>
  <c r="H238" i="32" s="1"/>
  <c r="F24" i="32"/>
  <c r="G238" i="32" s="1"/>
  <c r="U23" i="32"/>
  <c r="H227" i="32" s="1"/>
  <c r="T23" i="32"/>
  <c r="G227" i="32" s="1"/>
  <c r="N23" i="32"/>
  <c r="H226" i="32" s="1"/>
  <c r="M23" i="32"/>
  <c r="G226" i="32" s="1"/>
  <c r="G23" i="32"/>
  <c r="H225" i="32" s="1"/>
  <c r="F23" i="32"/>
  <c r="G225" i="32" s="1"/>
  <c r="U22" i="32"/>
  <c r="H214" i="32" s="1"/>
  <c r="T22" i="32"/>
  <c r="G214" i="32" s="1"/>
  <c r="N22" i="32"/>
  <c r="H213" i="32" s="1"/>
  <c r="M22" i="32"/>
  <c r="G213" i="32" s="1"/>
  <c r="G22" i="32"/>
  <c r="H212" i="32" s="1"/>
  <c r="F22" i="32"/>
  <c r="G212" i="32" s="1"/>
  <c r="S21" i="32"/>
  <c r="R21" i="32"/>
  <c r="Q21" i="32"/>
  <c r="L21" i="32"/>
  <c r="K21" i="32"/>
  <c r="J21" i="32"/>
  <c r="E21" i="32"/>
  <c r="D21" i="32"/>
  <c r="C21" i="32"/>
  <c r="P20" i="32"/>
  <c r="I20" i="32"/>
  <c r="U19" i="32"/>
  <c r="Q198" i="32" s="1"/>
  <c r="T19" i="32"/>
  <c r="P198" i="32" s="1"/>
  <c r="N19" i="32"/>
  <c r="Q197" i="32" s="1"/>
  <c r="M19" i="32"/>
  <c r="P197" i="32" s="1"/>
  <c r="G19" i="32"/>
  <c r="Q196" i="32" s="1"/>
  <c r="F19" i="32"/>
  <c r="P196" i="32" s="1"/>
  <c r="U18" i="32"/>
  <c r="Q185" i="32" s="1"/>
  <c r="T18" i="32"/>
  <c r="P185" i="32" s="1"/>
  <c r="N18" i="32"/>
  <c r="Q184" i="32" s="1"/>
  <c r="M18" i="32"/>
  <c r="P184" i="32" s="1"/>
  <c r="G18" i="32"/>
  <c r="Q183" i="32" s="1"/>
  <c r="F18" i="32"/>
  <c r="P183" i="32" s="1"/>
  <c r="U17" i="32"/>
  <c r="Q172" i="32" s="1"/>
  <c r="T17" i="32"/>
  <c r="P172" i="32" s="1"/>
  <c r="N17" i="32"/>
  <c r="Q171" i="32" s="1"/>
  <c r="M17" i="32"/>
  <c r="P171" i="32" s="1"/>
  <c r="G17" i="32"/>
  <c r="Q170" i="32" s="1"/>
  <c r="F17" i="32"/>
  <c r="P170" i="32" s="1"/>
  <c r="U16" i="32"/>
  <c r="Q159" i="32" s="1"/>
  <c r="T16" i="32"/>
  <c r="P159" i="32" s="1"/>
  <c r="N16" i="32"/>
  <c r="Q158" i="32" s="1"/>
  <c r="M16" i="32"/>
  <c r="P158" i="32" s="1"/>
  <c r="G16" i="32"/>
  <c r="Q157" i="32" s="1"/>
  <c r="F16" i="32"/>
  <c r="P157" i="32" s="1"/>
  <c r="U15" i="32"/>
  <c r="Q146" i="32" s="1"/>
  <c r="T15" i="32"/>
  <c r="P146" i="32" s="1"/>
  <c r="N15" i="32"/>
  <c r="Q145" i="32" s="1"/>
  <c r="M15" i="32"/>
  <c r="P145" i="32" s="1"/>
  <c r="G15" i="32"/>
  <c r="Q144" i="32" s="1"/>
  <c r="F15" i="32"/>
  <c r="P144" i="32" s="1"/>
  <c r="U14" i="32"/>
  <c r="Q133" i="32" s="1"/>
  <c r="T14" i="32"/>
  <c r="P133" i="32" s="1"/>
  <c r="N14" i="32"/>
  <c r="Q132" i="32" s="1"/>
  <c r="M14" i="32"/>
  <c r="P132" i="32" s="1"/>
  <c r="G14" i="32"/>
  <c r="Q131" i="32" s="1"/>
  <c r="F14" i="32"/>
  <c r="P131" i="32" s="1"/>
  <c r="S13" i="32"/>
  <c r="R13" i="32"/>
  <c r="Q13" i="32"/>
  <c r="L13" i="32"/>
  <c r="K13" i="32"/>
  <c r="J13" i="32"/>
  <c r="E13" i="32"/>
  <c r="D13" i="32"/>
  <c r="C13" i="32"/>
  <c r="P12" i="32"/>
  <c r="I12" i="32"/>
  <c r="U11" i="32"/>
  <c r="H198" i="32" s="1"/>
  <c r="T11" i="32"/>
  <c r="G198" i="32" s="1"/>
  <c r="N11" i="32"/>
  <c r="H197" i="32" s="1"/>
  <c r="M11" i="32"/>
  <c r="G197" i="32" s="1"/>
  <c r="G11" i="32"/>
  <c r="H196" i="32" s="1"/>
  <c r="F11" i="32"/>
  <c r="G196" i="32" s="1"/>
  <c r="U10" i="32"/>
  <c r="H185" i="32" s="1"/>
  <c r="T10" i="32"/>
  <c r="G185" i="32" s="1"/>
  <c r="N10" i="32"/>
  <c r="H184" i="32" s="1"/>
  <c r="M10" i="32"/>
  <c r="G184" i="32" s="1"/>
  <c r="G10" i="32"/>
  <c r="H183" i="32" s="1"/>
  <c r="F10" i="32"/>
  <c r="G183" i="32" s="1"/>
  <c r="U9" i="32"/>
  <c r="H172" i="32" s="1"/>
  <c r="T9" i="32"/>
  <c r="G172" i="32" s="1"/>
  <c r="N9" i="32"/>
  <c r="H171" i="32" s="1"/>
  <c r="M9" i="32"/>
  <c r="G171" i="32" s="1"/>
  <c r="G9" i="32"/>
  <c r="H170" i="32" s="1"/>
  <c r="F9" i="32"/>
  <c r="G170" i="32" s="1"/>
  <c r="U8" i="32"/>
  <c r="H159" i="32" s="1"/>
  <c r="T8" i="32"/>
  <c r="G159" i="32" s="1"/>
  <c r="N8" i="32"/>
  <c r="H158" i="32" s="1"/>
  <c r="M8" i="32"/>
  <c r="G158" i="32" s="1"/>
  <c r="G8" i="32"/>
  <c r="H157" i="32" s="1"/>
  <c r="F8" i="32"/>
  <c r="G157" i="32" s="1"/>
  <c r="U7" i="32"/>
  <c r="H146" i="32" s="1"/>
  <c r="T7" i="32"/>
  <c r="G146" i="32" s="1"/>
  <c r="N7" i="32"/>
  <c r="H145" i="32" s="1"/>
  <c r="M7" i="32"/>
  <c r="G145" i="32" s="1"/>
  <c r="G7" i="32"/>
  <c r="H144" i="32" s="1"/>
  <c r="F7" i="32"/>
  <c r="G144" i="32" s="1"/>
  <c r="U6" i="32"/>
  <c r="H133" i="32" s="1"/>
  <c r="T6" i="32"/>
  <c r="G133" i="32" s="1"/>
  <c r="N6" i="32"/>
  <c r="H132" i="32" s="1"/>
  <c r="M6" i="32"/>
  <c r="G132" i="32" s="1"/>
  <c r="G6" i="32"/>
  <c r="H131" i="32" s="1"/>
  <c r="F6" i="32"/>
  <c r="G131" i="32" s="1"/>
  <c r="P4" i="32"/>
  <c r="I4" i="32"/>
  <c r="K266" i="32" l="1"/>
  <c r="B265" i="32"/>
  <c r="D268" i="32" s="1"/>
  <c r="D276" i="32" s="1"/>
  <c r="D284" i="32" s="1"/>
  <c r="D290" i="32" s="1"/>
  <c r="N298" i="32"/>
  <c r="N311" i="32" s="1"/>
  <c r="B268" i="32" l="1"/>
  <c r="B276" i="32" s="1"/>
  <c r="B284" i="32" s="1"/>
  <c r="B290" i="32" s="1"/>
  <c r="C268" i="32"/>
  <c r="C276" i="32" s="1"/>
  <c r="C284" i="32" s="1"/>
  <c r="C290" i="32" s="1"/>
  <c r="F294" i="32"/>
  <c r="D293" i="32"/>
  <c r="B292" i="32"/>
  <c r="B288" i="32"/>
  <c r="B287" i="32"/>
  <c r="B286" i="32"/>
  <c r="B285" i="32"/>
  <c r="F280" i="32"/>
  <c r="F279" i="32"/>
  <c r="F278" i="32"/>
  <c r="F277" i="32"/>
  <c r="A274" i="32"/>
  <c r="B272" i="32"/>
  <c r="C271" i="32"/>
  <c r="D270" i="32"/>
  <c r="E294" i="32"/>
  <c r="C293" i="32"/>
  <c r="A292" i="32"/>
  <c r="A288" i="32"/>
  <c r="A287" i="32"/>
  <c r="A286" i="32"/>
  <c r="A285" i="32"/>
  <c r="E280" i="32"/>
  <c r="E279" i="32"/>
  <c r="E278" i="32"/>
  <c r="E277" i="32"/>
  <c r="F273" i="32"/>
  <c r="A272" i="32"/>
  <c r="B271" i="32"/>
  <c r="C270" i="32"/>
  <c r="E269" i="32"/>
  <c r="D294" i="32"/>
  <c r="B293" i="32"/>
  <c r="F291" i="32"/>
  <c r="F282" i="32"/>
  <c r="F281" i="32"/>
  <c r="D280" i="32"/>
  <c r="D279" i="32"/>
  <c r="D278" i="32"/>
  <c r="D277" i="32"/>
  <c r="E273" i="32"/>
  <c r="A271" i="32"/>
  <c r="B270" i="32"/>
  <c r="D269" i="32"/>
  <c r="C294" i="32"/>
  <c r="A293" i="32"/>
  <c r="E291" i="32"/>
  <c r="E282" i="32"/>
  <c r="E281" i="32"/>
  <c r="C280" i="32"/>
  <c r="C279" i="32"/>
  <c r="C278" i="32"/>
  <c r="C277" i="32"/>
  <c r="F274" i="32"/>
  <c r="D273" i="32"/>
  <c r="A270" i="32"/>
  <c r="C269" i="32"/>
  <c r="B294" i="32"/>
  <c r="F292" i="32"/>
  <c r="D291" i="32"/>
  <c r="F288" i="32"/>
  <c r="F287" i="32"/>
  <c r="F286" i="32"/>
  <c r="F285" i="32"/>
  <c r="D282" i="32"/>
  <c r="D281" i="32"/>
  <c r="B280" i="32"/>
  <c r="B279" i="32"/>
  <c r="B278" i="32"/>
  <c r="B277" i="32"/>
  <c r="E274" i="32"/>
  <c r="C273" i="32"/>
  <c r="F272" i="32"/>
  <c r="B269" i="32"/>
  <c r="E292" i="32"/>
  <c r="C291" i="32"/>
  <c r="E288" i="32"/>
  <c r="E287" i="32"/>
  <c r="E286" i="32"/>
  <c r="E285" i="32"/>
  <c r="C282" i="32"/>
  <c r="C281" i="32"/>
  <c r="A280" i="32"/>
  <c r="A279" i="32"/>
  <c r="A278" i="32"/>
  <c r="A277" i="32"/>
  <c r="D274" i="32"/>
  <c r="B273" i="32"/>
  <c r="E272" i="32"/>
  <c r="F271" i="32"/>
  <c r="A269" i="32"/>
  <c r="F293" i="32"/>
  <c r="D292" i="32"/>
  <c r="B291" i="32"/>
  <c r="D288" i="32"/>
  <c r="D287" i="32"/>
  <c r="D286" i="32"/>
  <c r="D285" i="32"/>
  <c r="B282" i="32"/>
  <c r="B281" i="32"/>
  <c r="C274" i="32"/>
  <c r="A273" i="32"/>
  <c r="D272" i="32"/>
  <c r="E271" i="32"/>
  <c r="F270" i="32"/>
  <c r="E293" i="32"/>
  <c r="C292" i="32"/>
  <c r="A291" i="32"/>
  <c r="C288" i="32"/>
  <c r="C287" i="32"/>
  <c r="C286" i="32"/>
  <c r="C285" i="32"/>
  <c r="A282" i="32"/>
  <c r="A281" i="32"/>
  <c r="B274" i="32"/>
  <c r="C272" i="32"/>
  <c r="D271" i="32"/>
  <c r="E270" i="32"/>
  <c r="J266" i="32" l="1"/>
  <c r="N270" i="32" s="1"/>
  <c r="I266" i="32"/>
  <c r="N269" i="32" s="1"/>
  <c r="O269" i="32" s="1"/>
  <c r="K281" i="32"/>
  <c r="I281" i="32"/>
  <c r="K283" i="32"/>
  <c r="I283" i="32"/>
  <c r="H269" i="32"/>
  <c r="N272" i="32" s="1"/>
  <c r="O272" i="32" s="1"/>
  <c r="K277" i="32"/>
  <c r="I279" i="32"/>
  <c r="I277" i="32"/>
  <c r="K279" i="32"/>
  <c r="H266" i="32"/>
  <c r="I26" i="4" l="1"/>
  <c r="J282" i="32"/>
  <c r="N271" i="32" s="1"/>
  <c r="I27" i="4" s="1"/>
  <c r="J278" i="32"/>
  <c r="N268" i="32" s="1"/>
  <c r="O268" i="32" l="1"/>
  <c r="I269" i="32"/>
  <c r="I272" i="32" s="1"/>
  <c r="H286" i="32" l="1"/>
  <c r="H272" i="32"/>
  <c r="H274" i="32" s="1"/>
  <c r="K287" i="32" l="1"/>
  <c r="K285" i="32"/>
  <c r="I287" i="32"/>
  <c r="I285" i="32"/>
  <c r="J286" i="32" l="1"/>
  <c r="H16" i="5" l="1"/>
  <c r="H15" i="5"/>
  <c r="F16" i="5"/>
  <c r="F15" i="5"/>
  <c r="A3" i="31"/>
  <c r="B45" i="31"/>
  <c r="B46" i="31" s="1"/>
  <c r="B43" i="31"/>
  <c r="D23" i="31"/>
  <c r="D21" i="31"/>
  <c r="E12" i="31"/>
  <c r="D12" i="31"/>
  <c r="D10" i="31"/>
  <c r="D9" i="31"/>
  <c r="D8" i="31"/>
  <c r="J145" i="23"/>
  <c r="E12" i="4"/>
  <c r="E11" i="4"/>
  <c r="E10" i="4"/>
  <c r="E9" i="4"/>
  <c r="E8" i="4"/>
  <c r="E7" i="4"/>
  <c r="E6" i="4"/>
  <c r="E5" i="4"/>
  <c r="E4" i="4"/>
  <c r="E9" i="5" l="1"/>
  <c r="D19" i="31" s="1"/>
  <c r="E8" i="5"/>
  <c r="D18" i="31" s="1"/>
  <c r="F6" i="31"/>
  <c r="D20" i="31"/>
  <c r="B50" i="31"/>
  <c r="E26" i="31"/>
  <c r="D8" i="5" l="1"/>
  <c r="A8" i="4"/>
  <c r="A8" i="5" s="1"/>
  <c r="B19" i="5" l="1"/>
  <c r="AE26" i="4" l="1"/>
  <c r="A356" i="27" l="1"/>
  <c r="A375" i="27" s="1"/>
  <c r="A337" i="27" s="1"/>
  <c r="L342" i="27"/>
  <c r="L341" i="27"/>
  <c r="A350" i="27" s="1"/>
  <c r="J374" i="27"/>
  <c r="I374" i="27"/>
  <c r="J373" i="27"/>
  <c r="I373" i="27"/>
  <c r="J372" i="27"/>
  <c r="I372" i="27"/>
  <c r="J371" i="27"/>
  <c r="I371" i="27"/>
  <c r="J370" i="27"/>
  <c r="I370" i="27"/>
  <c r="J369" i="27"/>
  <c r="I369" i="27"/>
  <c r="J368" i="27"/>
  <c r="I368" i="27"/>
  <c r="J367" i="27"/>
  <c r="I367" i="27"/>
  <c r="J366" i="27"/>
  <c r="I366" i="27"/>
  <c r="J365" i="27"/>
  <c r="I365" i="27"/>
  <c r="J364" i="27"/>
  <c r="I364" i="27"/>
  <c r="J363" i="27"/>
  <c r="I363" i="27"/>
  <c r="J362" i="27"/>
  <c r="I362" i="27"/>
  <c r="J361" i="27"/>
  <c r="I361" i="27"/>
  <c r="J360" i="27"/>
  <c r="I360" i="27"/>
  <c r="J359" i="27"/>
  <c r="I359" i="27"/>
  <c r="J358" i="27"/>
  <c r="I358" i="27"/>
  <c r="J357" i="27"/>
  <c r="I357" i="27"/>
  <c r="N342" i="27"/>
  <c r="N341" i="27"/>
  <c r="L335" i="27"/>
  <c r="K335" i="27"/>
  <c r="J335" i="27"/>
  <c r="E335" i="27"/>
  <c r="D335" i="27"/>
  <c r="C335" i="27"/>
  <c r="L334" i="27"/>
  <c r="K334" i="27"/>
  <c r="J334" i="27"/>
  <c r="E334" i="27"/>
  <c r="D334" i="27"/>
  <c r="C334" i="27"/>
  <c r="L333" i="27"/>
  <c r="K333" i="27"/>
  <c r="J333" i="27"/>
  <c r="E333" i="27"/>
  <c r="D333" i="27"/>
  <c r="C333" i="27"/>
  <c r="L332" i="27"/>
  <c r="K332" i="27"/>
  <c r="J332" i="27"/>
  <c r="E332" i="27"/>
  <c r="D332" i="27"/>
  <c r="C332" i="27"/>
  <c r="L331" i="27"/>
  <c r="K331" i="27"/>
  <c r="J331" i="27"/>
  <c r="E331" i="27"/>
  <c r="D331" i="27"/>
  <c r="C331" i="27"/>
  <c r="L330" i="27"/>
  <c r="K330" i="27"/>
  <c r="J330" i="27"/>
  <c r="E330" i="27"/>
  <c r="D330" i="27"/>
  <c r="C330" i="27"/>
  <c r="L329" i="27"/>
  <c r="K329" i="27"/>
  <c r="J329" i="27"/>
  <c r="E329" i="27"/>
  <c r="D329" i="27"/>
  <c r="C329" i="27"/>
  <c r="L328" i="27"/>
  <c r="K328" i="27"/>
  <c r="J328" i="27"/>
  <c r="E328" i="27"/>
  <c r="D328" i="27"/>
  <c r="C328" i="27"/>
  <c r="L327" i="27"/>
  <c r="K327" i="27"/>
  <c r="J327" i="27"/>
  <c r="E327" i="27"/>
  <c r="D327" i="27"/>
  <c r="C327" i="27"/>
  <c r="L326" i="27"/>
  <c r="K326" i="27"/>
  <c r="J326" i="27"/>
  <c r="E326" i="27"/>
  <c r="D326" i="27"/>
  <c r="C326" i="27"/>
  <c r="L325" i="27"/>
  <c r="K325" i="27"/>
  <c r="J325" i="27"/>
  <c r="E325" i="27"/>
  <c r="D325" i="27"/>
  <c r="C325" i="27"/>
  <c r="L324" i="27"/>
  <c r="K324" i="27"/>
  <c r="J324" i="27"/>
  <c r="E324" i="27"/>
  <c r="D324" i="27"/>
  <c r="C324" i="27"/>
  <c r="L323" i="27"/>
  <c r="K323" i="27"/>
  <c r="J323" i="27"/>
  <c r="E323" i="27"/>
  <c r="D323" i="27"/>
  <c r="C323" i="27"/>
  <c r="L322" i="27"/>
  <c r="K322" i="27"/>
  <c r="J322" i="27"/>
  <c r="E322" i="27"/>
  <c r="D322" i="27"/>
  <c r="C322" i="27"/>
  <c r="L321" i="27"/>
  <c r="K321" i="27"/>
  <c r="J321" i="27"/>
  <c r="E321" i="27"/>
  <c r="D321" i="27"/>
  <c r="C321" i="27"/>
  <c r="L320" i="27"/>
  <c r="K320" i="27"/>
  <c r="J320" i="27"/>
  <c r="E320" i="27"/>
  <c r="D320" i="27"/>
  <c r="C320" i="27"/>
  <c r="L319" i="27"/>
  <c r="K319" i="27"/>
  <c r="J319" i="27"/>
  <c r="E319" i="27"/>
  <c r="D319" i="27"/>
  <c r="C319" i="27"/>
  <c r="L318" i="27"/>
  <c r="K318" i="27"/>
  <c r="J318" i="27"/>
  <c r="E318" i="27"/>
  <c r="D318" i="27"/>
  <c r="C318" i="27"/>
  <c r="L316" i="27"/>
  <c r="K316" i="27"/>
  <c r="J316" i="27"/>
  <c r="E316" i="27"/>
  <c r="D316" i="27"/>
  <c r="C316" i="27"/>
  <c r="L315" i="27"/>
  <c r="K315" i="27"/>
  <c r="J315" i="27"/>
  <c r="E315" i="27"/>
  <c r="D315" i="27"/>
  <c r="C315" i="27"/>
  <c r="L314" i="27"/>
  <c r="K314" i="27"/>
  <c r="J314" i="27"/>
  <c r="E314" i="27"/>
  <c r="D314" i="27"/>
  <c r="C314" i="27"/>
  <c r="L313" i="27"/>
  <c r="K313" i="27"/>
  <c r="J313" i="27"/>
  <c r="E313" i="27"/>
  <c r="D313" i="27"/>
  <c r="C313" i="27"/>
  <c r="L312" i="27"/>
  <c r="K312" i="27"/>
  <c r="J312" i="27"/>
  <c r="E312" i="27"/>
  <c r="D312" i="27"/>
  <c r="C312" i="27"/>
  <c r="L311" i="27"/>
  <c r="K311" i="27"/>
  <c r="J311" i="27"/>
  <c r="E311" i="27"/>
  <c r="D311" i="27"/>
  <c r="C311" i="27"/>
  <c r="L310" i="27"/>
  <c r="K310" i="27"/>
  <c r="J310" i="27"/>
  <c r="E310" i="27"/>
  <c r="D310" i="27"/>
  <c r="C310" i="27"/>
  <c r="L309" i="27"/>
  <c r="K309" i="27"/>
  <c r="J309" i="27"/>
  <c r="E309" i="27"/>
  <c r="D309" i="27"/>
  <c r="C309" i="27"/>
  <c r="L308" i="27"/>
  <c r="K308" i="27"/>
  <c r="J308" i="27"/>
  <c r="E308" i="27"/>
  <c r="D308" i="27"/>
  <c r="C308" i="27"/>
  <c r="L307" i="27"/>
  <c r="K307" i="27"/>
  <c r="J307" i="27"/>
  <c r="E307" i="27"/>
  <c r="D307" i="27"/>
  <c r="C307" i="27"/>
  <c r="L306" i="27"/>
  <c r="K306" i="27"/>
  <c r="J306" i="27"/>
  <c r="E306" i="27"/>
  <c r="D306" i="27"/>
  <c r="C306" i="27"/>
  <c r="L305" i="27"/>
  <c r="K305" i="27"/>
  <c r="J305" i="27"/>
  <c r="E305" i="27"/>
  <c r="D305" i="27"/>
  <c r="C305" i="27"/>
  <c r="L304" i="27"/>
  <c r="K304" i="27"/>
  <c r="J304" i="27"/>
  <c r="E304" i="27"/>
  <c r="D304" i="27"/>
  <c r="C304" i="27"/>
  <c r="L303" i="27"/>
  <c r="K303" i="27"/>
  <c r="J303" i="27"/>
  <c r="E303" i="27"/>
  <c r="D303" i="27"/>
  <c r="C303" i="27"/>
  <c r="L302" i="27"/>
  <c r="K302" i="27"/>
  <c r="J302" i="27"/>
  <c r="E302" i="27"/>
  <c r="D302" i="27"/>
  <c r="C302" i="27"/>
  <c r="L301" i="27"/>
  <c r="K301" i="27"/>
  <c r="J301" i="27"/>
  <c r="E301" i="27"/>
  <c r="D301" i="27"/>
  <c r="C301" i="27"/>
  <c r="L300" i="27"/>
  <c r="K300" i="27"/>
  <c r="J300" i="27"/>
  <c r="E300" i="27"/>
  <c r="D300" i="27"/>
  <c r="C300" i="27"/>
  <c r="L299" i="27"/>
  <c r="K299" i="27"/>
  <c r="J299" i="27"/>
  <c r="E299" i="27"/>
  <c r="D299" i="27"/>
  <c r="C299" i="27"/>
  <c r="L297" i="27"/>
  <c r="K297" i="27"/>
  <c r="J297" i="27"/>
  <c r="E297" i="27"/>
  <c r="D297" i="27"/>
  <c r="C297" i="27"/>
  <c r="L296" i="27"/>
  <c r="K296" i="27"/>
  <c r="J296" i="27"/>
  <c r="E296" i="27"/>
  <c r="D296" i="27"/>
  <c r="C296" i="27"/>
  <c r="L295" i="27"/>
  <c r="K295" i="27"/>
  <c r="J295" i="27"/>
  <c r="E295" i="27"/>
  <c r="D295" i="27"/>
  <c r="C295" i="27"/>
  <c r="L294" i="27"/>
  <c r="K294" i="27"/>
  <c r="J294" i="27"/>
  <c r="E294" i="27"/>
  <c r="D294" i="27"/>
  <c r="C294" i="27"/>
  <c r="L293" i="27"/>
  <c r="K293" i="27"/>
  <c r="J293" i="27"/>
  <c r="E293" i="27"/>
  <c r="D293" i="27"/>
  <c r="C293" i="27"/>
  <c r="L292" i="27"/>
  <c r="K292" i="27"/>
  <c r="J292" i="27"/>
  <c r="E292" i="27"/>
  <c r="D292" i="27"/>
  <c r="C292" i="27"/>
  <c r="L291" i="27"/>
  <c r="K291" i="27"/>
  <c r="J291" i="27"/>
  <c r="E291" i="27"/>
  <c r="D291" i="27"/>
  <c r="C291" i="27"/>
  <c r="L290" i="27"/>
  <c r="K290" i="27"/>
  <c r="J290" i="27"/>
  <c r="E290" i="27"/>
  <c r="D290" i="27"/>
  <c r="C290" i="27"/>
  <c r="L289" i="27"/>
  <c r="K289" i="27"/>
  <c r="J289" i="27"/>
  <c r="E289" i="27"/>
  <c r="D289" i="27"/>
  <c r="C289" i="27"/>
  <c r="L288" i="27"/>
  <c r="K288" i="27"/>
  <c r="J288" i="27"/>
  <c r="E288" i="27"/>
  <c r="D288" i="27"/>
  <c r="C288" i="27"/>
  <c r="L287" i="27"/>
  <c r="K287" i="27"/>
  <c r="J287" i="27"/>
  <c r="E287" i="27"/>
  <c r="D287" i="27"/>
  <c r="C287" i="27"/>
  <c r="L286" i="27"/>
  <c r="K286" i="27"/>
  <c r="J286" i="27"/>
  <c r="E286" i="27"/>
  <c r="D286" i="27"/>
  <c r="C286" i="27"/>
  <c r="L285" i="27"/>
  <c r="K285" i="27"/>
  <c r="J285" i="27"/>
  <c r="E285" i="27"/>
  <c r="D285" i="27"/>
  <c r="C285" i="27"/>
  <c r="L284" i="27"/>
  <c r="K284" i="27"/>
  <c r="J284" i="27"/>
  <c r="E284" i="27"/>
  <c r="D284" i="27"/>
  <c r="C284" i="27"/>
  <c r="L283" i="27"/>
  <c r="K283" i="27"/>
  <c r="J283" i="27"/>
  <c r="E283" i="27"/>
  <c r="D283" i="27"/>
  <c r="C283" i="27"/>
  <c r="L282" i="27"/>
  <c r="K282" i="27"/>
  <c r="J282" i="27"/>
  <c r="E282" i="27"/>
  <c r="D282" i="27"/>
  <c r="C282" i="27"/>
  <c r="L281" i="27"/>
  <c r="K281" i="27"/>
  <c r="J281" i="27"/>
  <c r="E281" i="27"/>
  <c r="D281" i="27"/>
  <c r="C281" i="27"/>
  <c r="L280" i="27"/>
  <c r="K280" i="27"/>
  <c r="J280" i="27"/>
  <c r="E280" i="27"/>
  <c r="D280" i="27"/>
  <c r="C280" i="27"/>
  <c r="L278" i="27"/>
  <c r="K278" i="27"/>
  <c r="J278" i="27"/>
  <c r="E278" i="27"/>
  <c r="D278" i="27"/>
  <c r="C278" i="27"/>
  <c r="L277" i="27"/>
  <c r="K277" i="27"/>
  <c r="J277" i="27"/>
  <c r="E277" i="27"/>
  <c r="D277" i="27"/>
  <c r="C277" i="27"/>
  <c r="L276" i="27"/>
  <c r="K276" i="27"/>
  <c r="J276" i="27"/>
  <c r="E276" i="27"/>
  <c r="D276" i="27"/>
  <c r="C276" i="27"/>
  <c r="L275" i="27"/>
  <c r="K275" i="27"/>
  <c r="J275" i="27"/>
  <c r="E275" i="27"/>
  <c r="D275" i="27"/>
  <c r="C275" i="27"/>
  <c r="L274" i="27"/>
  <c r="K274" i="27"/>
  <c r="J274" i="27"/>
  <c r="E274" i="27"/>
  <c r="D274" i="27"/>
  <c r="C274" i="27"/>
  <c r="L273" i="27"/>
  <c r="K273" i="27"/>
  <c r="J273" i="27"/>
  <c r="E273" i="27"/>
  <c r="D273" i="27"/>
  <c r="C273" i="27"/>
  <c r="L272" i="27"/>
  <c r="K272" i="27"/>
  <c r="J272" i="27"/>
  <c r="E272" i="27"/>
  <c r="D272" i="27"/>
  <c r="C272" i="27"/>
  <c r="L271" i="27"/>
  <c r="K271" i="27"/>
  <c r="J271" i="27"/>
  <c r="E271" i="27"/>
  <c r="D271" i="27"/>
  <c r="C271" i="27"/>
  <c r="L270" i="27"/>
  <c r="K270" i="27"/>
  <c r="J270" i="27"/>
  <c r="E270" i="27"/>
  <c r="D270" i="27"/>
  <c r="C270" i="27"/>
  <c r="L269" i="27"/>
  <c r="K269" i="27"/>
  <c r="J269" i="27"/>
  <c r="E269" i="27"/>
  <c r="D269" i="27"/>
  <c r="C269" i="27"/>
  <c r="L268" i="27"/>
  <c r="K268" i="27"/>
  <c r="J268" i="27"/>
  <c r="E268" i="27"/>
  <c r="D268" i="27"/>
  <c r="C268" i="27"/>
  <c r="L267" i="27"/>
  <c r="K267" i="27"/>
  <c r="J267" i="27"/>
  <c r="E267" i="27"/>
  <c r="D267" i="27"/>
  <c r="C267" i="27"/>
  <c r="L266" i="27"/>
  <c r="K266" i="27"/>
  <c r="J266" i="27"/>
  <c r="E266" i="27"/>
  <c r="D266" i="27"/>
  <c r="C266" i="27"/>
  <c r="L265" i="27"/>
  <c r="K265" i="27"/>
  <c r="J265" i="27"/>
  <c r="E265" i="27"/>
  <c r="D265" i="27"/>
  <c r="C265" i="27"/>
  <c r="L264" i="27"/>
  <c r="K264" i="27"/>
  <c r="J264" i="27"/>
  <c r="E264" i="27"/>
  <c r="D264" i="27"/>
  <c r="C264" i="27"/>
  <c r="L263" i="27"/>
  <c r="K263" i="27"/>
  <c r="J263" i="27"/>
  <c r="E263" i="27"/>
  <c r="D263" i="27"/>
  <c r="C263" i="27"/>
  <c r="L262" i="27"/>
  <c r="K262" i="27"/>
  <c r="J262" i="27"/>
  <c r="E262" i="27"/>
  <c r="D262" i="27"/>
  <c r="C262" i="27"/>
  <c r="L261" i="27"/>
  <c r="K261" i="27"/>
  <c r="J261" i="27"/>
  <c r="E261" i="27"/>
  <c r="D261" i="27"/>
  <c r="C261" i="27"/>
  <c r="L259" i="27"/>
  <c r="K259" i="27"/>
  <c r="J259" i="27"/>
  <c r="E259" i="27"/>
  <c r="D259" i="27"/>
  <c r="C259" i="27"/>
  <c r="L258" i="27"/>
  <c r="K258" i="27"/>
  <c r="J258" i="27"/>
  <c r="E258" i="27"/>
  <c r="D258" i="27"/>
  <c r="C258" i="27"/>
  <c r="L257" i="27"/>
  <c r="K257" i="27"/>
  <c r="J257" i="27"/>
  <c r="E257" i="27"/>
  <c r="D257" i="27"/>
  <c r="C257" i="27"/>
  <c r="L256" i="27"/>
  <c r="K256" i="27"/>
  <c r="J256" i="27"/>
  <c r="E256" i="27"/>
  <c r="D256" i="27"/>
  <c r="C256" i="27"/>
  <c r="L255" i="27"/>
  <c r="K255" i="27"/>
  <c r="J255" i="27"/>
  <c r="E255" i="27"/>
  <c r="D255" i="27"/>
  <c r="C255" i="27"/>
  <c r="L254" i="27"/>
  <c r="K254" i="27"/>
  <c r="J254" i="27"/>
  <c r="E254" i="27"/>
  <c r="D254" i="27"/>
  <c r="C254" i="27"/>
  <c r="L253" i="27"/>
  <c r="K253" i="27"/>
  <c r="J253" i="27"/>
  <c r="E253" i="27"/>
  <c r="D253" i="27"/>
  <c r="C253" i="27"/>
  <c r="L252" i="27"/>
  <c r="K252" i="27"/>
  <c r="J252" i="27"/>
  <c r="E252" i="27"/>
  <c r="D252" i="27"/>
  <c r="C252" i="27"/>
  <c r="L251" i="27"/>
  <c r="K251" i="27"/>
  <c r="J251" i="27"/>
  <c r="E251" i="27"/>
  <c r="D251" i="27"/>
  <c r="C251" i="27"/>
  <c r="L250" i="27"/>
  <c r="K250" i="27"/>
  <c r="J250" i="27"/>
  <c r="E250" i="27"/>
  <c r="D250" i="27"/>
  <c r="C250" i="27"/>
  <c r="L249" i="27"/>
  <c r="K249" i="27"/>
  <c r="J249" i="27"/>
  <c r="E249" i="27"/>
  <c r="D249" i="27"/>
  <c r="C249" i="27"/>
  <c r="L248" i="27"/>
  <c r="K248" i="27"/>
  <c r="J248" i="27"/>
  <c r="E248" i="27"/>
  <c r="D248" i="27"/>
  <c r="C248" i="27"/>
  <c r="L247" i="27"/>
  <c r="K247" i="27"/>
  <c r="J247" i="27"/>
  <c r="E247" i="27"/>
  <c r="D247" i="27"/>
  <c r="C247" i="27"/>
  <c r="L246" i="27"/>
  <c r="K246" i="27"/>
  <c r="J246" i="27"/>
  <c r="E246" i="27"/>
  <c r="D246" i="27"/>
  <c r="C246" i="27"/>
  <c r="L245" i="27"/>
  <c r="K245" i="27"/>
  <c r="J245" i="27"/>
  <c r="E245" i="27"/>
  <c r="D245" i="27"/>
  <c r="C245" i="27"/>
  <c r="L244" i="27"/>
  <c r="K244" i="27"/>
  <c r="J244" i="27"/>
  <c r="E244" i="27"/>
  <c r="D244" i="27"/>
  <c r="C244" i="27"/>
  <c r="L243" i="27"/>
  <c r="K243" i="27"/>
  <c r="J243" i="27"/>
  <c r="E243" i="27"/>
  <c r="D243" i="27"/>
  <c r="C243" i="27"/>
  <c r="P242" i="27"/>
  <c r="L242" i="27"/>
  <c r="K242" i="27"/>
  <c r="J242" i="27"/>
  <c r="E242" i="27"/>
  <c r="D242" i="27"/>
  <c r="C242" i="27"/>
  <c r="P241" i="27"/>
  <c r="P240" i="27"/>
  <c r="L240" i="27"/>
  <c r="K240" i="27"/>
  <c r="J240" i="27"/>
  <c r="E240" i="27"/>
  <c r="D240" i="27"/>
  <c r="C240" i="27"/>
  <c r="P239" i="27"/>
  <c r="L239" i="27"/>
  <c r="K239" i="27"/>
  <c r="J239" i="27"/>
  <c r="E239" i="27"/>
  <c r="D239" i="27"/>
  <c r="C239" i="27"/>
  <c r="P238" i="27"/>
  <c r="L238" i="27"/>
  <c r="K238" i="27"/>
  <c r="J238" i="27"/>
  <c r="E238" i="27"/>
  <c r="D238" i="27"/>
  <c r="C238" i="27"/>
  <c r="P237" i="27"/>
  <c r="L237" i="27"/>
  <c r="K237" i="27"/>
  <c r="J237" i="27"/>
  <c r="E237" i="27"/>
  <c r="D237" i="27"/>
  <c r="C237" i="27"/>
  <c r="P236" i="27"/>
  <c r="L236" i="27"/>
  <c r="K236" i="27"/>
  <c r="J236" i="27"/>
  <c r="E236" i="27"/>
  <c r="D236" i="27"/>
  <c r="C236" i="27"/>
  <c r="P235" i="27"/>
  <c r="L235" i="27"/>
  <c r="K235" i="27"/>
  <c r="J235" i="27"/>
  <c r="E235" i="27"/>
  <c r="D235" i="27"/>
  <c r="C235" i="27"/>
  <c r="P234" i="27"/>
  <c r="L234" i="27"/>
  <c r="K234" i="27"/>
  <c r="J234" i="27"/>
  <c r="E234" i="27"/>
  <c r="D234" i="27"/>
  <c r="C234" i="27"/>
  <c r="P233" i="27"/>
  <c r="L233" i="27"/>
  <c r="K233" i="27"/>
  <c r="J233" i="27"/>
  <c r="E233" i="27"/>
  <c r="D233" i="27"/>
  <c r="C233" i="27"/>
  <c r="P232" i="27"/>
  <c r="L232" i="27"/>
  <c r="K232" i="27"/>
  <c r="J232" i="27"/>
  <c r="E232" i="27"/>
  <c r="D232" i="27"/>
  <c r="C232" i="27"/>
  <c r="P231" i="27"/>
  <c r="L231" i="27"/>
  <c r="K231" i="27"/>
  <c r="J231" i="27"/>
  <c r="E231" i="27"/>
  <c r="D231" i="27"/>
  <c r="C231" i="27"/>
  <c r="P230" i="27"/>
  <c r="L230" i="27"/>
  <c r="K230" i="27"/>
  <c r="J230" i="27"/>
  <c r="E230" i="27"/>
  <c r="D230" i="27"/>
  <c r="C230" i="27"/>
  <c r="P229" i="27"/>
  <c r="L229" i="27"/>
  <c r="K229" i="27"/>
  <c r="J229" i="27"/>
  <c r="E229" i="27"/>
  <c r="D229" i="27"/>
  <c r="C229" i="27"/>
  <c r="P228" i="27"/>
  <c r="L228" i="27"/>
  <c r="K228" i="27"/>
  <c r="J228" i="27"/>
  <c r="E228" i="27"/>
  <c r="D228" i="27"/>
  <c r="C228" i="27"/>
  <c r="P227" i="27"/>
  <c r="L227" i="27"/>
  <c r="K227" i="27"/>
  <c r="J227" i="27"/>
  <c r="E227" i="27"/>
  <c r="D227" i="27"/>
  <c r="C227" i="27"/>
  <c r="P226" i="27"/>
  <c r="L226" i="27"/>
  <c r="K226" i="27"/>
  <c r="J226" i="27"/>
  <c r="E226" i="27"/>
  <c r="D226" i="27"/>
  <c r="C226" i="27"/>
  <c r="P225" i="27"/>
  <c r="L225" i="27"/>
  <c r="K225" i="27"/>
  <c r="J225" i="27"/>
  <c r="E225" i="27"/>
  <c r="D225" i="27"/>
  <c r="C225" i="27"/>
  <c r="L224" i="27"/>
  <c r="K224" i="27"/>
  <c r="J224" i="27"/>
  <c r="E224" i="27"/>
  <c r="D224" i="27"/>
  <c r="C224" i="27"/>
  <c r="L223" i="27"/>
  <c r="K223" i="27"/>
  <c r="J223" i="27"/>
  <c r="E223" i="27"/>
  <c r="D223" i="27"/>
  <c r="C223" i="27"/>
  <c r="L221" i="27"/>
  <c r="K221" i="27"/>
  <c r="J221" i="27"/>
  <c r="E221" i="27"/>
  <c r="D221" i="27"/>
  <c r="C221" i="27"/>
  <c r="P220" i="27"/>
  <c r="L220" i="27"/>
  <c r="K220" i="27"/>
  <c r="J220" i="27"/>
  <c r="E220" i="27"/>
  <c r="D220" i="27"/>
  <c r="C220" i="27"/>
  <c r="P219" i="27"/>
  <c r="L219" i="27"/>
  <c r="K219" i="27"/>
  <c r="J219" i="27"/>
  <c r="E219" i="27"/>
  <c r="D219" i="27"/>
  <c r="C219" i="27"/>
  <c r="P218" i="27"/>
  <c r="L218" i="27"/>
  <c r="K218" i="27"/>
  <c r="J218" i="27"/>
  <c r="E218" i="27"/>
  <c r="D218" i="27"/>
  <c r="C218" i="27"/>
  <c r="P217" i="27"/>
  <c r="L217" i="27"/>
  <c r="K217" i="27"/>
  <c r="J217" i="27"/>
  <c r="E217" i="27"/>
  <c r="D217" i="27"/>
  <c r="C217" i="27"/>
  <c r="P216" i="27"/>
  <c r="L216" i="27"/>
  <c r="K216" i="27"/>
  <c r="J216" i="27"/>
  <c r="E216" i="27"/>
  <c r="D216" i="27"/>
  <c r="C216" i="27"/>
  <c r="P215" i="27"/>
  <c r="L215" i="27"/>
  <c r="K215" i="27"/>
  <c r="J215" i="27"/>
  <c r="E215" i="27"/>
  <c r="D215" i="27"/>
  <c r="C215" i="27"/>
  <c r="P214" i="27"/>
  <c r="L214" i="27"/>
  <c r="K214" i="27"/>
  <c r="J214" i="27"/>
  <c r="E214" i="27"/>
  <c r="D214" i="27"/>
  <c r="C214" i="27"/>
  <c r="P213" i="27"/>
  <c r="L213" i="27"/>
  <c r="K213" i="27"/>
  <c r="J213" i="27"/>
  <c r="E213" i="27"/>
  <c r="D213" i="27"/>
  <c r="C213" i="27"/>
  <c r="P212" i="27"/>
  <c r="L212" i="27"/>
  <c r="K212" i="27"/>
  <c r="J212" i="27"/>
  <c r="E212" i="27"/>
  <c r="D212" i="27"/>
  <c r="C212" i="27"/>
  <c r="P211" i="27"/>
  <c r="L211" i="27"/>
  <c r="K211" i="27"/>
  <c r="J211" i="27"/>
  <c r="E211" i="27"/>
  <c r="D211" i="27"/>
  <c r="C211" i="27"/>
  <c r="P210" i="27"/>
  <c r="L210" i="27"/>
  <c r="K210" i="27"/>
  <c r="J210" i="27"/>
  <c r="E210" i="27"/>
  <c r="D210" i="27"/>
  <c r="C210" i="27"/>
  <c r="P209" i="27"/>
  <c r="L209" i="27"/>
  <c r="K209" i="27"/>
  <c r="J209" i="27"/>
  <c r="E209" i="27"/>
  <c r="D209" i="27"/>
  <c r="C209" i="27"/>
  <c r="P208" i="27"/>
  <c r="L208" i="27"/>
  <c r="K208" i="27"/>
  <c r="J208" i="27"/>
  <c r="E208" i="27"/>
  <c r="D208" i="27"/>
  <c r="C208" i="27"/>
  <c r="P207" i="27"/>
  <c r="L207" i="27"/>
  <c r="K207" i="27"/>
  <c r="J207" i="27"/>
  <c r="E207" i="27"/>
  <c r="D207" i="27"/>
  <c r="C207" i="27"/>
  <c r="P206" i="27"/>
  <c r="L206" i="27"/>
  <c r="K206" i="27"/>
  <c r="J206" i="27"/>
  <c r="E206" i="27"/>
  <c r="D206" i="27"/>
  <c r="C206" i="27"/>
  <c r="P205" i="27"/>
  <c r="L205" i="27"/>
  <c r="K205" i="27"/>
  <c r="J205" i="27"/>
  <c r="E205" i="27"/>
  <c r="D205" i="27"/>
  <c r="C205" i="27"/>
  <c r="P204" i="27"/>
  <c r="L204" i="27"/>
  <c r="K204" i="27"/>
  <c r="J204" i="27"/>
  <c r="E204" i="27"/>
  <c r="D204" i="27"/>
  <c r="C204" i="27"/>
  <c r="P203" i="27"/>
  <c r="L198" i="27"/>
  <c r="M335" i="27" s="1"/>
  <c r="F198" i="27"/>
  <c r="F335" i="27" s="1"/>
  <c r="L197" i="27"/>
  <c r="M316" i="27" s="1"/>
  <c r="F197" i="27"/>
  <c r="F316" i="27" s="1"/>
  <c r="L196" i="27"/>
  <c r="M297" i="27" s="1"/>
  <c r="F196" i="27"/>
  <c r="F297" i="27" s="1"/>
  <c r="L195" i="27"/>
  <c r="M278" i="27" s="1"/>
  <c r="F195" i="27"/>
  <c r="F278" i="27" s="1"/>
  <c r="L194" i="27"/>
  <c r="M259" i="27" s="1"/>
  <c r="F194" i="27"/>
  <c r="F259" i="27" s="1"/>
  <c r="L193" i="27"/>
  <c r="M240" i="27" s="1"/>
  <c r="F193" i="27"/>
  <c r="F240" i="27" s="1"/>
  <c r="L192" i="27"/>
  <c r="M221" i="27" s="1"/>
  <c r="F192" i="27"/>
  <c r="F221" i="27" s="1"/>
  <c r="K191" i="27"/>
  <c r="J191" i="27"/>
  <c r="H189" i="27"/>
  <c r="L187" i="27"/>
  <c r="M334" i="27" s="1"/>
  <c r="F187" i="27"/>
  <c r="F334" i="27" s="1"/>
  <c r="L186" i="27"/>
  <c r="M315" i="27" s="1"/>
  <c r="F186" i="27"/>
  <c r="F315" i="27" s="1"/>
  <c r="L185" i="27"/>
  <c r="M296" i="27" s="1"/>
  <c r="F185" i="27"/>
  <c r="F296" i="27" s="1"/>
  <c r="L184" i="27"/>
  <c r="M277" i="27" s="1"/>
  <c r="F184" i="27"/>
  <c r="F277" i="27" s="1"/>
  <c r="L183" i="27"/>
  <c r="M258" i="27" s="1"/>
  <c r="F183" i="27"/>
  <c r="F258" i="27" s="1"/>
  <c r="L182" i="27"/>
  <c r="M239" i="27" s="1"/>
  <c r="F182" i="27"/>
  <c r="F239" i="27" s="1"/>
  <c r="L181" i="27"/>
  <c r="M220" i="27" s="1"/>
  <c r="F181" i="27"/>
  <c r="F220" i="27" s="1"/>
  <c r="K180" i="27"/>
  <c r="J180" i="27"/>
  <c r="H178" i="27"/>
  <c r="L176" i="27"/>
  <c r="M333" i="27" s="1"/>
  <c r="F176" i="27"/>
  <c r="F333" i="27" s="1"/>
  <c r="L175" i="27"/>
  <c r="M314" i="27" s="1"/>
  <c r="F175" i="27"/>
  <c r="F314" i="27" s="1"/>
  <c r="L174" i="27"/>
  <c r="M295" i="27" s="1"/>
  <c r="F174" i="27"/>
  <c r="F295" i="27" s="1"/>
  <c r="L173" i="27"/>
  <c r="M276" i="27" s="1"/>
  <c r="F173" i="27"/>
  <c r="F276" i="27" s="1"/>
  <c r="L172" i="27"/>
  <c r="M257" i="27" s="1"/>
  <c r="F172" i="27"/>
  <c r="F257" i="27" s="1"/>
  <c r="L171" i="27"/>
  <c r="M238" i="27" s="1"/>
  <c r="F171" i="27"/>
  <c r="F238" i="27" s="1"/>
  <c r="L170" i="27"/>
  <c r="M219" i="27" s="1"/>
  <c r="F170" i="27"/>
  <c r="F219" i="27" s="1"/>
  <c r="K169" i="27"/>
  <c r="J169" i="27"/>
  <c r="H167" i="27"/>
  <c r="L165" i="27"/>
  <c r="M332" i="27" s="1"/>
  <c r="F165" i="27"/>
  <c r="F332" i="27" s="1"/>
  <c r="L164" i="27"/>
  <c r="M313" i="27" s="1"/>
  <c r="F164" i="27"/>
  <c r="F313" i="27" s="1"/>
  <c r="L163" i="27"/>
  <c r="M294" i="27" s="1"/>
  <c r="F163" i="27"/>
  <c r="F294" i="27" s="1"/>
  <c r="L162" i="27"/>
  <c r="M275" i="27" s="1"/>
  <c r="F162" i="27"/>
  <c r="F275" i="27" s="1"/>
  <c r="L161" i="27"/>
  <c r="M256" i="27" s="1"/>
  <c r="F161" i="27"/>
  <c r="F256" i="27" s="1"/>
  <c r="L160" i="27"/>
  <c r="M237" i="27" s="1"/>
  <c r="F160" i="27"/>
  <c r="F237" i="27" s="1"/>
  <c r="L159" i="27"/>
  <c r="M218" i="27" s="1"/>
  <c r="F159" i="27"/>
  <c r="F218" i="27" s="1"/>
  <c r="K158" i="27"/>
  <c r="J158" i="27"/>
  <c r="H156" i="27"/>
  <c r="L154" i="27"/>
  <c r="M331" i="27" s="1"/>
  <c r="F154" i="27"/>
  <c r="F331" i="27" s="1"/>
  <c r="L153" i="27"/>
  <c r="M312" i="27" s="1"/>
  <c r="F153" i="27"/>
  <c r="F312" i="27" s="1"/>
  <c r="L152" i="27"/>
  <c r="M293" i="27" s="1"/>
  <c r="F152" i="27"/>
  <c r="F293" i="27" s="1"/>
  <c r="L151" i="27"/>
  <c r="M274" i="27" s="1"/>
  <c r="F151" i="27"/>
  <c r="F274" i="27" s="1"/>
  <c r="L150" i="27"/>
  <c r="M255" i="27" s="1"/>
  <c r="F150" i="27"/>
  <c r="F255" i="27" s="1"/>
  <c r="L149" i="27"/>
  <c r="M236" i="27" s="1"/>
  <c r="F149" i="27"/>
  <c r="F236" i="27" s="1"/>
  <c r="L148" i="27"/>
  <c r="M217" i="27" s="1"/>
  <c r="F148" i="27"/>
  <c r="F217" i="27" s="1"/>
  <c r="K147" i="27"/>
  <c r="J147" i="27"/>
  <c r="H145" i="27"/>
  <c r="L143" i="27"/>
  <c r="M330" i="27" s="1"/>
  <c r="F143" i="27"/>
  <c r="F330" i="27" s="1"/>
  <c r="L142" i="27"/>
  <c r="M311" i="27" s="1"/>
  <c r="F142" i="27"/>
  <c r="F311" i="27" s="1"/>
  <c r="L141" i="27"/>
  <c r="M292" i="27" s="1"/>
  <c r="F141" i="27"/>
  <c r="F292" i="27" s="1"/>
  <c r="L140" i="27"/>
  <c r="M273" i="27" s="1"/>
  <c r="F140" i="27"/>
  <c r="F273" i="27" s="1"/>
  <c r="L139" i="27"/>
  <c r="M254" i="27" s="1"/>
  <c r="F139" i="27"/>
  <c r="F254" i="27" s="1"/>
  <c r="L138" i="27"/>
  <c r="M235" i="27" s="1"/>
  <c r="F138" i="27"/>
  <c r="F235" i="27" s="1"/>
  <c r="L137" i="27"/>
  <c r="M216" i="27" s="1"/>
  <c r="F137" i="27"/>
  <c r="F216" i="27" s="1"/>
  <c r="K136" i="27"/>
  <c r="J136" i="27"/>
  <c r="H134" i="27"/>
  <c r="L132" i="27"/>
  <c r="M329" i="27" s="1"/>
  <c r="F132" i="27"/>
  <c r="F329" i="27" s="1"/>
  <c r="L131" i="27"/>
  <c r="M310" i="27" s="1"/>
  <c r="F131" i="27"/>
  <c r="F310" i="27" s="1"/>
  <c r="L130" i="27"/>
  <c r="M291" i="27" s="1"/>
  <c r="F130" i="27"/>
  <c r="F291" i="27" s="1"/>
  <c r="L129" i="27"/>
  <c r="M272" i="27" s="1"/>
  <c r="F129" i="27"/>
  <c r="F272" i="27" s="1"/>
  <c r="L128" i="27"/>
  <c r="M253" i="27" s="1"/>
  <c r="F128" i="27"/>
  <c r="F253" i="27" s="1"/>
  <c r="L127" i="27"/>
  <c r="M234" i="27" s="1"/>
  <c r="F127" i="27"/>
  <c r="F234" i="27" s="1"/>
  <c r="L126" i="27"/>
  <c r="M215" i="27" s="1"/>
  <c r="F126" i="27"/>
  <c r="F215" i="27" s="1"/>
  <c r="K125" i="27"/>
  <c r="J125" i="27"/>
  <c r="H123" i="27"/>
  <c r="L121" i="27"/>
  <c r="M328" i="27" s="1"/>
  <c r="F121" i="27"/>
  <c r="F328" i="27" s="1"/>
  <c r="L120" i="27"/>
  <c r="M309" i="27" s="1"/>
  <c r="F120" i="27"/>
  <c r="F309" i="27" s="1"/>
  <c r="L119" i="27"/>
  <c r="M290" i="27" s="1"/>
  <c r="F119" i="27"/>
  <c r="F290" i="27" s="1"/>
  <c r="L118" i="27"/>
  <c r="M271" i="27" s="1"/>
  <c r="F118" i="27"/>
  <c r="F271" i="27" s="1"/>
  <c r="L117" i="27"/>
  <c r="M252" i="27" s="1"/>
  <c r="F117" i="27"/>
  <c r="F252" i="27" s="1"/>
  <c r="L116" i="27"/>
  <c r="M233" i="27" s="1"/>
  <c r="F116" i="27"/>
  <c r="F233" i="27" s="1"/>
  <c r="L115" i="27"/>
  <c r="M214" i="27" s="1"/>
  <c r="F115" i="27"/>
  <c r="F214" i="27" s="1"/>
  <c r="K114" i="27"/>
  <c r="J114" i="27"/>
  <c r="H112" i="27"/>
  <c r="L110" i="27"/>
  <c r="M327" i="27" s="1"/>
  <c r="F110" i="27"/>
  <c r="F327" i="27" s="1"/>
  <c r="L109" i="27"/>
  <c r="M308" i="27" s="1"/>
  <c r="F109" i="27"/>
  <c r="F308" i="27" s="1"/>
  <c r="L108" i="27"/>
  <c r="M289" i="27" s="1"/>
  <c r="F108" i="27"/>
  <c r="F289" i="27" s="1"/>
  <c r="L107" i="27"/>
  <c r="M270" i="27" s="1"/>
  <c r="F107" i="27"/>
  <c r="F270" i="27" s="1"/>
  <c r="L106" i="27"/>
  <c r="M251" i="27" s="1"/>
  <c r="F106" i="27"/>
  <c r="F251" i="27" s="1"/>
  <c r="L105" i="27"/>
  <c r="M232" i="27" s="1"/>
  <c r="F105" i="27"/>
  <c r="F232" i="27" s="1"/>
  <c r="L104" i="27"/>
  <c r="M213" i="27" s="1"/>
  <c r="F104" i="27"/>
  <c r="F213" i="27" s="1"/>
  <c r="K103" i="27"/>
  <c r="J103" i="27"/>
  <c r="H101" i="27"/>
  <c r="L99" i="27"/>
  <c r="M326" i="27" s="1"/>
  <c r="F99" i="27"/>
  <c r="F326" i="27" s="1"/>
  <c r="L98" i="27"/>
  <c r="M307" i="27" s="1"/>
  <c r="F98" i="27"/>
  <c r="F307" i="27" s="1"/>
  <c r="L97" i="27"/>
  <c r="M288" i="27" s="1"/>
  <c r="F97" i="27"/>
  <c r="F288" i="27" s="1"/>
  <c r="L96" i="27"/>
  <c r="M269" i="27" s="1"/>
  <c r="F96" i="27"/>
  <c r="F269" i="27" s="1"/>
  <c r="L95" i="27"/>
  <c r="M250" i="27" s="1"/>
  <c r="F95" i="27"/>
  <c r="F250" i="27" s="1"/>
  <c r="L94" i="27"/>
  <c r="M231" i="27" s="1"/>
  <c r="F94" i="27"/>
  <c r="F231" i="27" s="1"/>
  <c r="L93" i="27"/>
  <c r="M212" i="27" s="1"/>
  <c r="F93" i="27"/>
  <c r="F212" i="27" s="1"/>
  <c r="K92" i="27"/>
  <c r="J92" i="27"/>
  <c r="H90" i="27"/>
  <c r="L88" i="27"/>
  <c r="M325" i="27" s="1"/>
  <c r="F88" i="27"/>
  <c r="F325" i="27" s="1"/>
  <c r="L87" i="27"/>
  <c r="M306" i="27" s="1"/>
  <c r="F87" i="27"/>
  <c r="F306" i="27" s="1"/>
  <c r="L86" i="27"/>
  <c r="M287" i="27" s="1"/>
  <c r="F86" i="27"/>
  <c r="F287" i="27" s="1"/>
  <c r="L85" i="27"/>
  <c r="M268" i="27" s="1"/>
  <c r="F85" i="27"/>
  <c r="F268" i="27" s="1"/>
  <c r="L84" i="27"/>
  <c r="M249" i="27" s="1"/>
  <c r="F84" i="27"/>
  <c r="F249" i="27" s="1"/>
  <c r="L83" i="27"/>
  <c r="M230" i="27" s="1"/>
  <c r="F83" i="27"/>
  <c r="F230" i="27" s="1"/>
  <c r="L82" i="27"/>
  <c r="M211" i="27" s="1"/>
  <c r="F82" i="27"/>
  <c r="F211" i="27" s="1"/>
  <c r="K81" i="27"/>
  <c r="J81" i="27"/>
  <c r="H79" i="27"/>
  <c r="L77" i="27"/>
  <c r="M324" i="27" s="1"/>
  <c r="F77" i="27"/>
  <c r="F324" i="27" s="1"/>
  <c r="L76" i="27"/>
  <c r="M305" i="27" s="1"/>
  <c r="F76" i="27"/>
  <c r="F305" i="27" s="1"/>
  <c r="L75" i="27"/>
  <c r="M286" i="27" s="1"/>
  <c r="F75" i="27"/>
  <c r="F286" i="27" s="1"/>
  <c r="L74" i="27"/>
  <c r="M267" i="27" s="1"/>
  <c r="F74" i="27"/>
  <c r="F267" i="27" s="1"/>
  <c r="L73" i="27"/>
  <c r="M248" i="27" s="1"/>
  <c r="F73" i="27"/>
  <c r="F248" i="27" s="1"/>
  <c r="L72" i="27"/>
  <c r="M229" i="27" s="1"/>
  <c r="F72" i="27"/>
  <c r="F229" i="27" s="1"/>
  <c r="L71" i="27"/>
  <c r="M210" i="27" s="1"/>
  <c r="F71" i="27"/>
  <c r="F210" i="27" s="1"/>
  <c r="K70" i="27"/>
  <c r="J70" i="27"/>
  <c r="H68" i="27"/>
  <c r="L66" i="27"/>
  <c r="M323" i="27" s="1"/>
  <c r="F66" i="27"/>
  <c r="F323" i="27" s="1"/>
  <c r="L65" i="27"/>
  <c r="M304" i="27" s="1"/>
  <c r="F65" i="27"/>
  <c r="F304" i="27" s="1"/>
  <c r="L64" i="27"/>
  <c r="M285" i="27" s="1"/>
  <c r="F64" i="27"/>
  <c r="F285" i="27" s="1"/>
  <c r="L63" i="27"/>
  <c r="M266" i="27" s="1"/>
  <c r="F63" i="27"/>
  <c r="F266" i="27" s="1"/>
  <c r="L62" i="27"/>
  <c r="M247" i="27" s="1"/>
  <c r="F62" i="27"/>
  <c r="F247" i="27" s="1"/>
  <c r="L61" i="27"/>
  <c r="M228" i="27" s="1"/>
  <c r="F61" i="27"/>
  <c r="F228" i="27" s="1"/>
  <c r="L60" i="27"/>
  <c r="M209" i="27" s="1"/>
  <c r="F60" i="27"/>
  <c r="F209" i="27" s="1"/>
  <c r="K59" i="27"/>
  <c r="J59" i="27"/>
  <c r="H57" i="27"/>
  <c r="L55" i="27"/>
  <c r="M322" i="27" s="1"/>
  <c r="F55" i="27"/>
  <c r="F322" i="27" s="1"/>
  <c r="L54" i="27"/>
  <c r="M303" i="27" s="1"/>
  <c r="F54" i="27"/>
  <c r="F303" i="27" s="1"/>
  <c r="L53" i="27"/>
  <c r="M284" i="27" s="1"/>
  <c r="F53" i="27"/>
  <c r="F284" i="27" s="1"/>
  <c r="L52" i="27"/>
  <c r="M265" i="27" s="1"/>
  <c r="F52" i="27"/>
  <c r="F265" i="27" s="1"/>
  <c r="L51" i="27"/>
  <c r="M246" i="27" s="1"/>
  <c r="F51" i="27"/>
  <c r="F246" i="27" s="1"/>
  <c r="L50" i="27"/>
  <c r="M223" i="27" s="1"/>
  <c r="F50" i="27"/>
  <c r="F227" i="27" s="1"/>
  <c r="L49" i="27"/>
  <c r="M208" i="27" s="1"/>
  <c r="F49" i="27"/>
  <c r="F208" i="27" s="1"/>
  <c r="K48" i="27"/>
  <c r="J48" i="27"/>
  <c r="H46" i="27"/>
  <c r="L44" i="27"/>
  <c r="M321" i="27" s="1"/>
  <c r="F44" i="27"/>
  <c r="F321" i="27" s="1"/>
  <c r="L43" i="27"/>
  <c r="M302" i="27" s="1"/>
  <c r="F43" i="27"/>
  <c r="F302" i="27" s="1"/>
  <c r="L42" i="27"/>
  <c r="M283" i="27" s="1"/>
  <c r="F42" i="27"/>
  <c r="F283" i="27" s="1"/>
  <c r="L41" i="27"/>
  <c r="M264" i="27" s="1"/>
  <c r="F41" i="27"/>
  <c r="F264" i="27" s="1"/>
  <c r="L40" i="27"/>
  <c r="M245" i="27" s="1"/>
  <c r="F40" i="27"/>
  <c r="F245" i="27" s="1"/>
  <c r="L39" i="27"/>
  <c r="M226" i="27" s="1"/>
  <c r="F39" i="27"/>
  <c r="F226" i="27" s="1"/>
  <c r="L38" i="27"/>
  <c r="M207" i="27" s="1"/>
  <c r="F38" i="27"/>
  <c r="F207" i="27" s="1"/>
  <c r="K37" i="27"/>
  <c r="J37" i="27"/>
  <c r="H35" i="27"/>
  <c r="L33" i="27"/>
  <c r="M320" i="27" s="1"/>
  <c r="F33" i="27"/>
  <c r="F320" i="27" s="1"/>
  <c r="L32" i="27"/>
  <c r="M301" i="27" s="1"/>
  <c r="F32" i="27"/>
  <c r="F301" i="27" s="1"/>
  <c r="L31" i="27"/>
  <c r="M282" i="27" s="1"/>
  <c r="F31" i="27"/>
  <c r="F282" i="27" s="1"/>
  <c r="L30" i="27"/>
  <c r="M263" i="27" s="1"/>
  <c r="F30" i="27"/>
  <c r="F263" i="27" s="1"/>
  <c r="L29" i="27"/>
  <c r="M244" i="27" s="1"/>
  <c r="F29" i="27"/>
  <c r="F244" i="27" s="1"/>
  <c r="L28" i="27"/>
  <c r="M225" i="27" s="1"/>
  <c r="F28" i="27"/>
  <c r="F225" i="27" s="1"/>
  <c r="L27" i="27"/>
  <c r="M206" i="27" s="1"/>
  <c r="F27" i="27"/>
  <c r="F206" i="27" s="1"/>
  <c r="K26" i="27"/>
  <c r="J26" i="27"/>
  <c r="H24" i="27"/>
  <c r="L22" i="27"/>
  <c r="M319" i="27" s="1"/>
  <c r="F22" i="27"/>
  <c r="F319" i="27" s="1"/>
  <c r="L21" i="27"/>
  <c r="M300" i="27" s="1"/>
  <c r="F21" i="27"/>
  <c r="F300" i="27" s="1"/>
  <c r="L20" i="27"/>
  <c r="F20" i="27"/>
  <c r="F281" i="27" s="1"/>
  <c r="L19" i="27"/>
  <c r="M262" i="27" s="1"/>
  <c r="F19" i="27"/>
  <c r="F262" i="27" s="1"/>
  <c r="L18" i="27"/>
  <c r="M243" i="27" s="1"/>
  <c r="F18" i="27"/>
  <c r="F243" i="27" s="1"/>
  <c r="L17" i="27"/>
  <c r="M224" i="27" s="1"/>
  <c r="F17" i="27"/>
  <c r="F224" i="27" s="1"/>
  <c r="L16" i="27"/>
  <c r="M205" i="27" s="1"/>
  <c r="F16" i="27"/>
  <c r="F205" i="27" s="1"/>
  <c r="K15" i="27"/>
  <c r="J15" i="27"/>
  <c r="H13" i="27"/>
  <c r="L11" i="27"/>
  <c r="M318" i="27" s="1"/>
  <c r="F11" i="27"/>
  <c r="F318" i="27" s="1"/>
  <c r="L10" i="27"/>
  <c r="M299" i="27" s="1"/>
  <c r="F10" i="27"/>
  <c r="F299" i="27" s="1"/>
  <c r="L9" i="27"/>
  <c r="F9" i="27"/>
  <c r="F280" i="27" s="1"/>
  <c r="L8" i="27"/>
  <c r="M261" i="27" s="1"/>
  <c r="F8" i="27"/>
  <c r="F261" i="27" s="1"/>
  <c r="L7" i="27"/>
  <c r="M242" i="27" s="1"/>
  <c r="F7" i="27"/>
  <c r="F242" i="27" s="1"/>
  <c r="L6" i="27"/>
  <c r="F6" i="27"/>
  <c r="F223" i="27" s="1"/>
  <c r="L5" i="27"/>
  <c r="M204" i="27" s="1"/>
  <c r="F5" i="27"/>
  <c r="F204" i="27" s="1"/>
  <c r="K4" i="27"/>
  <c r="J4" i="27"/>
  <c r="H2" i="27"/>
  <c r="O25" i="4" l="1"/>
  <c r="A344" i="27"/>
  <c r="M227" i="27"/>
  <c r="C340" i="27"/>
  <c r="D345" i="27"/>
  <c r="D346" i="27"/>
  <c r="F337" i="27"/>
  <c r="D340" i="27"/>
  <c r="C341" i="27"/>
  <c r="C343" i="27"/>
  <c r="A345" i="27"/>
  <c r="C346" i="27"/>
  <c r="M281" i="27"/>
  <c r="M280" i="27"/>
  <c r="B344" i="27"/>
  <c r="K337" i="27"/>
  <c r="A343" i="27"/>
  <c r="A346" i="27"/>
  <c r="A342" i="27"/>
  <c r="F350" i="27"/>
  <c r="A340" i="27"/>
  <c r="D341" i="27"/>
  <c r="D343" i="27"/>
  <c r="B345" i="27"/>
  <c r="D342" i="27"/>
  <c r="C342" i="27"/>
  <c r="B342" i="27"/>
  <c r="C344" i="27"/>
  <c r="A341" i="27"/>
  <c r="D344" i="27"/>
  <c r="B341" i="27"/>
  <c r="B343" i="27"/>
  <c r="B346" i="27"/>
  <c r="B340" i="27"/>
  <c r="C345" i="27"/>
  <c r="B337" i="27"/>
  <c r="B351" i="27" l="1"/>
  <c r="D349" i="27"/>
  <c r="O342" i="27"/>
  <c r="N358" i="27" s="1"/>
  <c r="O341" i="27"/>
  <c r="N357" i="27" s="1"/>
  <c r="H346" i="27"/>
  <c r="I345" i="27"/>
  <c r="I344" i="27"/>
  <c r="I343" i="27"/>
  <c r="I341" i="27"/>
  <c r="I340" i="27"/>
  <c r="G346" i="27"/>
  <c r="H345" i="27"/>
  <c r="H344" i="27"/>
  <c r="H343" i="27"/>
  <c r="H341" i="27"/>
  <c r="H340" i="27"/>
  <c r="F346" i="27"/>
  <c r="G345" i="27"/>
  <c r="G344" i="27"/>
  <c r="G343" i="27"/>
  <c r="G341" i="27"/>
  <c r="G340" i="27"/>
  <c r="I346" i="27"/>
  <c r="F343" i="27"/>
  <c r="H342" i="27"/>
  <c r="F341" i="27"/>
  <c r="G342" i="27"/>
  <c r="F344" i="27"/>
  <c r="F340" i="27"/>
  <c r="F345" i="27"/>
  <c r="F342" i="27"/>
  <c r="I342" i="27"/>
  <c r="C339" i="27"/>
  <c r="H339" i="27" s="1"/>
  <c r="G337" i="27"/>
  <c r="L337" i="27" s="1"/>
  <c r="B339" i="27"/>
  <c r="G339" i="27" s="1"/>
  <c r="B349" i="27"/>
  <c r="D351" i="27"/>
  <c r="C33" i="13"/>
  <c r="O12" i="23"/>
  <c r="O11" i="23"/>
  <c r="O10" i="23"/>
  <c r="O9" i="23"/>
  <c r="O8" i="23"/>
  <c r="O7" i="23"/>
  <c r="P6" i="23"/>
  <c r="N12" i="23"/>
  <c r="N11" i="23"/>
  <c r="N10" i="23"/>
  <c r="N9" i="23"/>
  <c r="N8" i="23"/>
  <c r="N7" i="23"/>
  <c r="G11" i="23"/>
  <c r="G10" i="23"/>
  <c r="G9" i="23"/>
  <c r="G8" i="23"/>
  <c r="G7" i="23"/>
  <c r="B12" i="23"/>
  <c r="B11" i="23"/>
  <c r="B10" i="23"/>
  <c r="B9" i="23"/>
  <c r="B8" i="23"/>
  <c r="B7" i="23"/>
  <c r="D7" i="23" s="1"/>
  <c r="J7" i="23"/>
  <c r="J8" i="23"/>
  <c r="J9" i="23"/>
  <c r="J10" i="23"/>
  <c r="J11" i="23"/>
  <c r="J12" i="23"/>
  <c r="J13" i="23"/>
  <c r="J6" i="23"/>
  <c r="C12" i="23"/>
  <c r="A12" i="23"/>
  <c r="M12" i="23"/>
  <c r="M11" i="23"/>
  <c r="M10" i="23"/>
  <c r="M9" i="23"/>
  <c r="M8" i="23"/>
  <c r="M7" i="23"/>
  <c r="A11" i="23"/>
  <c r="A10" i="23"/>
  <c r="A8" i="23"/>
  <c r="A7" i="23"/>
  <c r="A9" i="23"/>
  <c r="G351" i="27" l="1"/>
  <c r="I351" i="27"/>
  <c r="G349" i="27"/>
  <c r="I349" i="27"/>
  <c r="C350" i="27"/>
  <c r="M341" i="27" s="1"/>
  <c r="M357" i="27" s="1"/>
  <c r="L345" i="27" s="1"/>
  <c r="E15" i="4" s="1"/>
  <c r="H350" i="27" l="1"/>
  <c r="M342" i="27" s="1"/>
  <c r="M358" i="27" s="1"/>
  <c r="L346" i="27" s="1"/>
  <c r="E16" i="4" s="1"/>
  <c r="L33" i="13"/>
  <c r="J33" i="13"/>
  <c r="A194" i="25"/>
  <c r="A199" i="25"/>
  <c r="B169" i="25" s="1"/>
  <c r="D194" i="25"/>
  <c r="F59" i="12" s="1"/>
  <c r="A195" i="25"/>
  <c r="G172" i="25" s="1"/>
  <c r="D195" i="25"/>
  <c r="F81" i="12" s="1"/>
  <c r="C78" i="12"/>
  <c r="A196" i="25"/>
  <c r="G177" i="25" s="1"/>
  <c r="D196" i="25"/>
  <c r="F95" i="12" s="1"/>
  <c r="C92" i="12"/>
  <c r="B48" i="4"/>
  <c r="B1" i="22"/>
  <c r="B2" i="22" s="1"/>
  <c r="K27" i="13" s="1"/>
  <c r="E20" i="4"/>
  <c r="O20" i="4" s="1"/>
  <c r="E21" i="4"/>
  <c r="O21" i="4" s="1"/>
  <c r="AX21" i="13"/>
  <c r="AB25" i="4" s="1"/>
  <c r="AB27" i="4" s="1"/>
  <c r="B38" i="13"/>
  <c r="B37" i="4" s="1"/>
  <c r="B38" i="5" s="1"/>
  <c r="B30" i="13"/>
  <c r="B30" i="4" s="1"/>
  <c r="B30" i="5" s="1"/>
  <c r="AB26" i="4"/>
  <c r="AB28" i="4" s="1"/>
  <c r="L42" i="5"/>
  <c r="L43" i="5"/>
  <c r="D40" i="4"/>
  <c r="D42" i="5" s="1"/>
  <c r="D41" i="4"/>
  <c r="D43" i="5" s="1"/>
  <c r="C38" i="4"/>
  <c r="C39" i="5" s="1"/>
  <c r="C40" i="4"/>
  <c r="C42" i="5" s="1"/>
  <c r="C41" i="4"/>
  <c r="C43" i="5" s="1"/>
  <c r="C39" i="4"/>
  <c r="C41" i="5" s="1"/>
  <c r="J195" i="25"/>
  <c r="F83" i="12" s="1"/>
  <c r="I83" i="12" s="1"/>
  <c r="K83" i="12" s="1"/>
  <c r="J196" i="25"/>
  <c r="F97" i="12" s="1"/>
  <c r="I97" i="12" s="1"/>
  <c r="K97" i="12" s="1"/>
  <c r="G195" i="25"/>
  <c r="G196" i="25"/>
  <c r="H84" i="12"/>
  <c r="G84" i="12"/>
  <c r="H83" i="12"/>
  <c r="G83" i="12"/>
  <c r="H82" i="12"/>
  <c r="G81" i="12"/>
  <c r="H98" i="12"/>
  <c r="G98" i="12"/>
  <c r="H97" i="12"/>
  <c r="G97" i="12"/>
  <c r="H96" i="12"/>
  <c r="G95" i="12"/>
  <c r="C56" i="12"/>
  <c r="M42" i="13"/>
  <c r="M43" i="13"/>
  <c r="K42" i="13"/>
  <c r="B195" i="25" s="1"/>
  <c r="K43" i="13"/>
  <c r="B196" i="25" s="1"/>
  <c r="J35" i="13"/>
  <c r="B147" i="23" s="1"/>
  <c r="J36" i="13"/>
  <c r="E35" i="4" s="1"/>
  <c r="J34" i="13"/>
  <c r="E33" i="4" s="1"/>
  <c r="L36" i="5"/>
  <c r="B36" i="5"/>
  <c r="D35" i="4"/>
  <c r="D36" i="5" s="1"/>
  <c r="C42" i="12"/>
  <c r="E46" i="12"/>
  <c r="E45" i="12"/>
  <c r="E44" i="12"/>
  <c r="A7" i="5"/>
  <c r="E7" i="5"/>
  <c r="K148" i="23"/>
  <c r="D148" i="23"/>
  <c r="A148" i="23"/>
  <c r="A140" i="23" s="1"/>
  <c r="L36" i="13"/>
  <c r="D44" i="12" s="1"/>
  <c r="G44" i="12" s="1"/>
  <c r="I44" i="12" s="1"/>
  <c r="B27" i="8"/>
  <c r="B26" i="8"/>
  <c r="D39" i="4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4" i="25"/>
  <c r="F61" i="12" s="1"/>
  <c r="G166" i="25"/>
  <c r="E166" i="25"/>
  <c r="D166" i="25"/>
  <c r="C166" i="25"/>
  <c r="G165" i="25"/>
  <c r="E165" i="25"/>
  <c r="D165" i="25"/>
  <c r="C165" i="25"/>
  <c r="G164" i="25"/>
  <c r="E164" i="25"/>
  <c r="D164" i="25"/>
  <c r="C164" i="25"/>
  <c r="G163" i="25"/>
  <c r="E163" i="25"/>
  <c r="D163" i="25"/>
  <c r="C163" i="25"/>
  <c r="G162" i="25"/>
  <c r="E162" i="25"/>
  <c r="D162" i="25"/>
  <c r="C162" i="25"/>
  <c r="G161" i="25"/>
  <c r="E161" i="25"/>
  <c r="D161" i="25"/>
  <c r="C161" i="25"/>
  <c r="G160" i="25"/>
  <c r="E160" i="25"/>
  <c r="D160" i="25"/>
  <c r="C160" i="25"/>
  <c r="G159" i="25"/>
  <c r="E159" i="25"/>
  <c r="D159" i="25"/>
  <c r="C159" i="25"/>
  <c r="G158" i="25"/>
  <c r="E158" i="25"/>
  <c r="D158" i="25"/>
  <c r="C158" i="25"/>
  <c r="G157" i="25"/>
  <c r="E157" i="25"/>
  <c r="D157" i="25"/>
  <c r="C157" i="25"/>
  <c r="G156" i="25"/>
  <c r="E156" i="25"/>
  <c r="D156" i="25"/>
  <c r="C156" i="25"/>
  <c r="G155" i="25"/>
  <c r="E155" i="25"/>
  <c r="D155" i="25"/>
  <c r="C155" i="25"/>
  <c r="G154" i="25"/>
  <c r="E154" i="25"/>
  <c r="D154" i="25"/>
  <c r="C154" i="25"/>
  <c r="G153" i="25"/>
  <c r="E153" i="25"/>
  <c r="D153" i="25"/>
  <c r="C153" i="25"/>
  <c r="G152" i="25"/>
  <c r="E152" i="25"/>
  <c r="D152" i="25"/>
  <c r="C152" i="25"/>
  <c r="G151" i="25"/>
  <c r="E151" i="25"/>
  <c r="D151" i="25"/>
  <c r="C151" i="25"/>
  <c r="G150" i="25"/>
  <c r="E150" i="25"/>
  <c r="D150" i="25"/>
  <c r="C150" i="25"/>
  <c r="G149" i="25"/>
  <c r="E149" i="25"/>
  <c r="D149" i="25"/>
  <c r="C149" i="25"/>
  <c r="G148" i="25"/>
  <c r="E148" i="25"/>
  <c r="D148" i="25"/>
  <c r="C148" i="25"/>
  <c r="G147" i="25"/>
  <c r="E147" i="25"/>
  <c r="D147" i="25"/>
  <c r="C147" i="25"/>
  <c r="P146" i="25"/>
  <c r="N146" i="25"/>
  <c r="M146" i="25"/>
  <c r="L146" i="25"/>
  <c r="G146" i="25"/>
  <c r="E146" i="25"/>
  <c r="D146" i="25"/>
  <c r="C146" i="25"/>
  <c r="P145" i="25"/>
  <c r="N145" i="25"/>
  <c r="M145" i="25"/>
  <c r="L145" i="25"/>
  <c r="G145" i="25"/>
  <c r="E145" i="25"/>
  <c r="D145" i="25"/>
  <c r="C145" i="25"/>
  <c r="P144" i="25"/>
  <c r="N144" i="25"/>
  <c r="M144" i="25"/>
  <c r="L144" i="25"/>
  <c r="G144" i="25"/>
  <c r="E144" i="25"/>
  <c r="D144" i="25"/>
  <c r="C144" i="25"/>
  <c r="P143" i="25"/>
  <c r="N143" i="25"/>
  <c r="M143" i="25"/>
  <c r="L143" i="25"/>
  <c r="G143" i="25"/>
  <c r="E143" i="25"/>
  <c r="D143" i="25"/>
  <c r="C143" i="25"/>
  <c r="P142" i="25"/>
  <c r="N142" i="25"/>
  <c r="M142" i="25"/>
  <c r="L142" i="25"/>
  <c r="G142" i="25"/>
  <c r="E142" i="25"/>
  <c r="D142" i="25"/>
  <c r="C142" i="25"/>
  <c r="P141" i="25"/>
  <c r="N141" i="25"/>
  <c r="M141" i="25"/>
  <c r="L141" i="25"/>
  <c r="G141" i="25"/>
  <c r="E141" i="25"/>
  <c r="D141" i="25"/>
  <c r="C141" i="25"/>
  <c r="P140" i="25"/>
  <c r="N140" i="25"/>
  <c r="M140" i="25"/>
  <c r="L140" i="25"/>
  <c r="G140" i="25"/>
  <c r="E140" i="25"/>
  <c r="D140" i="25"/>
  <c r="C140" i="25"/>
  <c r="P139" i="25"/>
  <c r="N139" i="25"/>
  <c r="M139" i="25"/>
  <c r="L139" i="25"/>
  <c r="G139" i="25"/>
  <c r="E139" i="25"/>
  <c r="D139" i="25"/>
  <c r="C139" i="25"/>
  <c r="P138" i="25"/>
  <c r="N138" i="25"/>
  <c r="M138" i="25"/>
  <c r="L138" i="25"/>
  <c r="G138" i="25"/>
  <c r="E138" i="25"/>
  <c r="D138" i="25"/>
  <c r="C138" i="25"/>
  <c r="P137" i="25"/>
  <c r="N137" i="25"/>
  <c r="M137" i="25"/>
  <c r="L137" i="25"/>
  <c r="G137" i="25"/>
  <c r="E137" i="25"/>
  <c r="D137" i="25"/>
  <c r="C137" i="25"/>
  <c r="G136" i="25"/>
  <c r="E136" i="25"/>
  <c r="D136" i="25"/>
  <c r="C136" i="25"/>
  <c r="G135" i="25"/>
  <c r="E135" i="25"/>
  <c r="D135" i="25"/>
  <c r="C135" i="25"/>
  <c r="G134" i="25"/>
  <c r="E134" i="25"/>
  <c r="D134" i="25"/>
  <c r="C134" i="25"/>
  <c r="G133" i="25"/>
  <c r="E133" i="25"/>
  <c r="D133" i="25"/>
  <c r="C133" i="25"/>
  <c r="G132" i="25"/>
  <c r="E132" i="25"/>
  <c r="D132" i="25"/>
  <c r="C132" i="25"/>
  <c r="P131" i="25"/>
  <c r="N131" i="25"/>
  <c r="M131" i="25"/>
  <c r="L131" i="25"/>
  <c r="G131" i="25"/>
  <c r="E131" i="25"/>
  <c r="D131" i="25"/>
  <c r="C131" i="25"/>
  <c r="P130" i="25"/>
  <c r="N130" i="25"/>
  <c r="M130" i="25"/>
  <c r="L130" i="25"/>
  <c r="G130" i="25"/>
  <c r="E130" i="25"/>
  <c r="D130" i="25"/>
  <c r="C130" i="25"/>
  <c r="P129" i="25"/>
  <c r="N129" i="25"/>
  <c r="M129" i="25"/>
  <c r="L129" i="25"/>
  <c r="G129" i="25"/>
  <c r="E129" i="25"/>
  <c r="D129" i="25"/>
  <c r="C129" i="25"/>
  <c r="P128" i="25"/>
  <c r="N128" i="25"/>
  <c r="M128" i="25"/>
  <c r="L128" i="25"/>
  <c r="G128" i="25"/>
  <c r="E128" i="25"/>
  <c r="D128" i="25"/>
  <c r="C128" i="25"/>
  <c r="P127" i="25"/>
  <c r="N127" i="25"/>
  <c r="M127" i="25"/>
  <c r="L127" i="25"/>
  <c r="G127" i="25"/>
  <c r="E127" i="25"/>
  <c r="D127" i="25"/>
  <c r="C127" i="25"/>
  <c r="P126" i="25"/>
  <c r="N126" i="25"/>
  <c r="M126" i="25"/>
  <c r="L126" i="25"/>
  <c r="G126" i="25"/>
  <c r="E126" i="25"/>
  <c r="D126" i="25"/>
  <c r="C126" i="25"/>
  <c r="P125" i="25"/>
  <c r="N125" i="25"/>
  <c r="M125" i="25"/>
  <c r="L125" i="25"/>
  <c r="G125" i="25"/>
  <c r="E125" i="25"/>
  <c r="D125" i="25"/>
  <c r="C125" i="25"/>
  <c r="P124" i="25"/>
  <c r="N124" i="25"/>
  <c r="M124" i="25"/>
  <c r="L124" i="25"/>
  <c r="G124" i="25"/>
  <c r="E124" i="25"/>
  <c r="D124" i="25"/>
  <c r="C124" i="25"/>
  <c r="P123" i="25"/>
  <c r="N123" i="25"/>
  <c r="M123" i="25"/>
  <c r="L123" i="25"/>
  <c r="G123" i="25"/>
  <c r="E123" i="25"/>
  <c r="D123" i="25"/>
  <c r="C123" i="25"/>
  <c r="P122" i="25"/>
  <c r="N122" i="25"/>
  <c r="M122" i="25"/>
  <c r="L122" i="25"/>
  <c r="G122" i="25"/>
  <c r="E122" i="25"/>
  <c r="D122" i="25"/>
  <c r="C122" i="25"/>
  <c r="G121" i="25"/>
  <c r="E121" i="25"/>
  <c r="D121" i="25"/>
  <c r="C121" i="25"/>
  <c r="G120" i="25"/>
  <c r="E120" i="25"/>
  <c r="D120" i="25"/>
  <c r="C120" i="25"/>
  <c r="G119" i="25"/>
  <c r="E119" i="25"/>
  <c r="D119" i="25"/>
  <c r="C119" i="25"/>
  <c r="G118" i="25"/>
  <c r="E118" i="25"/>
  <c r="D118" i="25"/>
  <c r="C118" i="25"/>
  <c r="G117" i="25"/>
  <c r="E117" i="25"/>
  <c r="D117" i="25"/>
  <c r="C117" i="25"/>
  <c r="P116" i="25"/>
  <c r="N116" i="25"/>
  <c r="M116" i="25"/>
  <c r="L116" i="25"/>
  <c r="G116" i="25"/>
  <c r="E116" i="25"/>
  <c r="D116" i="25"/>
  <c r="C116" i="25"/>
  <c r="P115" i="25"/>
  <c r="N115" i="25"/>
  <c r="M115" i="25"/>
  <c r="L115" i="25"/>
  <c r="G115" i="25"/>
  <c r="E115" i="25"/>
  <c r="D115" i="25"/>
  <c r="C115" i="25"/>
  <c r="P114" i="25"/>
  <c r="N114" i="25"/>
  <c r="M114" i="25"/>
  <c r="L114" i="25"/>
  <c r="G114" i="25"/>
  <c r="E114" i="25"/>
  <c r="D114" i="25"/>
  <c r="C114" i="25"/>
  <c r="P113" i="25"/>
  <c r="N113" i="25"/>
  <c r="M113" i="25"/>
  <c r="L113" i="25"/>
  <c r="G113" i="25"/>
  <c r="E113" i="25"/>
  <c r="D113" i="25"/>
  <c r="C113" i="25"/>
  <c r="P112" i="25"/>
  <c r="N112" i="25"/>
  <c r="M112" i="25"/>
  <c r="L112" i="25"/>
  <c r="G112" i="25"/>
  <c r="E112" i="25"/>
  <c r="D112" i="25"/>
  <c r="C112" i="25"/>
  <c r="P111" i="25"/>
  <c r="N111" i="25"/>
  <c r="M111" i="25"/>
  <c r="L111" i="25"/>
  <c r="G111" i="25"/>
  <c r="E111" i="25"/>
  <c r="D111" i="25"/>
  <c r="C111" i="25"/>
  <c r="P110" i="25"/>
  <c r="N110" i="25"/>
  <c r="M110" i="25"/>
  <c r="L110" i="25"/>
  <c r="G110" i="25"/>
  <c r="E110" i="25"/>
  <c r="D110" i="25"/>
  <c r="C110" i="25"/>
  <c r="P109" i="25"/>
  <c r="N109" i="25"/>
  <c r="M109" i="25"/>
  <c r="L109" i="25"/>
  <c r="G109" i="25"/>
  <c r="E109" i="25"/>
  <c r="D109" i="25"/>
  <c r="C109" i="25"/>
  <c r="P108" i="25"/>
  <c r="N108" i="25"/>
  <c r="M108" i="25"/>
  <c r="L108" i="25"/>
  <c r="G108" i="25"/>
  <c r="E108" i="25"/>
  <c r="D108" i="25"/>
  <c r="C108" i="25"/>
  <c r="P107" i="25"/>
  <c r="N107" i="25"/>
  <c r="M107" i="25"/>
  <c r="L107" i="25"/>
  <c r="G107" i="25"/>
  <c r="E107" i="25"/>
  <c r="D107" i="25"/>
  <c r="C107" i="25"/>
  <c r="P106" i="25"/>
  <c r="N106" i="25"/>
  <c r="M106" i="25"/>
  <c r="L106" i="25"/>
  <c r="G106" i="25"/>
  <c r="E106" i="25"/>
  <c r="D106" i="25"/>
  <c r="C106" i="25"/>
  <c r="P105" i="25"/>
  <c r="N105" i="25"/>
  <c r="M105" i="25"/>
  <c r="L105" i="25"/>
  <c r="G105" i="25"/>
  <c r="E105" i="25"/>
  <c r="D105" i="25"/>
  <c r="C105" i="25"/>
  <c r="P104" i="25"/>
  <c r="N104" i="25"/>
  <c r="M104" i="25"/>
  <c r="L104" i="25"/>
  <c r="G104" i="25"/>
  <c r="E104" i="25"/>
  <c r="D104" i="25"/>
  <c r="C104" i="25"/>
  <c r="P103" i="25"/>
  <c r="N103" i="25"/>
  <c r="M103" i="25"/>
  <c r="L103" i="25"/>
  <c r="G103" i="25"/>
  <c r="E103" i="25"/>
  <c r="D103" i="25"/>
  <c r="C103" i="25"/>
  <c r="P102" i="25"/>
  <c r="N102" i="25"/>
  <c r="M102" i="25"/>
  <c r="L102" i="25"/>
  <c r="G102" i="25"/>
  <c r="E102" i="25"/>
  <c r="D102" i="25"/>
  <c r="C102" i="25"/>
  <c r="P101" i="25"/>
  <c r="N101" i="25"/>
  <c r="M101" i="25"/>
  <c r="L101" i="25"/>
  <c r="G101" i="25"/>
  <c r="E101" i="25"/>
  <c r="D101" i="25"/>
  <c r="C101" i="25"/>
  <c r="P100" i="25"/>
  <c r="N100" i="25"/>
  <c r="M100" i="25"/>
  <c r="L100" i="25"/>
  <c r="G100" i="25"/>
  <c r="E100" i="25"/>
  <c r="D100" i="25"/>
  <c r="C100" i="25"/>
  <c r="P99" i="25"/>
  <c r="N99" i="25"/>
  <c r="M99" i="25"/>
  <c r="L99" i="25"/>
  <c r="G99" i="25"/>
  <c r="E99" i="25"/>
  <c r="D99" i="25"/>
  <c r="C99" i="25"/>
  <c r="P98" i="25"/>
  <c r="N98" i="25"/>
  <c r="M98" i="25"/>
  <c r="L98" i="25"/>
  <c r="G98" i="25"/>
  <c r="E98" i="25"/>
  <c r="D98" i="25"/>
  <c r="C98" i="25"/>
  <c r="P97" i="25"/>
  <c r="N97" i="25"/>
  <c r="M97" i="25"/>
  <c r="L97" i="25"/>
  <c r="G97" i="25"/>
  <c r="E97" i="25"/>
  <c r="D97" i="25"/>
  <c r="C97" i="25"/>
  <c r="P96" i="25"/>
  <c r="N96" i="25"/>
  <c r="M96" i="25"/>
  <c r="L96" i="25"/>
  <c r="G96" i="25"/>
  <c r="E96" i="25"/>
  <c r="D96" i="25"/>
  <c r="C96" i="25"/>
  <c r="P95" i="25"/>
  <c r="N95" i="25"/>
  <c r="M95" i="25"/>
  <c r="L95" i="25"/>
  <c r="G95" i="25"/>
  <c r="E95" i="25"/>
  <c r="D95" i="25"/>
  <c r="C95" i="25"/>
  <c r="P94" i="25"/>
  <c r="N94" i="25"/>
  <c r="M94" i="25"/>
  <c r="L94" i="25"/>
  <c r="G94" i="25"/>
  <c r="E94" i="25"/>
  <c r="D94" i="25"/>
  <c r="C94" i="25"/>
  <c r="P93" i="25"/>
  <c r="N93" i="25"/>
  <c r="M93" i="25"/>
  <c r="L93" i="25"/>
  <c r="G93" i="25"/>
  <c r="E93" i="25"/>
  <c r="D93" i="25"/>
  <c r="C93" i="25"/>
  <c r="P92" i="25"/>
  <c r="N92" i="25"/>
  <c r="M92" i="25"/>
  <c r="L92" i="25"/>
  <c r="G92" i="25"/>
  <c r="E92" i="25"/>
  <c r="D92" i="25"/>
  <c r="C92" i="25"/>
  <c r="J89" i="25"/>
  <c r="P67" i="25"/>
  <c r="J67" i="25"/>
  <c r="D67" i="25"/>
  <c r="P66" i="25"/>
  <c r="J66" i="25"/>
  <c r="D66" i="25"/>
  <c r="P65" i="25"/>
  <c r="J65" i="25"/>
  <c r="D65" i="25"/>
  <c r="P64" i="25"/>
  <c r="O106" i="25" s="1"/>
  <c r="J64" i="25"/>
  <c r="O105" i="25" s="1"/>
  <c r="D64" i="25"/>
  <c r="O104" i="25" s="1"/>
  <c r="P63" i="25"/>
  <c r="F166" i="25" s="1"/>
  <c r="J63" i="25"/>
  <c r="F165" i="25"/>
  <c r="D63" i="25"/>
  <c r="F164" i="25" s="1"/>
  <c r="P62" i="25"/>
  <c r="F151" i="25" s="1"/>
  <c r="J62" i="25"/>
  <c r="F150" i="25" s="1"/>
  <c r="D62" i="25"/>
  <c r="F149" i="25" s="1"/>
  <c r="P61" i="25"/>
  <c r="F136" i="25" s="1"/>
  <c r="J61" i="25"/>
  <c r="F135" i="25" s="1"/>
  <c r="D61" i="25"/>
  <c r="F134" i="25" s="1"/>
  <c r="P60" i="25"/>
  <c r="F121" i="25" s="1"/>
  <c r="J60" i="25"/>
  <c r="F120" i="25" s="1"/>
  <c r="D60" i="25"/>
  <c r="F119" i="25" s="1"/>
  <c r="P59" i="25"/>
  <c r="F106" i="25"/>
  <c r="J59" i="25"/>
  <c r="F105" i="25" s="1"/>
  <c r="D59" i="25"/>
  <c r="F104" i="25" s="1"/>
  <c r="P54" i="25"/>
  <c r="J54" i="25"/>
  <c r="O146" i="25" s="1"/>
  <c r="D54" i="25"/>
  <c r="O145" i="25" s="1"/>
  <c r="P53" i="25"/>
  <c r="J53" i="25"/>
  <c r="O131" i="25" s="1"/>
  <c r="D53" i="25"/>
  <c r="O130" i="25" s="1"/>
  <c r="P52" i="25"/>
  <c r="J52" i="25"/>
  <c r="O116" i="25" s="1"/>
  <c r="D52" i="25"/>
  <c r="O115" i="25" s="1"/>
  <c r="P51" i="25"/>
  <c r="O103" i="25" s="1"/>
  <c r="J51" i="25"/>
  <c r="O102" i="25" s="1"/>
  <c r="D51" i="25"/>
  <c r="O100" i="25" s="1"/>
  <c r="P50" i="25"/>
  <c r="F163" i="25" s="1"/>
  <c r="J50" i="25"/>
  <c r="F162" i="25" s="1"/>
  <c r="D50" i="25"/>
  <c r="F161" i="25" s="1"/>
  <c r="P49" i="25"/>
  <c r="F148" i="25" s="1"/>
  <c r="J49" i="25"/>
  <c r="F147" i="25" s="1"/>
  <c r="D49" i="25"/>
  <c r="F146" i="25" s="1"/>
  <c r="P48" i="25"/>
  <c r="F133" i="25" s="1"/>
  <c r="J48" i="25"/>
  <c r="F132" i="25" s="1"/>
  <c r="D48" i="25"/>
  <c r="F131" i="25" s="1"/>
  <c r="P47" i="25"/>
  <c r="F118" i="25" s="1"/>
  <c r="J47" i="25"/>
  <c r="F117" i="25" s="1"/>
  <c r="D47" i="25"/>
  <c r="F116" i="25" s="1"/>
  <c r="P46" i="25"/>
  <c r="F103" i="25" s="1"/>
  <c r="J46" i="25"/>
  <c r="F102" i="25" s="1"/>
  <c r="D46" i="25"/>
  <c r="F101" i="25" s="1"/>
  <c r="P41" i="25"/>
  <c r="J41" i="25"/>
  <c r="O144" i="25" s="1"/>
  <c r="D41" i="25"/>
  <c r="O143" i="25" s="1"/>
  <c r="P40" i="25"/>
  <c r="J40" i="25"/>
  <c r="O129" i="25" s="1"/>
  <c r="D40" i="25"/>
  <c r="O128" i="25" s="1"/>
  <c r="P39" i="25"/>
  <c r="J39" i="25"/>
  <c r="O114" i="25"/>
  <c r="D39" i="25"/>
  <c r="O113" i="25" s="1"/>
  <c r="P38" i="25"/>
  <c r="J38" i="25"/>
  <c r="O99" i="25" s="1"/>
  <c r="D38" i="25"/>
  <c r="O98" i="25" s="1"/>
  <c r="P37" i="25"/>
  <c r="F160" i="25" s="1"/>
  <c r="J37" i="25"/>
  <c r="F159" i="25"/>
  <c r="D37" i="25"/>
  <c r="F158" i="25" s="1"/>
  <c r="P36" i="25"/>
  <c r="F145" i="25" s="1"/>
  <c r="J36" i="25"/>
  <c r="F144" i="25" s="1"/>
  <c r="D36" i="25"/>
  <c r="F143" i="25" s="1"/>
  <c r="P35" i="25"/>
  <c r="F130" i="25" s="1"/>
  <c r="J35" i="25"/>
  <c r="F129" i="25" s="1"/>
  <c r="D35" i="25"/>
  <c r="F128" i="25"/>
  <c r="P34" i="25"/>
  <c r="F115" i="25" s="1"/>
  <c r="J34" i="25"/>
  <c r="F114" i="25" s="1"/>
  <c r="D34" i="25"/>
  <c r="F113" i="25" s="1"/>
  <c r="P33" i="25"/>
  <c r="F100" i="25" s="1"/>
  <c r="J33" i="25"/>
  <c r="F99" i="25" s="1"/>
  <c r="D33" i="25"/>
  <c r="F98" i="25" s="1"/>
  <c r="P27" i="25"/>
  <c r="O142" i="25" s="1"/>
  <c r="J27" i="25"/>
  <c r="O141" i="25" s="1"/>
  <c r="D27" i="25"/>
  <c r="O140" i="25" s="1"/>
  <c r="P26" i="25"/>
  <c r="O127" i="25" s="1"/>
  <c r="J26" i="25"/>
  <c r="O126" i="25" s="1"/>
  <c r="D26" i="25"/>
  <c r="O125" i="25" s="1"/>
  <c r="P25" i="25"/>
  <c r="O112" i="25" s="1"/>
  <c r="J25" i="25"/>
  <c r="O111" i="25" s="1"/>
  <c r="D25" i="25"/>
  <c r="O110" i="25" s="1"/>
  <c r="P24" i="25"/>
  <c r="O97" i="25" s="1"/>
  <c r="J24" i="25"/>
  <c r="O96" i="25" s="1"/>
  <c r="D24" i="25"/>
  <c r="O95" i="25" s="1"/>
  <c r="P23" i="25"/>
  <c r="F157" i="25" s="1"/>
  <c r="J23" i="25"/>
  <c r="F156" i="25"/>
  <c r="D23" i="25"/>
  <c r="F155" i="25" s="1"/>
  <c r="P22" i="25"/>
  <c r="F142" i="25" s="1"/>
  <c r="J22" i="25"/>
  <c r="F141" i="25" s="1"/>
  <c r="D22" i="25"/>
  <c r="F140" i="25" s="1"/>
  <c r="P21" i="25"/>
  <c r="F127" i="25" s="1"/>
  <c r="J21" i="25"/>
  <c r="F126" i="25" s="1"/>
  <c r="D21" i="25"/>
  <c r="F125" i="25" s="1"/>
  <c r="P20" i="25"/>
  <c r="F112" i="25" s="1"/>
  <c r="J20" i="25"/>
  <c r="F111" i="25" s="1"/>
  <c r="D20" i="25"/>
  <c r="F110" i="25" s="1"/>
  <c r="P19" i="25"/>
  <c r="F97" i="25" s="1"/>
  <c r="J19" i="25"/>
  <c r="F96" i="25" s="1"/>
  <c r="D19" i="25"/>
  <c r="F95" i="25" s="1"/>
  <c r="A18" i="25"/>
  <c r="A32" i="25" s="1"/>
  <c r="A17" i="25"/>
  <c r="G17" i="25" s="1"/>
  <c r="M17" i="25" s="1"/>
  <c r="A31" i="25"/>
  <c r="M31" i="25" s="1"/>
  <c r="M44" i="25" s="1"/>
  <c r="M57" i="25" s="1"/>
  <c r="E16" i="25"/>
  <c r="E30" i="25" s="1"/>
  <c r="P14" i="25"/>
  <c r="O139" i="25" s="1"/>
  <c r="J14" i="25"/>
  <c r="O138" i="25" s="1"/>
  <c r="D14" i="25"/>
  <c r="O137" i="25" s="1"/>
  <c r="P13" i="25"/>
  <c r="O124" i="25"/>
  <c r="J13" i="25"/>
  <c r="O123" i="25" s="1"/>
  <c r="D13" i="25"/>
  <c r="O122" i="25" s="1"/>
  <c r="P12" i="25"/>
  <c r="O109" i="25" s="1"/>
  <c r="J12" i="25"/>
  <c r="O108" i="25" s="1"/>
  <c r="D12" i="25"/>
  <c r="O107" i="25" s="1"/>
  <c r="P11" i="25"/>
  <c r="O94" i="25" s="1"/>
  <c r="J11" i="25"/>
  <c r="O93" i="25" s="1"/>
  <c r="D11" i="25"/>
  <c r="O92" i="25" s="1"/>
  <c r="P10" i="25"/>
  <c r="F154" i="25" s="1"/>
  <c r="J10" i="25"/>
  <c r="F153" i="25"/>
  <c r="D10" i="25"/>
  <c r="F152" i="25" s="1"/>
  <c r="P9" i="25"/>
  <c r="F139" i="25"/>
  <c r="J9" i="25"/>
  <c r="F138" i="25" s="1"/>
  <c r="D9" i="25"/>
  <c r="F137" i="25" s="1"/>
  <c r="P8" i="25"/>
  <c r="F124" i="25" s="1"/>
  <c r="J8" i="25"/>
  <c r="F123" i="25" s="1"/>
  <c r="D8" i="25"/>
  <c r="F122" i="25" s="1"/>
  <c r="P7" i="25"/>
  <c r="F109" i="25" s="1"/>
  <c r="J7" i="25"/>
  <c r="F108" i="25" s="1"/>
  <c r="D7" i="25"/>
  <c r="F107" i="25" s="1"/>
  <c r="P6" i="25"/>
  <c r="F94" i="25" s="1"/>
  <c r="J6" i="25"/>
  <c r="F93" i="25" s="1"/>
  <c r="D6" i="25"/>
  <c r="F92" i="25" s="1"/>
  <c r="G5" i="25"/>
  <c r="M5" i="25" s="1"/>
  <c r="G4" i="25"/>
  <c r="M4" i="25" s="1"/>
  <c r="K3" i="25"/>
  <c r="Q3" i="25" s="1"/>
  <c r="A150" i="23"/>
  <c r="B113" i="23" s="1"/>
  <c r="D146" i="23"/>
  <c r="D147" i="23"/>
  <c r="D145" i="23"/>
  <c r="A147" i="23"/>
  <c r="A146" i="23"/>
  <c r="A145" i="23"/>
  <c r="J153" i="23"/>
  <c r="J152" i="23"/>
  <c r="J151" i="23"/>
  <c r="I153" i="23"/>
  <c r="I152" i="23"/>
  <c r="I151" i="23"/>
  <c r="F63" i="23"/>
  <c r="N4" i="23"/>
  <c r="G5" i="23"/>
  <c r="M5" i="23" s="1"/>
  <c r="G4" i="23"/>
  <c r="M4" i="23" s="1"/>
  <c r="P3" i="23"/>
  <c r="P13" i="23"/>
  <c r="O83" i="23" s="1"/>
  <c r="P12" i="23"/>
  <c r="O73" i="23" s="1"/>
  <c r="P11" i="23"/>
  <c r="O63" i="23" s="1"/>
  <c r="P10" i="23"/>
  <c r="F103" i="23" s="1"/>
  <c r="P9" i="23"/>
  <c r="F93" i="23" s="1"/>
  <c r="P8" i="23"/>
  <c r="F83" i="23" s="1"/>
  <c r="P7" i="23"/>
  <c r="F73" i="23" s="1"/>
  <c r="O62" i="23"/>
  <c r="F102" i="23"/>
  <c r="F92" i="23"/>
  <c r="F82" i="23"/>
  <c r="F72" i="23"/>
  <c r="F62" i="23"/>
  <c r="D13" i="23"/>
  <c r="O81" i="23" s="1"/>
  <c r="D12" i="23"/>
  <c r="O71" i="23" s="1"/>
  <c r="D11" i="23"/>
  <c r="O61" i="23" s="1"/>
  <c r="D10" i="23"/>
  <c r="F101" i="23" s="1"/>
  <c r="D9" i="23"/>
  <c r="F91" i="23" s="1"/>
  <c r="D8" i="23"/>
  <c r="F81" i="23" s="1"/>
  <c r="F71" i="23"/>
  <c r="D6" i="23"/>
  <c r="F61" i="23" s="1"/>
  <c r="A205" i="23"/>
  <c r="A208" i="23" s="1"/>
  <c r="A186" i="23"/>
  <c r="A189" i="23" s="1"/>
  <c r="A191" i="23" s="1"/>
  <c r="A194" i="23" s="1"/>
  <c r="J160" i="23"/>
  <c r="I160" i="23"/>
  <c r="J159" i="23"/>
  <c r="I159" i="23"/>
  <c r="J158" i="23"/>
  <c r="I158" i="23"/>
  <c r="L157" i="23"/>
  <c r="J157" i="23"/>
  <c r="I157" i="23"/>
  <c r="L156" i="23"/>
  <c r="J156" i="23"/>
  <c r="I156" i="23"/>
  <c r="L155" i="23"/>
  <c r="J155" i="23"/>
  <c r="I155" i="23"/>
  <c r="L154" i="23"/>
  <c r="J154" i="23"/>
  <c r="I154" i="23"/>
  <c r="L153" i="23"/>
  <c r="L152" i="23"/>
  <c r="L151" i="23"/>
  <c r="G110" i="23"/>
  <c r="E110" i="23"/>
  <c r="D110" i="23"/>
  <c r="C110" i="23"/>
  <c r="G109" i="23"/>
  <c r="E109" i="23"/>
  <c r="D109" i="23"/>
  <c r="C109" i="23"/>
  <c r="G108" i="23"/>
  <c r="E108" i="23"/>
  <c r="D108" i="23"/>
  <c r="C108" i="23"/>
  <c r="G107" i="23"/>
  <c r="E107" i="23"/>
  <c r="D107" i="23"/>
  <c r="C107" i="23"/>
  <c r="G106" i="23"/>
  <c r="E106" i="23"/>
  <c r="D106" i="23"/>
  <c r="C106" i="23"/>
  <c r="G105" i="23"/>
  <c r="F105" i="23"/>
  <c r="E105" i="23"/>
  <c r="D105" i="23"/>
  <c r="C105" i="23"/>
  <c r="G104" i="23"/>
  <c r="E104" i="23"/>
  <c r="D104" i="23"/>
  <c r="C104" i="23"/>
  <c r="G103" i="23"/>
  <c r="E103" i="23"/>
  <c r="D103" i="23"/>
  <c r="C103" i="23"/>
  <c r="G102" i="23"/>
  <c r="E102" i="23"/>
  <c r="D102" i="23"/>
  <c r="C102" i="23"/>
  <c r="G101" i="23"/>
  <c r="E101" i="23"/>
  <c r="D101" i="23"/>
  <c r="C101" i="23"/>
  <c r="P100" i="23"/>
  <c r="N100" i="23"/>
  <c r="M100" i="23"/>
  <c r="L100" i="23"/>
  <c r="G100" i="23"/>
  <c r="E100" i="23"/>
  <c r="D100" i="23"/>
  <c r="C100" i="23"/>
  <c r="P99" i="23"/>
  <c r="N99" i="23"/>
  <c r="M99" i="23"/>
  <c r="L99" i="23"/>
  <c r="G99" i="23"/>
  <c r="F99" i="23"/>
  <c r="E99" i="23"/>
  <c r="D99" i="23"/>
  <c r="C99" i="23"/>
  <c r="P98" i="23"/>
  <c r="N98" i="23"/>
  <c r="M98" i="23"/>
  <c r="L98" i="23"/>
  <c r="G98" i="23"/>
  <c r="E98" i="23"/>
  <c r="D98" i="23"/>
  <c r="C98" i="23"/>
  <c r="P97" i="23"/>
  <c r="N97" i="23"/>
  <c r="M97" i="23"/>
  <c r="L97" i="23"/>
  <c r="G97" i="23"/>
  <c r="E97" i="23"/>
  <c r="D97" i="23"/>
  <c r="C97" i="23"/>
  <c r="P96" i="23"/>
  <c r="N96" i="23"/>
  <c r="M96" i="23"/>
  <c r="L96" i="23"/>
  <c r="G96" i="23"/>
  <c r="E96" i="23"/>
  <c r="D96" i="23"/>
  <c r="C96" i="23"/>
  <c r="P95" i="23"/>
  <c r="N95" i="23"/>
  <c r="M95" i="23"/>
  <c r="L95" i="23"/>
  <c r="G95" i="23"/>
  <c r="E95" i="23"/>
  <c r="D95" i="23"/>
  <c r="C95" i="23"/>
  <c r="P94" i="23"/>
  <c r="N94" i="23"/>
  <c r="M94" i="23"/>
  <c r="L94" i="23"/>
  <c r="G94" i="23"/>
  <c r="E94" i="23"/>
  <c r="D94" i="23"/>
  <c r="C94" i="23"/>
  <c r="P93" i="23"/>
  <c r="N93" i="23"/>
  <c r="M93" i="23"/>
  <c r="L93" i="23"/>
  <c r="G93" i="23"/>
  <c r="E93" i="23"/>
  <c r="D93" i="23"/>
  <c r="C93" i="23"/>
  <c r="P92" i="23"/>
  <c r="N92" i="23"/>
  <c r="M92" i="23"/>
  <c r="L92" i="23"/>
  <c r="G92" i="23"/>
  <c r="E92" i="23"/>
  <c r="D92" i="23"/>
  <c r="C92" i="23"/>
  <c r="P91" i="23"/>
  <c r="N91" i="23"/>
  <c r="M91" i="23"/>
  <c r="L91" i="23"/>
  <c r="G91" i="23"/>
  <c r="E91" i="23"/>
  <c r="D91" i="23"/>
  <c r="C91" i="23"/>
  <c r="P90" i="23"/>
  <c r="N90" i="23"/>
  <c r="M90" i="23"/>
  <c r="L90" i="23"/>
  <c r="G90" i="23"/>
  <c r="E90" i="23"/>
  <c r="D90" i="23"/>
  <c r="C90" i="23"/>
  <c r="P89" i="23"/>
  <c r="N89" i="23"/>
  <c r="M89" i="23"/>
  <c r="L89" i="23"/>
  <c r="G89" i="23"/>
  <c r="E89" i="23"/>
  <c r="D89" i="23"/>
  <c r="C89" i="23"/>
  <c r="P88" i="23"/>
  <c r="N88" i="23"/>
  <c r="M88" i="23"/>
  <c r="L88" i="23"/>
  <c r="G88" i="23"/>
  <c r="E88" i="23"/>
  <c r="D88" i="23"/>
  <c r="C88" i="23"/>
  <c r="P87" i="23"/>
  <c r="N87" i="23"/>
  <c r="M87" i="23"/>
  <c r="L87" i="23"/>
  <c r="G87" i="23"/>
  <c r="F87" i="23"/>
  <c r="E87" i="23"/>
  <c r="D87" i="23"/>
  <c r="C87" i="23"/>
  <c r="P86" i="23"/>
  <c r="N86" i="23"/>
  <c r="M86" i="23"/>
  <c r="L86" i="23"/>
  <c r="G86" i="23"/>
  <c r="E86" i="23"/>
  <c r="D86" i="23"/>
  <c r="C86" i="23"/>
  <c r="P85" i="23"/>
  <c r="N85" i="23"/>
  <c r="M85" i="23"/>
  <c r="L85" i="23"/>
  <c r="G85" i="23"/>
  <c r="E85" i="23"/>
  <c r="D85" i="23"/>
  <c r="C85" i="23"/>
  <c r="P84" i="23"/>
  <c r="N84" i="23"/>
  <c r="M84" i="23"/>
  <c r="L84" i="23"/>
  <c r="G84" i="23"/>
  <c r="E84" i="23"/>
  <c r="D84" i="23"/>
  <c r="C84" i="23"/>
  <c r="P83" i="23"/>
  <c r="N83" i="23"/>
  <c r="M83" i="23"/>
  <c r="L83" i="23"/>
  <c r="G83" i="23"/>
  <c r="E83" i="23"/>
  <c r="D83" i="23"/>
  <c r="C83" i="23"/>
  <c r="P82" i="23"/>
  <c r="N82" i="23"/>
  <c r="M82" i="23"/>
  <c r="L82" i="23"/>
  <c r="G82" i="23"/>
  <c r="E82" i="23"/>
  <c r="D82" i="23"/>
  <c r="C82" i="23"/>
  <c r="P81" i="23"/>
  <c r="N81" i="23"/>
  <c r="M81" i="23"/>
  <c r="L81" i="23"/>
  <c r="G81" i="23"/>
  <c r="E81" i="23"/>
  <c r="D81" i="23"/>
  <c r="C81" i="23"/>
  <c r="P80" i="23"/>
  <c r="N80" i="23"/>
  <c r="M80" i="23"/>
  <c r="L80" i="23"/>
  <c r="G80" i="23"/>
  <c r="F80" i="23"/>
  <c r="E80" i="23"/>
  <c r="D80" i="23"/>
  <c r="C80" i="23"/>
  <c r="P79" i="23"/>
  <c r="N79" i="23"/>
  <c r="M79" i="23"/>
  <c r="L79" i="23"/>
  <c r="G79" i="23"/>
  <c r="E79" i="23"/>
  <c r="D79" i="23"/>
  <c r="C79" i="23"/>
  <c r="P78" i="23"/>
  <c r="N78" i="23"/>
  <c r="M78" i="23"/>
  <c r="L78" i="23"/>
  <c r="G78" i="23"/>
  <c r="E78" i="23"/>
  <c r="D78" i="23"/>
  <c r="C78" i="23"/>
  <c r="P77" i="23"/>
  <c r="N77" i="23"/>
  <c r="M77" i="23"/>
  <c r="L77" i="23"/>
  <c r="G77" i="23"/>
  <c r="E77" i="23"/>
  <c r="D77" i="23"/>
  <c r="C77" i="23"/>
  <c r="P76" i="23"/>
  <c r="N76" i="23"/>
  <c r="M76" i="23"/>
  <c r="L76" i="23"/>
  <c r="G76" i="23"/>
  <c r="E76" i="23"/>
  <c r="D76" i="23"/>
  <c r="C76" i="23"/>
  <c r="P75" i="23"/>
  <c r="N75" i="23"/>
  <c r="M75" i="23"/>
  <c r="L75" i="23"/>
  <c r="G75" i="23"/>
  <c r="F75" i="23"/>
  <c r="E75" i="23"/>
  <c r="D75" i="23"/>
  <c r="C75" i="23"/>
  <c r="P74" i="23"/>
  <c r="N74" i="23"/>
  <c r="M74" i="23"/>
  <c r="L74" i="23"/>
  <c r="G74" i="23"/>
  <c r="E74" i="23"/>
  <c r="D74" i="23"/>
  <c r="C74" i="23"/>
  <c r="P73" i="23"/>
  <c r="N73" i="23"/>
  <c r="M73" i="23"/>
  <c r="L73" i="23"/>
  <c r="G73" i="23"/>
  <c r="E73" i="23"/>
  <c r="D73" i="23"/>
  <c r="C73" i="23"/>
  <c r="P72" i="23"/>
  <c r="N72" i="23"/>
  <c r="M72" i="23"/>
  <c r="L72" i="23"/>
  <c r="G72" i="23"/>
  <c r="E72" i="23"/>
  <c r="D72" i="23"/>
  <c r="C72" i="23"/>
  <c r="P71" i="23"/>
  <c r="N71" i="23"/>
  <c r="M71" i="23"/>
  <c r="L71" i="23"/>
  <c r="G71" i="23"/>
  <c r="E71" i="23"/>
  <c r="D71" i="23"/>
  <c r="C71" i="23"/>
  <c r="P70" i="23"/>
  <c r="N70" i="23"/>
  <c r="M70" i="23"/>
  <c r="L70" i="23"/>
  <c r="G70" i="23"/>
  <c r="E70" i="23"/>
  <c r="D70" i="23"/>
  <c r="C70" i="23"/>
  <c r="P69" i="23"/>
  <c r="N69" i="23"/>
  <c r="M69" i="23"/>
  <c r="L69" i="23"/>
  <c r="G69" i="23"/>
  <c r="E69" i="23"/>
  <c r="D69" i="23"/>
  <c r="C69" i="23"/>
  <c r="P68" i="23"/>
  <c r="N68" i="23"/>
  <c r="M68" i="23"/>
  <c r="L68" i="23"/>
  <c r="G68" i="23"/>
  <c r="E68" i="23"/>
  <c r="D68" i="23"/>
  <c r="C68" i="23"/>
  <c r="P67" i="23"/>
  <c r="N67" i="23"/>
  <c r="M67" i="23"/>
  <c r="L67" i="23"/>
  <c r="G67" i="23"/>
  <c r="F67" i="23"/>
  <c r="E67" i="23"/>
  <c r="D67" i="23"/>
  <c r="C67" i="23"/>
  <c r="P66" i="23"/>
  <c r="N66" i="23"/>
  <c r="M66" i="23"/>
  <c r="L66" i="23"/>
  <c r="G66" i="23"/>
  <c r="E66" i="23"/>
  <c r="D66" i="23"/>
  <c r="C66" i="23"/>
  <c r="P65" i="23"/>
  <c r="N65" i="23"/>
  <c r="M65" i="23"/>
  <c r="L65" i="23"/>
  <c r="G65" i="23"/>
  <c r="E65" i="23"/>
  <c r="D65" i="23"/>
  <c r="C65" i="23"/>
  <c r="P64" i="23"/>
  <c r="O64" i="23"/>
  <c r="N64" i="23"/>
  <c r="M64" i="23"/>
  <c r="L64" i="23"/>
  <c r="G64" i="23"/>
  <c r="E64" i="23"/>
  <c r="D64" i="23"/>
  <c r="C64" i="23"/>
  <c r="P63" i="23"/>
  <c r="N63" i="23"/>
  <c r="M63" i="23"/>
  <c r="L63" i="23"/>
  <c r="G63" i="23"/>
  <c r="E63" i="23"/>
  <c r="D63" i="23"/>
  <c r="C63" i="23"/>
  <c r="P62" i="23"/>
  <c r="N62" i="23"/>
  <c r="M62" i="23"/>
  <c r="L62" i="23"/>
  <c r="G62" i="23"/>
  <c r="E62" i="23"/>
  <c r="D62" i="23"/>
  <c r="C62" i="23"/>
  <c r="P61" i="23"/>
  <c r="N61" i="23"/>
  <c r="M61" i="23"/>
  <c r="L61" i="23"/>
  <c r="G61" i="23"/>
  <c r="E61" i="23"/>
  <c r="D61" i="23"/>
  <c r="C61" i="23"/>
  <c r="J58" i="23"/>
  <c r="O100" i="23"/>
  <c r="O99" i="23"/>
  <c r="O90" i="23"/>
  <c r="O89" i="23"/>
  <c r="O80" i="23"/>
  <c r="O79" i="23"/>
  <c r="O70" i="23"/>
  <c r="O69" i="23"/>
  <c r="F110" i="23"/>
  <c r="F109" i="23"/>
  <c r="F100" i="23"/>
  <c r="F90" i="23"/>
  <c r="F89" i="23"/>
  <c r="F79" i="23"/>
  <c r="F70" i="23"/>
  <c r="F69" i="23"/>
  <c r="O98" i="23"/>
  <c r="O97" i="23"/>
  <c r="O88" i="23"/>
  <c r="O87" i="23"/>
  <c r="O78" i="23"/>
  <c r="O77" i="23"/>
  <c r="O68" i="23"/>
  <c r="O67" i="23"/>
  <c r="F108" i="23"/>
  <c r="F107" i="23"/>
  <c r="F98" i="23"/>
  <c r="F97" i="23"/>
  <c r="F88" i="23"/>
  <c r="F78" i="23"/>
  <c r="F77" i="23"/>
  <c r="F68" i="23"/>
  <c r="O96" i="23"/>
  <c r="O95" i="23"/>
  <c r="O94" i="23"/>
  <c r="O86" i="23"/>
  <c r="O85" i="23"/>
  <c r="O84" i="23"/>
  <c r="O76" i="23"/>
  <c r="O75" i="23"/>
  <c r="O74" i="23"/>
  <c r="O66" i="23"/>
  <c r="O65" i="23"/>
  <c r="F106" i="23"/>
  <c r="F104" i="23"/>
  <c r="F96" i="23"/>
  <c r="F95" i="23"/>
  <c r="F94" i="23"/>
  <c r="F86" i="23"/>
  <c r="F85" i="23"/>
  <c r="F84" i="23"/>
  <c r="F76" i="23"/>
  <c r="F74" i="23"/>
  <c r="F66" i="23"/>
  <c r="F65" i="23"/>
  <c r="F64" i="23"/>
  <c r="O93" i="23"/>
  <c r="O92" i="23"/>
  <c r="O91" i="23"/>
  <c r="O82" i="23"/>
  <c r="O72" i="23"/>
  <c r="K3" i="23"/>
  <c r="Q3" i="23" s="1"/>
  <c r="B45" i="13"/>
  <c r="B43" i="4" s="1"/>
  <c r="B45" i="5" s="1"/>
  <c r="B52" i="13"/>
  <c r="B50" i="4" s="1"/>
  <c r="B52" i="5" s="1"/>
  <c r="B61" i="13"/>
  <c r="B58" i="4" s="1"/>
  <c r="B61" i="5" s="1"/>
  <c r="B58" i="13"/>
  <c r="A1" i="5"/>
  <c r="B61" i="4"/>
  <c r="K26" i="5"/>
  <c r="K25" i="5"/>
  <c r="A16" i="12"/>
  <c r="A29" i="12" s="1"/>
  <c r="A42" i="12" s="1"/>
  <c r="G61" i="4"/>
  <c r="E5" i="5"/>
  <c r="E6" i="5"/>
  <c r="B54" i="31"/>
  <c r="B55" i="31" s="1"/>
  <c r="E10" i="5"/>
  <c r="E11" i="5"/>
  <c r="D17" i="31" s="1"/>
  <c r="E12" i="5"/>
  <c r="E4" i="5"/>
  <c r="C26" i="4"/>
  <c r="C26" i="5" s="1"/>
  <c r="C25" i="4"/>
  <c r="C25" i="5" s="1"/>
  <c r="C27" i="4"/>
  <c r="C27" i="5" s="1"/>
  <c r="B51" i="4"/>
  <c r="B44" i="4"/>
  <c r="B46" i="5" s="1"/>
  <c r="M41" i="13"/>
  <c r="L35" i="13"/>
  <c r="D31" i="12" s="1"/>
  <c r="L32" i="8"/>
  <c r="E19" i="12"/>
  <c r="E32" i="12"/>
  <c r="E6" i="12"/>
  <c r="B29" i="13"/>
  <c r="B29" i="4" s="1"/>
  <c r="B29" i="5" s="1"/>
  <c r="B23" i="13"/>
  <c r="B23" i="4" s="1"/>
  <c r="B23" i="5" s="1"/>
  <c r="B19" i="13"/>
  <c r="B14" i="13"/>
  <c r="B45" i="4"/>
  <c r="B47" i="5" s="1"/>
  <c r="L72" i="5"/>
  <c r="B53" i="4"/>
  <c r="B55" i="5" s="1"/>
  <c r="H61" i="12"/>
  <c r="H62" i="12"/>
  <c r="H60" i="12"/>
  <c r="G62" i="12"/>
  <c r="G61" i="12"/>
  <c r="G59" i="12"/>
  <c r="B52" i="4"/>
  <c r="L41" i="5"/>
  <c r="L34" i="5"/>
  <c r="L35" i="5"/>
  <c r="L33" i="5"/>
  <c r="B33" i="4"/>
  <c r="B34" i="5" s="1"/>
  <c r="B34" i="4"/>
  <c r="B35" i="5" s="1"/>
  <c r="B32" i="4"/>
  <c r="B33" i="5" s="1"/>
  <c r="D41" i="5"/>
  <c r="K41" i="13"/>
  <c r="B59" i="4"/>
  <c r="B62" i="5" s="1"/>
  <c r="E31" i="12"/>
  <c r="E18" i="12"/>
  <c r="E5" i="12"/>
  <c r="L34" i="13"/>
  <c r="D18" i="12" s="1"/>
  <c r="G18" i="12" s="1"/>
  <c r="I18" i="12" s="1"/>
  <c r="J18" i="12" s="1"/>
  <c r="C32" i="4"/>
  <c r="E20" i="12"/>
  <c r="B54" i="5"/>
  <c r="B53" i="5"/>
  <c r="D33" i="4"/>
  <c r="D34" i="5" s="1"/>
  <c r="D34" i="4"/>
  <c r="D35" i="5" s="1"/>
  <c r="D32" i="4"/>
  <c r="D33" i="5" s="1"/>
  <c r="C3" i="12"/>
  <c r="C16" i="12"/>
  <c r="C29" i="12"/>
  <c r="D5" i="12"/>
  <c r="E33" i="12"/>
  <c r="E7" i="12"/>
  <c r="B57" i="5"/>
  <c r="B59" i="31" l="1"/>
  <c r="B58" i="31"/>
  <c r="B57" i="31" s="1"/>
  <c r="K18" i="12"/>
  <c r="G31" i="25"/>
  <c r="G44" i="25" s="1"/>
  <c r="G57" i="25" s="1"/>
  <c r="B171" i="25"/>
  <c r="G5" i="12"/>
  <c r="I5" i="12" s="1"/>
  <c r="K5" i="12" s="1"/>
  <c r="A44" i="25"/>
  <c r="A57" i="25" s="1"/>
  <c r="B146" i="23"/>
  <c r="F132" i="23" s="1"/>
  <c r="G31" i="12"/>
  <c r="I31" i="12" s="1"/>
  <c r="J31" i="12" s="1"/>
  <c r="I61" i="12"/>
  <c r="K61" i="12" s="1"/>
  <c r="L61" i="12" s="1"/>
  <c r="K16" i="25"/>
  <c r="Q16" i="25" s="1"/>
  <c r="O101" i="25"/>
  <c r="G35" i="4"/>
  <c r="H36" i="5" s="1"/>
  <c r="B145" i="23"/>
  <c r="F128" i="23" s="1"/>
  <c r="E32" i="4"/>
  <c r="G32" i="4" s="1"/>
  <c r="H33" i="5" s="1"/>
  <c r="E34" i="5"/>
  <c r="G33" i="4"/>
  <c r="H34" i="5" s="1"/>
  <c r="B50" i="5"/>
  <c r="M61" i="12"/>
  <c r="M97" i="12"/>
  <c r="L97" i="12"/>
  <c r="L83" i="12"/>
  <c r="M83" i="12"/>
  <c r="K30" i="25"/>
  <c r="K43" i="25" s="1"/>
  <c r="K56" i="25" s="1"/>
  <c r="E43" i="25"/>
  <c r="E56" i="25" s="1"/>
  <c r="Q30" i="25"/>
  <c r="Q43" i="25" s="1"/>
  <c r="Q56" i="25" s="1"/>
  <c r="A45" i="25"/>
  <c r="A58" i="25" s="1"/>
  <c r="G32" i="25"/>
  <c r="G45" i="25" s="1"/>
  <c r="G58" i="25" s="1"/>
  <c r="M32" i="25"/>
  <c r="M45" i="25" s="1"/>
  <c r="M58" i="25" s="1"/>
  <c r="C195" i="25"/>
  <c r="H195" i="25" s="1"/>
  <c r="A189" i="25"/>
  <c r="G18" i="25"/>
  <c r="M18" i="25" s="1"/>
  <c r="I59" i="12"/>
  <c r="K59" i="12" s="1"/>
  <c r="M59" i="12" s="1"/>
  <c r="I95" i="12"/>
  <c r="K95" i="12" s="1"/>
  <c r="L95" i="12" s="1"/>
  <c r="B194" i="25"/>
  <c r="A184" i="25" s="1"/>
  <c r="I81" i="12"/>
  <c r="K81" i="12" s="1"/>
  <c r="M81" i="12" s="1"/>
  <c r="A215" i="25"/>
  <c r="A169" i="25" s="1"/>
  <c r="B172" i="25" s="1"/>
  <c r="A136" i="23"/>
  <c r="F136" i="23"/>
  <c r="E34" i="4"/>
  <c r="E35" i="5" s="1"/>
  <c r="E21" i="5"/>
  <c r="F140" i="23"/>
  <c r="I33" i="4"/>
  <c r="D176" i="25"/>
  <c r="E180" i="25"/>
  <c r="B176" i="25"/>
  <c r="E195" i="25"/>
  <c r="F195" i="25" s="1"/>
  <c r="I40" i="4" s="1"/>
  <c r="I42" i="5" s="1"/>
  <c r="K27" i="4"/>
  <c r="C171" i="25"/>
  <c r="E20" i="5"/>
  <c r="L41" i="13"/>
  <c r="G19" i="12"/>
  <c r="I19" i="12" s="1"/>
  <c r="D32" i="12"/>
  <c r="G6" i="12"/>
  <c r="I6" i="12" s="1"/>
  <c r="C33" i="5"/>
  <c r="E31" i="4"/>
  <c r="E31" i="5" s="1"/>
  <c r="B115" i="23"/>
  <c r="C115" i="23"/>
  <c r="A161" i="23"/>
  <c r="E36" i="5"/>
  <c r="I35" i="4"/>
  <c r="K44" i="12"/>
  <c r="J44" i="12"/>
  <c r="B148" i="23"/>
  <c r="O26" i="4"/>
  <c r="C196" i="25"/>
  <c r="E196" i="25" s="1"/>
  <c r="F196" i="25" s="1"/>
  <c r="I41" i="4" s="1"/>
  <c r="G189" i="25"/>
  <c r="A178" i="25" l="1"/>
  <c r="C180" i="25"/>
  <c r="E174" i="25"/>
  <c r="I195" i="25" s="1"/>
  <c r="F82" i="12" s="1"/>
  <c r="I82" i="12" s="1"/>
  <c r="K82" i="12" s="1"/>
  <c r="D172" i="25"/>
  <c r="E175" i="25"/>
  <c r="A175" i="25"/>
  <c r="A173" i="25"/>
  <c r="E178" i="25"/>
  <c r="E177" i="25"/>
  <c r="A177" i="25"/>
  <c r="E173" i="25"/>
  <c r="J5" i="12"/>
  <c r="E172" i="25"/>
  <c r="B174" i="25"/>
  <c r="D174" i="25"/>
  <c r="D180" i="25"/>
  <c r="M95" i="12"/>
  <c r="D177" i="25"/>
  <c r="C176" i="25"/>
  <c r="E176" i="25"/>
  <c r="D173" i="25"/>
  <c r="J178" i="25" s="1"/>
  <c r="A180" i="25"/>
  <c r="C172" i="25"/>
  <c r="C175" i="25"/>
  <c r="K195" i="25" s="1"/>
  <c r="F84" i="12" s="1"/>
  <c r="I84" i="12" s="1"/>
  <c r="K84" i="12" s="1"/>
  <c r="L84" i="12" s="1"/>
  <c r="B173" i="25"/>
  <c r="B180" i="25"/>
  <c r="C173" i="25"/>
  <c r="A132" i="23"/>
  <c r="K31" i="12"/>
  <c r="O27" i="4"/>
  <c r="AC25" i="4" s="1"/>
  <c r="D188" i="25"/>
  <c r="E40" i="4"/>
  <c r="E42" i="5" s="1"/>
  <c r="C174" i="25"/>
  <c r="E179" i="25"/>
  <c r="C178" i="25"/>
  <c r="C177" i="25"/>
  <c r="L81" i="12"/>
  <c r="M199" i="25"/>
  <c r="M215" i="25" s="1"/>
  <c r="B49" i="13" s="1"/>
  <c r="B47" i="4" s="1"/>
  <c r="B49" i="5" s="1"/>
  <c r="B175" i="25"/>
  <c r="A172" i="25"/>
  <c r="H188" i="25" s="1"/>
  <c r="D179" i="25"/>
  <c r="C179" i="25"/>
  <c r="I32" i="4"/>
  <c r="I33" i="5" s="1"/>
  <c r="E33" i="5"/>
  <c r="A128" i="23"/>
  <c r="G182" i="25"/>
  <c r="L59" i="12"/>
  <c r="G39" i="4"/>
  <c r="H41" i="5" s="1"/>
  <c r="I34" i="4"/>
  <c r="I35" i="5" s="1"/>
  <c r="G34" i="4"/>
  <c r="H35" i="5" s="1"/>
  <c r="AE27" i="4"/>
  <c r="A176" i="25"/>
  <c r="B178" i="25"/>
  <c r="B179" i="25"/>
  <c r="A174" i="25"/>
  <c r="D183" i="25" s="1"/>
  <c r="D178" i="25"/>
  <c r="B177" i="25"/>
  <c r="A179" i="25"/>
  <c r="D175" i="25"/>
  <c r="I34" i="5"/>
  <c r="V33" i="4"/>
  <c r="U33" i="4" s="1"/>
  <c r="I36" i="5"/>
  <c r="V35" i="4"/>
  <c r="U35" i="4" s="1"/>
  <c r="B190" i="25"/>
  <c r="J173" i="25"/>
  <c r="J171" i="25"/>
  <c r="H173" i="25"/>
  <c r="J176" i="25"/>
  <c r="K27" i="5"/>
  <c r="H178" i="25"/>
  <c r="H171" i="25"/>
  <c r="I194" i="25"/>
  <c r="F60" i="12" s="1"/>
  <c r="I60" i="12" s="1"/>
  <c r="K60" i="12" s="1"/>
  <c r="I196" i="25"/>
  <c r="F96" i="12" s="1"/>
  <c r="I96" i="12" s="1"/>
  <c r="K96" i="12" s="1"/>
  <c r="L82" i="12"/>
  <c r="M82" i="12"/>
  <c r="L161" i="23"/>
  <c r="P150" i="23"/>
  <c r="P160" i="23" s="1"/>
  <c r="B48" i="13" s="1"/>
  <c r="B46" i="4" s="1"/>
  <c r="B48" i="5" s="1"/>
  <c r="J6" i="12"/>
  <c r="K6" i="12"/>
  <c r="D45" i="12"/>
  <c r="G45" i="12" s="1"/>
  <c r="I45" i="12" s="1"/>
  <c r="G32" i="12"/>
  <c r="I32" i="12" s="1"/>
  <c r="J19" i="12"/>
  <c r="K19" i="12"/>
  <c r="A113" i="23"/>
  <c r="B124" i="23" s="1"/>
  <c r="J188" i="25"/>
  <c r="H190" i="25"/>
  <c r="I43" i="5"/>
  <c r="E41" i="4"/>
  <c r="E43" i="5" s="1"/>
  <c r="H196" i="25"/>
  <c r="D190" i="25" l="1"/>
  <c r="B185" i="25"/>
  <c r="J190" i="25"/>
  <c r="L86" i="12"/>
  <c r="L87" i="12" s="1"/>
  <c r="B188" i="25"/>
  <c r="C189" i="25" s="1"/>
  <c r="L42" i="13" s="1"/>
  <c r="G40" i="4" s="1"/>
  <c r="H42" i="5" s="1"/>
  <c r="J181" i="25"/>
  <c r="H176" i="25"/>
  <c r="I177" i="25" s="1"/>
  <c r="D185" i="25"/>
  <c r="B183" i="25"/>
  <c r="H181" i="25"/>
  <c r="H183" i="25"/>
  <c r="V32" i="4"/>
  <c r="U32" i="4" s="1"/>
  <c r="J183" i="25"/>
  <c r="V34" i="4"/>
  <c r="U34" i="4" s="1"/>
  <c r="AC27" i="4"/>
  <c r="T25" i="4" s="1"/>
  <c r="I172" i="25"/>
  <c r="M84" i="12"/>
  <c r="M86" i="12" s="1"/>
  <c r="I189" i="25"/>
  <c r="L43" i="13" s="1"/>
  <c r="G41" i="4" s="1"/>
  <c r="H43" i="5" s="1"/>
  <c r="K196" i="25"/>
  <c r="F98" i="12" s="1"/>
  <c r="I98" i="12" s="1"/>
  <c r="K98" i="12" s="1"/>
  <c r="M98" i="12" s="1"/>
  <c r="F62" i="12"/>
  <c r="I62" i="12" s="1"/>
  <c r="K62" i="12" s="1"/>
  <c r="L62" i="12" s="1"/>
  <c r="L96" i="12"/>
  <c r="M96" i="12"/>
  <c r="L60" i="12"/>
  <c r="M60" i="12"/>
  <c r="E124" i="23"/>
  <c r="A119" i="23"/>
  <c r="E122" i="23"/>
  <c r="B123" i="23"/>
  <c r="E119" i="23"/>
  <c r="I146" i="23" s="1"/>
  <c r="G21" i="12" s="1"/>
  <c r="I21" i="12" s="1"/>
  <c r="K21" i="12" s="1"/>
  <c r="B116" i="23"/>
  <c r="E117" i="23"/>
  <c r="B119" i="23"/>
  <c r="K32" i="12"/>
  <c r="J32" i="12"/>
  <c r="K45" i="12"/>
  <c r="J45" i="12"/>
  <c r="D120" i="23"/>
  <c r="B121" i="23"/>
  <c r="D118" i="23"/>
  <c r="B120" i="23"/>
  <c r="D122" i="23"/>
  <c r="D121" i="23"/>
  <c r="C116" i="23"/>
  <c r="D119" i="23"/>
  <c r="A123" i="23"/>
  <c r="B117" i="23"/>
  <c r="E118" i="23"/>
  <c r="A121" i="23"/>
  <c r="D123" i="23"/>
  <c r="C120" i="23"/>
  <c r="B118" i="23"/>
  <c r="A117" i="23"/>
  <c r="B122" i="23"/>
  <c r="E123" i="23"/>
  <c r="A120" i="23"/>
  <c r="A118" i="23"/>
  <c r="C121" i="23"/>
  <c r="L148" i="23" s="1"/>
  <c r="D46" i="12" s="1"/>
  <c r="G46" i="12" s="1"/>
  <c r="I46" i="12" s="1"/>
  <c r="K46" i="12" s="1"/>
  <c r="C123" i="23"/>
  <c r="A124" i="23"/>
  <c r="C119" i="23"/>
  <c r="A122" i="23"/>
  <c r="D116" i="23"/>
  <c r="E121" i="23"/>
  <c r="I148" i="23" s="1"/>
  <c r="D47" i="12" s="1"/>
  <c r="G47" i="12" s="1"/>
  <c r="I47" i="12" s="1"/>
  <c r="K47" i="12" s="1"/>
  <c r="C122" i="23"/>
  <c r="C124" i="23"/>
  <c r="C118" i="23"/>
  <c r="A116" i="23"/>
  <c r="C117" i="23"/>
  <c r="E120" i="23"/>
  <c r="I147" i="23" s="1"/>
  <c r="D34" i="12" s="1"/>
  <c r="G34" i="12" s="1"/>
  <c r="I34" i="12" s="1"/>
  <c r="J34" i="12" s="1"/>
  <c r="D124" i="23"/>
  <c r="E116" i="23"/>
  <c r="D117" i="23"/>
  <c r="J21" i="12" l="1"/>
  <c r="I145" i="23"/>
  <c r="G8" i="12" s="1"/>
  <c r="I8" i="12" s="1"/>
  <c r="C184" i="25"/>
  <c r="C194" i="25" s="1"/>
  <c r="E194" i="25" s="1"/>
  <c r="F194" i="25" s="1"/>
  <c r="I39" i="4" s="1"/>
  <c r="T32" i="4"/>
  <c r="L88" i="12"/>
  <c r="L89" i="12" s="1"/>
  <c r="L90" i="12" s="1"/>
  <c r="L91" i="12" s="1"/>
  <c r="N40" i="4" s="1"/>
  <c r="M42" i="5" s="1"/>
  <c r="R32" i="4"/>
  <c r="G129" i="23"/>
  <c r="I182" i="25"/>
  <c r="L98" i="12"/>
  <c r="I41" i="5"/>
  <c r="H194" i="25"/>
  <c r="M62" i="12"/>
  <c r="M64" i="12" s="1"/>
  <c r="M100" i="12"/>
  <c r="L100" i="12"/>
  <c r="L101" i="12" s="1"/>
  <c r="L64" i="12"/>
  <c r="L65" i="12" s="1"/>
  <c r="I127" i="23"/>
  <c r="B127" i="23"/>
  <c r="B129" i="23"/>
  <c r="D127" i="23"/>
  <c r="G137" i="23"/>
  <c r="D129" i="23"/>
  <c r="J47" i="12"/>
  <c r="J46" i="12"/>
  <c r="K34" i="12"/>
  <c r="G131" i="23"/>
  <c r="G141" i="23"/>
  <c r="D133" i="23"/>
  <c r="I129" i="23"/>
  <c r="I137" i="23"/>
  <c r="B137" i="23"/>
  <c r="I141" i="23"/>
  <c r="B139" i="23"/>
  <c r="D137" i="23"/>
  <c r="B141" i="23"/>
  <c r="I135" i="23"/>
  <c r="G133" i="23"/>
  <c r="G127" i="23"/>
  <c r="D139" i="23"/>
  <c r="G139" i="23"/>
  <c r="B135" i="23"/>
  <c r="I131" i="23"/>
  <c r="I139" i="23"/>
  <c r="D131" i="23"/>
  <c r="D135" i="23"/>
  <c r="B131" i="23"/>
  <c r="G135" i="23"/>
  <c r="B133" i="23"/>
  <c r="I133" i="23"/>
  <c r="D141" i="23"/>
  <c r="K49" i="12"/>
  <c r="J8" i="12" l="1"/>
  <c r="K8" i="12"/>
  <c r="E39" i="4"/>
  <c r="Q40" i="4"/>
  <c r="P40" i="4" s="1"/>
  <c r="S32" i="4"/>
  <c r="E41" i="5"/>
  <c r="G194" i="25"/>
  <c r="P67" i="13"/>
  <c r="P70" i="13" s="1"/>
  <c r="B51" i="13" s="1"/>
  <c r="J49" i="12"/>
  <c r="J50" i="12" s="1"/>
  <c r="J51" i="12" s="1"/>
  <c r="J52" i="12" s="1"/>
  <c r="J53" i="12" s="1"/>
  <c r="J54" i="12" s="1"/>
  <c r="N35" i="4" s="1"/>
  <c r="M36" i="5" s="1"/>
  <c r="L66" i="12"/>
  <c r="L67" i="12" s="1"/>
  <c r="L68" i="12" s="1"/>
  <c r="L69" i="12" s="1"/>
  <c r="N39" i="4" s="1"/>
  <c r="V39" i="4" s="1"/>
  <c r="U39" i="4" s="1"/>
  <c r="T38" i="4" s="1"/>
  <c r="R38" i="4" s="1"/>
  <c r="R43" i="4" s="1"/>
  <c r="L102" i="12"/>
  <c r="L103" i="12" s="1"/>
  <c r="L104" i="12" s="1"/>
  <c r="L105" i="12" s="1"/>
  <c r="N41" i="4" s="1"/>
  <c r="C128" i="23"/>
  <c r="C145" i="23" s="1"/>
  <c r="H128" i="23"/>
  <c r="K145" i="23" s="1"/>
  <c r="L145" i="23" s="1"/>
  <c r="G7" i="12" s="1"/>
  <c r="I7" i="12" s="1"/>
  <c r="K7" i="12" s="1"/>
  <c r="H132" i="23"/>
  <c r="K146" i="23" s="1"/>
  <c r="L146" i="23" s="1"/>
  <c r="G20" i="12" s="1"/>
  <c r="I20" i="12" s="1"/>
  <c r="K20" i="12" s="1"/>
  <c r="K23" i="12" s="1"/>
  <c r="C132" i="23"/>
  <c r="C146" i="23" s="1"/>
  <c r="G146" i="23" s="1"/>
  <c r="K34" i="13" s="1"/>
  <c r="H140" i="23"/>
  <c r="C136" i="23"/>
  <c r="C147" i="23" s="1"/>
  <c r="H147" i="23" s="1"/>
  <c r="C140" i="23"/>
  <c r="C148" i="23" s="1"/>
  <c r="H148" i="23" s="1"/>
  <c r="H136" i="23"/>
  <c r="K147" i="23" s="1"/>
  <c r="L147" i="23" s="1"/>
  <c r="D33" i="12" s="1"/>
  <c r="G33" i="12" s="1"/>
  <c r="I33" i="12" s="1"/>
  <c r="J33" i="12" s="1"/>
  <c r="J36" i="12" s="1"/>
  <c r="J37" i="12" s="1"/>
  <c r="K10" i="12" l="1"/>
  <c r="O37" i="4"/>
  <c r="J61" i="4" s="1"/>
  <c r="P22" i="13"/>
  <c r="B49" i="4"/>
  <c r="B51" i="5" s="1"/>
  <c r="M43" i="5"/>
  <c r="Q41" i="4"/>
  <c r="P41" i="4" s="1"/>
  <c r="M41" i="5"/>
  <c r="E145" i="23"/>
  <c r="F145" i="23" s="1"/>
  <c r="G145" i="23"/>
  <c r="K33" i="13" s="1"/>
  <c r="H145" i="23"/>
  <c r="H146" i="23"/>
  <c r="E146" i="23"/>
  <c r="F146" i="23" s="1"/>
  <c r="J20" i="12"/>
  <c r="G147" i="23"/>
  <c r="K35" i="13" s="1"/>
  <c r="E148" i="23"/>
  <c r="F148" i="23" s="1"/>
  <c r="J7" i="12"/>
  <c r="J10" i="12" s="1"/>
  <c r="J11" i="12" s="1"/>
  <c r="G148" i="23"/>
  <c r="K36" i="13" s="1"/>
  <c r="E147" i="23"/>
  <c r="F147" i="23" s="1"/>
  <c r="K33" i="12"/>
  <c r="K36" i="12" s="1"/>
  <c r="J38" i="12" s="1"/>
  <c r="J39" i="12" s="1"/>
  <c r="J40" i="12" s="1"/>
  <c r="J41" i="12" s="1"/>
  <c r="N34" i="4" s="1"/>
  <c r="M35" i="5" s="1"/>
  <c r="J12" i="12" l="1"/>
  <c r="J13" i="12" s="1"/>
  <c r="J14" i="12" s="1"/>
  <c r="J15" i="12" s="1"/>
  <c r="N32" i="4" s="1"/>
  <c r="M33" i="5" s="1"/>
  <c r="H1" i="31"/>
  <c r="B59" i="13"/>
  <c r="J23" i="12"/>
  <c r="J24" i="12" s="1"/>
  <c r="J25" i="12" s="1"/>
  <c r="J26" i="12" s="1"/>
  <c r="J27" i="12" s="1"/>
  <c r="J28" i="12" s="1"/>
  <c r="N33" i="4" s="1"/>
  <c r="M34" i="5" s="1"/>
  <c r="C2" i="13" l="1"/>
  <c r="P19" i="13"/>
  <c r="A2" i="4" l="1"/>
  <c r="A2" i="5" s="1"/>
  <c r="P21" i="13"/>
  <c r="B56" i="4"/>
  <c r="B58" i="5" l="1"/>
  <c r="P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DANNY</author>
  </authors>
  <commentList>
    <comment ref="A3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DANNY:</t>
        </r>
        <r>
          <rPr>
            <sz val="9"/>
            <color indexed="81"/>
            <rFont val="Tahoma"/>
            <family val="2"/>
          </rPr>
          <t xml:space="preserve">
JANGAN DI DELETE EFEK KE INTERPOLASI</t>
        </r>
      </text>
    </comment>
  </commentList>
</comments>
</file>

<file path=xl/sharedStrings.xml><?xml version="1.0" encoding="utf-8"?>
<sst xmlns="http://schemas.openxmlformats.org/spreadsheetml/2006/main" count="1983" uniqueCount="495">
  <si>
    <t>No. Seri</t>
  </si>
  <si>
    <t>2. Fungsi</t>
  </si>
  <si>
    <t>III.</t>
  </si>
  <si>
    <t xml:space="preserve">IV. </t>
  </si>
  <si>
    <t>Parameter</t>
  </si>
  <si>
    <t>I</t>
  </si>
  <si>
    <t>II</t>
  </si>
  <si>
    <t>III</t>
  </si>
  <si>
    <t>IV</t>
  </si>
  <si>
    <t>V</t>
  </si>
  <si>
    <t>VI</t>
  </si>
  <si>
    <t>V.</t>
  </si>
  <si>
    <t>VI.</t>
  </si>
  <si>
    <t>Hasil Pembacaan Standar</t>
  </si>
  <si>
    <t>Tanggal Kalibrasi</t>
  </si>
  <si>
    <t>Tempat Kalibrasi</t>
  </si>
  <si>
    <t>Metode Kalibrasi</t>
  </si>
  <si>
    <t xml:space="preserve">I.     </t>
  </si>
  <si>
    <t>Kondisi Ruang</t>
  </si>
  <si>
    <t xml:space="preserve">II.     </t>
  </si>
  <si>
    <t>1. Fisik</t>
  </si>
  <si>
    <t>No</t>
  </si>
  <si>
    <t>VII.</t>
  </si>
  <si>
    <t>Halaman 2 dari 2 halaman</t>
  </si>
  <si>
    <t>Model/Tipe</t>
  </si>
  <si>
    <t>Merek</t>
  </si>
  <si>
    <t xml:space="preserve">1. Suhu </t>
  </si>
  <si>
    <t>Nama Ruang</t>
  </si>
  <si>
    <t>Pemeriksaan Kondisi Fisik dan Fungsi Komponen Alat</t>
  </si>
  <si>
    <t>Choirul Huda</t>
  </si>
  <si>
    <t>Koreksi</t>
  </si>
  <si>
    <t>Kesimpulan</t>
  </si>
  <si>
    <t>VIII.</t>
  </si>
  <si>
    <t>STDEV</t>
  </si>
  <si>
    <t>Nama</t>
  </si>
  <si>
    <t>Tanggal</t>
  </si>
  <si>
    <t>Paraf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</si>
  <si>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</si>
  <si>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</si>
  <si>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</si>
  <si>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</si>
  <si>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</si>
  <si>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</si>
  <si>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</si>
  <si>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</si>
  <si>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</si>
  <si>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</si>
  <si>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</si>
  <si>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</si>
  <si>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</si>
  <si>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</si>
  <si>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rect.</t>
  </si>
  <si>
    <t>Jumlah</t>
  </si>
  <si>
    <t>Ketidakpastian baku gabungan, Uc</t>
  </si>
  <si>
    <t>Derajat kebebasan efektif, veff</t>
  </si>
  <si>
    <t>Faktor cakupan, k-student's for veff and CL 95%</t>
  </si>
  <si>
    <t>k</t>
  </si>
  <si>
    <t>Ketidakpastian bentangan, U = k.Uc</t>
  </si>
  <si>
    <t>U = k. Uc</t>
  </si>
  <si>
    <t>Awal</t>
  </si>
  <si>
    <t>Akhir</t>
  </si>
  <si>
    <t>:</t>
  </si>
  <si>
    <t>Tahun</t>
  </si>
  <si>
    <t>DRIFT</t>
  </si>
  <si>
    <t>U95    STD</t>
  </si>
  <si>
    <t>-</t>
  </si>
  <si>
    <t xml:space="preserve">3. Drift standar </t>
  </si>
  <si>
    <t>4. Sertifikat Standar</t>
  </si>
  <si>
    <t>AWAL</t>
  </si>
  <si>
    <t>AKHIR</t>
  </si>
  <si>
    <t>Baik</t>
  </si>
  <si>
    <t>......................................................................................................</t>
  </si>
  <si>
    <t>± 10%</t>
  </si>
  <si>
    <t>Kelembaban</t>
  </si>
  <si>
    <t>Suhu</t>
  </si>
  <si>
    <t>Toleransi</t>
  </si>
  <si>
    <t>: Baik / Tidak Baik</t>
  </si>
  <si>
    <t>Setting Pada Alat</t>
  </si>
  <si>
    <t>Hasil Ukur</t>
  </si>
  <si>
    <t>LAIK PAKAI / TIDAK LAIK PAKAI</t>
  </si>
  <si>
    <t>U95</t>
  </si>
  <si>
    <t>c</t>
  </si>
  <si>
    <t>Donny Martha</t>
  </si>
  <si>
    <t>Rangga Setya Hantoko</t>
  </si>
  <si>
    <t>Dany Firmanto</t>
  </si>
  <si>
    <t>Isra Mahensa</t>
  </si>
  <si>
    <t xml:space="preserve"> Pembacaan pada standar</t>
  </si>
  <si>
    <t>u</t>
  </si>
  <si>
    <t>uc</t>
  </si>
  <si>
    <t>(uc)^2</t>
  </si>
  <si>
    <t>(uc)^4/vi</t>
  </si>
  <si>
    <t>Repeatibility (Ua)</t>
  </si>
  <si>
    <t>detik</t>
  </si>
  <si>
    <t>Normal</t>
  </si>
  <si>
    <t xml:space="preserve">Sertifikat Standar/ Stopwatch (Ub1) </t>
  </si>
  <si>
    <t>Daya baca UUT (Ub2)</t>
  </si>
  <si>
    <t xml:space="preserve">Drift Alat Standar (Ub3) </t>
  </si>
  <si>
    <t>Sums</t>
  </si>
  <si>
    <t>Combined Standard Uncertainty, Uc</t>
  </si>
  <si>
    <t>Effective degree of Freedom, Veff</t>
  </si>
  <si>
    <t>Coverage Factor , k-student's for veff and CL 95%</t>
  </si>
  <si>
    <t>Expanded Uncertainty, U = k.Uc</t>
  </si>
  <si>
    <t>IX.</t>
  </si>
  <si>
    <t>Muhammad Zaenuri Sugiasmoro</t>
  </si>
  <si>
    <t>Paremeter</t>
  </si>
  <si>
    <t>ESA 620 (1837056)</t>
  </si>
  <si>
    <t>KOREKSI ESA</t>
  </si>
  <si>
    <t>Setting VAC</t>
  </si>
  <si>
    <t>( V )</t>
  </si>
  <si>
    <t>( uA )</t>
  </si>
  <si>
    <t>Main-PE</t>
  </si>
  <si>
    <t>Resistance</t>
  </si>
  <si>
    <t>ESA 620 (1834020)</t>
  </si>
  <si>
    <t>Current Leakage</t>
  </si>
  <si>
    <t>ESA 615 (2853077)</t>
  </si>
  <si>
    <t>ESA 615 (2853078)</t>
  </si>
  <si>
    <t>ESA 615 (3148907)</t>
  </si>
  <si>
    <t>ESA 615 (3148908)</t>
  </si>
  <si>
    <t>µA</t>
  </si>
  <si>
    <t>Volt</t>
  </si>
  <si>
    <t>Pembacaan Standar</t>
  </si>
  <si>
    <t>Ambang Batas yang Diijinkan</t>
  </si>
  <si>
    <t>Kesalahan Relatif  ( % )</t>
  </si>
  <si>
    <t>Kesalahan Relatif ( % )</t>
  </si>
  <si>
    <t>3. Tegangan Jala-jala</t>
  </si>
  <si>
    <t>°C</t>
  </si>
  <si>
    <t xml:space="preserve">3. Tegangan Jala-jala </t>
  </si>
  <si>
    <t xml:space="preserve">Tempat Kalibrasi </t>
  </si>
  <si>
    <t xml:space="preserve">Nama Ruang    </t>
  </si>
  <si>
    <t>Kesalahan  Relatif ( % )</t>
  </si>
  <si>
    <t>Muhammad Arrizal Septiawan</t>
  </si>
  <si>
    <t>2. Kelembaban</t>
  </si>
  <si>
    <t xml:space="preserve">2. Kelembaban </t>
  </si>
  <si>
    <t>%RH</t>
  </si>
  <si>
    <t>± 10 %</t>
  </si>
  <si>
    <t>Setting  Alat</t>
  </si>
  <si>
    <t>Setting Alat</t>
  </si>
  <si>
    <r>
      <t>Uc</t>
    </r>
    <r>
      <rPr>
        <sz val="11"/>
        <rFont val="Calibri"/>
        <family val="2"/>
        <scheme val="minor"/>
      </rPr>
      <t xml:space="preserve"> = Ö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)²]</t>
    </r>
  </si>
  <si>
    <r>
      <t>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 xml:space="preserve"> = u</t>
    </r>
    <r>
      <rPr>
        <vertAlign val="subscript"/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/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 xml:space="preserve"> 4</t>
    </r>
    <r>
      <rPr>
        <sz val="11"/>
        <rFont val="Calibri"/>
        <family val="2"/>
        <scheme val="minor"/>
      </rPr>
      <t>/n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]</t>
    </r>
  </si>
  <si>
    <t>Sumber Ketidakpastian</t>
  </si>
  <si>
    <t>rect</t>
  </si>
  <si>
    <t>Electrical Safety Analyzer, Merek : FLUKE  Model : ESA 620 SN :1837056, 1834020</t>
  </si>
  <si>
    <t>Thermohygrometer, Merek : SEKONIC, ST-50A SN : HE 21-000669, HE 21-000670</t>
  </si>
  <si>
    <t>U95 STD</t>
  </si>
  <si>
    <t>Tidak Baik</t>
  </si>
  <si>
    <t>Hary Ernanto</t>
  </si>
  <si>
    <t>INPUT DATA SERTIFIKAT ESA</t>
  </si>
  <si>
    <t>A</t>
  </si>
  <si>
    <t>B</t>
  </si>
  <si>
    <t>C</t>
  </si>
  <si>
    <t>Driff</t>
  </si>
  <si>
    <t>D</t>
  </si>
  <si>
    <t>E</t>
  </si>
  <si>
    <t>F</t>
  </si>
  <si>
    <t>G</t>
  </si>
  <si>
    <t>H</t>
  </si>
  <si>
    <t>No urut alat</t>
  </si>
  <si>
    <t>Pembacaan terkoreksi</t>
  </si>
  <si>
    <t>Hasil</t>
  </si>
  <si>
    <t xml:space="preserve"> </t>
  </si>
  <si>
    <t>Menyetujui,</t>
  </si>
  <si>
    <t>Kepala Instalasi Laboratorium</t>
  </si>
  <si>
    <t>Pengujian dan Kalibrasi</t>
  </si>
  <si>
    <t>±</t>
  </si>
  <si>
    <t>ESA 615 (3699030)</t>
  </si>
  <si>
    <t xml:space="preserve">Nomor Sertifikat / Nomor Surat Keterangan : 52 /            /         -         / E -                DL  </t>
  </si>
  <si>
    <t>Traction           Control                  ( Kg )</t>
  </si>
  <si>
    <t>Digital Force Gauge, Merek : ANDILOG, Model : CENTOR FIRST SN : N 160229, N 1400223, N 160230</t>
  </si>
  <si>
    <t>ANDILOG 140223</t>
  </si>
  <si>
    <t>ANDILOG 160229</t>
  </si>
  <si>
    <t>ANDILOG 160230</t>
  </si>
  <si>
    <t>BTL</t>
  </si>
  <si>
    <t>BTL - 16 Plus</t>
  </si>
  <si>
    <t>IC3121005</t>
  </si>
  <si>
    <t>kg</t>
  </si>
  <si>
    <t>INPUT SERTIFIKAT THERMOHYGROMETER</t>
  </si>
  <si>
    <t>KOREKSI KIMO THERMOHYGROMETER 15062873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</si>
  <si>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</si>
  <si>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</si>
  <si>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</si>
  <si>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</si>
  <si>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</si>
  <si>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</si>
  <si>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</si>
  <si>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</si>
  <si>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</si>
  <si>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</si>
  <si>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</si>
  <si>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</si>
  <si>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</si>
  <si>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</si>
  <si>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</si>
  <si>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</si>
  <si>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INTERPOLASI KOREKSI SUHU</t>
  </si>
  <si>
    <t>INTERPOLASI KOREKSI KELEMBABAN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</si>
  <si>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</si>
  <si>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</si>
  <si>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</si>
  <si>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</si>
  <si>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</si>
  <si>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</si>
  <si>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</si>
  <si>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</si>
  <si>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</si>
  <si>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</si>
  <si>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</si>
  <si>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</si>
  <si>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</si>
  <si>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</si>
  <si>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</si>
  <si>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</si>
  <si>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</si>
  <si>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Achmad Fauzan Adzim</t>
  </si>
  <si>
    <t>Fatimah Novrianisa</t>
  </si>
  <si>
    <t>Fikry Faradinna</t>
  </si>
  <si>
    <t>Gusti Arya Dinata</t>
  </si>
  <si>
    <t>Hamdan Syarif</t>
  </si>
  <si>
    <t>Muhammad Iqbal Saiful Rahman</t>
  </si>
  <si>
    <t>Muhammad Irfan Husnuzhzhan</t>
  </si>
  <si>
    <t>Septia Khairunnisa</t>
  </si>
  <si>
    <t>Taufik Priawan</t>
  </si>
  <si>
    <t>Venna Filosofia</t>
  </si>
  <si>
    <t>Wardimanul Abrar</t>
  </si>
  <si>
    <t>Resistansi pembumian protektif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</si>
  <si>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</si>
  <si>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</si>
  <si>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</si>
  <si>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INPUT SERTIFIKAT STOPWATCH</t>
  </si>
  <si>
    <t>1. SN. 611Q02R</t>
  </si>
  <si>
    <t>2. SN. 510Q06R</t>
  </si>
  <si>
    <t>3. SN. 207Q01R</t>
  </si>
  <si>
    <t>Timer</t>
  </si>
  <si>
    <t>s</t>
  </si>
  <si>
    <t xml:space="preserve">4. SN. 510Q061R </t>
  </si>
  <si>
    <t>;-</t>
  </si>
  <si>
    <t>No Urut Titik Ukur</t>
  </si>
  <si>
    <t>Kecepatan</t>
  </si>
  <si>
    <t>rpm</t>
  </si>
  <si>
    <t>VII</t>
  </si>
  <si>
    <t>VIII</t>
  </si>
  <si>
    <t>IX</t>
  </si>
  <si>
    <t>INTERPOLASI KOREKSI</t>
  </si>
  <si>
    <t>INTERPOLASI DRIFT</t>
  </si>
  <si>
    <t>Kesalahan</t>
  </si>
  <si>
    <t>Kesalahan Relatif (%)</t>
  </si>
  <si>
    <t>U95 standar</t>
  </si>
  <si>
    <t>Daya Baca UUT</t>
  </si>
  <si>
    <t>Tahun Kalibrasi</t>
  </si>
  <si>
    <t xml:space="preserve">Stopwatch, Merek : Casio, Model : HS - 3, SN : 611Q02R </t>
  </si>
  <si>
    <t xml:space="preserve">Stopwatch, Merek : Casio, Model : HS - 80TW, SN : 510Q06R </t>
  </si>
  <si>
    <t xml:space="preserve">Stopwatch, Merek : Casio, Model : HS - 80TW, SN :207Q01R </t>
  </si>
  <si>
    <t xml:space="preserve">Stopwatch, Merek : Casio, Model : HS - 80TW, SN :510Q061R </t>
  </si>
  <si>
    <t>Resolusi</t>
  </si>
  <si>
    <t>Electrical Safety Analyzer, Merek : FLUKE  Model : ESA 615 SN : 2853077, 2853078, 3148907, 3148908, 3699030</t>
  </si>
  <si>
    <t>Stopwatch, Merek : Casio Model : HS - 3 SN : 611Q02R, HS - 80TW SN : 510Q06R, HS -80TW SN : 207Q01R</t>
  </si>
  <si>
    <t>Thermohygrometer, Merek : KIMO, KH-210-AO SN: 14082463, 15062872, 15062874, 15062875, 15062873</t>
  </si>
  <si>
    <t>Thermohygrometer, Merek : Greisinger , GFTB 200 SN : 34903051, 34903053, 34903046, 34904091</t>
  </si>
  <si>
    <t>NIP 198008062010121001</t>
  </si>
  <si>
    <t>NIP 198103112010121001</t>
  </si>
  <si>
    <t>U Drift</t>
  </si>
  <si>
    <t>Pemeriksaan Kondisi Fisik dan Fungsi Alat</t>
  </si>
  <si>
    <t xml:space="preserve">Pengujian Keselamatan Listrik </t>
  </si>
  <si>
    <t xml:space="preserve">No. </t>
  </si>
  <si>
    <t>MΩ</t>
  </si>
  <si>
    <t>Ω</t>
  </si>
  <si>
    <t>Arus bocor peralatan untuk peralatan elektromedik kelas II</t>
  </si>
  <si>
    <r>
      <t>Arus bocor peralatan untuk peralatan elektromedik kelas  (</t>
    </r>
    <r>
      <rPr>
        <b/>
        <sz val="11"/>
        <rFont val="Arial"/>
        <family val="2"/>
      </rPr>
      <t xml:space="preserve">  I / II  </t>
    </r>
    <r>
      <rPr>
        <sz val="11"/>
        <rFont val="Arial"/>
        <family val="2"/>
      </rPr>
      <t>)</t>
    </r>
  </si>
  <si>
    <t>Score</t>
  </si>
  <si>
    <t>Keterangan : Setting waktu hold dan rest 20 detik</t>
  </si>
  <si>
    <t>MK 053 - 18</t>
  </si>
  <si>
    <t>Ketidakpastian pengukuran dilaporkan pada tingkat kepercayaan 95% dengan faktor cakupan k= 2</t>
  </si>
  <si>
    <t>2. Resolusi</t>
  </si>
  <si>
    <t xml:space="preserve">2. Resolusi </t>
  </si>
  <si>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 500 / 100</t>
    </r>
  </si>
  <si>
    <t>Arus bocor peralatan untuk peralatan elektromedik kelas I</t>
  </si>
  <si>
    <t>Digital Force Gauge, Merek : ANDILOG, Model : CENTOR FIRST SN : N 160229</t>
  </si>
  <si>
    <t>Digital Force Gauge, Merek : ANDILOG, Model : CENTOR FIRST SN : N 1400223</t>
  </si>
  <si>
    <t xml:space="preserve">Digital Force Gauge, Merek : ANDILOG, Model : CENTOR FIRST SN : N 160230 </t>
  </si>
  <si>
    <t xml:space="preserve">Digital Force Gauge, Merek : ANDILOG, Model : CENTOR FIRST SN : </t>
  </si>
  <si>
    <t>Ketidakpastian Waktu</t>
  </si>
  <si>
    <t>Disini</t>
  </si>
  <si>
    <t>Disana</t>
  </si>
  <si>
    <t>Tanggal Pembuatan Laporan</t>
  </si>
  <si>
    <t>Tekanan Traction</t>
  </si>
  <si>
    <t>%</t>
  </si>
  <si>
    <t>Ketidakpastian Pengukuran (%)</t>
  </si>
  <si>
    <t>29 Agustus 2020</t>
  </si>
  <si>
    <t>SCORE</t>
  </si>
  <si>
    <t>Penyelia  :</t>
  </si>
  <si>
    <t xml:space="preserve">Dibuat        : </t>
  </si>
  <si>
    <t xml:space="preserve">Alat ukur yang digunakan </t>
  </si>
  <si>
    <t xml:space="preserve">Keterangan </t>
  </si>
  <si>
    <t>INPUT SERTIFIKAT TACHOMETER</t>
  </si>
  <si>
    <t>Koreksi (%)</t>
  </si>
  <si>
    <t>Interpolasi Drift</t>
  </si>
  <si>
    <t>Resolusi Alat Standar</t>
  </si>
  <si>
    <t>Digital Tachometer, Merek :</t>
  </si>
  <si>
    <t>Nomor Sertifikat : 10 /</t>
  </si>
  <si>
    <t>Nomor Surat Keterangan : 10 / M -</t>
  </si>
  <si>
    <t>Alat yang dikalibrasi dalam batas toleransi dan dinyatakan LAIK PAKAI, dimana hasil atau skor akhir sama dengan atau melampaui 70% berdasarkan Keputusan Direktur Jenderal Pelayanan Kesehatan No : HK.02.02/V/5771/2018</t>
  </si>
  <si>
    <t>Alat yang dikalibrasi melebihi batas toleransi dan dinyatakan TIDAK LAIK PAKAI, dimana hasil atau skor akhir dibawah 70% berdasarkan Keputusan Direktur Jenderal Pelayanan Kesehatan No : HK.02.02/V/5771/2018</t>
  </si>
  <si>
    <t xml:space="preserve">Alat yang di kalibrasi dalam batas toleransi dan dinyatakan LAIK PAKAI </t>
  </si>
  <si>
    <t xml:space="preserve">Alat yang di kalibrasi melebihi batas toleransi dan dinyatakan TIDAK LAIK PAKAI </t>
  </si>
  <si>
    <t xml:space="preserve">Dibuat oleh : </t>
  </si>
  <si>
    <t>Massa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</si>
  <si>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</si>
  <si>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</si>
  <si>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</si>
  <si>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</si>
  <si>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</si>
  <si>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</si>
  <si>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</si>
  <si>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</si>
  <si>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</si>
  <si>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001452</t>
  </si>
  <si>
    <t>15. SN. 005018</t>
  </si>
  <si>
    <t>Koreksi Relatif (%)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</si>
  <si>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</si>
  <si>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</si>
  <si>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</si>
  <si>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</si>
  <si>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</si>
  <si>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</si>
  <si>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</si>
  <si>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</si>
  <si>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</si>
  <si>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:001452</t>
  </si>
  <si>
    <t>Stopwatch, Merek : EXTECH, Model : 365535, SN :005018</t>
  </si>
  <si>
    <t>Resistansi isolasi</t>
  </si>
  <si>
    <t>Kg</t>
  </si>
  <si>
    <t>Hasil Pembacaan Standar ( Kg )</t>
  </si>
  <si>
    <t>Pembacaan Standar (Kg)</t>
  </si>
  <si>
    <t>Traction Control    ( Kg )</t>
  </si>
  <si>
    <t>Waktu Terapy (s)</t>
  </si>
  <si>
    <t>Waktu Hold (s)</t>
  </si>
  <si>
    <t>Waktu Rest (s)</t>
  </si>
  <si>
    <t>Parameter Waktu (s)</t>
  </si>
  <si>
    <t>Terapy</t>
  </si>
  <si>
    <t>Hold</t>
  </si>
  <si>
    <t>Rest</t>
  </si>
  <si>
    <t>INTERPOLASI DRIFT (Therapy)</t>
  </si>
  <si>
    <t>INTERPOLASI DRIFT (HOLD)</t>
  </si>
  <si>
    <t>INTERPOLASI DRIFT REST</t>
  </si>
  <si>
    <t>INTERPOLASI KOREKSI (THERAPY)</t>
  </si>
  <si>
    <t>INTERPOLASI KOREKSI(HOLD)</t>
  </si>
  <si>
    <t>INTERPOLASI KOREKSI(REST)</t>
  </si>
  <si>
    <t>Open</t>
  </si>
  <si>
    <t>close</t>
  </si>
  <si>
    <t>open</t>
  </si>
  <si>
    <t>Tidak terdapat grounding</t>
  </si>
  <si>
    <t>OPEN</t>
  </si>
  <si>
    <t>CLOSE</t>
  </si>
  <si>
    <t>A. Tekanan traksi</t>
  </si>
  <si>
    <t>B. Waktu Traksi</t>
  </si>
  <si>
    <t>Muhammad Alpian Hadi</t>
  </si>
  <si>
    <t xml:space="preserve">Nomor Sertifikat : 52 / </t>
  </si>
  <si>
    <t xml:space="preserve">Nomor Surat Keterangan : 52 / M - </t>
  </si>
  <si>
    <t xml:space="preserve">   </t>
  </si>
  <si>
    <t>Hasil Pembacaan Standar ( N )</t>
  </si>
  <si>
    <t>Traction           Control                  ( N )</t>
  </si>
  <si>
    <t>Pembacaan Standar (N)</t>
  </si>
  <si>
    <t>Hasil pengukuran kinerja waktu tertelusur ke Satuan Internasional ( SI ) melalui METRIX PRECISION PTE LTD</t>
  </si>
  <si>
    <t>Score Pengukuran Kinerja</t>
  </si>
  <si>
    <t>INPUT DATA KALIBRASI TRACTION UNIT</t>
  </si>
  <si>
    <t>LEMBAR KERJA KALIBRASI TRACTION UNIT</t>
  </si>
  <si>
    <t>HASIL KALIBRASI TRACTION UNIT</t>
  </si>
  <si>
    <t>Petugas Kalibrasi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</si>
  <si>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</si>
  <si>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</si>
  <si>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</si>
  <si>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</si>
  <si>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</si>
  <si>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</si>
  <si>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</si>
  <si>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</si>
  <si>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</si>
  <si>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</si>
  <si>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</si>
  <si>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</si>
  <si>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</si>
  <si>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</si>
  <si>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 xml:space="preserve">Thermohygrometer, Merek : EXTECH , SD700 SN : A.100586, A.100609, A.100611, A.100616, A.100617, A.100618,A.100605  </t>
  </si>
  <si>
    <t>ESA 615 (4670010)</t>
  </si>
  <si>
    <t>Electrical Safety Analyzer, Merek : Fluke, Model : ESA 615, SN : 4670010</t>
  </si>
  <si>
    <t>Electrical Safety Analyzer, Merek : Fluke, Model : ESA 615, SN : 4669058</t>
  </si>
  <si>
    <t>ABS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</si>
  <si>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</si>
  <si>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</si>
  <si>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No.</t>
  </si>
  <si>
    <t>Revisi</t>
  </si>
  <si>
    <t>Hasil Pengujian Kondisi Fisik dan Fungsi komponen alat</t>
  </si>
  <si>
    <t>Pemeriksaan kondisi fisik dan fungsi alat</t>
  </si>
  <si>
    <t>Hasil pengukuran keselamatan listrik</t>
  </si>
  <si>
    <t>Pengujian keselamatan listrik</t>
  </si>
  <si>
    <t>Hasil Pengujian precision control tertelusur ke Satuan Internasional ( SI ) melalui METRIX PRECISION PTE LTD</t>
  </si>
  <si>
    <t>Hasil Pengujian kinerja waktu tertelusur ke Satuan Internasional ( SI ) melalui PT KALIMAN</t>
  </si>
  <si>
    <t>Hasil Pengukuran kinerja waktu tertelusur ke Satuan Internasional ( SI ) melalui PT KALIMAN</t>
  </si>
  <si>
    <t>Hasil pengujian kinerja waktu tertelusur ke Satuan Internasional ( SI ) melalui PT KALIMAN</t>
  </si>
  <si>
    <t>Hasil pengujian kinerja waktu tertelusur ke Satuan Internasional ( SI ) melalui PPM LIPI</t>
  </si>
  <si>
    <t>Hasil pengujian kinerja waktu tertelusur ke Satuan Internasional ( SI ) melalui SNSU</t>
  </si>
  <si>
    <t>Hasil pengujian kinerja traction control tertelusur ke Satuan Internasional ( SI ) melalui METRIX PRECISION PTE LTD</t>
  </si>
  <si>
    <t>Hasil pengujian kinerja traction control tertelusur ke Satuan Internasional ( SI ) melalui PT KALIMAN</t>
  </si>
  <si>
    <t xml:space="preserve">Pengujian Kinerja </t>
  </si>
  <si>
    <t xml:space="preserve"> Resistansi pembumian protektif 0.2</t>
  </si>
  <si>
    <t xml:space="preserve"> Resistansi pembumian protektif 0</t>
  </si>
  <si>
    <t>APA</t>
  </si>
  <si>
    <t>Alat tidak boleh digunakan pada instalasi tanpa dilengkapi grounding</t>
  </si>
  <si>
    <t>Hasil pengukuran kinerja traction control tertelusur ke Satuan Internasional ( SI ) melalui SNSU</t>
  </si>
  <si>
    <t>Hasil pengujian kinerja traction control tertelusur ke Satuan Internasional ( SI ) melalui SNSU</t>
  </si>
  <si>
    <t>GM.LHK - 053.18 /  REV : 1</t>
  </si>
  <si>
    <t>GM.LHK - 053.18 /  REV : 0</t>
  </si>
  <si>
    <t>16 Maret 2021</t>
  </si>
  <si>
    <t>Nilai NC belum masuk skoring</t>
  </si>
  <si>
    <t>Sudah diperbaiki</t>
  </si>
  <si>
    <t>Petugas</t>
  </si>
  <si>
    <t>Pada budget , resolusi belum dikalikan 0.5</t>
  </si>
  <si>
    <t>22 Desember 2021</t>
  </si>
  <si>
    <t>Done</t>
  </si>
  <si>
    <t>Hamdan</t>
  </si>
  <si>
    <t>Riwayat Revisi</t>
  </si>
  <si>
    <t xml:space="preserve">Perubahan titik ukur dari, 5 10 20 40, menjadi 10 20 30 40 </t>
  </si>
  <si>
    <t>Keluar lebih 2 dan 3 titik pada pengukuran tidak melebihi toleransi</t>
  </si>
  <si>
    <t>30 Desember 2021</t>
  </si>
  <si>
    <t>Choirul Huda, S.Tr. Kes</t>
  </si>
  <si>
    <t>Tanggal Penerimaan Alat</t>
  </si>
  <si>
    <t xml:space="preserve">update sertifikat themohygro </t>
  </si>
  <si>
    <t>done</t>
  </si>
  <si>
    <t>taufik</t>
  </si>
  <si>
    <t>SERTIFIKAT KALIBRASI</t>
  </si>
  <si>
    <t>Nama Alat            :</t>
  </si>
  <si>
    <t>Timbangan Bayi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</si>
  <si>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</si>
  <si>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</si>
  <si>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</si>
  <si>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</si>
  <si>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</si>
  <si>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</si>
  <si>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</si>
  <si>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</si>
  <si>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</si>
  <si>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</si>
  <si>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</si>
  <si>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</si>
  <si>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</si>
  <si>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</si>
  <si>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</si>
  <si>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</si>
  <si>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</si>
  <si>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</si>
  <si>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</si>
  <si>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</si>
  <si>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</si>
  <si>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</si>
  <si>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</si>
  <si>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</si>
  <si>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</si>
  <si>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</si>
  <si>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</si>
  <si>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</si>
  <si>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</si>
  <si>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</si>
  <si>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</si>
  <si>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</si>
  <si>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</si>
  <si>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GM.053-18</t>
  </si>
  <si>
    <t>1 / III - 20 / E - 00-00 DL</t>
  </si>
  <si>
    <t>Nomor Order              :</t>
  </si>
  <si>
    <t>(</t>
  </si>
  <si>
    <t>)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</si>
  <si>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</si>
  <si>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</si>
  <si>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ESA 615 (4669058)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</si>
  <si>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</si>
  <si>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</si>
  <si>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</si>
  <si>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</si>
  <si>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</si>
  <si>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</si>
  <si>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</si>
  <si>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</si>
  <si>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</si>
  <si>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</si>
  <si>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>NO</t>
  </si>
  <si>
    <t xml:space="preserve"> Volt</t>
  </si>
  <si>
    <t>NC</t>
  </si>
  <si>
    <t>Tegangan Jala-Jala</t>
  </si>
  <si>
    <t>Arus Bocor (NO)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</si>
  <si>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</si>
  <si>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</si>
  <si>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</si>
  <si>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</si>
  <si>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</si>
  <si>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--</t>
  </si>
  <si>
    <t>Electrical Safety Analyzer 11</t>
  </si>
  <si>
    <t>Electrical Safety Analyzer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</si>
</sst>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\±\ 0.00"/>
    <numFmt numFmtId="171" formatCode="0.000000000000000000000000000000000000000000"/>
    <numFmt numFmtId="172" formatCode="\±\ \ \ 0.0"/>
    <numFmt numFmtId="173" formatCode="0.0\ &quot;µA&quot;"/>
    <numFmt numFmtId="174" formatCode="0\ &quot;rpm&quot;"/>
    <numFmt numFmtId="175" formatCode="\&gt;\ 0\ &quot;MΩ&quot;"/>
    <numFmt numFmtId="176" formatCode="\≤\ 0.0\ \Ω"/>
    <numFmt numFmtId="177" formatCode="0&quot;%&quot;"/>
    <numFmt numFmtId="178" formatCode="\&gt;\ 0"/>
    <numFmt numFmtId="179" formatCode="\≤\ 0.0"/>
    <numFmt numFmtId="180" formatCode="\≥\ 0"/>
    <numFmt numFmtId="181" formatCode="&quot;≤&quot;\ 0.0\ &quot;µA&quot;"/>
    <numFmt numFmtId="182" formatCode="0.0\ &quot;%&quot;"/>
    <numFmt numFmtId="183" formatCode="&quot;±&quot;\ 0\ &quot;%&quot;"/>
    <numFmt numFmtId="184" formatCode="0.0\ &quot;Kg&quot;"/>
    <numFmt numFmtId="185" formatCode="0\ &quot;%&quot;"/>
    <numFmt numFmtId="186" formatCode="[$-421]dd\ mmmm\ yyyy;@"/>
    <numFmt numFmtId="187" formatCode="\≤\ 0.\2\ \Ω"/>
    <numFmt numFmtId="188" formatCode="&quot;≤&quot;\ 0\ &quot;µA&quot;"/>
    <numFmt numFmtId="189" formatCode="0.000000000"/>
    <numFmt numFmtId="190" formatCode="0.0000000000000"/>
  </numFmts>
  <fonts count="9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u/>
      <sz val="14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8"/>
      <name val="Calibri"/>
      <family val="2"/>
      <scheme val="minor"/>
    </font>
    <font>
      <u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1"/>
      <name val="Arial"/>
      <family val="2"/>
    </font>
    <font>
      <sz val="48"/>
      <name val="Arial"/>
      <family val="2"/>
    </font>
    <font>
      <sz val="48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theme="0" tint="-0.34998626667073579"/>
      <name val="Arial"/>
      <family val="2"/>
    </font>
    <font>
      <vertAlign val="superscript"/>
      <sz val="11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2"/>
      <color theme="0"/>
      <name val="Arial"/>
      <family val="2"/>
    </font>
    <font>
      <b/>
      <sz val="10"/>
      <color theme="0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sz val="13"/>
      <name val="Arial"/>
      <family val="2"/>
    </font>
    <font>
      <vertAlign val="superscript"/>
      <sz val="12"/>
      <name val="Arial"/>
      <family val="2"/>
    </font>
    <font>
      <b/>
      <sz val="26"/>
      <color rgb="FFFF0000"/>
      <name val="Arial"/>
      <family val="2"/>
    </font>
    <font>
      <sz val="28"/>
      <name val="Arial"/>
      <family val="2"/>
    </font>
    <font>
      <sz val="36"/>
      <name val="Arial"/>
      <family val="2"/>
    </font>
    <font>
      <b/>
      <sz val="48"/>
      <color rgb="FF7030A0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u/>
      <sz val="24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u/>
      <sz val="14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14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</cellStyleXfs>
  <cellXfs count="1536">
    <xf numFmtId="0" fontId="0" fillId="0" borderId="0" xfId="0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2" applyFont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0" xfId="2" quotePrefix="1" applyFont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2" applyFont="1" applyAlignment="1">
      <alignment horizontal="left" vertical="center"/>
    </xf>
    <xf numFmtId="2" fontId="13" fillId="0" borderId="0" xfId="2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8" fillId="0" borderId="13" xfId="0" applyFont="1" applyBorder="1"/>
    <xf numFmtId="0" fontId="10" fillId="0" borderId="11" xfId="1" applyFont="1" applyBorder="1"/>
    <xf numFmtId="0" fontId="8" fillId="0" borderId="6" xfId="1" applyFont="1" applyBorder="1"/>
    <xf numFmtId="1" fontId="8" fillId="0" borderId="6" xfId="1" applyNumberFormat="1" applyFont="1" applyBorder="1"/>
    <xf numFmtId="0" fontId="10" fillId="0" borderId="2" xfId="1" applyFont="1" applyBorder="1" applyAlignment="1">
      <alignment horizontal="center"/>
    </xf>
    <xf numFmtId="0" fontId="8" fillId="0" borderId="0" xfId="1" applyFont="1"/>
    <xf numFmtId="0" fontId="17" fillId="0" borderId="11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2" fontId="17" fillId="0" borderId="6" xfId="1" applyNumberFormat="1" applyFont="1" applyBorder="1" applyAlignment="1">
      <alignment horizontal="center"/>
    </xf>
    <xf numFmtId="0" fontId="17" fillId="0" borderId="16" xfId="1" applyFont="1" applyBorder="1" applyAlignment="1">
      <alignment horizontal="center"/>
    </xf>
    <xf numFmtId="0" fontId="8" fillId="0" borderId="9" xfId="1" applyFont="1" applyBorder="1" applyAlignment="1">
      <alignment horizontal="left"/>
    </xf>
    <xf numFmtId="0" fontId="8" fillId="0" borderId="3" xfId="1" applyFont="1" applyBorder="1" applyAlignment="1">
      <alignment horizontal="center"/>
    </xf>
    <xf numFmtId="0" fontId="8" fillId="0" borderId="0" xfId="1" applyFont="1" applyAlignment="1">
      <alignment horizontal="center"/>
    </xf>
    <xf numFmtId="2" fontId="8" fillId="0" borderId="10" xfId="1" applyNumberFormat="1" applyFont="1" applyBorder="1" applyAlignment="1">
      <alignment horizontal="center"/>
    </xf>
    <xf numFmtId="2" fontId="8" fillId="0" borderId="0" xfId="1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8" fillId="0" borderId="10" xfId="1" applyFont="1" applyBorder="1" applyAlignment="1">
      <alignment horizontal="center"/>
    </xf>
    <xf numFmtId="11" fontId="8" fillId="0" borderId="10" xfId="1" applyNumberFormat="1" applyFont="1" applyBorder="1" applyAlignment="1">
      <alignment horizontal="center"/>
    </xf>
    <xf numFmtId="11" fontId="8" fillId="0" borderId="15" xfId="1" applyNumberFormat="1" applyFont="1" applyBorder="1" applyAlignment="1">
      <alignment horizontal="center"/>
    </xf>
    <xf numFmtId="0" fontId="8" fillId="0" borderId="11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2" fontId="8" fillId="0" borderId="5" xfId="1" applyNumberFormat="1" applyFont="1" applyBorder="1" applyAlignment="1">
      <alignment horizontal="center"/>
    </xf>
    <xf numFmtId="2" fontId="8" fillId="0" borderId="4" xfId="1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1" fontId="8" fillId="0" borderId="3" xfId="1" applyNumberFormat="1" applyFont="1" applyBorder="1" applyAlignment="1">
      <alignment horizontal="center"/>
    </xf>
    <xf numFmtId="11" fontId="8" fillId="0" borderId="16" xfId="1" applyNumberFormat="1" applyFont="1" applyBorder="1" applyAlignment="1">
      <alignment horizontal="center"/>
    </xf>
    <xf numFmtId="2" fontId="8" fillId="0" borderId="3" xfId="1" applyNumberFormat="1" applyFont="1" applyBorder="1" applyAlignment="1">
      <alignment horizontal="center"/>
    </xf>
    <xf numFmtId="166" fontId="8" fillId="0" borderId="3" xfId="1" applyNumberFormat="1" applyFont="1" applyBorder="1" applyAlignment="1">
      <alignment horizontal="center"/>
    </xf>
    <xf numFmtId="11" fontId="8" fillId="0" borderId="17" xfId="1" applyNumberFormat="1" applyFont="1" applyBorder="1" applyAlignment="1">
      <alignment horizontal="center"/>
    </xf>
    <xf numFmtId="0" fontId="8" fillId="0" borderId="9" xfId="1" applyFont="1" applyBorder="1"/>
    <xf numFmtId="2" fontId="8" fillId="0" borderId="8" xfId="1" applyNumberFormat="1" applyFont="1" applyBorder="1" applyAlignment="1">
      <alignment horizontal="center"/>
    </xf>
    <xf numFmtId="2" fontId="8" fillId="0" borderId="12" xfId="1" applyNumberFormat="1" applyFont="1" applyBorder="1" applyAlignment="1">
      <alignment horizontal="center"/>
    </xf>
    <xf numFmtId="0" fontId="17" fillId="0" borderId="13" xfId="1" applyFont="1" applyBorder="1"/>
    <xf numFmtId="0" fontId="10" fillId="0" borderId="0" xfId="1" applyFont="1"/>
    <xf numFmtId="2" fontId="10" fillId="0" borderId="0" xfId="1" applyNumberFormat="1" applyFont="1"/>
    <xf numFmtId="11" fontId="8" fillId="0" borderId="7" xfId="1" applyNumberFormat="1" applyFont="1" applyBorder="1" applyAlignment="1">
      <alignment horizontal="center"/>
    </xf>
    <xf numFmtId="11" fontId="8" fillId="0" borderId="23" xfId="1" applyNumberFormat="1" applyFont="1" applyBorder="1" applyAlignment="1">
      <alignment horizontal="center"/>
    </xf>
    <xf numFmtId="0" fontId="17" fillId="0" borderId="11" xfId="1" applyFont="1" applyBorder="1"/>
    <xf numFmtId="0" fontId="10" fillId="0" borderId="6" xfId="1" applyFont="1" applyBorder="1"/>
    <xf numFmtId="2" fontId="10" fillId="0" borderId="6" xfId="1" applyNumberFormat="1" applyFont="1" applyBorder="1"/>
    <xf numFmtId="0" fontId="18" fillId="0" borderId="6" xfId="1" applyFont="1" applyBorder="1"/>
    <xf numFmtId="167" fontId="8" fillId="0" borderId="1" xfId="1" applyNumberFormat="1" applyFont="1" applyBorder="1" applyAlignment="1">
      <alignment horizontal="center"/>
    </xf>
    <xf numFmtId="0" fontId="8" fillId="0" borderId="16" xfId="1" applyFont="1" applyBorder="1"/>
    <xf numFmtId="0" fontId="8" fillId="0" borderId="15" xfId="1" applyFont="1" applyBorder="1"/>
    <xf numFmtId="2" fontId="8" fillId="0" borderId="1" xfId="1" applyNumberFormat="1" applyFont="1" applyBorder="1" applyAlignment="1">
      <alignment horizontal="center"/>
    </xf>
    <xf numFmtId="0" fontId="17" fillId="0" borderId="14" xfId="1" applyFont="1" applyBorder="1"/>
    <xf numFmtId="0" fontId="10" fillId="0" borderId="12" xfId="1" applyFont="1" applyBorder="1"/>
    <xf numFmtId="2" fontId="10" fillId="0" borderId="12" xfId="1" applyNumberFormat="1" applyFont="1" applyBorder="1"/>
    <xf numFmtId="0" fontId="8" fillId="0" borderId="12" xfId="1" applyFont="1" applyBorder="1"/>
    <xf numFmtId="2" fontId="10" fillId="0" borderId="22" xfId="1" applyNumberFormat="1" applyFont="1" applyBorder="1" applyAlignment="1">
      <alignment horizontal="center"/>
    </xf>
    <xf numFmtId="165" fontId="10" fillId="0" borderId="18" xfId="1" applyNumberFormat="1" applyFont="1" applyBorder="1" applyAlignment="1">
      <alignment horizontal="center"/>
    </xf>
    <xf numFmtId="0" fontId="10" fillId="0" borderId="13" xfId="0" applyFont="1" applyBorder="1"/>
    <xf numFmtId="0" fontId="8" fillId="0" borderId="8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8" fillId="0" borderId="46" xfId="0" applyFont="1" applyBorder="1"/>
    <xf numFmtId="0" fontId="8" fillId="0" borderId="4" xfId="0" applyFont="1" applyBorder="1"/>
    <xf numFmtId="0" fontId="8" fillId="0" borderId="26" xfId="0" applyFont="1" applyBorder="1"/>
    <xf numFmtId="0" fontId="8" fillId="0" borderId="6" xfId="0" applyFont="1" applyBorder="1"/>
    <xf numFmtId="165" fontId="8" fillId="0" borderId="1" xfId="0" applyNumberFormat="1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/>
    </xf>
    <xf numFmtId="0" fontId="8" fillId="0" borderId="17" xfId="0" applyFont="1" applyBorder="1"/>
    <xf numFmtId="2" fontId="8" fillId="0" borderId="1" xfId="0" applyNumberFormat="1" applyFont="1" applyBorder="1" applyAlignment="1">
      <alignment horizontal="center"/>
    </xf>
    <xf numFmtId="0" fontId="8" fillId="0" borderId="24" xfId="1" applyFont="1" applyBorder="1"/>
    <xf numFmtId="0" fontId="8" fillId="0" borderId="24" xfId="0" applyFont="1" applyBorder="1"/>
    <xf numFmtId="0" fontId="10" fillId="0" borderId="19" xfId="0" applyFont="1" applyBorder="1"/>
    <xf numFmtId="0" fontId="20" fillId="0" borderId="0" xfId="1" applyFont="1"/>
    <xf numFmtId="0" fontId="20" fillId="0" borderId="0" xfId="0" applyFont="1" applyAlignment="1">
      <alignment vertical="center"/>
    </xf>
    <xf numFmtId="2" fontId="10" fillId="0" borderId="3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0" fontId="15" fillId="0" borderId="0" xfId="2" applyFont="1" applyAlignment="1">
      <alignment vertical="center" wrapText="1"/>
    </xf>
    <xf numFmtId="2" fontId="16" fillId="0" borderId="0" xfId="2" applyNumberFormat="1" applyFont="1"/>
    <xf numFmtId="0" fontId="17" fillId="0" borderId="39" xfId="1" applyFont="1" applyBorder="1"/>
    <xf numFmtId="11" fontId="8" fillId="0" borderId="17" xfId="0" applyNumberFormat="1" applyFont="1" applyBorder="1" applyAlignment="1">
      <alignment horizontal="center" vertical="center"/>
    </xf>
    <xf numFmtId="11" fontId="8" fillId="0" borderId="27" xfId="0" applyNumberFormat="1" applyFont="1" applyBorder="1"/>
    <xf numFmtId="0" fontId="11" fillId="0" borderId="0" xfId="2" applyFont="1" applyAlignment="1">
      <alignment horizontal="center" vertical="center"/>
    </xf>
    <xf numFmtId="171" fontId="10" fillId="0" borderId="0" xfId="0" applyNumberFormat="1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0" xfId="0" applyFont="1"/>
    <xf numFmtId="2" fontId="6" fillId="0" borderId="3" xfId="0" applyNumberFormat="1" applyFont="1" applyBorder="1" applyAlignment="1">
      <alignment horizontal="center"/>
    </xf>
    <xf numFmtId="2" fontId="6" fillId="0" borderId="21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 applyProtection="1">
      <alignment horizontal="left" vertical="top"/>
      <protection hidden="1"/>
    </xf>
    <xf numFmtId="0" fontId="9" fillId="2" borderId="0" xfId="0" applyFont="1" applyFill="1" applyAlignment="1" applyProtection="1">
      <alignment vertical="top"/>
      <protection hidden="1"/>
    </xf>
    <xf numFmtId="0" fontId="9" fillId="0" borderId="0" xfId="2" applyFont="1"/>
    <xf numFmtId="0" fontId="11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horizontal="right" vertical="center"/>
    </xf>
    <xf numFmtId="0" fontId="11" fillId="0" borderId="7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3" fillId="0" borderId="52" xfId="2" applyFont="1" applyBorder="1" applyAlignment="1">
      <alignment vertical="center"/>
    </xf>
    <xf numFmtId="0" fontId="13" fillId="0" borderId="53" xfId="2" applyFont="1" applyBorder="1" applyAlignment="1">
      <alignment vertical="center"/>
    </xf>
    <xf numFmtId="0" fontId="22" fillId="0" borderId="0" xfId="2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164" fontId="13" fillId="0" borderId="3" xfId="0" applyNumberFormat="1" applyFont="1" applyBorder="1" applyAlignment="1">
      <alignment vertical="center"/>
    </xf>
    <xf numFmtId="164" fontId="13" fillId="0" borderId="7" xfId="0" applyNumberFormat="1" applyFont="1" applyBorder="1" applyAlignment="1">
      <alignment horizontal="center" vertical="center"/>
    </xf>
    <xf numFmtId="0" fontId="13" fillId="0" borderId="4" xfId="2" applyFont="1" applyBorder="1" applyAlignment="1">
      <alignment vertical="center"/>
    </xf>
    <xf numFmtId="164" fontId="13" fillId="0" borderId="12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left" vertical="center"/>
    </xf>
    <xf numFmtId="165" fontId="13" fillId="0" borderId="0" xfId="2" applyNumberFormat="1" applyFont="1" applyAlignment="1">
      <alignment horizontal="center" vertical="center"/>
    </xf>
    <xf numFmtId="0" fontId="13" fillId="0" borderId="3" xfId="2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2" borderId="0" xfId="0" applyFont="1" applyFill="1" applyAlignment="1">
      <alignment vertical="center"/>
    </xf>
    <xf numFmtId="0" fontId="22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horizontal="left" vertical="center"/>
    </xf>
    <xf numFmtId="0" fontId="13" fillId="0" borderId="52" xfId="0" applyFont="1" applyBorder="1" applyAlignment="1">
      <alignment horizontal="left" vertical="center"/>
    </xf>
    <xf numFmtId="0" fontId="13" fillId="0" borderId="53" xfId="2" applyFont="1" applyBorder="1" applyAlignment="1">
      <alignment horizontal="left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0" fillId="0" borderId="36" xfId="1" applyFont="1" applyBorder="1"/>
    <xf numFmtId="0" fontId="8" fillId="0" borderId="37" xfId="1" applyFont="1" applyBorder="1"/>
    <xf numFmtId="1" fontId="8" fillId="0" borderId="37" xfId="1" applyNumberFormat="1" applyFont="1" applyBorder="1"/>
    <xf numFmtId="0" fontId="10" fillId="0" borderId="40" xfId="1" applyFont="1" applyBorder="1" applyAlignment="1">
      <alignment horizontal="center"/>
    </xf>
    <xf numFmtId="0" fontId="8" fillId="0" borderId="59" xfId="1" applyFont="1" applyBorder="1"/>
    <xf numFmtId="0" fontId="8" fillId="0" borderId="60" xfId="1" applyFont="1" applyBorder="1"/>
    <xf numFmtId="0" fontId="8" fillId="0" borderId="59" xfId="0" applyFont="1" applyBorder="1"/>
    <xf numFmtId="0" fontId="10" fillId="0" borderId="0" xfId="0" applyFont="1"/>
    <xf numFmtId="0" fontId="30" fillId="3" borderId="3" xfId="0" applyFont="1" applyFill="1" applyBorder="1" applyAlignment="1">
      <alignment horizontal="center" vertical="center"/>
    </xf>
    <xf numFmtId="0" fontId="2" fillId="0" borderId="0" xfId="0" applyFont="1"/>
    <xf numFmtId="0" fontId="37" fillId="0" borderId="0" xfId="0" applyFont="1" applyAlignment="1">
      <alignment horizontal="center" vertical="center"/>
    </xf>
    <xf numFmtId="0" fontId="37" fillId="0" borderId="0" xfId="0" applyFont="1"/>
    <xf numFmtId="0" fontId="37" fillId="3" borderId="0" xfId="0" applyFont="1" applyFill="1"/>
    <xf numFmtId="0" fontId="37" fillId="3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36" fillId="0" borderId="0" xfId="0" applyFont="1"/>
    <xf numFmtId="0" fontId="36" fillId="3" borderId="0" xfId="0" applyFont="1" applyFill="1"/>
    <xf numFmtId="0" fontId="36" fillId="3" borderId="13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0" fillId="0" borderId="59" xfId="0" applyBorder="1"/>
    <xf numFmtId="0" fontId="36" fillId="3" borderId="13" xfId="0" applyFont="1" applyFill="1" applyBorder="1"/>
    <xf numFmtId="0" fontId="0" fillId="3" borderId="0" xfId="0" applyFill="1"/>
    <xf numFmtId="0" fontId="2" fillId="3" borderId="0" xfId="0" applyFont="1" applyFill="1"/>
    <xf numFmtId="0" fontId="42" fillId="3" borderId="9" xfId="0" applyFont="1" applyFill="1" applyBorder="1" applyAlignment="1">
      <alignment horizontal="center" vertical="center"/>
    </xf>
    <xf numFmtId="2" fontId="42" fillId="3" borderId="9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15" xfId="0" applyFill="1" applyBorder="1"/>
    <xf numFmtId="0" fontId="42" fillId="3" borderId="0" xfId="0" applyFont="1" applyFill="1" applyAlignment="1">
      <alignment horizontal="center" vertical="center"/>
    </xf>
    <xf numFmtId="2" fontId="42" fillId="3" borderId="0" xfId="0" applyNumberFormat="1" applyFont="1" applyFill="1" applyAlignment="1">
      <alignment horizontal="center" vertical="center"/>
    </xf>
    <xf numFmtId="0" fontId="36" fillId="3" borderId="0" xfId="0" applyFont="1" applyFill="1" applyAlignment="1">
      <alignment vertical="center"/>
    </xf>
    <xf numFmtId="164" fontId="36" fillId="3" borderId="0" xfId="0" applyNumberFormat="1" applyFont="1" applyFill="1" applyAlignment="1">
      <alignment horizontal="center" vertical="center"/>
    </xf>
    <xf numFmtId="2" fontId="36" fillId="3" borderId="0" xfId="0" applyNumberFormat="1" applyFont="1" applyFill="1" applyAlignment="1">
      <alignment horizontal="center" vertical="center"/>
    </xf>
    <xf numFmtId="0" fontId="48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0" fillId="3" borderId="0" xfId="0" applyFont="1" applyFill="1" applyAlignment="1">
      <alignment vertical="center" wrapText="1"/>
    </xf>
    <xf numFmtId="0" fontId="50" fillId="3" borderId="0" xfId="0" applyFont="1" applyFill="1" applyAlignment="1">
      <alignment vertical="center"/>
    </xf>
    <xf numFmtId="0" fontId="30" fillId="3" borderId="9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horizontal="center" vertical="center"/>
    </xf>
    <xf numFmtId="0" fontId="30" fillId="10" borderId="3" xfId="0" quotePrefix="1" applyFont="1" applyFill="1" applyBorder="1" applyAlignment="1">
      <alignment horizontal="center" vertical="center"/>
    </xf>
    <xf numFmtId="0" fontId="30" fillId="3" borderId="0" xfId="0" quotePrefix="1" applyFont="1" applyFill="1" applyAlignment="1">
      <alignment horizontal="center" vertical="center"/>
    </xf>
    <xf numFmtId="1" fontId="2" fillId="10" borderId="9" xfId="0" applyNumberFormat="1" applyFont="1" applyFill="1" applyBorder="1" applyAlignment="1">
      <alignment horizontal="center" vertical="center"/>
    </xf>
    <xf numFmtId="165" fontId="2" fillId="10" borderId="3" xfId="0" quotePrefix="1" applyNumberFormat="1" applyFont="1" applyFill="1" applyBorder="1" applyAlignment="1">
      <alignment horizontal="center" vertical="center"/>
    </xf>
    <xf numFmtId="165" fontId="2" fillId="10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/>
    </xf>
    <xf numFmtId="1" fontId="2" fillId="10" borderId="3" xfId="0" applyNumberFormat="1" applyFont="1" applyFill="1" applyBorder="1" applyAlignment="1">
      <alignment horizontal="center" vertical="center"/>
    </xf>
    <xf numFmtId="2" fontId="2" fillId="10" borderId="3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2" fillId="3" borderId="0" xfId="0" quotePrefix="1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 vertical="center"/>
    </xf>
    <xf numFmtId="2" fontId="2" fillId="10" borderId="3" xfId="0" quotePrefix="1" applyNumberFormat="1" applyFon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50" fillId="3" borderId="0" xfId="0" applyFont="1" applyFill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3" borderId="4" xfId="0" applyFill="1" applyBorder="1"/>
    <xf numFmtId="0" fontId="36" fillId="0" borderId="13" xfId="0" applyFont="1" applyBorder="1"/>
    <xf numFmtId="0" fontId="36" fillId="0" borderId="15" xfId="0" applyFont="1" applyBorder="1"/>
    <xf numFmtId="0" fontId="0" fillId="0" borderId="15" xfId="0" applyBorder="1"/>
    <xf numFmtId="0" fontId="42" fillId="11" borderId="3" xfId="0" applyFont="1" applyFill="1" applyBorder="1" applyAlignment="1">
      <alignment horizontal="center" vertical="center" wrapText="1"/>
    </xf>
    <xf numFmtId="2" fontId="36" fillId="11" borderId="3" xfId="0" applyNumberFormat="1" applyFont="1" applyFill="1" applyBorder="1" applyAlignment="1">
      <alignment horizontal="center" vertical="center"/>
    </xf>
    <xf numFmtId="0" fontId="42" fillId="11" borderId="34" xfId="0" applyFont="1" applyFill="1" applyBorder="1" applyAlignment="1">
      <alignment horizontal="center" vertical="center" wrapText="1"/>
    </xf>
    <xf numFmtId="2" fontId="36" fillId="11" borderId="34" xfId="0" applyNumberFormat="1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 wrapText="1"/>
    </xf>
    <xf numFmtId="0" fontId="4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5" fontId="36" fillId="3" borderId="0" xfId="0" applyNumberFormat="1" applyFont="1" applyFill="1" applyAlignment="1">
      <alignment horizontal="center" vertical="center"/>
    </xf>
    <xf numFmtId="165" fontId="42" fillId="3" borderId="0" xfId="0" applyNumberFormat="1" applyFont="1" applyFill="1" applyAlignment="1">
      <alignment horizontal="center" vertical="center"/>
    </xf>
    <xf numFmtId="0" fontId="0" fillId="10" borderId="0" xfId="0" applyFill="1"/>
    <xf numFmtId="2" fontId="36" fillId="3" borderId="3" xfId="0" applyNumberFormat="1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36" fillId="3" borderId="13" xfId="0" applyNumberFormat="1" applyFont="1" applyFill="1" applyBorder="1" applyAlignment="1">
      <alignment horizontal="center" vertical="center"/>
    </xf>
    <xf numFmtId="0" fontId="42" fillId="3" borderId="0" xfId="0" applyFont="1" applyFill="1" applyAlignment="1">
      <alignment horizontal="center"/>
    </xf>
    <xf numFmtId="2" fontId="42" fillId="3" borderId="0" xfId="0" applyNumberFormat="1" applyFont="1" applyFill="1" applyAlignment="1">
      <alignment horizontal="center"/>
    </xf>
    <xf numFmtId="0" fontId="42" fillId="3" borderId="3" xfId="0" applyFont="1" applyFill="1" applyBorder="1" applyAlignment="1">
      <alignment horizontal="center"/>
    </xf>
    <xf numFmtId="2" fontId="42" fillId="3" borderId="17" xfId="0" applyNumberFormat="1" applyFont="1" applyFill="1" applyBorder="1" applyAlignment="1">
      <alignment horizontal="center"/>
    </xf>
    <xf numFmtId="165" fontId="42" fillId="3" borderId="3" xfId="0" applyNumberFormat="1" applyFont="1" applyFill="1" applyBorder="1" applyAlignment="1">
      <alignment horizontal="center"/>
    </xf>
    <xf numFmtId="0" fontId="42" fillId="3" borderId="17" xfId="0" applyFont="1" applyFill="1" applyBorder="1" applyAlignment="1">
      <alignment horizontal="center"/>
    </xf>
    <xf numFmtId="0" fontId="42" fillId="3" borderId="13" xfId="0" applyFont="1" applyFill="1" applyBorder="1" applyAlignment="1">
      <alignment horizontal="center" vertical="center"/>
    </xf>
    <xf numFmtId="165" fontId="36" fillId="0" borderId="0" xfId="0" applyNumberFormat="1" applyFont="1"/>
    <xf numFmtId="0" fontId="43" fillId="3" borderId="75" xfId="0" applyFont="1" applyFill="1" applyBorder="1" applyAlignment="1">
      <alignment horizontal="center" vertical="center" wrapText="1"/>
    </xf>
    <xf numFmtId="0" fontId="43" fillId="3" borderId="34" xfId="0" applyFont="1" applyFill="1" applyBorder="1" applyAlignment="1">
      <alignment horizontal="center" vertical="center" wrapText="1"/>
    </xf>
    <xf numFmtId="0" fontId="43" fillId="3" borderId="40" xfId="0" applyFont="1" applyFill="1" applyBorder="1" applyAlignment="1">
      <alignment horizontal="center" vertical="center" wrapText="1"/>
    </xf>
    <xf numFmtId="0" fontId="42" fillId="3" borderId="41" xfId="2" applyFont="1" applyFill="1" applyBorder="1" applyAlignment="1">
      <alignment horizontal="center" vertical="center" wrapText="1"/>
    </xf>
    <xf numFmtId="0" fontId="42" fillId="3" borderId="41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vertical="center"/>
    </xf>
    <xf numFmtId="0" fontId="10" fillId="3" borderId="32" xfId="0" applyFont="1" applyFill="1" applyBorder="1" applyAlignment="1">
      <alignment vertical="center"/>
    </xf>
    <xf numFmtId="0" fontId="10" fillId="3" borderId="63" xfId="0" applyFont="1" applyFill="1" applyBorder="1" applyAlignment="1">
      <alignment vertical="center"/>
    </xf>
    <xf numFmtId="0" fontId="33" fillId="3" borderId="12" xfId="0" applyFont="1" applyFill="1" applyBorder="1" applyAlignment="1">
      <alignment vertical="center"/>
    </xf>
    <xf numFmtId="0" fontId="33" fillId="3" borderId="8" xfId="0" applyFont="1" applyFill="1" applyBorder="1" applyAlignment="1">
      <alignment horizontal="center" vertical="center"/>
    </xf>
    <xf numFmtId="1" fontId="36" fillId="3" borderId="44" xfId="0" applyNumberFormat="1" applyFont="1" applyFill="1" applyBorder="1" applyAlignment="1">
      <alignment horizontal="center" vertical="center"/>
    </xf>
    <xf numFmtId="0" fontId="37" fillId="0" borderId="6" xfId="0" applyFont="1" applyBorder="1"/>
    <xf numFmtId="0" fontId="37" fillId="0" borderId="16" xfId="0" applyFont="1" applyBorder="1"/>
    <xf numFmtId="0" fontId="33" fillId="3" borderId="6" xfId="0" applyFont="1" applyFill="1" applyBorder="1" applyAlignment="1">
      <alignment vertical="center"/>
    </xf>
    <xf numFmtId="0" fontId="33" fillId="3" borderId="3" xfId="0" applyFont="1" applyFill="1" applyBorder="1" applyAlignment="1">
      <alignment horizontal="center" vertical="center"/>
    </xf>
    <xf numFmtId="1" fontId="36" fillId="3" borderId="17" xfId="0" applyNumberFormat="1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8" fillId="3" borderId="0" xfId="0" quotePrefix="1" applyFont="1" applyFill="1" applyAlignment="1" applyProtection="1">
      <alignment horizontal="left"/>
      <protection locked="0"/>
    </xf>
    <xf numFmtId="0" fontId="55" fillId="0" borderId="0" xfId="0" applyFont="1" applyProtection="1">
      <protection locked="0"/>
    </xf>
    <xf numFmtId="0" fontId="54" fillId="3" borderId="0" xfId="2" applyFont="1" applyFill="1" applyAlignment="1" applyProtection="1">
      <alignment vertical="center"/>
      <protection locked="0"/>
    </xf>
    <xf numFmtId="0" fontId="56" fillId="0" borderId="0" xfId="0" applyFont="1" applyProtection="1">
      <protection locked="0"/>
    </xf>
    <xf numFmtId="0" fontId="57" fillId="3" borderId="0" xfId="2" applyFont="1" applyFill="1" applyAlignment="1" applyProtection="1">
      <alignment vertical="center"/>
      <protection locked="0"/>
    </xf>
    <xf numFmtId="0" fontId="56" fillId="0" borderId="0" xfId="0" applyFont="1"/>
    <xf numFmtId="0" fontId="44" fillId="3" borderId="43" xfId="0" applyFont="1" applyFill="1" applyBorder="1" applyAlignment="1">
      <alignment horizontal="center" vertical="center" wrapText="1"/>
    </xf>
    <xf numFmtId="0" fontId="29" fillId="3" borderId="0" xfId="4" applyFont="1" applyFill="1" applyAlignment="1">
      <alignment horizontal="center" vertical="center"/>
    </xf>
    <xf numFmtId="0" fontId="42" fillId="3" borderId="0" xfId="4" applyFont="1" applyFill="1" applyAlignment="1">
      <alignment vertical="center" wrapText="1"/>
    </xf>
    <xf numFmtId="0" fontId="42" fillId="3" borderId="0" xfId="4" applyFont="1" applyFill="1" applyAlignment="1">
      <alignment horizontal="center" vertical="center" wrapText="1"/>
    </xf>
    <xf numFmtId="0" fontId="42" fillId="3" borderId="3" xfId="4" applyFont="1" applyFill="1" applyBorder="1" applyAlignment="1">
      <alignment horizontal="center" vertical="center" wrapText="1"/>
    </xf>
    <xf numFmtId="0" fontId="29" fillId="11" borderId="3" xfId="4" applyFont="1" applyFill="1" applyBorder="1" applyAlignment="1">
      <alignment horizontal="center" vertical="center"/>
    </xf>
    <xf numFmtId="0" fontId="51" fillId="3" borderId="0" xfId="4" applyFont="1" applyFill="1" applyAlignment="1">
      <alignment vertical="center"/>
    </xf>
    <xf numFmtId="0" fontId="51" fillId="3" borderId="15" xfId="4" applyFont="1" applyFill="1" applyBorder="1" applyAlignment="1">
      <alignment vertical="center"/>
    </xf>
    <xf numFmtId="0" fontId="29" fillId="3" borderId="9" xfId="4" applyFont="1" applyFill="1" applyBorder="1" applyAlignment="1">
      <alignment horizontal="center" vertical="center"/>
    </xf>
    <xf numFmtId="0" fontId="29" fillId="3" borderId="0" xfId="4" applyFont="1" applyFill="1"/>
    <xf numFmtId="0" fontId="29" fillId="3" borderId="0" xfId="4" applyFont="1" applyFill="1" applyAlignment="1">
      <alignment vertical="center"/>
    </xf>
    <xf numFmtId="165" fontId="33" fillId="3" borderId="3" xfId="4" applyNumberFormat="1" applyFont="1" applyFill="1" applyBorder="1" applyAlignment="1">
      <alignment horizontal="center" vertical="center"/>
    </xf>
    <xf numFmtId="2" fontId="2" fillId="3" borderId="17" xfId="4" applyNumberFormat="1" applyFill="1" applyBorder="1" applyAlignment="1">
      <alignment horizontal="center" vertical="center"/>
    </xf>
    <xf numFmtId="2" fontId="2" fillId="3" borderId="3" xfId="4" applyNumberFormat="1" applyFill="1" applyBorder="1" applyAlignment="1">
      <alignment horizontal="center" vertical="center"/>
    </xf>
    <xf numFmtId="2" fontId="33" fillId="3" borderId="3" xfId="4" applyNumberFormat="1" applyFont="1" applyFill="1" applyBorder="1" applyAlignment="1">
      <alignment horizontal="center" vertical="center"/>
    </xf>
    <xf numFmtId="0" fontId="35" fillId="3" borderId="0" xfId="4" applyFont="1" applyFill="1"/>
    <xf numFmtId="1" fontId="2" fillId="10" borderId="3" xfId="4" applyNumberFormat="1" applyFill="1" applyBorder="1" applyAlignment="1">
      <alignment horizontal="center" vertical="center"/>
    </xf>
    <xf numFmtId="0" fontId="0" fillId="0" borderId="3" xfId="0" applyBorder="1"/>
    <xf numFmtId="0" fontId="42" fillId="3" borderId="59" xfId="4" applyFont="1" applyFill="1" applyBorder="1" applyAlignment="1">
      <alignment vertical="center"/>
    </xf>
    <xf numFmtId="0" fontId="42" fillId="3" borderId="59" xfId="4" applyFont="1" applyFill="1" applyBorder="1" applyAlignment="1">
      <alignment horizontal="center" vertical="center"/>
    </xf>
    <xf numFmtId="0" fontId="42" fillId="3" borderId="33" xfId="4" applyFont="1" applyFill="1" applyBorder="1" applyAlignment="1">
      <alignment horizontal="center" vertical="center"/>
    </xf>
    <xf numFmtId="0" fontId="42" fillId="3" borderId="59" xfId="4" applyFont="1" applyFill="1" applyBorder="1" applyAlignment="1">
      <alignment horizontal="left" vertical="center" wrapText="1"/>
    </xf>
    <xf numFmtId="0" fontId="35" fillId="3" borderId="9" xfId="4" applyFont="1" applyFill="1" applyBorder="1" applyAlignment="1">
      <alignment horizontal="center" vertical="center"/>
    </xf>
    <xf numFmtId="164" fontId="36" fillId="3" borderId="17" xfId="4" applyNumberFormat="1" applyFont="1" applyFill="1" applyBorder="1" applyAlignment="1">
      <alignment horizontal="center"/>
    </xf>
    <xf numFmtId="11" fontId="36" fillId="3" borderId="0" xfId="4" applyNumberFormat="1" applyFont="1" applyFill="1" applyAlignment="1">
      <alignment horizontal="center"/>
    </xf>
    <xf numFmtId="164" fontId="36" fillId="3" borderId="19" xfId="4" applyNumberFormat="1" applyFont="1" applyFill="1" applyBorder="1" applyAlignment="1">
      <alignment horizontal="center"/>
    </xf>
    <xf numFmtId="0" fontId="36" fillId="3" borderId="0" xfId="4" applyFont="1" applyFill="1" applyAlignment="1">
      <alignment horizontal="center"/>
    </xf>
    <xf numFmtId="166" fontId="36" fillId="3" borderId="0" xfId="4" applyNumberFormat="1" applyFont="1" applyFill="1" applyAlignment="1">
      <alignment horizontal="center"/>
    </xf>
    <xf numFmtId="166" fontId="36" fillId="3" borderId="15" xfId="4" applyNumberFormat="1" applyFont="1" applyFill="1" applyBorder="1" applyAlignment="1">
      <alignment horizontal="center"/>
    </xf>
    <xf numFmtId="0" fontId="44" fillId="3" borderId="15" xfId="4" applyFont="1" applyFill="1" applyBorder="1"/>
    <xf numFmtId="0" fontId="35" fillId="3" borderId="15" xfId="4" applyFont="1" applyFill="1" applyBorder="1"/>
    <xf numFmtId="167" fontId="33" fillId="3" borderId="0" xfId="4" applyNumberFormat="1" applyFont="1" applyFill="1" applyAlignment="1">
      <alignment horizontal="center"/>
    </xf>
    <xf numFmtId="165" fontId="47" fillId="3" borderId="0" xfId="4" applyNumberFormat="1" applyFont="1" applyFill="1" applyAlignment="1">
      <alignment horizontal="center"/>
    </xf>
    <xf numFmtId="0" fontId="42" fillId="3" borderId="0" xfId="4" applyFont="1" applyFill="1" applyAlignment="1">
      <alignment vertical="center"/>
    </xf>
    <xf numFmtId="0" fontId="33" fillId="3" borderId="0" xfId="4" applyFont="1" applyFill="1"/>
    <xf numFmtId="166" fontId="35" fillId="3" borderId="0" xfId="4" applyNumberFormat="1" applyFont="1" applyFill="1" applyAlignment="1">
      <alignment horizontal="center"/>
    </xf>
    <xf numFmtId="0" fontId="36" fillId="3" borderId="0" xfId="4" applyFont="1" applyFill="1"/>
    <xf numFmtId="2" fontId="29" fillId="3" borderId="0" xfId="4" applyNumberFormat="1" applyFont="1" applyFill="1" applyAlignment="1">
      <alignment horizontal="center"/>
    </xf>
    <xf numFmtId="2" fontId="36" fillId="3" borderId="0" xfId="4" applyNumberFormat="1" applyFont="1" applyFill="1" applyAlignment="1">
      <alignment horizontal="center"/>
    </xf>
    <xf numFmtId="0" fontId="33" fillId="3" borderId="3" xfId="4" applyFont="1" applyFill="1" applyBorder="1" applyAlignment="1">
      <alignment horizontal="center" vertical="center"/>
    </xf>
    <xf numFmtId="0" fontId="54" fillId="0" borderId="0" xfId="0" applyFont="1" applyAlignment="1" applyProtection="1">
      <alignment vertical="center"/>
      <protection locked="0"/>
    </xf>
    <xf numFmtId="0" fontId="57" fillId="0" borderId="3" xfId="0" applyFont="1" applyBorder="1" applyAlignment="1" applyProtection="1">
      <alignment horizontal="center" vertical="center" wrapText="1"/>
      <protection locked="0"/>
    </xf>
    <xf numFmtId="0" fontId="57" fillId="3" borderId="0" xfId="0" applyFont="1" applyFill="1" applyAlignment="1" applyProtection="1">
      <alignment vertical="center" wrapText="1"/>
      <protection locked="0"/>
    </xf>
    <xf numFmtId="0" fontId="54" fillId="0" borderId="56" xfId="0" applyFont="1" applyBorder="1" applyAlignment="1" applyProtection="1">
      <alignment horizontal="center" vertical="center" wrapText="1"/>
      <protection locked="0"/>
    </xf>
    <xf numFmtId="0" fontId="54" fillId="0" borderId="76" xfId="0" applyFont="1" applyBorder="1" applyAlignment="1" applyProtection="1">
      <alignment horizontal="left" vertical="center"/>
      <protection locked="0"/>
    </xf>
    <xf numFmtId="0" fontId="57" fillId="0" borderId="53" xfId="0" applyFont="1" applyBorder="1" applyAlignment="1" applyProtection="1">
      <alignment horizontal="center" vertical="center" wrapText="1"/>
      <protection locked="0"/>
    </xf>
    <xf numFmtId="0" fontId="58" fillId="0" borderId="0" xfId="0" applyFont="1" applyAlignment="1" applyProtection="1">
      <alignment vertical="center"/>
      <protection locked="0"/>
    </xf>
    <xf numFmtId="0" fontId="54" fillId="0" borderId="78" xfId="0" applyFont="1" applyBorder="1" applyAlignment="1">
      <alignment horizontal="center" vertical="center"/>
    </xf>
    <xf numFmtId="0" fontId="54" fillId="3" borderId="79" xfId="0" applyFont="1" applyFill="1" applyBorder="1" applyAlignment="1">
      <alignment vertical="center"/>
    </xf>
    <xf numFmtId="0" fontId="54" fillId="0" borderId="54" xfId="0" applyFont="1" applyBorder="1" applyAlignment="1">
      <alignment horizontal="center" vertical="center"/>
    </xf>
    <xf numFmtId="0" fontId="54" fillId="0" borderId="54" xfId="0" applyFont="1" applyBorder="1" applyAlignment="1">
      <alignment vertical="center"/>
    </xf>
    <xf numFmtId="0" fontId="59" fillId="0" borderId="54" xfId="0" quotePrefix="1" applyFont="1" applyBorder="1" applyAlignment="1">
      <alignment horizontal="left" vertical="center"/>
    </xf>
    <xf numFmtId="0" fontId="54" fillId="4" borderId="80" xfId="0" applyFont="1" applyFill="1" applyBorder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vertical="center" wrapText="1"/>
      <protection locked="0"/>
    </xf>
    <xf numFmtId="0" fontId="58" fillId="0" borderId="83" xfId="0" applyFont="1" applyBorder="1" applyAlignment="1" applyProtection="1">
      <alignment vertical="center"/>
      <protection locked="0"/>
    </xf>
    <xf numFmtId="0" fontId="58" fillId="0" borderId="84" xfId="0" applyFont="1" applyBorder="1" applyAlignment="1" applyProtection="1">
      <alignment vertical="center"/>
      <protection locked="0"/>
    </xf>
    <xf numFmtId="0" fontId="58" fillId="0" borderId="85" xfId="0" applyFont="1" applyBorder="1" applyAlignment="1" applyProtection="1">
      <alignment vertical="center"/>
      <protection locked="0"/>
    </xf>
    <xf numFmtId="0" fontId="54" fillId="0" borderId="58" xfId="0" applyFont="1" applyBorder="1" applyAlignment="1">
      <alignment horizontal="center" vertical="center"/>
    </xf>
    <xf numFmtId="0" fontId="54" fillId="4" borderId="88" xfId="0" applyFont="1" applyFill="1" applyBorder="1" applyAlignment="1" applyProtection="1">
      <alignment horizontal="left" vertical="center"/>
      <protection locked="0"/>
    </xf>
    <xf numFmtId="0" fontId="58" fillId="0" borderId="89" xfId="0" applyFont="1" applyBorder="1" applyAlignment="1" applyProtection="1">
      <alignment vertical="center"/>
      <protection locked="0"/>
    </xf>
    <xf numFmtId="0" fontId="54" fillId="4" borderId="86" xfId="0" applyFont="1" applyFill="1" applyBorder="1" applyAlignment="1">
      <alignment vertical="center"/>
    </xf>
    <xf numFmtId="0" fontId="54" fillId="4" borderId="87" xfId="0" applyFont="1" applyFill="1" applyBorder="1" applyAlignment="1">
      <alignment vertical="center"/>
    </xf>
    <xf numFmtId="0" fontId="57" fillId="0" borderId="3" xfId="0" applyFont="1" applyBorder="1" applyAlignment="1" applyProtection="1">
      <alignment vertical="center" wrapText="1"/>
      <protection locked="0"/>
    </xf>
    <xf numFmtId="0" fontId="54" fillId="4" borderId="56" xfId="0" applyFont="1" applyFill="1" applyBorder="1" applyAlignment="1" applyProtection="1">
      <alignment horizontal="right" vertical="center" wrapText="1"/>
      <protection locked="0"/>
    </xf>
    <xf numFmtId="0" fontId="54" fillId="4" borderId="78" xfId="0" applyFont="1" applyFill="1" applyBorder="1" applyAlignment="1" applyProtection="1">
      <alignment horizontal="right" vertical="center" wrapText="1"/>
      <protection locked="0"/>
    </xf>
    <xf numFmtId="0" fontId="54" fillId="4" borderId="58" xfId="0" applyFont="1" applyFill="1" applyBorder="1" applyAlignment="1" applyProtection="1">
      <alignment horizontal="right" vertical="center"/>
      <protection locked="0"/>
    </xf>
    <xf numFmtId="0" fontId="54" fillId="0" borderId="3" xfId="0" applyFont="1" applyBorder="1" applyAlignment="1">
      <alignment horizontal="center" vertical="center"/>
    </xf>
    <xf numFmtId="177" fontId="54" fillId="0" borderId="3" xfId="0" applyNumberFormat="1" applyFont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7" fillId="0" borderId="0" xfId="2" applyFont="1" applyAlignment="1">
      <alignment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165" fontId="52" fillId="0" borderId="0" xfId="0" applyNumberFormat="1" applyFont="1" applyAlignment="1">
      <alignment vertical="center"/>
    </xf>
    <xf numFmtId="0" fontId="2" fillId="0" borderId="0" xfId="2" applyAlignment="1">
      <alignment vertical="center"/>
    </xf>
    <xf numFmtId="0" fontId="60" fillId="0" borderId="0" xfId="2" applyFont="1" applyAlignment="1" applyProtection="1">
      <alignment vertical="center"/>
      <protection locked="0"/>
    </xf>
    <xf numFmtId="165" fontId="2" fillId="0" borderId="0" xfId="0" applyNumberFormat="1" applyFont="1" applyAlignment="1">
      <alignment vertical="center"/>
    </xf>
    <xf numFmtId="168" fontId="46" fillId="0" borderId="0" xfId="0" applyNumberFormat="1" applyFont="1" applyAlignment="1">
      <alignment vertical="center" wrapText="1"/>
    </xf>
    <xf numFmtId="168" fontId="34" fillId="0" borderId="0" xfId="0" applyNumberFormat="1" applyFont="1" applyAlignment="1">
      <alignment horizontal="center" vertical="center" wrapText="1"/>
    </xf>
    <xf numFmtId="4" fontId="52" fillId="0" borderId="0" xfId="0" applyNumberFormat="1" applyFont="1" applyAlignment="1">
      <alignment horizontal="center" vertical="center" wrapText="1"/>
    </xf>
    <xf numFmtId="168" fontId="52" fillId="0" borderId="0" xfId="0" applyNumberFormat="1" applyFont="1" applyAlignment="1">
      <alignment horizontal="center" vertical="center" wrapText="1"/>
    </xf>
    <xf numFmtId="165" fontId="52" fillId="0" borderId="0" xfId="0" applyNumberFormat="1" applyFont="1" applyAlignment="1">
      <alignment horizontal="center" vertical="center" wrapText="1"/>
    </xf>
    <xf numFmtId="0" fontId="61" fillId="0" borderId="0" xfId="2" applyFont="1" applyAlignment="1">
      <alignment vertical="center"/>
    </xf>
    <xf numFmtId="0" fontId="61" fillId="0" borderId="0" xfId="2" applyFont="1" applyAlignment="1">
      <alignment horizontal="right" vertical="center"/>
    </xf>
    <xf numFmtId="0" fontId="61" fillId="4" borderId="0" xfId="2" applyFont="1" applyFill="1" applyAlignment="1" applyProtection="1">
      <alignment vertical="center"/>
      <protection locked="0"/>
    </xf>
    <xf numFmtId="0" fontId="61" fillId="0" borderId="0" xfId="2" applyFont="1" applyAlignment="1">
      <alignment horizontal="left" vertical="center"/>
    </xf>
    <xf numFmtId="164" fontId="62" fillId="0" borderId="0" xfId="0" applyNumberFormat="1" applyFont="1" applyAlignment="1">
      <alignment horizontal="center" vertical="center"/>
    </xf>
    <xf numFmtId="165" fontId="62" fillId="0" borderId="0" xfId="0" applyNumberFormat="1" applyFont="1" applyAlignment="1">
      <alignment horizontal="center" vertical="center"/>
    </xf>
    <xf numFmtId="165" fontId="62" fillId="0" borderId="0" xfId="0" applyNumberFormat="1" applyFont="1" applyAlignment="1">
      <alignment vertical="center"/>
    </xf>
    <xf numFmtId="4" fontId="52" fillId="0" borderId="0" xfId="0" applyNumberFormat="1" applyFont="1" applyAlignment="1">
      <alignment horizontal="center" vertical="center"/>
    </xf>
    <xf numFmtId="168" fontId="62" fillId="0" borderId="0" xfId="0" applyNumberFormat="1" applyFont="1" applyAlignment="1">
      <alignment horizontal="center" vertical="center"/>
    </xf>
    <xf numFmtId="165" fontId="62" fillId="0" borderId="0" xfId="0" quotePrefix="1" applyNumberFormat="1" applyFont="1" applyAlignment="1">
      <alignment horizontal="center" vertical="center"/>
    </xf>
    <xf numFmtId="164" fontId="52" fillId="0" borderId="0" xfId="0" applyNumberFormat="1" applyFont="1" applyAlignment="1">
      <alignment horizontal="center" vertical="center"/>
    </xf>
    <xf numFmtId="167" fontId="52" fillId="0" borderId="0" xfId="0" applyNumberFormat="1" applyFont="1" applyAlignment="1">
      <alignment horizontal="center" vertical="center"/>
    </xf>
    <xf numFmtId="165" fontId="52" fillId="0" borderId="0" xfId="0" applyNumberFormat="1" applyFont="1" applyAlignment="1">
      <alignment horizontal="center" vertical="center"/>
    </xf>
    <xf numFmtId="0" fontId="61" fillId="3" borderId="0" xfId="2" applyFont="1" applyFill="1" applyAlignment="1" applyProtection="1">
      <alignment vertical="center"/>
      <protection locked="0"/>
    </xf>
    <xf numFmtId="0" fontId="54" fillId="0" borderId="0" xfId="2" applyFont="1" applyAlignment="1">
      <alignment vertical="center"/>
    </xf>
    <xf numFmtId="0" fontId="61" fillId="3" borderId="0" xfId="2" applyFont="1" applyFill="1" applyAlignment="1" applyProtection="1">
      <alignment horizontal="left" vertical="center"/>
      <protection locked="0"/>
    </xf>
    <xf numFmtId="164" fontId="54" fillId="0" borderId="0" xfId="0" applyNumberFormat="1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8" fillId="0" borderId="0" xfId="2" applyFont="1" applyAlignment="1">
      <alignment horizontal="left" vertical="center"/>
    </xf>
    <xf numFmtId="0" fontId="61" fillId="0" borderId="0" xfId="2" applyFont="1" applyAlignment="1">
      <alignment horizontal="center" vertical="center"/>
    </xf>
    <xf numFmtId="0" fontId="57" fillId="0" borderId="3" xfId="2" applyFont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8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168" fontId="64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2" fontId="64" fillId="0" borderId="0" xfId="0" applyNumberFormat="1" applyFont="1" applyAlignment="1">
      <alignment horizontal="center" vertical="center"/>
    </xf>
    <xf numFmtId="168" fontId="34" fillId="0" borderId="0" xfId="0" applyNumberFormat="1" applyFont="1" applyAlignment="1">
      <alignment vertical="center"/>
    </xf>
    <xf numFmtId="0" fontId="4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1" fillId="0" borderId="4" xfId="2" applyFont="1" applyBorder="1" applyAlignment="1">
      <alignment vertical="center"/>
    </xf>
    <xf numFmtId="2" fontId="61" fillId="0" borderId="0" xfId="2" applyNumberFormat="1" applyFont="1" applyAlignment="1">
      <alignment horizontal="center" vertical="center"/>
    </xf>
    <xf numFmtId="0" fontId="28" fillId="0" borderId="0" xfId="2" applyFont="1" applyAlignment="1">
      <alignment vertical="center"/>
    </xf>
    <xf numFmtId="0" fontId="5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4" fontId="28" fillId="0" borderId="0" xfId="0" applyNumberFormat="1" applyFont="1" applyAlignment="1">
      <alignment vertical="center"/>
    </xf>
    <xf numFmtId="0" fontId="57" fillId="0" borderId="0" xfId="2" applyFont="1" applyAlignment="1">
      <alignment vertical="center" wrapText="1"/>
    </xf>
    <xf numFmtId="164" fontId="43" fillId="0" borderId="0" xfId="0" applyNumberFormat="1" applyFont="1" applyAlignment="1">
      <alignment horizontal="center" vertical="center"/>
    </xf>
    <xf numFmtId="0" fontId="2" fillId="0" borderId="0" xfId="2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61" fillId="0" borderId="0" xfId="2" quotePrefix="1" applyFont="1" applyAlignment="1">
      <alignment horizontal="center" vertical="center"/>
    </xf>
    <xf numFmtId="164" fontId="61" fillId="0" borderId="0" xfId="2" applyNumberFormat="1" applyFont="1" applyAlignment="1">
      <alignment horizontal="center" vertical="center"/>
    </xf>
    <xf numFmtId="0" fontId="66" fillId="0" borderId="0" xfId="2" applyFont="1" applyAlignment="1">
      <alignment horizontal="center" vertical="center"/>
    </xf>
    <xf numFmtId="0" fontId="61" fillId="0" borderId="0" xfId="0" applyFont="1" applyAlignment="1">
      <alignment vertical="center"/>
    </xf>
    <xf numFmtId="4" fontId="62" fillId="0" borderId="0" xfId="0" quotePrefix="1" applyNumberFormat="1" applyFont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164" fontId="61" fillId="0" borderId="3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63" fillId="0" borderId="4" xfId="0" applyFont="1" applyBorder="1" applyAlignment="1">
      <alignment vertical="center" wrapText="1"/>
    </xf>
    <xf numFmtId="0" fontId="63" fillId="0" borderId="4" xfId="0" applyFont="1" applyBorder="1" applyAlignment="1" applyProtection="1">
      <alignment horizontal="center" vertical="center"/>
      <protection locked="0"/>
    </xf>
    <xf numFmtId="164" fontId="63" fillId="0" borderId="4" xfId="0" applyNumberFormat="1" applyFont="1" applyBorder="1" applyAlignment="1" applyProtection="1">
      <alignment horizontal="center" vertical="center"/>
      <protection locked="0"/>
    </xf>
    <xf numFmtId="164" fontId="63" fillId="0" borderId="4" xfId="0" applyNumberFormat="1" applyFont="1" applyBorder="1" applyAlignment="1">
      <alignment horizontal="center" vertical="center" wrapText="1"/>
    </xf>
    <xf numFmtId="164" fontId="63" fillId="0" borderId="4" xfId="0" applyNumberFormat="1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 applyProtection="1">
      <alignment horizontal="center" vertical="center"/>
      <protection locked="0"/>
    </xf>
    <xf numFmtId="164" fontId="61" fillId="0" borderId="0" xfId="0" applyNumberFormat="1" applyFont="1" applyAlignment="1" applyProtection="1">
      <alignment horizontal="center" vertical="center"/>
      <protection locked="0"/>
    </xf>
    <xf numFmtId="165" fontId="61" fillId="0" borderId="0" xfId="0" applyNumberFormat="1" applyFont="1" applyAlignment="1">
      <alignment horizontal="center" vertical="center" wrapText="1"/>
    </xf>
    <xf numFmtId="2" fontId="61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0" fontId="61" fillId="0" borderId="3" xfId="0" applyFont="1" applyBorder="1" applyAlignment="1">
      <alignment horizontal="center" vertical="center" wrapText="1"/>
    </xf>
    <xf numFmtId="0" fontId="61" fillId="4" borderId="3" xfId="0" applyFont="1" applyFill="1" applyBorder="1" applyAlignment="1" applyProtection="1">
      <alignment horizontal="center" vertical="center" wrapText="1"/>
      <protection locked="0"/>
    </xf>
    <xf numFmtId="2" fontId="61" fillId="0" borderId="3" xfId="2" applyNumberFormat="1" applyFont="1" applyBorder="1" applyAlignment="1">
      <alignment horizontal="center" vertical="center"/>
    </xf>
    <xf numFmtId="2" fontId="61" fillId="0" borderId="3" xfId="0" applyNumberFormat="1" applyFont="1" applyBorder="1" applyAlignment="1">
      <alignment horizontal="center" vertical="center"/>
    </xf>
    <xf numFmtId="165" fontId="61" fillId="0" borderId="0" xfId="0" applyNumberFormat="1" applyFont="1" applyAlignment="1">
      <alignment horizontal="center" vertical="center"/>
    </xf>
    <xf numFmtId="2" fontId="54" fillId="0" borderId="0" xfId="0" applyNumberFormat="1" applyFont="1" applyAlignment="1">
      <alignment horizontal="center" vertical="center"/>
    </xf>
    <xf numFmtId="4" fontId="43" fillId="0" borderId="0" xfId="0" applyNumberFormat="1" applyFont="1" applyAlignment="1">
      <alignment horizontal="center" vertical="center"/>
    </xf>
    <xf numFmtId="0" fontId="61" fillId="0" borderId="0" xfId="2" applyFont="1" applyAlignment="1" applyProtection="1">
      <alignment horizontal="left" vertical="center"/>
      <protection locked="0"/>
    </xf>
    <xf numFmtId="0" fontId="28" fillId="0" borderId="0" xfId="2" applyFont="1" applyAlignment="1" applyProtection="1">
      <alignment horizontal="center" vertical="center"/>
      <protection locked="0"/>
    </xf>
    <xf numFmtId="0" fontId="61" fillId="0" borderId="0" xfId="2" applyFont="1" applyAlignment="1" applyProtection="1">
      <alignment horizontal="center" vertical="center"/>
      <protection locked="0"/>
    </xf>
    <xf numFmtId="2" fontId="61" fillId="0" borderId="0" xfId="2" applyNumberFormat="1" applyFont="1" applyAlignment="1" applyProtection="1">
      <alignment horizontal="center" vertical="center"/>
      <protection locked="0"/>
    </xf>
    <xf numFmtId="0" fontId="61" fillId="0" borderId="0" xfId="2" applyFont="1" applyAlignment="1" applyProtection="1">
      <alignment vertical="center"/>
      <protection locked="0"/>
    </xf>
    <xf numFmtId="165" fontId="54" fillId="0" borderId="0" xfId="0" applyNumberFormat="1" applyFont="1" applyAlignment="1">
      <alignment horizontal="center" vertical="center"/>
    </xf>
    <xf numFmtId="165" fontId="61" fillId="0" borderId="0" xfId="2" applyNumberFormat="1" applyFont="1" applyAlignment="1">
      <alignment horizontal="center" vertical="center"/>
    </xf>
    <xf numFmtId="0" fontId="34" fillId="0" borderId="0" xfId="2" applyFont="1" applyAlignment="1">
      <alignment vertical="center"/>
    </xf>
    <xf numFmtId="0" fontId="2" fillId="0" borderId="0" xfId="2" applyAlignment="1">
      <alignment horizontal="center" vertical="center"/>
    </xf>
    <xf numFmtId="4" fontId="43" fillId="0" borderId="0" xfId="0" applyNumberFormat="1" applyFont="1" applyAlignment="1">
      <alignment vertical="center"/>
    </xf>
    <xf numFmtId="4" fontId="52" fillId="0" borderId="0" xfId="0" applyNumberFormat="1" applyFont="1" applyAlignment="1">
      <alignment vertical="center"/>
    </xf>
    <xf numFmtId="0" fontId="65" fillId="0" borderId="0" xfId="3" applyFont="1" applyAlignment="1" applyProtection="1">
      <alignment vertical="center"/>
      <protection locked="0"/>
    </xf>
    <xf numFmtId="0" fontId="61" fillId="0" borderId="0" xfId="2" quotePrefix="1" applyFont="1" applyAlignment="1">
      <alignment horizontal="right" vertical="center"/>
    </xf>
    <xf numFmtId="0" fontId="61" fillId="0" borderId="0" xfId="0" applyFont="1" applyAlignment="1" applyProtection="1">
      <alignment vertical="center"/>
      <protection locked="0"/>
    </xf>
    <xf numFmtId="0" fontId="67" fillId="0" borderId="0" xfId="2" applyFont="1" applyAlignment="1">
      <alignment horizontal="right" vertical="center"/>
    </xf>
    <xf numFmtId="0" fontId="67" fillId="0" borderId="0" xfId="2" applyFont="1" applyAlignment="1">
      <alignment horizontal="center" vertical="center"/>
    </xf>
    <xf numFmtId="4" fontId="43" fillId="3" borderId="0" xfId="0" applyNumberFormat="1" applyFont="1" applyFill="1" applyAlignment="1">
      <alignment horizontal="center" vertical="center"/>
    </xf>
    <xf numFmtId="0" fontId="54" fillId="2" borderId="0" xfId="0" applyFont="1" applyFill="1" applyAlignment="1">
      <alignment vertical="center"/>
    </xf>
    <xf numFmtId="0" fontId="61" fillId="3" borderId="0" xfId="0" quotePrefix="1" applyFont="1" applyFill="1" applyAlignment="1" applyProtection="1">
      <alignment horizontal="left" vertical="center"/>
      <protection locked="0"/>
    </xf>
    <xf numFmtId="0" fontId="61" fillId="3" borderId="0" xfId="0" applyFont="1" applyFill="1" applyAlignment="1" applyProtection="1">
      <alignment horizontal="left" vertical="center"/>
      <protection locked="0"/>
    </xf>
    <xf numFmtId="0" fontId="61" fillId="3" borderId="0" xfId="2" applyFont="1" applyFill="1" applyAlignment="1">
      <alignment vertical="center"/>
    </xf>
    <xf numFmtId="0" fontId="2" fillId="3" borderId="0" xfId="2" applyFill="1" applyAlignment="1" applyProtection="1">
      <alignment vertical="center"/>
      <protection locked="0"/>
    </xf>
    <xf numFmtId="0" fontId="63" fillId="0" borderId="0" xfId="0" applyFont="1" applyAlignment="1">
      <alignment horizontal="center" vertical="center"/>
    </xf>
    <xf numFmtId="178" fontId="54" fillId="0" borderId="81" xfId="0" applyNumberFormat="1" applyFont="1" applyBorder="1" applyAlignment="1">
      <alignment horizontal="right" vertical="center" wrapText="1"/>
    </xf>
    <xf numFmtId="0" fontId="54" fillId="0" borderId="82" xfId="0" applyFont="1" applyBorder="1" applyAlignment="1">
      <alignment vertical="center" wrapText="1"/>
    </xf>
    <xf numFmtId="179" fontId="54" fillId="0" borderId="81" xfId="0" applyNumberFormat="1" applyFont="1" applyBorder="1" applyAlignment="1">
      <alignment horizontal="right" vertical="center" wrapText="1"/>
    </xf>
    <xf numFmtId="180" fontId="54" fillId="0" borderId="86" xfId="0" applyNumberFormat="1" applyFont="1" applyBorder="1" applyAlignment="1">
      <alignment horizontal="right" vertical="center" wrapText="1"/>
    </xf>
    <xf numFmtId="0" fontId="54" fillId="0" borderId="88" xfId="0" applyFont="1" applyBorder="1" applyAlignment="1">
      <alignment vertical="center" wrapText="1"/>
    </xf>
    <xf numFmtId="0" fontId="57" fillId="0" borderId="0" xfId="2" applyFont="1" applyAlignment="1">
      <alignment horizontal="center" vertical="center"/>
    </xf>
    <xf numFmtId="164" fontId="54" fillId="0" borderId="0" xfId="2" applyNumberFormat="1" applyFont="1" applyAlignment="1" applyProtection="1">
      <alignment horizontal="left" vertical="center"/>
      <protection locked="0"/>
    </xf>
    <xf numFmtId="0" fontId="28" fillId="0" borderId="0" xfId="2" applyFont="1" applyAlignment="1" applyProtection="1">
      <alignment vertical="center"/>
      <protection locked="0"/>
    </xf>
    <xf numFmtId="0" fontId="8" fillId="0" borderId="2" xfId="0" applyFont="1" applyBorder="1"/>
    <xf numFmtId="0" fontId="10" fillId="0" borderId="2" xfId="0" applyFont="1" applyBorder="1" applyAlignment="1">
      <alignment horizontal="center" vertical="center"/>
    </xf>
    <xf numFmtId="0" fontId="61" fillId="0" borderId="0" xfId="2" quotePrefix="1" applyFont="1" applyAlignment="1" applyProtection="1">
      <alignment vertical="center"/>
      <protection locked="0"/>
    </xf>
    <xf numFmtId="2" fontId="10" fillId="0" borderId="26" xfId="0" applyNumberFormat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 vertical="center"/>
    </xf>
    <xf numFmtId="0" fontId="61" fillId="0" borderId="0" xfId="2" applyFont="1"/>
    <xf numFmtId="0" fontId="61" fillId="0" borderId="0" xfId="2" applyFont="1" applyProtection="1">
      <protection locked="0"/>
    </xf>
    <xf numFmtId="2" fontId="61" fillId="0" borderId="0" xfId="2" applyNumberFormat="1" applyFont="1" applyAlignment="1" applyProtection="1">
      <alignment horizontal="center"/>
      <protection locked="0"/>
    </xf>
    <xf numFmtId="0" fontId="61" fillId="0" borderId="0" xfId="2" applyFont="1" applyAlignment="1" applyProtection="1">
      <alignment horizontal="left"/>
      <protection locked="0"/>
    </xf>
    <xf numFmtId="0" fontId="61" fillId="0" borderId="0" xfId="2" applyFont="1" applyAlignment="1" applyProtection="1">
      <alignment horizontal="center"/>
      <protection locked="0"/>
    </xf>
    <xf numFmtId="165" fontId="61" fillId="0" borderId="0" xfId="0" applyNumberFormat="1" applyFont="1" applyAlignment="1" applyProtection="1">
      <alignment horizontal="center" vertical="center"/>
      <protection locked="0"/>
    </xf>
    <xf numFmtId="0" fontId="61" fillId="0" borderId="3" xfId="2" applyFont="1" applyBorder="1" applyAlignment="1" applyProtection="1">
      <alignment horizontal="center" vertical="center"/>
      <protection locked="0"/>
    </xf>
    <xf numFmtId="0" fontId="61" fillId="0" borderId="3" xfId="2" applyFont="1" applyBorder="1" applyProtection="1">
      <protection locked="0"/>
    </xf>
    <xf numFmtId="0" fontId="68" fillId="0" borderId="0" xfId="2" applyFont="1" applyAlignment="1">
      <alignment vertical="center"/>
    </xf>
    <xf numFmtId="0" fontId="61" fillId="0" borderId="0" xfId="0" applyFont="1" applyAlignment="1">
      <alignment horizontal="left" vertical="center"/>
    </xf>
    <xf numFmtId="0" fontId="28" fillId="0" borderId="0" xfId="2" applyFont="1" applyAlignment="1">
      <alignment horizontal="right" vertical="center"/>
    </xf>
    <xf numFmtId="164" fontId="61" fillId="0" borderId="0" xfId="2" applyNumberFormat="1" applyFont="1" applyAlignment="1">
      <alignment horizontal="left" vertical="center"/>
    </xf>
    <xf numFmtId="0" fontId="61" fillId="3" borderId="0" xfId="2" applyFont="1" applyFill="1" applyAlignment="1">
      <alignment vertical="center" wrapText="1"/>
    </xf>
    <xf numFmtId="173" fontId="61" fillId="0" borderId="0" xfId="2" applyNumberFormat="1" applyFont="1" applyAlignment="1">
      <alignment horizontal="center" vertical="center"/>
    </xf>
    <xf numFmtId="0" fontId="65" fillId="0" borderId="0" xfId="0" applyFont="1" applyAlignment="1">
      <alignment horizontal="center" vertical="center" readingOrder="1"/>
    </xf>
    <xf numFmtId="0" fontId="61" fillId="0" borderId="1" xfId="2" applyFont="1" applyBorder="1" applyAlignment="1">
      <alignment horizontal="right" vertical="center"/>
    </xf>
    <xf numFmtId="164" fontId="61" fillId="0" borderId="3" xfId="0" applyNumberFormat="1" applyFont="1" applyBorder="1" applyAlignment="1">
      <alignment horizontal="center" vertical="center"/>
    </xf>
    <xf numFmtId="164" fontId="61" fillId="0" borderId="2" xfId="0" applyNumberFormat="1" applyFont="1" applyBorder="1" applyAlignment="1">
      <alignment horizontal="left" vertical="center"/>
    </xf>
    <xf numFmtId="0" fontId="61" fillId="0" borderId="0" xfId="0" applyFont="1" applyAlignment="1">
      <alignment horizontal="center" vertical="center" wrapText="1"/>
    </xf>
    <xf numFmtId="169" fontId="61" fillId="0" borderId="0" xfId="0" applyNumberFormat="1" applyFont="1" applyAlignment="1">
      <alignment horizontal="center" vertical="center"/>
    </xf>
    <xf numFmtId="1" fontId="61" fillId="0" borderId="0" xfId="0" applyNumberFormat="1" applyFont="1" applyAlignment="1">
      <alignment horizontal="center" vertical="center"/>
    </xf>
    <xf numFmtId="0" fontId="61" fillId="3" borderId="0" xfId="0" applyFont="1" applyFill="1" applyAlignment="1" applyProtection="1">
      <alignment vertical="center"/>
      <protection locked="0"/>
    </xf>
    <xf numFmtId="0" fontId="61" fillId="3" borderId="0" xfId="0" applyFont="1" applyFill="1" applyAlignment="1" applyProtection="1">
      <alignment horizontal="center" vertical="center"/>
      <protection locked="0"/>
    </xf>
    <xf numFmtId="0" fontId="2" fillId="0" borderId="0" xfId="2" applyAlignment="1" applyProtection="1">
      <alignment vertical="center"/>
      <protection locked="0"/>
    </xf>
    <xf numFmtId="0" fontId="28" fillId="3" borderId="0" xfId="2" applyFont="1" applyFill="1" applyAlignment="1" applyProtection="1">
      <alignment vertical="center"/>
      <protection locked="0"/>
    </xf>
    <xf numFmtId="165" fontId="61" fillId="0" borderId="0" xfId="0" applyNumberFormat="1" applyFont="1" applyAlignment="1" applyProtection="1">
      <alignment vertical="center"/>
      <protection locked="0"/>
    </xf>
    <xf numFmtId="0" fontId="52" fillId="0" borderId="0" xfId="2" applyFont="1" applyAlignment="1" applyProtection="1">
      <alignment vertical="center"/>
      <protection locked="0"/>
    </xf>
    <xf numFmtId="0" fontId="52" fillId="0" borderId="0" xfId="2" applyFont="1" applyAlignment="1" applyProtection="1">
      <alignment horizontal="center" vertical="center"/>
      <protection locked="0"/>
    </xf>
    <xf numFmtId="0" fontId="52" fillId="0" borderId="0" xfId="2" applyFont="1" applyAlignment="1">
      <alignment vertical="center"/>
    </xf>
    <xf numFmtId="0" fontId="52" fillId="0" borderId="0" xfId="2" applyFont="1" applyAlignment="1" applyProtection="1">
      <alignment horizontal="right" vertical="center"/>
      <protection locked="0"/>
    </xf>
    <xf numFmtId="14" fontId="61" fillId="0" borderId="0" xfId="2" applyNumberFormat="1" applyFont="1" applyAlignment="1">
      <alignment horizontal="center" vertical="center"/>
    </xf>
    <xf numFmtId="0" fontId="69" fillId="0" borderId="0" xfId="2" applyFont="1" applyAlignment="1">
      <alignment vertical="center"/>
    </xf>
    <xf numFmtId="0" fontId="61" fillId="0" borderId="0" xfId="2" applyFont="1" applyAlignment="1">
      <alignment vertical="center" wrapText="1"/>
    </xf>
    <xf numFmtId="0" fontId="61" fillId="0" borderId="0" xfId="0" applyFont="1" applyAlignment="1">
      <alignment vertical="center" wrapText="1"/>
    </xf>
    <xf numFmtId="164" fontId="61" fillId="0" borderId="0" xfId="0" applyNumberFormat="1" applyFont="1" applyAlignment="1">
      <alignment horizontal="center" vertical="center"/>
    </xf>
    <xf numFmtId="165" fontId="61" fillId="0" borderId="0" xfId="0" applyNumberFormat="1" applyFont="1" applyAlignment="1">
      <alignment vertical="center" wrapText="1"/>
    </xf>
    <xf numFmtId="0" fontId="45" fillId="11" borderId="34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45" fillId="3" borderId="3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9" fillId="3" borderId="3" xfId="4" applyFont="1" applyFill="1" applyBorder="1" applyAlignment="1">
      <alignment horizontal="center" vertical="center"/>
    </xf>
    <xf numFmtId="0" fontId="43" fillId="3" borderId="33" xfId="0" applyFont="1" applyFill="1" applyBorder="1" applyAlignment="1">
      <alignment horizontal="center" vertical="center" wrapText="1"/>
    </xf>
    <xf numFmtId="165" fontId="42" fillId="3" borderId="0" xfId="0" applyNumberFormat="1" applyFont="1" applyFill="1" applyAlignment="1">
      <alignment horizontal="center"/>
    </xf>
    <xf numFmtId="0" fontId="43" fillId="3" borderId="37" xfId="0" applyFont="1" applyFill="1" applyBorder="1" applyAlignment="1">
      <alignment horizontal="center" vertical="center" wrapText="1"/>
    </xf>
    <xf numFmtId="0" fontId="44" fillId="3" borderId="41" xfId="0" applyFont="1" applyFill="1" applyBorder="1" applyAlignment="1">
      <alignment horizontal="center" vertical="center" wrapText="1"/>
    </xf>
    <xf numFmtId="2" fontId="52" fillId="10" borderId="3" xfId="0" applyNumberFormat="1" applyFont="1" applyFill="1" applyBorder="1" applyAlignment="1">
      <alignment horizontal="center" vertical="center"/>
    </xf>
    <xf numFmtId="2" fontId="52" fillId="3" borderId="3" xfId="0" applyNumberFormat="1" applyFont="1" applyFill="1" applyBorder="1" applyAlignment="1">
      <alignment horizontal="center" vertical="center"/>
    </xf>
    <xf numFmtId="165" fontId="52" fillId="3" borderId="3" xfId="0" applyNumberFormat="1" applyFont="1" applyFill="1" applyBorder="1" applyAlignment="1">
      <alignment horizontal="center"/>
    </xf>
    <xf numFmtId="0" fontId="37" fillId="0" borderId="9" xfId="0" applyFont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quotePrefix="1" applyFont="1" applyFill="1" applyBorder="1" applyAlignment="1" applyProtection="1">
      <alignment horizontal="left"/>
      <protection locked="0"/>
    </xf>
    <xf numFmtId="0" fontId="0" fillId="0" borderId="0" xfId="0" applyAlignment="1">
      <alignment vertical="center"/>
    </xf>
    <xf numFmtId="0" fontId="2" fillId="0" borderId="0" xfId="0" quotePrefix="1" applyFont="1"/>
    <xf numFmtId="0" fontId="38" fillId="0" borderId="31" xfId="0" applyFont="1" applyBorder="1"/>
    <xf numFmtId="0" fontId="37" fillId="0" borderId="32" xfId="0" applyFont="1" applyBorder="1" applyAlignment="1">
      <alignment horizontal="center" vertical="center"/>
    </xf>
    <xf numFmtId="0" fontId="37" fillId="0" borderId="32" xfId="0" applyFont="1" applyBorder="1"/>
    <xf numFmtId="0" fontId="37" fillId="0" borderId="66" xfId="0" applyFont="1" applyBorder="1"/>
    <xf numFmtId="0" fontId="37" fillId="0" borderId="50" xfId="0" applyFont="1" applyBorder="1"/>
    <xf numFmtId="0" fontId="37" fillId="0" borderId="12" xfId="0" applyFont="1" applyBorder="1"/>
    <xf numFmtId="0" fontId="37" fillId="0" borderId="12" xfId="0" applyFont="1" applyBorder="1" applyAlignment="1">
      <alignment horizontal="center" vertical="center"/>
    </xf>
    <xf numFmtId="0" fontId="37" fillId="0" borderId="30" xfId="0" applyFont="1" applyBorder="1"/>
    <xf numFmtId="0" fontId="37" fillId="0" borderId="44" xfId="0" applyFont="1" applyBorder="1" applyAlignment="1">
      <alignment horizontal="center" vertical="center"/>
    </xf>
    <xf numFmtId="0" fontId="37" fillId="0" borderId="4" xfId="0" applyFont="1" applyBorder="1"/>
    <xf numFmtId="0" fontId="37" fillId="0" borderId="4" xfId="0" applyFont="1" applyBorder="1" applyAlignment="1">
      <alignment horizontal="center" vertical="center"/>
    </xf>
    <xf numFmtId="0" fontId="37" fillId="0" borderId="29" xfId="0" applyFont="1" applyBorder="1"/>
    <xf numFmtId="0" fontId="37" fillId="0" borderId="27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37" fillId="3" borderId="14" xfId="0" quotePrefix="1" applyFont="1" applyFill="1" applyBorder="1" applyAlignment="1">
      <alignment vertical="center"/>
    </xf>
    <xf numFmtId="0" fontId="37" fillId="0" borderId="18" xfId="0" applyFont="1" applyBorder="1"/>
    <xf numFmtId="0" fontId="37" fillId="0" borderId="72" xfId="0" applyFont="1" applyBorder="1" applyAlignment="1">
      <alignment horizontal="center" vertical="center"/>
    </xf>
    <xf numFmtId="0" fontId="37" fillId="3" borderId="46" xfId="0" quotePrefix="1" applyFont="1" applyFill="1" applyBorder="1" applyAlignment="1">
      <alignment vertical="center"/>
    </xf>
    <xf numFmtId="0" fontId="37" fillId="0" borderId="90" xfId="0" applyFont="1" applyBorder="1"/>
    <xf numFmtId="0" fontId="38" fillId="0" borderId="32" xfId="0" applyFont="1" applyBorder="1" applyAlignment="1">
      <alignment horizontal="center" vertical="center"/>
    </xf>
    <xf numFmtId="0" fontId="38" fillId="0" borderId="32" xfId="0" applyFont="1" applyBorder="1"/>
    <xf numFmtId="0" fontId="38" fillId="0" borderId="63" xfId="0" applyFont="1" applyBorder="1"/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165" fontId="0" fillId="0" borderId="31" xfId="0" applyNumberFormat="1" applyBorder="1"/>
    <xf numFmtId="0" fontId="0" fillId="0" borderId="32" xfId="0" applyBorder="1"/>
    <xf numFmtId="0" fontId="0" fillId="0" borderId="50" xfId="0" applyBorder="1"/>
    <xf numFmtId="0" fontId="6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6" fillId="3" borderId="0" xfId="4" applyFont="1" applyFill="1" applyAlignment="1">
      <alignment vertical="center"/>
    </xf>
    <xf numFmtId="0" fontId="36" fillId="3" borderId="0" xfId="4" applyFont="1" applyFill="1" applyAlignment="1">
      <alignment horizontal="center" vertical="center"/>
    </xf>
    <xf numFmtId="164" fontId="36" fillId="3" borderId="0" xfId="4" applyNumberFormat="1" applyFont="1" applyFill="1" applyAlignment="1">
      <alignment horizontal="center" vertical="center"/>
    </xf>
    <xf numFmtId="2" fontId="36" fillId="3" borderId="0" xfId="4" applyNumberFormat="1" applyFont="1" applyFill="1" applyAlignment="1">
      <alignment horizontal="center" vertical="center"/>
    </xf>
    <xf numFmtId="0" fontId="2" fillId="3" borderId="0" xfId="4" applyFill="1"/>
    <xf numFmtId="0" fontId="2" fillId="0" borderId="0" xfId="4"/>
    <xf numFmtId="0" fontId="2" fillId="0" borderId="59" xfId="4" applyBorder="1"/>
    <xf numFmtId="0" fontId="48" fillId="3" borderId="0" xfId="4" applyFont="1" applyFill="1" applyAlignment="1">
      <alignment vertical="center"/>
    </xf>
    <xf numFmtId="0" fontId="30" fillId="3" borderId="0" xfId="4" applyFont="1" applyFill="1" applyAlignment="1">
      <alignment vertical="center"/>
    </xf>
    <xf numFmtId="0" fontId="30" fillId="3" borderId="0" xfId="4" applyFont="1" applyFill="1" applyAlignment="1">
      <alignment vertical="center" wrapText="1"/>
    </xf>
    <xf numFmtId="0" fontId="50" fillId="3" borderId="0" xfId="4" applyFont="1" applyFill="1" applyAlignment="1">
      <alignment vertical="center"/>
    </xf>
    <xf numFmtId="0" fontId="30" fillId="3" borderId="9" xfId="4" applyFont="1" applyFill="1" applyBorder="1" applyAlignment="1">
      <alignment horizontal="center" vertical="center"/>
    </xf>
    <xf numFmtId="0" fontId="30" fillId="3" borderId="3" xfId="4" applyFont="1" applyFill="1" applyBorder="1" applyAlignment="1">
      <alignment horizontal="center" vertical="center"/>
    </xf>
    <xf numFmtId="0" fontId="30" fillId="3" borderId="0" xfId="4" applyFont="1" applyFill="1" applyAlignment="1">
      <alignment horizontal="center" vertical="center"/>
    </xf>
    <xf numFmtId="0" fontId="30" fillId="10" borderId="3" xfId="4" applyFont="1" applyFill="1" applyBorder="1" applyAlignment="1">
      <alignment horizontal="center" vertical="center"/>
    </xf>
    <xf numFmtId="0" fontId="30" fillId="10" borderId="3" xfId="4" quotePrefix="1" applyFont="1" applyFill="1" applyBorder="1" applyAlignment="1">
      <alignment horizontal="center" vertical="center"/>
    </xf>
    <xf numFmtId="0" fontId="30" fillId="3" borderId="0" xfId="4" quotePrefix="1" applyFont="1" applyFill="1" applyAlignment="1">
      <alignment horizontal="center" vertical="center"/>
    </xf>
    <xf numFmtId="1" fontId="2" fillId="10" borderId="9" xfId="4" applyNumberFormat="1" applyFill="1" applyBorder="1" applyAlignment="1">
      <alignment horizontal="center" vertical="center"/>
    </xf>
    <xf numFmtId="2" fontId="2" fillId="10" borderId="3" xfId="4" quotePrefix="1" applyNumberFormat="1" applyFill="1" applyBorder="1" applyAlignment="1">
      <alignment horizontal="center" vertical="center"/>
    </xf>
    <xf numFmtId="2" fontId="2" fillId="10" borderId="3" xfId="4" applyNumberFormat="1" applyFill="1" applyBorder="1" applyAlignment="1">
      <alignment horizontal="center" vertical="center"/>
    </xf>
    <xf numFmtId="2" fontId="2" fillId="3" borderId="3" xfId="4" applyNumberFormat="1" applyFill="1" applyBorder="1" applyAlignment="1">
      <alignment horizontal="center"/>
    </xf>
    <xf numFmtId="1" fontId="2" fillId="3" borderId="0" xfId="4" applyNumberFormat="1" applyFill="1" applyAlignment="1">
      <alignment horizontal="center" vertical="center"/>
    </xf>
    <xf numFmtId="2" fontId="2" fillId="3" borderId="0" xfId="4" applyNumberFormat="1" applyFill="1" applyAlignment="1">
      <alignment horizontal="center" vertical="center"/>
    </xf>
    <xf numFmtId="2" fontId="2" fillId="3" borderId="0" xfId="4" quotePrefix="1" applyNumberFormat="1" applyFill="1" applyAlignment="1">
      <alignment horizontal="center" vertical="center"/>
    </xf>
    <xf numFmtId="2" fontId="2" fillId="3" borderId="0" xfId="4" applyNumberFormat="1" applyFill="1" applyAlignment="1">
      <alignment horizontal="center"/>
    </xf>
    <xf numFmtId="2" fontId="2" fillId="3" borderId="6" xfId="4" applyNumberFormat="1" applyFill="1" applyBorder="1" applyAlignment="1">
      <alignment horizontal="center" vertical="center"/>
    </xf>
    <xf numFmtId="0" fontId="50" fillId="3" borderId="0" xfId="4" applyFont="1" applyFill="1" applyAlignment="1">
      <alignment horizontal="center" vertical="center"/>
    </xf>
    <xf numFmtId="2" fontId="2" fillId="3" borderId="13" xfId="4" applyNumberFormat="1" applyFill="1" applyBorder="1" applyAlignment="1">
      <alignment horizontal="center" vertical="center"/>
    </xf>
    <xf numFmtId="2" fontId="2" fillId="3" borderId="0" xfId="4" applyNumberFormat="1" applyFill="1" applyAlignment="1">
      <alignment vertical="center"/>
    </xf>
    <xf numFmtId="0" fontId="2" fillId="3" borderId="4" xfId="4" applyFill="1" applyBorder="1"/>
    <xf numFmtId="0" fontId="2" fillId="3" borderId="15" xfId="4" applyFill="1" applyBorder="1"/>
    <xf numFmtId="0" fontId="36" fillId="0" borderId="13" xfId="4" applyFont="1" applyBorder="1"/>
    <xf numFmtId="0" fontId="36" fillId="0" borderId="0" xfId="4" applyFont="1"/>
    <xf numFmtId="0" fontId="36" fillId="0" borderId="15" xfId="4" applyFont="1" applyBorder="1"/>
    <xf numFmtId="0" fontId="2" fillId="0" borderId="15" xfId="4" applyBorder="1"/>
    <xf numFmtId="165" fontId="2" fillId="10" borderId="3" xfId="4" quotePrefix="1" applyNumberFormat="1" applyFill="1" applyBorder="1" applyAlignment="1">
      <alignment horizontal="center" vertical="center"/>
    </xf>
    <xf numFmtId="165" fontId="2" fillId="10" borderId="3" xfId="4" applyNumberFormat="1" applyFill="1" applyBorder="1" applyAlignment="1">
      <alignment horizontal="center" vertical="center"/>
    </xf>
    <xf numFmtId="0" fontId="45" fillId="11" borderId="34" xfId="4" applyFont="1" applyFill="1" applyBorder="1" applyAlignment="1">
      <alignment horizontal="center" vertical="center"/>
    </xf>
    <xf numFmtId="0" fontId="45" fillId="11" borderId="3" xfId="4" applyFont="1" applyFill="1" applyBorder="1" applyAlignment="1">
      <alignment horizontal="center" vertical="center"/>
    </xf>
    <xf numFmtId="0" fontId="42" fillId="11" borderId="3" xfId="4" applyFont="1" applyFill="1" applyBorder="1" applyAlignment="1">
      <alignment horizontal="center" vertical="center" wrapText="1"/>
    </xf>
    <xf numFmtId="2" fontId="36" fillId="11" borderId="3" xfId="4" applyNumberFormat="1" applyFont="1" applyFill="1" applyBorder="1" applyAlignment="1">
      <alignment horizontal="center" vertical="center"/>
    </xf>
    <xf numFmtId="0" fontId="42" fillId="11" borderId="34" xfId="4" applyFont="1" applyFill="1" applyBorder="1" applyAlignment="1">
      <alignment horizontal="center" vertical="center" wrapText="1"/>
    </xf>
    <xf numFmtId="2" fontId="36" fillId="11" borderId="34" xfId="4" applyNumberFormat="1" applyFont="1" applyFill="1" applyBorder="1" applyAlignment="1">
      <alignment horizontal="center" vertical="center"/>
    </xf>
    <xf numFmtId="0" fontId="2" fillId="8" borderId="35" xfId="4" applyFill="1" applyBorder="1" applyAlignment="1">
      <alignment horizontal="center" vertical="center" wrapText="1"/>
    </xf>
    <xf numFmtId="0" fontId="2" fillId="8" borderId="17" xfId="4" applyFill="1" applyBorder="1" applyAlignment="1">
      <alignment horizontal="center" vertical="center" wrapText="1"/>
    </xf>
    <xf numFmtId="0" fontId="2" fillId="8" borderId="17" xfId="4" applyFill="1" applyBorder="1" applyAlignment="1">
      <alignment horizontal="center" vertical="center"/>
    </xf>
    <xf numFmtId="0" fontId="36" fillId="3" borderId="0" xfId="4" applyFont="1" applyFill="1" applyAlignment="1">
      <alignment horizontal="center" vertical="center" wrapText="1"/>
    </xf>
    <xf numFmtId="0" fontId="2" fillId="3" borderId="0" xfId="4" applyFill="1" applyAlignment="1">
      <alignment horizontal="center" vertical="center" wrapText="1"/>
    </xf>
    <xf numFmtId="0" fontId="36" fillId="3" borderId="13" xfId="4" applyFont="1" applyFill="1" applyBorder="1" applyAlignment="1">
      <alignment horizontal="center" vertical="center"/>
    </xf>
    <xf numFmtId="165" fontId="36" fillId="3" borderId="0" xfId="4" applyNumberFormat="1" applyFont="1" applyFill="1" applyAlignment="1">
      <alignment horizontal="center" vertical="center"/>
    </xf>
    <xf numFmtId="0" fontId="42" fillId="3" borderId="0" xfId="4" applyFont="1" applyFill="1" applyAlignment="1">
      <alignment horizontal="center" vertical="center"/>
    </xf>
    <xf numFmtId="2" fontId="42" fillId="3" borderId="0" xfId="4" applyNumberFormat="1" applyFont="1" applyFill="1" applyAlignment="1">
      <alignment horizontal="center" vertical="center"/>
    </xf>
    <xf numFmtId="165" fontId="42" fillId="3" borderId="0" xfId="4" applyNumberFormat="1" applyFont="1" applyFill="1" applyAlignment="1">
      <alignment horizontal="center" vertical="center"/>
    </xf>
    <xf numFmtId="0" fontId="2" fillId="10" borderId="0" xfId="4" applyFill="1"/>
    <xf numFmtId="0" fontId="45" fillId="3" borderId="3" xfId="4" applyFont="1" applyFill="1" applyBorder="1" applyAlignment="1">
      <alignment horizontal="center" vertical="center"/>
    </xf>
    <xf numFmtId="2" fontId="36" fillId="3" borderId="3" xfId="4" applyNumberFormat="1" applyFont="1" applyFill="1" applyBorder="1" applyAlignment="1">
      <alignment horizontal="center" vertical="center"/>
    </xf>
    <xf numFmtId="165" fontId="2" fillId="3" borderId="0" xfId="4" applyNumberFormat="1" applyFill="1" applyAlignment="1">
      <alignment horizontal="center" vertical="center"/>
    </xf>
    <xf numFmtId="2" fontId="36" fillId="3" borderId="13" xfId="4" applyNumberFormat="1" applyFont="1" applyFill="1" applyBorder="1" applyAlignment="1">
      <alignment horizontal="center" vertical="center"/>
    </xf>
    <xf numFmtId="0" fontId="36" fillId="3" borderId="13" xfId="4" applyFont="1" applyFill="1" applyBorder="1"/>
    <xf numFmtId="0" fontId="42" fillId="3" borderId="9" xfId="4" applyFont="1" applyFill="1" applyBorder="1" applyAlignment="1">
      <alignment horizontal="center" vertical="center"/>
    </xf>
    <xf numFmtId="0" fontId="42" fillId="3" borderId="3" xfId="4" applyFont="1" applyFill="1" applyBorder="1" applyAlignment="1">
      <alignment horizontal="center"/>
    </xf>
    <xf numFmtId="0" fontId="42" fillId="3" borderId="17" xfId="4" applyFont="1" applyFill="1" applyBorder="1" applyAlignment="1">
      <alignment horizontal="center"/>
    </xf>
    <xf numFmtId="2" fontId="42" fillId="3" borderId="17" xfId="4" applyNumberFormat="1" applyFont="1" applyFill="1" applyBorder="1" applyAlignment="1">
      <alignment horizontal="center"/>
    </xf>
    <xf numFmtId="0" fontId="42" fillId="3" borderId="0" xfId="4" applyFont="1" applyFill="1" applyAlignment="1">
      <alignment horizontal="center"/>
    </xf>
    <xf numFmtId="2" fontId="42" fillId="3" borderId="0" xfId="4" applyNumberFormat="1" applyFont="1" applyFill="1" applyAlignment="1">
      <alignment horizontal="center"/>
    </xf>
    <xf numFmtId="2" fontId="42" fillId="3" borderId="9" xfId="4" applyNumberFormat="1" applyFont="1" applyFill="1" applyBorder="1" applyAlignment="1">
      <alignment horizontal="center" vertical="center"/>
    </xf>
    <xf numFmtId="165" fontId="42" fillId="3" borderId="3" xfId="4" applyNumberFormat="1" applyFont="1" applyFill="1" applyBorder="1" applyAlignment="1">
      <alignment horizontal="center"/>
    </xf>
    <xf numFmtId="0" fontId="42" fillId="3" borderId="20" xfId="4" applyFont="1" applyFill="1" applyBorder="1" applyAlignment="1">
      <alignment horizontal="center" vertical="center"/>
    </xf>
    <xf numFmtId="0" fontId="42" fillId="3" borderId="21" xfId="4" applyFont="1" applyFill="1" applyBorder="1" applyAlignment="1">
      <alignment horizontal="center"/>
    </xf>
    <xf numFmtId="0" fontId="42" fillId="3" borderId="19" xfId="4" applyFont="1" applyFill="1" applyBorder="1" applyAlignment="1">
      <alignment horizontal="center"/>
    </xf>
    <xf numFmtId="2" fontId="42" fillId="3" borderId="19" xfId="4" applyNumberFormat="1" applyFont="1" applyFill="1" applyBorder="1" applyAlignment="1">
      <alignment horizontal="center"/>
    </xf>
    <xf numFmtId="0" fontId="42" fillId="3" borderId="13" xfId="4" applyFont="1" applyFill="1" applyBorder="1" applyAlignment="1">
      <alignment horizontal="center" vertical="center"/>
    </xf>
    <xf numFmtId="165" fontId="36" fillId="0" borderId="0" xfId="4" applyNumberFormat="1" applyFont="1"/>
    <xf numFmtId="0" fontId="10" fillId="3" borderId="31" xfId="4" applyFont="1" applyFill="1" applyBorder="1" applyAlignment="1">
      <alignment vertical="center"/>
    </xf>
    <xf numFmtId="0" fontId="10" fillId="3" borderId="32" xfId="4" applyFont="1" applyFill="1" applyBorder="1" applyAlignment="1">
      <alignment vertical="center"/>
    </xf>
    <xf numFmtId="0" fontId="10" fillId="3" borderId="63" xfId="4" applyFont="1" applyFill="1" applyBorder="1" applyAlignment="1">
      <alignment vertical="center"/>
    </xf>
    <xf numFmtId="0" fontId="33" fillId="3" borderId="12" xfId="4" applyFont="1" applyFill="1" applyBorder="1" applyAlignment="1">
      <alignment vertical="center"/>
    </xf>
    <xf numFmtId="0" fontId="33" fillId="3" borderId="8" xfId="4" applyFont="1" applyFill="1" applyBorder="1" applyAlignment="1">
      <alignment horizontal="center" vertical="center"/>
    </xf>
    <xf numFmtId="1" fontId="36" fillId="3" borderId="44" xfId="4" applyNumberFormat="1" applyFont="1" applyFill="1" applyBorder="1" applyAlignment="1">
      <alignment horizontal="center" vertical="center"/>
    </xf>
    <xf numFmtId="0" fontId="37" fillId="0" borderId="6" xfId="4" applyFont="1" applyBorder="1"/>
    <xf numFmtId="0" fontId="37" fillId="0" borderId="16" xfId="4" applyFont="1" applyBorder="1"/>
    <xf numFmtId="0" fontId="33" fillId="3" borderId="6" xfId="4" applyFont="1" applyFill="1" applyBorder="1" applyAlignment="1">
      <alignment vertical="center"/>
    </xf>
    <xf numFmtId="1" fontId="36" fillId="3" borderId="17" xfId="4" applyNumberFormat="1" applyFont="1" applyFill="1" applyBorder="1" applyAlignment="1">
      <alignment horizontal="center" vertical="center"/>
    </xf>
    <xf numFmtId="0" fontId="33" fillId="3" borderId="4" xfId="4" applyFont="1" applyFill="1" applyBorder="1" applyAlignment="1">
      <alignment vertical="center"/>
    </xf>
    <xf numFmtId="0" fontId="2" fillId="3" borderId="0" xfId="4" applyFill="1" applyAlignment="1">
      <alignment horizontal="center" vertical="center"/>
    </xf>
    <xf numFmtId="0" fontId="8" fillId="3" borderId="0" xfId="4" quotePrefix="1" applyFont="1" applyFill="1" applyAlignment="1" applyProtection="1">
      <alignment horizontal="left"/>
      <protection locked="0"/>
    </xf>
    <xf numFmtId="165" fontId="2" fillId="3" borderId="3" xfId="4" applyNumberFormat="1" applyFill="1" applyBorder="1" applyAlignment="1">
      <alignment horizontal="center" vertical="center"/>
    </xf>
    <xf numFmtId="1" fontId="2" fillId="10" borderId="13" xfId="4" applyNumberFormat="1" applyFill="1" applyBorder="1" applyAlignment="1">
      <alignment horizontal="center" vertical="center"/>
    </xf>
    <xf numFmtId="2" fontId="2" fillId="10" borderId="0" xfId="4" applyNumberFormat="1" applyFill="1" applyAlignment="1">
      <alignment horizontal="center" vertical="center"/>
    </xf>
    <xf numFmtId="2" fontId="2" fillId="10" borderId="0" xfId="4" quotePrefix="1" applyNumberFormat="1" applyFill="1" applyAlignment="1">
      <alignment horizontal="center" vertical="center"/>
    </xf>
    <xf numFmtId="1" fontId="2" fillId="10" borderId="0" xfId="4" applyNumberFormat="1" applyFill="1" applyAlignment="1">
      <alignment horizontal="center" vertical="center"/>
    </xf>
    <xf numFmtId="165" fontId="2" fillId="10" borderId="0" xfId="4" quotePrefix="1" applyNumberFormat="1" applyFill="1" applyAlignment="1">
      <alignment horizontal="center" vertical="center"/>
    </xf>
    <xf numFmtId="2" fontId="36" fillId="11" borderId="8" xfId="4" applyNumberFormat="1" applyFont="1" applyFill="1" applyBorder="1" applyAlignment="1">
      <alignment horizontal="center" vertical="center"/>
    </xf>
    <xf numFmtId="0" fontId="2" fillId="8" borderId="44" xfId="4" applyFill="1" applyBorder="1" applyAlignment="1">
      <alignment horizontal="center" vertical="center" wrapText="1"/>
    </xf>
    <xf numFmtId="0" fontId="36" fillId="11" borderId="71" xfId="4" applyFont="1" applyFill="1" applyBorder="1" applyAlignment="1">
      <alignment horizontal="center" vertical="center" wrapText="1"/>
    </xf>
    <xf numFmtId="0" fontId="42" fillId="11" borderId="8" xfId="4" applyFont="1" applyFill="1" applyBorder="1" applyAlignment="1">
      <alignment horizontal="center" vertical="center" wrapText="1"/>
    </xf>
    <xf numFmtId="0" fontId="36" fillId="11" borderId="47" xfId="4" applyFont="1" applyFill="1" applyBorder="1" applyAlignment="1">
      <alignment horizontal="center" vertical="center" wrapText="1"/>
    </xf>
    <xf numFmtId="0" fontId="36" fillId="11" borderId="0" xfId="4" applyFont="1" applyFill="1" applyAlignment="1">
      <alignment horizontal="center" vertical="center" wrapText="1"/>
    </xf>
    <xf numFmtId="0" fontId="42" fillId="11" borderId="0" xfId="4" applyFont="1" applyFill="1" applyAlignment="1">
      <alignment horizontal="center" vertical="center" wrapText="1"/>
    </xf>
    <xf numFmtId="2" fontId="36" fillId="11" borderId="0" xfId="4" applyNumberFormat="1" applyFont="1" applyFill="1" applyAlignment="1">
      <alignment horizontal="center" vertical="center"/>
    </xf>
    <xf numFmtId="0" fontId="2" fillId="8" borderId="0" xfId="4" applyFill="1" applyAlignment="1">
      <alignment horizontal="center" vertical="center" wrapText="1"/>
    </xf>
    <xf numFmtId="0" fontId="42" fillId="11" borderId="21" xfId="4" applyFont="1" applyFill="1" applyBorder="1" applyAlignment="1">
      <alignment horizontal="center" vertical="center" wrapText="1"/>
    </xf>
    <xf numFmtId="2" fontId="36" fillId="0" borderId="3" xfId="4" applyNumberFormat="1" applyFont="1" applyBorder="1" applyAlignment="1">
      <alignment horizontal="center" vertical="center"/>
    </xf>
    <xf numFmtId="0" fontId="43" fillId="3" borderId="49" xfId="4" applyFont="1" applyFill="1" applyBorder="1" applyAlignment="1">
      <alignment horizontal="center" vertical="center" wrapText="1"/>
    </xf>
    <xf numFmtId="1" fontId="52" fillId="10" borderId="91" xfId="4" applyNumberFormat="1" applyFont="1" applyFill="1" applyBorder="1" applyAlignment="1">
      <alignment horizontal="center" vertical="center"/>
    </xf>
    <xf numFmtId="0" fontId="54" fillId="0" borderId="0" xfId="4" applyFont="1" applyAlignment="1">
      <alignment horizontal="left" vertical="center"/>
    </xf>
    <xf numFmtId="0" fontId="37" fillId="0" borderId="11" xfId="4" applyFont="1" applyBorder="1" applyAlignment="1">
      <alignment horizontal="center" vertical="center"/>
    </xf>
    <xf numFmtId="0" fontId="2" fillId="3" borderId="6" xfId="4" applyFill="1" applyBorder="1"/>
    <xf numFmtId="0" fontId="54" fillId="3" borderId="0" xfId="4" applyFont="1" applyFill="1" applyAlignment="1" applyProtection="1">
      <alignment horizontal="left" vertical="center"/>
      <protection locked="0"/>
    </xf>
    <xf numFmtId="2" fontId="8" fillId="0" borderId="3" xfId="0" applyNumberFormat="1" applyFont="1" applyBorder="1"/>
    <xf numFmtId="1" fontId="52" fillId="10" borderId="3" xfId="0" applyNumberFormat="1" applyFont="1" applyFill="1" applyBorder="1" applyAlignment="1">
      <alignment horizontal="center" vertical="center"/>
    </xf>
    <xf numFmtId="2" fontId="53" fillId="3" borderId="3" xfId="0" applyNumberFormat="1" applyFont="1" applyFill="1" applyBorder="1" applyAlignment="1">
      <alignment horizontal="center" vertical="center"/>
    </xf>
    <xf numFmtId="165" fontId="36" fillId="3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182" fontId="54" fillId="0" borderId="10" xfId="0" applyNumberFormat="1" applyFont="1" applyBorder="1" applyAlignment="1">
      <alignment horizontal="center" vertical="center"/>
    </xf>
    <xf numFmtId="182" fontId="54" fillId="0" borderId="8" xfId="0" applyNumberFormat="1" applyFont="1" applyBorder="1" applyAlignment="1">
      <alignment horizontal="center" vertical="center"/>
    </xf>
    <xf numFmtId="0" fontId="68" fillId="3" borderId="0" xfId="2" applyFont="1" applyFill="1" applyAlignment="1" applyProtection="1">
      <alignment vertical="center"/>
      <protection locked="0"/>
    </xf>
    <xf numFmtId="2" fontId="52" fillId="10" borderId="3" xfId="4" applyNumberFormat="1" applyFont="1" applyFill="1" applyBorder="1" applyAlignment="1">
      <alignment horizontal="center" vertical="center"/>
    </xf>
    <xf numFmtId="2" fontId="52" fillId="3" borderId="3" xfId="4" applyNumberFormat="1" applyFont="1" applyFill="1" applyBorder="1" applyAlignment="1">
      <alignment horizontal="center" vertical="center"/>
    </xf>
    <xf numFmtId="2" fontId="2" fillId="0" borderId="3" xfId="4" applyNumberFormat="1" applyBorder="1" applyAlignment="1">
      <alignment horizontal="center" vertical="center"/>
    </xf>
    <xf numFmtId="2" fontId="52" fillId="3" borderId="3" xfId="4" applyNumberFormat="1" applyFont="1" applyFill="1" applyBorder="1" applyAlignment="1">
      <alignment horizontal="center"/>
    </xf>
    <xf numFmtId="2" fontId="53" fillId="3" borderId="3" xfId="4" applyNumberFormat="1" applyFont="1" applyFill="1" applyBorder="1" applyAlignment="1">
      <alignment horizontal="center" vertical="center"/>
    </xf>
    <xf numFmtId="165" fontId="36" fillId="3" borderId="3" xfId="4" applyNumberFormat="1" applyFont="1" applyFill="1" applyBorder="1" applyAlignment="1">
      <alignment horizontal="center" vertical="center"/>
    </xf>
    <xf numFmtId="0" fontId="43" fillId="3" borderId="75" xfId="4" applyFont="1" applyFill="1" applyBorder="1" applyAlignment="1">
      <alignment horizontal="center" vertical="center" wrapText="1"/>
    </xf>
    <xf numFmtId="0" fontId="43" fillId="3" borderId="42" xfId="4" applyFont="1" applyFill="1" applyBorder="1" applyAlignment="1">
      <alignment horizontal="center" vertical="center" wrapText="1"/>
    </xf>
    <xf numFmtId="0" fontId="42" fillId="3" borderId="92" xfId="2" applyFont="1" applyFill="1" applyBorder="1" applyAlignment="1">
      <alignment horizontal="center" vertical="center" wrapText="1"/>
    </xf>
    <xf numFmtId="0" fontId="42" fillId="3" borderId="92" xfId="4" applyFont="1" applyFill="1" applyBorder="1" applyAlignment="1">
      <alignment horizontal="center" vertical="center" wrapText="1"/>
    </xf>
    <xf numFmtId="0" fontId="42" fillId="3" borderId="43" xfId="4" applyFont="1" applyFill="1" applyBorder="1" applyAlignment="1">
      <alignment horizontal="center" vertical="center" wrapText="1"/>
    </xf>
    <xf numFmtId="0" fontId="53" fillId="3" borderId="1" xfId="4" applyFont="1" applyFill="1" applyBorder="1" applyAlignment="1">
      <alignment horizontal="center" vertical="center"/>
    </xf>
    <xf numFmtId="0" fontId="53" fillId="3" borderId="7" xfId="4" applyFont="1" applyFill="1" applyBorder="1" applyAlignment="1">
      <alignment horizontal="center" vertical="center"/>
    </xf>
    <xf numFmtId="0" fontId="44" fillId="3" borderId="43" xfId="4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26" xfId="0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0" fontId="54" fillId="0" borderId="10" xfId="0" applyFont="1" applyBorder="1" applyAlignment="1">
      <alignment vertical="center"/>
    </xf>
    <xf numFmtId="0" fontId="54" fillId="0" borderId="8" xfId="0" applyFont="1" applyBorder="1" applyAlignment="1">
      <alignment vertical="center"/>
    </xf>
    <xf numFmtId="9" fontId="13" fillId="0" borderId="3" xfId="0" applyNumberFormat="1" applyFont="1" applyBorder="1" applyAlignment="1">
      <alignment horizontal="center" vertical="center"/>
    </xf>
    <xf numFmtId="0" fontId="29" fillId="9" borderId="3" xfId="4" applyFont="1" applyFill="1" applyBorder="1" applyAlignment="1">
      <alignment horizontal="center" vertical="center"/>
    </xf>
    <xf numFmtId="0" fontId="36" fillId="0" borderId="0" xfId="5" applyFont="1"/>
    <xf numFmtId="0" fontId="2" fillId="0" borderId="0" xfId="5"/>
    <xf numFmtId="0" fontId="2" fillId="0" borderId="59" xfId="5" applyBorder="1"/>
    <xf numFmtId="0" fontId="34" fillId="9" borderId="3" xfId="5" applyFont="1" applyFill="1" applyBorder="1" applyAlignment="1">
      <alignment horizontal="center" vertical="center"/>
    </xf>
    <xf numFmtId="164" fontId="34" fillId="10" borderId="3" xfId="5" applyNumberFormat="1" applyFont="1" applyFill="1" applyBorder="1" applyAlignment="1">
      <alignment horizontal="center" vertical="center"/>
    </xf>
    <xf numFmtId="0" fontId="30" fillId="10" borderId="3" xfId="5" applyFont="1" applyFill="1" applyBorder="1" applyAlignment="1">
      <alignment horizontal="center" vertical="center"/>
    </xf>
    <xf numFmtId="0" fontId="30" fillId="9" borderId="3" xfId="5" applyFont="1" applyFill="1" applyBorder="1" applyAlignment="1">
      <alignment horizontal="center" vertical="center"/>
    </xf>
    <xf numFmtId="0" fontId="2" fillId="0" borderId="3" xfId="5" applyBorder="1"/>
    <xf numFmtId="164" fontId="2" fillId="10" borderId="3" xfId="5" applyNumberFormat="1" applyFill="1" applyBorder="1" applyAlignment="1">
      <alignment horizontal="center" vertical="center"/>
    </xf>
    <xf numFmtId="2" fontId="2" fillId="9" borderId="3" xfId="5" applyNumberFormat="1" applyFill="1" applyBorder="1" applyAlignment="1">
      <alignment horizontal="center"/>
    </xf>
    <xf numFmtId="0" fontId="2" fillId="0" borderId="15" xfId="5" applyBorder="1"/>
    <xf numFmtId="164" fontId="2" fillId="10" borderId="3" xfId="5" applyNumberFormat="1" applyFill="1" applyBorder="1" applyAlignment="1">
      <alignment horizontal="center"/>
    </xf>
    <xf numFmtId="0" fontId="2" fillId="10" borderId="3" xfId="5" quotePrefix="1" applyFill="1" applyBorder="1" applyAlignment="1">
      <alignment horizontal="center"/>
    </xf>
    <xf numFmtId="0" fontId="2" fillId="0" borderId="25" xfId="5" applyBorder="1"/>
    <xf numFmtId="0" fontId="2" fillId="0" borderId="61" xfId="5" applyBorder="1"/>
    <xf numFmtId="0" fontId="2" fillId="0" borderId="13" xfId="5" applyBorder="1"/>
    <xf numFmtId="0" fontId="34" fillId="10" borderId="3" xfId="5" applyFont="1" applyFill="1" applyBorder="1" applyAlignment="1">
      <alignment horizontal="center" vertical="center"/>
    </xf>
    <xf numFmtId="164" fontId="2" fillId="10" borderId="3" xfId="5" quotePrefix="1" applyNumberFormat="1" applyFill="1" applyBorder="1" applyAlignment="1">
      <alignment horizontal="center"/>
    </xf>
    <xf numFmtId="0" fontId="2" fillId="10" borderId="0" xfId="5" applyFill="1" applyAlignment="1">
      <alignment horizontal="center"/>
    </xf>
    <xf numFmtId="0" fontId="34" fillId="9" borderId="33" xfId="5" applyFont="1" applyFill="1" applyBorder="1" applyAlignment="1">
      <alignment horizontal="center" vertical="center"/>
    </xf>
    <xf numFmtId="0" fontId="34" fillId="10" borderId="35" xfId="5" applyFont="1" applyFill="1" applyBorder="1" applyAlignment="1">
      <alignment horizontal="center" vertical="center"/>
    </xf>
    <xf numFmtId="0" fontId="30" fillId="10" borderId="48" xfId="5" applyFont="1" applyFill="1" applyBorder="1" applyAlignment="1">
      <alignment horizontal="center" vertical="center"/>
    </xf>
    <xf numFmtId="0" fontId="30" fillId="9" borderId="48" xfId="5" applyFont="1" applyFill="1" applyBorder="1" applyAlignment="1">
      <alignment horizontal="center" vertical="center"/>
    </xf>
    <xf numFmtId="0" fontId="34" fillId="9" borderId="20" xfId="5" applyFont="1" applyFill="1" applyBorder="1" applyAlignment="1">
      <alignment horizontal="center" vertical="center"/>
    </xf>
    <xf numFmtId="0" fontId="34" fillId="10" borderId="19" xfId="5" applyFont="1" applyFill="1" applyBorder="1" applyAlignment="1">
      <alignment horizontal="center" vertical="center"/>
    </xf>
    <xf numFmtId="164" fontId="2" fillId="10" borderId="47" xfId="5" applyNumberFormat="1" applyFill="1" applyBorder="1" applyAlignment="1">
      <alignment horizontal="center" vertical="center"/>
    </xf>
    <xf numFmtId="164" fontId="2" fillId="10" borderId="8" xfId="5" applyNumberFormat="1" applyFill="1" applyBorder="1" applyAlignment="1">
      <alignment horizontal="center" vertical="center"/>
    </xf>
    <xf numFmtId="2" fontId="2" fillId="9" borderId="44" xfId="5" applyNumberFormat="1" applyFill="1" applyBorder="1" applyAlignment="1">
      <alignment horizontal="center"/>
    </xf>
    <xf numFmtId="164" fontId="2" fillId="10" borderId="9" xfId="5" applyNumberFormat="1" applyFill="1" applyBorder="1" applyAlignment="1">
      <alignment horizontal="center" vertical="center"/>
    </xf>
    <xf numFmtId="2" fontId="2" fillId="9" borderId="17" xfId="5" applyNumberFormat="1" applyFill="1" applyBorder="1" applyAlignment="1">
      <alignment horizontal="center"/>
    </xf>
    <xf numFmtId="164" fontId="2" fillId="10" borderId="11" xfId="5" applyNumberFormat="1" applyFill="1" applyBorder="1" applyAlignment="1">
      <alignment horizontal="center"/>
    </xf>
    <xf numFmtId="164" fontId="2" fillId="10" borderId="39" xfId="5" applyNumberFormat="1" applyFill="1" applyBorder="1" applyAlignment="1">
      <alignment horizontal="center"/>
    </xf>
    <xf numFmtId="164" fontId="2" fillId="10" borderId="21" xfId="5" applyNumberFormat="1" applyFill="1" applyBorder="1" applyAlignment="1">
      <alignment horizontal="center"/>
    </xf>
    <xf numFmtId="2" fontId="2" fillId="9" borderId="19" xfId="5" applyNumberFormat="1" applyFill="1" applyBorder="1" applyAlignment="1">
      <alignment horizontal="center"/>
    </xf>
    <xf numFmtId="0" fontId="2" fillId="0" borderId="28" xfId="5" applyBorder="1"/>
    <xf numFmtId="0" fontId="2" fillId="10" borderId="21" xfId="5" quotePrefix="1" applyFill="1" applyBorder="1" applyAlignment="1">
      <alignment horizontal="center"/>
    </xf>
    <xf numFmtId="0" fontId="2" fillId="3" borderId="13" xfId="5" applyFill="1" applyBorder="1" applyAlignment="1">
      <alignment horizontal="center" vertical="center"/>
    </xf>
    <xf numFmtId="164" fontId="2" fillId="3" borderId="0" xfId="5" applyNumberFormat="1" applyFill="1" applyAlignment="1">
      <alignment horizontal="center"/>
    </xf>
    <xf numFmtId="0" fontId="2" fillId="3" borderId="0" xfId="5" quotePrefix="1" applyFill="1" applyAlignment="1">
      <alignment horizontal="center"/>
    </xf>
    <xf numFmtId="165" fontId="2" fillId="3" borderId="0" xfId="5" applyNumberFormat="1" applyFill="1" applyAlignment="1">
      <alignment horizontal="center"/>
    </xf>
    <xf numFmtId="0" fontId="2" fillId="3" borderId="0" xfId="5" applyFill="1"/>
    <xf numFmtId="164" fontId="34" fillId="10" borderId="19" xfId="5" applyNumberFormat="1" applyFont="1" applyFill="1" applyBorder="1" applyAlignment="1">
      <alignment horizontal="center" vertical="center"/>
    </xf>
    <xf numFmtId="164" fontId="34" fillId="10" borderId="35" xfId="5" applyNumberFormat="1" applyFont="1" applyFill="1" applyBorder="1" applyAlignment="1">
      <alignment horizontal="center" vertical="center"/>
    </xf>
    <xf numFmtId="1" fontId="2" fillId="10" borderId="47" xfId="5" applyNumberFormat="1" applyFill="1" applyBorder="1" applyAlignment="1">
      <alignment horizontal="center" vertical="center"/>
    </xf>
    <xf numFmtId="1" fontId="2" fillId="10" borderId="9" xfId="5" applyNumberFormat="1" applyFill="1" applyBorder="1" applyAlignment="1">
      <alignment horizontal="center" vertical="center"/>
    </xf>
    <xf numFmtId="1" fontId="2" fillId="10" borderId="11" xfId="5" applyNumberFormat="1" applyFill="1" applyBorder="1" applyAlignment="1">
      <alignment horizontal="center"/>
    </xf>
    <xf numFmtId="1" fontId="2" fillId="10" borderId="39" xfId="5" applyNumberFormat="1" applyFill="1" applyBorder="1" applyAlignment="1">
      <alignment horizontal="center"/>
    </xf>
    <xf numFmtId="2" fontId="2" fillId="3" borderId="0" xfId="5" applyNumberFormat="1" applyFill="1" applyAlignment="1">
      <alignment horizontal="center"/>
    </xf>
    <xf numFmtId="0" fontId="30" fillId="10" borderId="48" xfId="5" quotePrefix="1" applyFont="1" applyFill="1" applyBorder="1" applyAlignment="1">
      <alignment horizontal="center" vertical="center"/>
    </xf>
    <xf numFmtId="165" fontId="2" fillId="10" borderId="8" xfId="5" applyNumberFormat="1" applyFill="1" applyBorder="1" applyAlignment="1">
      <alignment horizontal="center" vertical="center"/>
    </xf>
    <xf numFmtId="165" fontId="2" fillId="10" borderId="3" xfId="5" applyNumberFormat="1" applyFill="1" applyBorder="1" applyAlignment="1">
      <alignment horizontal="center" vertical="center"/>
    </xf>
    <xf numFmtId="164" fontId="2" fillId="10" borderId="70" xfId="5" applyNumberFormat="1" applyFill="1" applyBorder="1" applyAlignment="1">
      <alignment horizontal="center" vertical="center"/>
    </xf>
    <xf numFmtId="164" fontId="2" fillId="10" borderId="39" xfId="5" applyNumberFormat="1" applyFill="1" applyBorder="1" applyAlignment="1">
      <alignment horizontal="center" vertical="center"/>
    </xf>
    <xf numFmtId="0" fontId="36" fillId="7" borderId="28" xfId="5" applyFont="1" applyFill="1" applyBorder="1"/>
    <xf numFmtId="0" fontId="36" fillId="7" borderId="25" xfId="5" applyFont="1" applyFill="1" applyBorder="1"/>
    <xf numFmtId="0" fontId="36" fillId="7" borderId="61" xfId="5" applyFont="1" applyFill="1" applyBorder="1"/>
    <xf numFmtId="0" fontId="45" fillId="9" borderId="3" xfId="5" applyFont="1" applyFill="1" applyBorder="1" applyAlignment="1">
      <alignment horizontal="center" vertical="center"/>
    </xf>
    <xf numFmtId="0" fontId="36" fillId="5" borderId="3" xfId="5" applyFont="1" applyFill="1" applyBorder="1" applyAlignment="1">
      <alignment horizontal="center" vertical="center"/>
    </xf>
    <xf numFmtId="164" fontId="44" fillId="5" borderId="1" xfId="5" applyNumberFormat="1" applyFont="1" applyFill="1" applyBorder="1" applyAlignment="1">
      <alignment horizontal="center" vertical="center"/>
    </xf>
    <xf numFmtId="0" fontId="36" fillId="9" borderId="3" xfId="5" applyFont="1" applyFill="1" applyBorder="1" applyAlignment="1">
      <alignment horizontal="center" vertical="center"/>
    </xf>
    <xf numFmtId="2" fontId="36" fillId="9" borderId="3" xfId="5" applyNumberFormat="1" applyFont="1" applyFill="1" applyBorder="1" applyAlignment="1">
      <alignment horizontal="center" vertical="center"/>
    </xf>
    <xf numFmtId="0" fontId="36" fillId="5" borderId="3" xfId="5" applyFont="1" applyFill="1" applyBorder="1" applyAlignment="1">
      <alignment horizontal="center"/>
    </xf>
    <xf numFmtId="0" fontId="44" fillId="5" borderId="1" xfId="5" applyFont="1" applyFill="1" applyBorder="1" applyAlignment="1">
      <alignment horizontal="center" vertical="center"/>
    </xf>
    <xf numFmtId="0" fontId="44" fillId="5" borderId="1" xfId="5" applyFont="1" applyFill="1" applyBorder="1" applyAlignment="1">
      <alignment horizontal="center"/>
    </xf>
    <xf numFmtId="2" fontId="36" fillId="9" borderId="3" xfId="5" applyNumberFormat="1" applyFont="1" applyFill="1" applyBorder="1" applyAlignment="1">
      <alignment horizontal="center"/>
    </xf>
    <xf numFmtId="164" fontId="44" fillId="5" borderId="3" xfId="5" applyNumberFormat="1" applyFont="1" applyFill="1" applyBorder="1" applyAlignment="1">
      <alignment horizontal="center" vertical="center"/>
    </xf>
    <xf numFmtId="1" fontId="36" fillId="9" borderId="3" xfId="5" applyNumberFormat="1" applyFont="1" applyFill="1" applyBorder="1" applyAlignment="1">
      <alignment horizontal="center" vertical="center"/>
    </xf>
    <xf numFmtId="0" fontId="36" fillId="0" borderId="3" xfId="5" applyFont="1" applyBorder="1"/>
    <xf numFmtId="0" fontId="36" fillId="3" borderId="71" xfId="5" applyFont="1" applyFill="1" applyBorder="1" applyAlignment="1">
      <alignment horizontal="center" vertical="center"/>
    </xf>
    <xf numFmtId="0" fontId="36" fillId="3" borderId="10" xfId="5" applyFont="1" applyFill="1" applyBorder="1" applyAlignment="1">
      <alignment horizontal="center" vertical="center"/>
    </xf>
    <xf numFmtId="2" fontId="36" fillId="3" borderId="45" xfId="5" applyNumberFormat="1" applyFont="1" applyFill="1" applyBorder="1" applyAlignment="1">
      <alignment horizontal="center"/>
    </xf>
    <xf numFmtId="2" fontId="36" fillId="3" borderId="15" xfId="5" applyNumberFormat="1" applyFont="1" applyFill="1" applyBorder="1" applyAlignment="1">
      <alignment horizontal="center"/>
    </xf>
    <xf numFmtId="0" fontId="36" fillId="3" borderId="0" xfId="5" applyFont="1" applyFill="1"/>
    <xf numFmtId="0" fontId="36" fillId="3" borderId="3" xfId="5" applyFont="1" applyFill="1" applyBorder="1" applyAlignment="1">
      <alignment horizontal="center" vertical="center"/>
    </xf>
    <xf numFmtId="2" fontId="36" fillId="3" borderId="3" xfId="5" applyNumberFormat="1" applyFont="1" applyFill="1" applyBorder="1" applyAlignment="1">
      <alignment horizontal="center"/>
    </xf>
    <xf numFmtId="164" fontId="46" fillId="5" borderId="1" xfId="5" applyNumberFormat="1" applyFont="1" applyFill="1" applyBorder="1" applyAlignment="1">
      <alignment horizontal="center" vertical="center"/>
    </xf>
    <xf numFmtId="0" fontId="36" fillId="5" borderId="0" xfId="5" applyFont="1" applyFill="1" applyAlignment="1">
      <alignment horizontal="center" vertical="center"/>
    </xf>
    <xf numFmtId="164" fontId="44" fillId="5" borderId="0" xfId="5" applyNumberFormat="1" applyFont="1" applyFill="1" applyAlignment="1">
      <alignment horizontal="center" vertical="center"/>
    </xf>
    <xf numFmtId="164" fontId="2" fillId="0" borderId="0" xfId="5" applyNumberFormat="1" applyAlignment="1">
      <alignment horizontal="center" vertical="center"/>
    </xf>
    <xf numFmtId="2" fontId="36" fillId="3" borderId="7" xfId="5" applyNumberFormat="1" applyFont="1" applyFill="1" applyBorder="1" applyAlignment="1">
      <alignment horizontal="center" vertical="center"/>
    </xf>
    <xf numFmtId="2" fontId="36" fillId="3" borderId="23" xfId="5" applyNumberFormat="1" applyFont="1" applyFill="1" applyBorder="1" applyAlignment="1">
      <alignment horizontal="center" vertical="center"/>
    </xf>
    <xf numFmtId="0" fontId="36" fillId="3" borderId="45" xfId="5" applyFont="1" applyFill="1" applyBorder="1" applyAlignment="1">
      <alignment horizontal="center" vertical="center"/>
    </xf>
    <xf numFmtId="0" fontId="36" fillId="3" borderId="13" xfId="5" applyFont="1" applyFill="1" applyBorder="1" applyAlignment="1">
      <alignment horizontal="center" vertical="center"/>
    </xf>
    <xf numFmtId="0" fontId="36" fillId="0" borderId="13" xfId="5" applyFont="1" applyBorder="1" applyAlignment="1">
      <alignment horizontal="center" vertical="center"/>
    </xf>
    <xf numFmtId="0" fontId="36" fillId="3" borderId="0" xfId="5" applyFont="1" applyFill="1" applyAlignment="1">
      <alignment horizontal="center" vertical="center"/>
    </xf>
    <xf numFmtId="0" fontId="36" fillId="0" borderId="0" xfId="5" applyFont="1" applyAlignment="1">
      <alignment horizontal="center" vertical="center"/>
    </xf>
    <xf numFmtId="0" fontId="45" fillId="3" borderId="9" xfId="5" applyFont="1" applyFill="1" applyBorder="1" applyAlignment="1">
      <alignment horizontal="center" vertical="center"/>
    </xf>
    <xf numFmtId="0" fontId="45" fillId="3" borderId="3" xfId="5" applyFont="1" applyFill="1" applyBorder="1" applyAlignment="1">
      <alignment horizontal="center" vertical="center"/>
    </xf>
    <xf numFmtId="164" fontId="36" fillId="3" borderId="9" xfId="5" applyNumberFormat="1" applyFont="1" applyFill="1" applyBorder="1" applyAlignment="1">
      <alignment horizontal="center" vertical="center"/>
    </xf>
    <xf numFmtId="164" fontId="36" fillId="3" borderId="3" xfId="5" applyNumberFormat="1" applyFont="1" applyFill="1" applyBorder="1" applyAlignment="1">
      <alignment horizontal="center" vertical="center"/>
    </xf>
    <xf numFmtId="164" fontId="36" fillId="3" borderId="17" xfId="5" applyNumberFormat="1" applyFont="1" applyFill="1" applyBorder="1" applyAlignment="1">
      <alignment horizontal="center" vertical="center"/>
    </xf>
    <xf numFmtId="1" fontId="36" fillId="3" borderId="9" xfId="5" applyNumberFormat="1" applyFont="1" applyFill="1" applyBorder="1" applyAlignment="1">
      <alignment horizontal="center"/>
    </xf>
    <xf numFmtId="164" fontId="36" fillId="10" borderId="3" xfId="5" applyNumberFormat="1" applyFont="1" applyFill="1" applyBorder="1" applyAlignment="1">
      <alignment horizontal="center"/>
    </xf>
    <xf numFmtId="164" fontId="36" fillId="3" borderId="3" xfId="5" applyNumberFormat="1" applyFont="1" applyFill="1" applyBorder="1" applyAlignment="1">
      <alignment horizontal="center"/>
    </xf>
    <xf numFmtId="1" fontId="36" fillId="3" borderId="20" xfId="5" applyNumberFormat="1" applyFont="1" applyFill="1" applyBorder="1" applyAlignment="1">
      <alignment horizontal="center"/>
    </xf>
    <xf numFmtId="164" fontId="36" fillId="3" borderId="21" xfId="5" applyNumberFormat="1" applyFont="1" applyFill="1" applyBorder="1" applyAlignment="1">
      <alignment horizontal="center"/>
    </xf>
    <xf numFmtId="0" fontId="2" fillId="0" borderId="60" xfId="5" applyBorder="1"/>
    <xf numFmtId="164" fontId="36" fillId="3" borderId="20" xfId="5" applyNumberFormat="1" applyFont="1" applyFill="1" applyBorder="1" applyAlignment="1">
      <alignment horizontal="center" vertical="center"/>
    </xf>
    <xf numFmtId="164" fontId="36" fillId="3" borderId="21" xfId="5" applyNumberFormat="1" applyFont="1" applyFill="1" applyBorder="1" applyAlignment="1">
      <alignment horizontal="center" vertical="center"/>
    </xf>
    <xf numFmtId="164" fontId="36" fillId="3" borderId="19" xfId="5" applyNumberFormat="1" applyFont="1" applyFill="1" applyBorder="1" applyAlignment="1">
      <alignment horizontal="center" vertical="center"/>
    </xf>
    <xf numFmtId="0" fontId="36" fillId="3" borderId="13" xfId="5" applyFont="1" applyFill="1" applyBorder="1"/>
    <xf numFmtId="0" fontId="42" fillId="3" borderId="33" xfId="5" applyFont="1" applyFill="1" applyBorder="1" applyAlignment="1">
      <alignment horizontal="center" vertical="center"/>
    </xf>
    <xf numFmtId="164" fontId="42" fillId="3" borderId="34" xfId="5" applyNumberFormat="1" applyFont="1" applyFill="1" applyBorder="1" applyAlignment="1">
      <alignment horizontal="center"/>
    </xf>
    <xf numFmtId="164" fontId="42" fillId="3" borderId="35" xfId="5" applyNumberFormat="1" applyFont="1" applyFill="1" applyBorder="1" applyAlignment="1">
      <alignment horizontal="center"/>
    </xf>
    <xf numFmtId="0" fontId="45" fillId="3" borderId="0" xfId="5" applyFont="1" applyFill="1" applyAlignment="1">
      <alignment vertical="center"/>
    </xf>
    <xf numFmtId="0" fontId="42" fillId="3" borderId="47" xfId="5" applyFont="1" applyFill="1" applyBorder="1" applyAlignment="1">
      <alignment horizontal="center" vertical="center"/>
    </xf>
    <xf numFmtId="0" fontId="36" fillId="3" borderId="15" xfId="5" applyFont="1" applyFill="1" applyBorder="1"/>
    <xf numFmtId="164" fontId="42" fillId="3" borderId="9" xfId="5" applyNumberFormat="1" applyFont="1" applyFill="1" applyBorder="1" applyAlignment="1">
      <alignment horizontal="center" vertical="center"/>
    </xf>
    <xf numFmtId="164" fontId="42" fillId="3" borderId="3" xfId="5" applyNumberFormat="1" applyFont="1" applyFill="1" applyBorder="1" applyAlignment="1">
      <alignment horizontal="center"/>
    </xf>
    <xf numFmtId="164" fontId="42" fillId="3" borderId="17" xfId="5" applyNumberFormat="1" applyFont="1" applyFill="1" applyBorder="1" applyAlignment="1">
      <alignment horizontal="center"/>
    </xf>
    <xf numFmtId="0" fontId="42" fillId="3" borderId="20" xfId="5" applyFont="1" applyFill="1" applyBorder="1" applyAlignment="1">
      <alignment horizontal="center" vertical="center"/>
    </xf>
    <xf numFmtId="164" fontId="42" fillId="3" borderId="70" xfId="5" applyNumberFormat="1" applyFont="1" applyFill="1" applyBorder="1" applyAlignment="1">
      <alignment horizontal="center"/>
    </xf>
    <xf numFmtId="164" fontId="42" fillId="3" borderId="21" xfId="5" applyNumberFormat="1" applyFont="1" applyFill="1" applyBorder="1" applyAlignment="1">
      <alignment horizontal="center"/>
    </xf>
    <xf numFmtId="164" fontId="42" fillId="3" borderId="51" xfId="5" applyNumberFormat="1" applyFont="1" applyFill="1" applyBorder="1" applyAlignment="1">
      <alignment horizontal="center"/>
    </xf>
    <xf numFmtId="165" fontId="36" fillId="3" borderId="25" xfId="5" applyNumberFormat="1" applyFont="1" applyFill="1" applyBorder="1" applyAlignment="1">
      <alignment horizontal="center"/>
    </xf>
    <xf numFmtId="0" fontId="36" fillId="3" borderId="25" xfId="5" applyFont="1" applyFill="1" applyBorder="1"/>
    <xf numFmtId="0" fontId="36" fillId="3" borderId="61" xfId="5" applyFont="1" applyFill="1" applyBorder="1"/>
    <xf numFmtId="0" fontId="2" fillId="0" borderId="0" xfId="5" applyProtection="1">
      <protection locked="0"/>
    </xf>
    <xf numFmtId="0" fontId="36" fillId="9" borderId="11" xfId="5" applyFont="1" applyFill="1" applyBorder="1" applyAlignment="1" applyProtection="1">
      <alignment vertical="center"/>
      <protection locked="0"/>
    </xf>
    <xf numFmtId="0" fontId="36" fillId="9" borderId="6" xfId="5" applyFont="1" applyFill="1" applyBorder="1" applyAlignment="1" applyProtection="1">
      <alignment horizontal="center" vertical="center"/>
      <protection locked="0"/>
    </xf>
    <xf numFmtId="0" fontId="36" fillId="9" borderId="6" xfId="5" applyFont="1" applyFill="1" applyBorder="1" applyAlignment="1" applyProtection="1">
      <alignment vertical="center"/>
      <protection locked="0"/>
    </xf>
    <xf numFmtId="0" fontId="36" fillId="9" borderId="2" xfId="5" applyFont="1" applyFill="1" applyBorder="1" applyAlignment="1" applyProtection="1">
      <alignment vertical="center"/>
      <protection locked="0"/>
    </xf>
    <xf numFmtId="0" fontId="36" fillId="9" borderId="1" xfId="5" applyFont="1" applyFill="1" applyBorder="1" applyAlignment="1" applyProtection="1">
      <alignment vertical="center"/>
      <protection locked="0"/>
    </xf>
    <xf numFmtId="0" fontId="36" fillId="9" borderId="33" xfId="5" applyFont="1" applyFill="1" applyBorder="1" applyAlignment="1" applyProtection="1">
      <alignment horizontal="center" vertical="center"/>
      <protection locked="0"/>
    </xf>
    <xf numFmtId="0" fontId="36" fillId="9" borderId="35" xfId="5" applyFont="1" applyFill="1" applyBorder="1" applyAlignment="1" applyProtection="1">
      <alignment horizontal="center" vertical="center"/>
      <protection locked="0"/>
    </xf>
    <xf numFmtId="0" fontId="36" fillId="9" borderId="16" xfId="5" applyFont="1" applyFill="1" applyBorder="1" applyAlignment="1" applyProtection="1">
      <alignment horizontal="center" vertical="center"/>
      <protection locked="0"/>
    </xf>
    <xf numFmtId="0" fontId="13" fillId="0" borderId="3" xfId="5" applyFont="1" applyBorder="1" applyAlignment="1">
      <alignment vertical="center"/>
    </xf>
    <xf numFmtId="0" fontId="36" fillId="9" borderId="9" xfId="5" applyFont="1" applyFill="1" applyBorder="1" applyAlignment="1" applyProtection="1">
      <alignment horizontal="center" vertical="center"/>
      <protection locked="0"/>
    </xf>
    <xf numFmtId="0" fontId="36" fillId="9" borderId="17" xfId="5" applyFont="1" applyFill="1" applyBorder="1" applyAlignment="1" applyProtection="1">
      <alignment horizontal="center" vertical="center"/>
      <protection locked="0"/>
    </xf>
    <xf numFmtId="0" fontId="36" fillId="3" borderId="3" xfId="5" applyFont="1" applyFill="1" applyBorder="1"/>
    <xf numFmtId="2" fontId="13" fillId="0" borderId="3" xfId="5" applyNumberFormat="1" applyFont="1" applyBorder="1" applyAlignment="1">
      <alignment horizontal="center" vertical="center"/>
    </xf>
    <xf numFmtId="0" fontId="36" fillId="9" borderId="72" xfId="5" applyFont="1" applyFill="1" applyBorder="1" applyAlignment="1" applyProtection="1">
      <alignment horizontal="center" vertical="center"/>
      <protection locked="0"/>
    </xf>
    <xf numFmtId="0" fontId="36" fillId="9" borderId="20" xfId="5" applyFont="1" applyFill="1" applyBorder="1" applyAlignment="1" applyProtection="1">
      <alignment horizontal="center" vertical="center"/>
      <protection locked="0"/>
    </xf>
    <xf numFmtId="0" fontId="36" fillId="9" borderId="19" xfId="5" applyFont="1" applyFill="1" applyBorder="1" applyAlignment="1" applyProtection="1">
      <alignment horizontal="center" vertical="center"/>
      <protection locked="0"/>
    </xf>
    <xf numFmtId="0" fontId="42" fillId="3" borderId="3" xfId="4" applyFont="1" applyFill="1" applyBorder="1" applyAlignment="1">
      <alignment horizontal="center" vertical="center"/>
    </xf>
    <xf numFmtId="0" fontId="61" fillId="0" borderId="64" xfId="0" applyFont="1" applyBorder="1" applyAlignment="1" applyProtection="1">
      <alignment vertical="center"/>
      <protection locked="0"/>
    </xf>
    <xf numFmtId="0" fontId="61" fillId="0" borderId="74" xfId="0" applyFont="1" applyBorder="1" applyAlignment="1" applyProtection="1">
      <alignment horizontal="center" vertical="center"/>
      <protection locked="0"/>
    </xf>
    <xf numFmtId="0" fontId="61" fillId="0" borderId="59" xfId="0" quotePrefix="1" applyFont="1" applyBorder="1" applyAlignment="1" applyProtection="1">
      <alignment horizontal="center" vertical="center"/>
      <protection locked="0"/>
    </xf>
    <xf numFmtId="0" fontId="61" fillId="0" borderId="59" xfId="0" applyFont="1" applyBorder="1" applyAlignment="1" applyProtection="1">
      <alignment vertical="center"/>
      <protection locked="0"/>
    </xf>
    <xf numFmtId="0" fontId="61" fillId="0" borderId="60" xfId="0" applyFont="1" applyBorder="1" applyAlignment="1" applyProtection="1">
      <alignment vertical="center"/>
      <protection locked="0"/>
    </xf>
    <xf numFmtId="1" fontId="74" fillId="0" borderId="65" xfId="0" applyNumberFormat="1" applyFont="1" applyBorder="1" applyAlignment="1" applyProtection="1">
      <alignment horizontal="center" vertical="center"/>
      <protection locked="0"/>
    </xf>
    <xf numFmtId="0" fontId="61" fillId="0" borderId="71" xfId="0" applyFont="1" applyBorder="1" applyAlignment="1" applyProtection="1">
      <alignment horizontal="center" vertical="center"/>
      <protection locked="0"/>
    </xf>
    <xf numFmtId="0" fontId="61" fillId="0" borderId="15" xfId="0" applyFont="1" applyBorder="1" applyAlignment="1" applyProtection="1">
      <alignment vertical="center"/>
      <protection locked="0"/>
    </xf>
    <xf numFmtId="0" fontId="61" fillId="0" borderId="68" xfId="0" applyFont="1" applyBorder="1" applyAlignment="1" applyProtection="1">
      <alignment vertical="center"/>
      <protection locked="0"/>
    </xf>
    <xf numFmtId="0" fontId="61" fillId="0" borderId="91" xfId="0" applyFont="1" applyBorder="1" applyAlignment="1" applyProtection="1">
      <alignment horizontal="center" vertical="center"/>
      <protection locked="0"/>
    </xf>
    <xf numFmtId="0" fontId="61" fillId="0" borderId="25" xfId="0" quotePrefix="1" applyFont="1" applyBorder="1" applyAlignment="1" applyProtection="1">
      <alignment horizontal="center" vertical="center"/>
      <protection locked="0"/>
    </xf>
    <xf numFmtId="0" fontId="61" fillId="0" borderId="25" xfId="0" applyFont="1" applyBorder="1" applyAlignment="1" applyProtection="1">
      <alignment vertical="center"/>
      <protection locked="0"/>
    </xf>
    <xf numFmtId="0" fontId="61" fillId="0" borderId="61" xfId="0" applyFont="1" applyBorder="1" applyAlignment="1" applyProtection="1">
      <alignment vertical="center"/>
      <protection locked="0"/>
    </xf>
    <xf numFmtId="1" fontId="67" fillId="0" borderId="0" xfId="2" applyNumberFormat="1" applyFont="1" applyAlignment="1">
      <alignment horizontal="center" vertical="center"/>
    </xf>
    <xf numFmtId="0" fontId="61" fillId="0" borderId="65" xfId="0" applyFont="1" applyBorder="1" applyAlignment="1" applyProtection="1">
      <alignment vertical="center"/>
      <protection locked="0"/>
    </xf>
    <xf numFmtId="0" fontId="61" fillId="0" borderId="0" xfId="0" quotePrefix="1" applyFont="1" applyAlignment="1" applyProtection="1">
      <alignment horizontal="center" vertical="center"/>
      <protection locked="0"/>
    </xf>
    <xf numFmtId="1" fontId="61" fillId="0" borderId="0" xfId="0" applyNumberFormat="1" applyFont="1" applyAlignment="1" applyProtection="1">
      <alignment horizontal="left" vertical="center"/>
      <protection locked="0"/>
    </xf>
    <xf numFmtId="1" fontId="61" fillId="0" borderId="0" xfId="2" applyNumberFormat="1" applyFont="1" applyAlignment="1" applyProtection="1">
      <alignment horizontal="left"/>
      <protection locked="0"/>
    </xf>
    <xf numFmtId="1" fontId="61" fillId="0" borderId="0" xfId="2" applyNumberFormat="1" applyFont="1" applyAlignment="1" applyProtection="1">
      <alignment horizontal="left" vertical="center"/>
      <protection locked="0"/>
    </xf>
    <xf numFmtId="0" fontId="13" fillId="0" borderId="64" xfId="2" applyFont="1" applyBorder="1" applyAlignment="1">
      <alignment vertical="center"/>
    </xf>
    <xf numFmtId="0" fontId="13" fillId="0" borderId="68" xfId="2" applyFont="1" applyBorder="1" applyAlignment="1">
      <alignment vertical="center"/>
    </xf>
    <xf numFmtId="0" fontId="56" fillId="0" borderId="3" xfId="0" applyFont="1" applyBorder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75" fillId="0" borderId="3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/>
    </xf>
    <xf numFmtId="186" fontId="2" fillId="0" borderId="3" xfId="0" applyNumberFormat="1" applyFont="1" applyBorder="1" applyAlignment="1">
      <alignment horizontal="left" vertical="center"/>
    </xf>
    <xf numFmtId="186" fontId="75" fillId="0" borderId="3" xfId="0" applyNumberFormat="1" applyFont="1" applyBorder="1" applyAlignment="1">
      <alignment horizontal="left" vertical="center"/>
    </xf>
    <xf numFmtId="0" fontId="2" fillId="3" borderId="3" xfId="4" applyFill="1" applyBorder="1" applyAlignment="1">
      <alignment wrapText="1"/>
    </xf>
    <xf numFmtId="0" fontId="2" fillId="3" borderId="3" xfId="4" applyFill="1" applyBorder="1" applyAlignment="1">
      <alignment horizontal="left" vertical="center" wrapText="1"/>
    </xf>
    <xf numFmtId="0" fontId="54" fillId="0" borderId="3" xfId="2" applyFont="1" applyBorder="1" applyAlignment="1">
      <alignment horizontal="left" wrapText="1"/>
    </xf>
    <xf numFmtId="0" fontId="54" fillId="3" borderId="3" xfId="0" applyFont="1" applyFill="1" applyBorder="1" applyAlignment="1">
      <alignment vertical="center"/>
    </xf>
    <xf numFmtId="1" fontId="2" fillId="0" borderId="0" xfId="2" applyNumberFormat="1" applyAlignment="1">
      <alignment vertical="center"/>
    </xf>
    <xf numFmtId="0" fontId="28" fillId="0" borderId="3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4" fillId="0" borderId="56" xfId="0" applyFont="1" applyBorder="1" applyAlignment="1">
      <alignment horizontal="center" vertical="center" wrapText="1"/>
    </xf>
    <xf numFmtId="0" fontId="54" fillId="0" borderId="76" xfId="0" applyFont="1" applyBorder="1" applyAlignment="1">
      <alignment horizontal="left" vertical="center"/>
    </xf>
    <xf numFmtId="0" fontId="57" fillId="0" borderId="53" xfId="0" applyFont="1" applyBorder="1" applyAlignment="1">
      <alignment horizontal="center" vertical="center" wrapText="1"/>
    </xf>
    <xf numFmtId="0" fontId="54" fillId="0" borderId="87" xfId="0" applyFont="1" applyBorder="1" applyAlignment="1">
      <alignment vertical="center"/>
    </xf>
    <xf numFmtId="164" fontId="61" fillId="2" borderId="2" xfId="0" applyNumberFormat="1" applyFont="1" applyFill="1" applyBorder="1" applyAlignment="1">
      <alignment horizontal="left" vertical="center" wrapText="1"/>
    </xf>
    <xf numFmtId="0" fontId="28" fillId="0" borderId="0" xfId="2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27" fillId="0" borderId="0" xfId="2" applyFont="1"/>
    <xf numFmtId="0" fontId="68" fillId="0" borderId="0" xfId="2" applyFont="1"/>
    <xf numFmtId="0" fontId="61" fillId="0" borderId="0" xfId="2" applyFont="1" applyAlignment="1">
      <alignment horizontal="right"/>
    </xf>
    <xf numFmtId="0" fontId="61" fillId="0" borderId="0" xfId="0" applyFont="1"/>
    <xf numFmtId="184" fontId="61" fillId="0" borderId="0" xfId="0" applyNumberFormat="1" applyFont="1" applyAlignment="1">
      <alignment horizontal="left" vertical="center"/>
    </xf>
    <xf numFmtId="0" fontId="61" fillId="0" borderId="0" xfId="0" applyFont="1" applyAlignment="1">
      <alignment horizontal="left"/>
    </xf>
    <xf numFmtId="174" fontId="61" fillId="0" borderId="0" xfId="0" applyNumberFormat="1" applyFont="1"/>
    <xf numFmtId="164" fontId="61" fillId="0" borderId="0" xfId="2" applyNumberFormat="1" applyFont="1" applyAlignment="1">
      <alignment horizontal="left"/>
    </xf>
    <xf numFmtId="172" fontId="61" fillId="0" borderId="0" xfId="2" applyNumberFormat="1" applyFont="1" applyAlignment="1">
      <alignment horizontal="left"/>
    </xf>
    <xf numFmtId="0" fontId="61" fillId="0" borderId="0" xfId="2" applyFont="1" applyAlignment="1">
      <alignment horizontal="left"/>
    </xf>
    <xf numFmtId="0" fontId="28" fillId="0" borderId="0" xfId="2" applyFont="1"/>
    <xf numFmtId="0" fontId="28" fillId="0" borderId="0" xfId="2" applyFont="1" applyAlignment="1">
      <alignment horizontal="left"/>
    </xf>
    <xf numFmtId="0" fontId="61" fillId="0" borderId="3" xfId="2" applyFont="1" applyBorder="1"/>
    <xf numFmtId="0" fontId="61" fillId="0" borderId="0" xfId="2" quotePrefix="1" applyFont="1" applyAlignment="1">
      <alignment horizontal="center"/>
    </xf>
    <xf numFmtId="164" fontId="61" fillId="0" borderId="0" xfId="2" applyNumberFormat="1" applyFont="1" applyAlignment="1">
      <alignment horizontal="center"/>
    </xf>
    <xf numFmtId="0" fontId="61" fillId="0" borderId="0" xfId="2" applyFont="1" applyAlignment="1">
      <alignment horizontal="center"/>
    </xf>
    <xf numFmtId="0" fontId="28" fillId="0" borderId="0" xfId="0" applyFont="1"/>
    <xf numFmtId="0" fontId="61" fillId="3" borderId="0" xfId="0" applyFont="1" applyFill="1"/>
    <xf numFmtId="0" fontId="28" fillId="0" borderId="3" xfId="0" applyFont="1" applyBorder="1" applyAlignment="1">
      <alignment vertical="center" wrapText="1"/>
    </xf>
    <xf numFmtId="0" fontId="28" fillId="0" borderId="3" xfId="0" applyFont="1" applyBorder="1" applyAlignment="1">
      <alignment vertical="center"/>
    </xf>
    <xf numFmtId="0" fontId="61" fillId="6" borderId="3" xfId="2" applyFont="1" applyFill="1" applyBorder="1" applyAlignment="1">
      <alignment horizontal="center" vertical="center"/>
    </xf>
    <xf numFmtId="0" fontId="61" fillId="0" borderId="3" xfId="2" applyFont="1" applyBorder="1" applyAlignment="1">
      <alignment horizontal="center" vertical="center"/>
    </xf>
    <xf numFmtId="1" fontId="61" fillId="0" borderId="3" xfId="0" applyNumberFormat="1" applyFont="1" applyBorder="1" applyAlignment="1">
      <alignment horizontal="center" vertical="center"/>
    </xf>
    <xf numFmtId="164" fontId="61" fillId="0" borderId="0" xfId="2" applyNumberFormat="1" applyFont="1"/>
    <xf numFmtId="2" fontId="61" fillId="0" borderId="0" xfId="0" applyNumberFormat="1" applyFont="1" applyAlignment="1">
      <alignment horizontal="center"/>
    </xf>
    <xf numFmtId="182" fontId="61" fillId="5" borderId="3" xfId="2" applyNumberFormat="1" applyFont="1" applyFill="1" applyBorder="1" applyAlignment="1">
      <alignment horizontal="center" vertical="center"/>
    </xf>
    <xf numFmtId="164" fontId="61" fillId="0" borderId="3" xfId="2" applyNumberFormat="1" applyFont="1" applyBorder="1"/>
    <xf numFmtId="0" fontId="61" fillId="0" borderId="22" xfId="2" applyFont="1" applyBorder="1" applyAlignment="1">
      <alignment horizontal="right" vertical="center"/>
    </xf>
    <xf numFmtId="164" fontId="61" fillId="2" borderId="30" xfId="0" applyNumberFormat="1" applyFont="1" applyFill="1" applyBorder="1" applyAlignment="1">
      <alignment horizontal="left" vertical="center" wrapText="1"/>
    </xf>
    <xf numFmtId="2" fontId="61" fillId="0" borderId="0" xfId="2" applyNumberFormat="1" applyFont="1" applyAlignment="1">
      <alignment horizontal="center"/>
    </xf>
    <xf numFmtId="1" fontId="61" fillId="0" borderId="0" xfId="0" applyNumberFormat="1" applyFont="1" applyAlignment="1">
      <alignment horizontal="center"/>
    </xf>
    <xf numFmtId="169" fontId="61" fillId="0" borderId="0" xfId="0" applyNumberFormat="1" applyFont="1" applyAlignment="1">
      <alignment horizontal="center"/>
    </xf>
    <xf numFmtId="0" fontId="28" fillId="0" borderId="0" xfId="2" applyFont="1" applyAlignment="1" applyProtection="1">
      <alignment horizontal="left"/>
      <protection locked="0"/>
    </xf>
    <xf numFmtId="165" fontId="61" fillId="0" borderId="0" xfId="0" applyNumberFormat="1" applyFont="1" applyAlignment="1" applyProtection="1">
      <alignment horizontal="center"/>
      <protection locked="0"/>
    </xf>
    <xf numFmtId="2" fontId="61" fillId="0" borderId="0" xfId="0" applyNumberFormat="1" applyFont="1" applyAlignment="1" applyProtection="1">
      <alignment horizontal="center"/>
      <protection locked="0"/>
    </xf>
    <xf numFmtId="0" fontId="61" fillId="0" borderId="0" xfId="0" applyFont="1" applyProtection="1">
      <protection locked="0"/>
    </xf>
    <xf numFmtId="0" fontId="28" fillId="0" borderId="0" xfId="2" applyFont="1" applyProtection="1">
      <protection locked="0"/>
    </xf>
    <xf numFmtId="0" fontId="61" fillId="0" borderId="0" xfId="0" applyFont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0" fontId="0" fillId="0" borderId="3" xfId="0" quotePrefix="1" applyBorder="1"/>
    <xf numFmtId="0" fontId="34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1" fontId="61" fillId="5" borderId="3" xfId="2" applyNumberFormat="1" applyFont="1" applyFill="1" applyBorder="1"/>
    <xf numFmtId="0" fontId="61" fillId="5" borderId="3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61" fillId="4" borderId="0" xfId="2" applyFont="1" applyFill="1" applyAlignment="1" applyProtection="1">
      <alignment horizontal="left" vertical="center"/>
      <protection locked="0"/>
    </xf>
    <xf numFmtId="0" fontId="61" fillId="4" borderId="0" xfId="0" applyFont="1" applyFill="1" applyAlignment="1" applyProtection="1">
      <alignment horizontal="left" vertical="center"/>
      <protection locked="0"/>
    </xf>
    <xf numFmtId="15" fontId="0" fillId="0" borderId="3" xfId="0" applyNumberFormat="1" applyBorder="1"/>
    <xf numFmtId="0" fontId="78" fillId="0" borderId="0" xfId="7" applyFont="1"/>
    <xf numFmtId="0" fontId="80" fillId="0" borderId="1" xfId="7" applyFont="1" applyBorder="1" applyAlignment="1">
      <alignment horizontal="left" vertical="top"/>
    </xf>
    <xf numFmtId="0" fontId="80" fillId="0" borderId="2" xfId="7" applyFont="1" applyBorder="1" applyAlignment="1">
      <alignment vertical="top"/>
    </xf>
    <xf numFmtId="0" fontId="80" fillId="0" borderId="0" xfId="7" applyFont="1"/>
    <xf numFmtId="0" fontId="78" fillId="0" borderId="1" xfId="7" applyFont="1" applyBorder="1" applyAlignment="1">
      <alignment vertical="top"/>
    </xf>
    <xf numFmtId="0" fontId="78" fillId="0" borderId="6" xfId="7" applyFont="1" applyBorder="1"/>
    <xf numFmtId="0" fontId="78" fillId="0" borderId="2" xfId="7" applyFont="1" applyBorder="1" applyAlignment="1">
      <alignment horizontal="left" vertical="top"/>
    </xf>
    <xf numFmtId="0" fontId="78" fillId="0" borderId="0" xfId="7" applyFont="1" applyAlignment="1">
      <alignment horizontal="left"/>
    </xf>
    <xf numFmtId="0" fontId="35" fillId="0" borderId="1" xfId="6" applyFont="1" applyBorder="1" applyAlignment="1">
      <alignment vertical="top"/>
    </xf>
    <xf numFmtId="0" fontId="78" fillId="0" borderId="2" xfId="7" applyFont="1" applyBorder="1"/>
    <xf numFmtId="0" fontId="35" fillId="0" borderId="2" xfId="6" applyFont="1" applyBorder="1" applyAlignment="1" applyProtection="1">
      <alignment vertical="top"/>
      <protection locked="0"/>
    </xf>
    <xf numFmtId="0" fontId="78" fillId="0" borderId="0" xfId="7" applyFont="1" applyAlignment="1">
      <alignment vertical="top"/>
    </xf>
    <xf numFmtId="186" fontId="78" fillId="0" borderId="0" xfId="7" applyNumberFormat="1" applyFont="1"/>
    <xf numFmtId="0" fontId="80" fillId="0" borderId="0" xfId="7" applyFont="1" applyAlignment="1">
      <alignment vertical="top"/>
    </xf>
    <xf numFmtId="0" fontId="35" fillId="0" borderId="0" xfId="6" applyFont="1" applyAlignment="1">
      <alignment vertical="top" wrapText="1"/>
    </xf>
    <xf numFmtId="0" fontId="35" fillId="0" borderId="0" xfId="6" applyFont="1" applyAlignment="1">
      <alignment horizontal="justify" vertical="center" wrapText="1"/>
    </xf>
    <xf numFmtId="0" fontId="34" fillId="0" borderId="0" xfId="6" applyFont="1"/>
    <xf numFmtId="0" fontId="34" fillId="0" borderId="62" xfId="6" applyFont="1" applyBorder="1"/>
    <xf numFmtId="0" fontId="78" fillId="0" borderId="59" xfId="7" applyFont="1" applyBorder="1"/>
    <xf numFmtId="0" fontId="78" fillId="0" borderId="60" xfId="7" applyFont="1" applyBorder="1"/>
    <xf numFmtId="0" fontId="34" fillId="0" borderId="13" xfId="6" applyFont="1" applyBorder="1"/>
    <xf numFmtId="0" fontId="78" fillId="0" borderId="15" xfId="7" applyFont="1" applyBorder="1"/>
    <xf numFmtId="0" fontId="34" fillId="0" borderId="13" xfId="6" applyFont="1" applyBorder="1" applyAlignment="1">
      <alignment wrapText="1"/>
    </xf>
    <xf numFmtId="0" fontId="34" fillId="0" borderId="15" xfId="6" applyFont="1" applyBorder="1"/>
    <xf numFmtId="0" fontId="80" fillId="0" borderId="0" xfId="6" applyFont="1" applyAlignment="1">
      <alignment horizontal="left" vertical="top" wrapText="1"/>
    </xf>
    <xf numFmtId="0" fontId="80" fillId="0" borderId="13" xfId="6" applyFont="1" applyBorder="1" applyAlignment="1">
      <alignment wrapText="1"/>
    </xf>
    <xf numFmtId="0" fontId="80" fillId="0" borderId="13" xfId="6" applyFont="1" applyBorder="1"/>
    <xf numFmtId="0" fontId="78" fillId="0" borderId="0" xfId="7" applyFont="1" applyAlignment="1">
      <alignment horizontal="left" vertical="top"/>
    </xf>
    <xf numFmtId="0" fontId="80" fillId="0" borderId="28" xfId="6" applyFont="1" applyBorder="1"/>
    <xf numFmtId="0" fontId="78" fillId="0" borderId="25" xfId="7" applyFont="1" applyBorder="1"/>
    <xf numFmtId="0" fontId="78" fillId="0" borderId="61" xfId="7" applyFont="1" applyBorder="1"/>
    <xf numFmtId="0" fontId="61" fillId="0" borderId="0" xfId="2" applyFont="1" applyAlignment="1">
      <alignment horizontal="right" vertical="center" wrapText="1"/>
    </xf>
    <xf numFmtId="2" fontId="63" fillId="0" borderId="4" xfId="0" applyNumberFormat="1" applyFont="1" applyBorder="1" applyAlignment="1" applyProtection="1">
      <alignment horizontal="center" vertical="center"/>
      <protection locked="0"/>
    </xf>
    <xf numFmtId="1" fontId="61" fillId="0" borderId="0" xfId="2" applyNumberFormat="1" applyFont="1" applyAlignment="1">
      <alignment horizontal="left" vertical="center"/>
    </xf>
    <xf numFmtId="0" fontId="54" fillId="3" borderId="77" xfId="0" applyFont="1" applyFill="1" applyBorder="1" applyAlignment="1" applyProtection="1">
      <alignment horizontal="left" vertical="center" wrapText="1"/>
      <protection locked="0"/>
    </xf>
    <xf numFmtId="0" fontId="54" fillId="3" borderId="80" xfId="0" applyFont="1" applyFill="1" applyBorder="1" applyAlignment="1" applyProtection="1">
      <alignment horizontal="left" vertical="center" wrapText="1"/>
      <protection locked="0"/>
    </xf>
    <xf numFmtId="0" fontId="81" fillId="4" borderId="0" xfId="0" applyFont="1" applyFill="1" applyAlignment="1" applyProtection="1">
      <alignment horizontal="left" vertical="center"/>
      <protection locked="0"/>
    </xf>
    <xf numFmtId="164" fontId="81" fillId="4" borderId="3" xfId="2" applyNumberFormat="1" applyFont="1" applyFill="1" applyBorder="1" applyAlignment="1" applyProtection="1">
      <alignment horizontal="center" vertical="center"/>
      <protection locked="0"/>
    </xf>
    <xf numFmtId="164" fontId="81" fillId="4" borderId="4" xfId="2" applyNumberFormat="1" applyFont="1" applyFill="1" applyBorder="1" applyAlignment="1" applyProtection="1">
      <alignment horizontal="center" vertical="center"/>
      <protection locked="0"/>
    </xf>
    <xf numFmtId="164" fontId="82" fillId="4" borderId="76" xfId="0" quotePrefix="1" applyNumberFormat="1" applyFont="1" applyFill="1" applyBorder="1" applyAlignment="1" applyProtection="1">
      <alignment horizontal="right" vertical="center" wrapText="1"/>
      <protection locked="0"/>
    </xf>
    <xf numFmtId="164" fontId="82" fillId="3" borderId="86" xfId="0" quotePrefix="1" applyNumberFormat="1" applyFont="1" applyFill="1" applyBorder="1" applyAlignment="1" applyProtection="1">
      <alignment horizontal="right" vertical="center" wrapText="1"/>
      <protection locked="0"/>
    </xf>
    <xf numFmtId="164" fontId="81" fillId="0" borderId="0" xfId="2" applyNumberFormat="1" applyFont="1" applyAlignment="1">
      <alignment vertical="center"/>
    </xf>
    <xf numFmtId="164" fontId="81" fillId="0" borderId="0" xfId="2" applyNumberFormat="1" applyFont="1" applyAlignment="1">
      <alignment horizontal="left" vertical="center"/>
    </xf>
    <xf numFmtId="0" fontId="81" fillId="4" borderId="3" xfId="0" applyFont="1" applyFill="1" applyBorder="1" applyAlignment="1" applyProtection="1">
      <alignment horizontal="center" vertical="center"/>
      <protection locked="0"/>
    </xf>
    <xf numFmtId="2" fontId="81" fillId="4" borderId="3" xfId="0" applyNumberFormat="1" applyFont="1" applyFill="1" applyBorder="1" applyAlignment="1" applyProtection="1">
      <alignment horizontal="center" vertical="center"/>
      <protection locked="0"/>
    </xf>
    <xf numFmtId="0" fontId="81" fillId="4" borderId="3" xfId="0" applyFont="1" applyFill="1" applyBorder="1" applyAlignment="1" applyProtection="1">
      <alignment horizontal="center" vertical="center" wrapText="1"/>
      <protection locked="0"/>
    </xf>
    <xf numFmtId="0" fontId="81" fillId="4" borderId="0" xfId="0" applyFont="1" applyFill="1" applyAlignment="1" applyProtection="1">
      <alignment vertical="center"/>
      <protection locked="0"/>
    </xf>
    <xf numFmtId="2" fontId="2" fillId="0" borderId="0" xfId="4" applyNumberFormat="1"/>
    <xf numFmtId="2" fontId="31" fillId="0" borderId="3" xfId="4" applyNumberFormat="1" applyFont="1" applyBorder="1" applyAlignment="1">
      <alignment horizontal="center" vertical="center"/>
    </xf>
    <xf numFmtId="2" fontId="32" fillId="0" borderId="3" xfId="4" applyNumberFormat="1" applyFont="1" applyBorder="1" applyAlignment="1">
      <alignment horizontal="center" vertical="center"/>
    </xf>
    <xf numFmtId="1" fontId="31" fillId="0" borderId="3" xfId="4" applyNumberFormat="1" applyFont="1" applyBorder="1" applyAlignment="1">
      <alignment horizontal="center" vertical="center"/>
    </xf>
    <xf numFmtId="2" fontId="31" fillId="3" borderId="0" xfId="4" applyNumberFormat="1" applyFont="1" applyFill="1" applyAlignment="1">
      <alignment horizontal="center" vertical="center"/>
    </xf>
    <xf numFmtId="2" fontId="2" fillId="3" borderId="0" xfId="4" applyNumberFormat="1" applyFill="1"/>
    <xf numFmtId="1" fontId="2" fillId="0" borderId="3" xfId="4" applyNumberFormat="1" applyBorder="1" applyAlignment="1">
      <alignment horizontal="center" vertical="center"/>
    </xf>
    <xf numFmtId="168" fontId="2" fillId="0" borderId="3" xfId="4" applyNumberFormat="1" applyBorder="1" applyAlignment="1">
      <alignment horizontal="center" vertical="center"/>
    </xf>
    <xf numFmtId="168" fontId="2" fillId="0" borderId="3" xfId="4" applyNumberFormat="1" applyBorder="1" applyAlignment="1">
      <alignment horizontal="center"/>
    </xf>
    <xf numFmtId="2" fontId="2" fillId="3" borderId="13" xfId="4" applyNumberFormat="1" applyFill="1" applyBorder="1"/>
    <xf numFmtId="2" fontId="2" fillId="0" borderId="15" xfId="4" applyNumberFormat="1" applyBorder="1"/>
    <xf numFmtId="2" fontId="61" fillId="3" borderId="13" xfId="4" applyNumberFormat="1" applyFont="1" applyFill="1" applyBorder="1" applyAlignment="1">
      <alignment horizontal="center" vertical="center" wrapText="1"/>
    </xf>
    <xf numFmtId="2" fontId="2" fillId="0" borderId="0" xfId="4" applyNumberFormat="1" applyAlignment="1">
      <alignment horizontal="center" vertical="center"/>
    </xf>
    <xf numFmtId="2" fontId="2" fillId="0" borderId="0" xfId="4" quotePrefix="1" applyNumberFormat="1" applyAlignment="1">
      <alignment horizontal="center" vertical="center"/>
    </xf>
    <xf numFmtId="2" fontId="61" fillId="0" borderId="0" xfId="4" applyNumberFormat="1" applyFont="1" applyAlignment="1">
      <alignment horizontal="center" vertical="center" wrapText="1"/>
    </xf>
    <xf numFmtId="2" fontId="2" fillId="0" borderId="0" xfId="4" applyNumberFormat="1" applyAlignment="1">
      <alignment horizontal="right" vertical="center"/>
    </xf>
    <xf numFmtId="2" fontId="61" fillId="3" borderId="0" xfId="4" applyNumberFormat="1" applyFont="1" applyFill="1" applyAlignment="1">
      <alignment horizontal="center" vertical="center" wrapText="1"/>
    </xf>
    <xf numFmtId="2" fontId="2" fillId="0" borderId="0" xfId="4" applyNumberFormat="1" applyAlignment="1">
      <alignment horizontal="center"/>
    </xf>
    <xf numFmtId="2" fontId="31" fillId="0" borderId="3" xfId="4" quotePrefix="1" applyNumberFormat="1" applyFont="1" applyBorder="1" applyAlignment="1">
      <alignment horizontal="center" vertical="center"/>
    </xf>
    <xf numFmtId="2" fontId="2" fillId="0" borderId="3" xfId="4" quotePrefix="1" applyNumberFormat="1" applyBorder="1" applyAlignment="1">
      <alignment horizontal="center" vertical="center"/>
    </xf>
    <xf numFmtId="2" fontId="2" fillId="0" borderId="3" xfId="4" applyNumberFormat="1" applyBorder="1" applyAlignment="1">
      <alignment horizontal="center"/>
    </xf>
    <xf numFmtId="2" fontId="2" fillId="0" borderId="13" xfId="4" applyNumberFormat="1" applyBorder="1"/>
    <xf numFmtId="2" fontId="2" fillId="8" borderId="3" xfId="4" applyNumberFormat="1" applyFill="1" applyBorder="1" applyAlignment="1">
      <alignment horizontal="center" vertical="center"/>
    </xf>
    <xf numFmtId="2" fontId="33" fillId="8" borderId="3" xfId="4" applyNumberFormat="1" applyFont="1" applyFill="1" applyBorder="1"/>
    <xf numFmtId="2" fontId="2" fillId="3" borderId="3" xfId="4" applyNumberFormat="1" applyFill="1" applyBorder="1" applyAlignment="1">
      <alignment horizontal="center" vertical="center" wrapText="1"/>
    </xf>
    <xf numFmtId="2" fontId="33" fillId="8" borderId="3" xfId="4" applyNumberFormat="1" applyFont="1" applyFill="1" applyBorder="1" applyAlignment="1">
      <alignment horizontal="center" vertical="center"/>
    </xf>
    <xf numFmtId="2" fontId="2" fillId="0" borderId="3" xfId="4" applyNumberFormat="1" applyBorder="1"/>
    <xf numFmtId="2" fontId="36" fillId="8" borderId="3" xfId="4" applyNumberFormat="1" applyFont="1" applyFill="1" applyBorder="1" applyAlignment="1">
      <alignment horizontal="center" vertical="center"/>
    </xf>
    <xf numFmtId="2" fontId="2" fillId="8" borderId="3" xfId="4" applyNumberFormat="1" applyFill="1" applyBorder="1" applyAlignment="1">
      <alignment horizontal="center"/>
    </xf>
    <xf numFmtId="2" fontId="2" fillId="3" borderId="3" xfId="4" applyNumberFormat="1" applyFill="1" applyBorder="1"/>
    <xf numFmtId="2" fontId="31" fillId="8" borderId="3" xfId="4" applyNumberFormat="1" applyFont="1" applyFill="1" applyBorder="1" applyAlignment="1">
      <alignment horizontal="center" vertical="center"/>
    </xf>
    <xf numFmtId="2" fontId="32" fillId="8" borderId="3" xfId="4" applyNumberFormat="1" applyFont="1" applyFill="1" applyBorder="1" applyAlignment="1">
      <alignment horizontal="center" vertical="center"/>
    </xf>
    <xf numFmtId="2" fontId="2" fillId="3" borderId="0" xfId="4" applyNumberFormat="1" applyFill="1" applyAlignment="1">
      <alignment horizontal="center" vertical="center" wrapText="1"/>
    </xf>
    <xf numFmtId="2" fontId="23" fillId="3" borderId="3" xfId="4" applyNumberFormat="1" applyFont="1" applyFill="1" applyBorder="1" applyAlignment="1">
      <alignment horizontal="center" vertical="center"/>
    </xf>
    <xf numFmtId="2" fontId="53" fillId="3" borderId="3" xfId="4" applyNumberFormat="1" applyFont="1" applyFill="1" applyBorder="1" applyAlignment="1">
      <alignment horizontal="center" vertical="center" wrapText="1"/>
    </xf>
    <xf numFmtId="2" fontId="2" fillId="3" borderId="59" xfId="4" applyNumberFormat="1" applyFill="1" applyBorder="1"/>
    <xf numFmtId="2" fontId="53" fillId="3" borderId="0" xfId="4" applyNumberFormat="1" applyFont="1" applyFill="1" applyAlignment="1">
      <alignment horizontal="center" vertical="center"/>
    </xf>
    <xf numFmtId="165" fontId="53" fillId="3" borderId="3" xfId="4" applyNumberFormat="1" applyFont="1" applyFill="1" applyBorder="1" applyAlignment="1">
      <alignment horizontal="center" vertical="center"/>
    </xf>
    <xf numFmtId="164" fontId="2" fillId="10" borderId="33" xfId="4" applyNumberFormat="1" applyFill="1" applyBorder="1" applyAlignment="1">
      <alignment horizontal="center" vertical="center" wrapText="1"/>
    </xf>
    <xf numFmtId="2" fontId="36" fillId="3" borderId="41" xfId="4" applyNumberFormat="1" applyFont="1" applyFill="1" applyBorder="1" applyAlignment="1">
      <alignment horizontal="center" vertical="center"/>
    </xf>
    <xf numFmtId="165" fontId="53" fillId="3" borderId="3" xfId="4" applyNumberFormat="1" applyFont="1" applyFill="1" applyBorder="1" applyAlignment="1">
      <alignment horizontal="center" vertical="center" wrapText="1"/>
    </xf>
    <xf numFmtId="164" fontId="53" fillId="3" borderId="3" xfId="4" applyNumberFormat="1" applyFont="1" applyFill="1" applyBorder="1" applyAlignment="1">
      <alignment horizontal="center" vertical="center" wrapText="1"/>
    </xf>
    <xf numFmtId="2" fontId="53" fillId="3" borderId="0" xfId="4" applyNumberFormat="1" applyFont="1" applyFill="1" applyAlignment="1">
      <alignment horizontal="center" vertical="center" wrapText="1"/>
    </xf>
    <xf numFmtId="2" fontId="2" fillId="10" borderId="9" xfId="4" applyNumberFormat="1" applyFill="1" applyBorder="1" applyAlignment="1">
      <alignment horizontal="center" vertical="center" wrapText="1"/>
    </xf>
    <xf numFmtId="0" fontId="36" fillId="3" borderId="1" xfId="4" applyFont="1" applyFill="1" applyBorder="1" applyAlignment="1">
      <alignment horizontal="center" vertical="center"/>
    </xf>
    <xf numFmtId="2" fontId="26" fillId="3" borderId="0" xfId="4" applyNumberFormat="1" applyFont="1" applyFill="1" applyAlignment="1">
      <alignment vertical="center"/>
    </xf>
    <xf numFmtId="165" fontId="2" fillId="10" borderId="9" xfId="4" applyNumberFormat="1" applyFill="1" applyBorder="1" applyAlignment="1">
      <alignment horizontal="center" vertical="center" wrapText="1"/>
    </xf>
    <xf numFmtId="2" fontId="2" fillId="3" borderId="0" xfId="4" applyNumberFormat="1" applyFill="1" applyAlignment="1">
      <alignment horizontal="right" vertical="center"/>
    </xf>
    <xf numFmtId="2" fontId="2" fillId="10" borderId="72" xfId="4" applyNumberFormat="1" applyFill="1" applyBorder="1" applyAlignment="1">
      <alignment horizontal="center" vertical="center" wrapText="1"/>
    </xf>
    <xf numFmtId="2" fontId="33" fillId="3" borderId="9" xfId="4" applyNumberFormat="1" applyFont="1" applyFill="1" applyBorder="1" applyAlignment="1">
      <alignment horizontal="center" vertical="center"/>
    </xf>
    <xf numFmtId="2" fontId="13" fillId="0" borderId="17" xfId="4" applyNumberFormat="1" applyFont="1" applyBorder="1" applyAlignment="1">
      <alignment vertical="center"/>
    </xf>
    <xf numFmtId="2" fontId="84" fillId="10" borderId="20" xfId="4" applyNumberFormat="1" applyFont="1" applyFill="1" applyBorder="1" applyAlignment="1">
      <alignment horizontal="center" vertical="center" wrapText="1"/>
    </xf>
    <xf numFmtId="2" fontId="85" fillId="3" borderId="21" xfId="4" applyNumberFormat="1" applyFont="1" applyFill="1" applyBorder="1" applyAlignment="1">
      <alignment horizontal="center" vertical="center"/>
    </xf>
    <xf numFmtId="2" fontId="36" fillId="3" borderId="20" xfId="4" applyNumberFormat="1" applyFont="1" applyFill="1" applyBorder="1"/>
    <xf numFmtId="2" fontId="13" fillId="0" borderId="21" xfId="4" applyNumberFormat="1" applyFont="1" applyBorder="1" applyAlignment="1">
      <alignment horizontal="center" vertical="center"/>
    </xf>
    <xf numFmtId="2" fontId="13" fillId="0" borderId="19" xfId="4" applyNumberFormat="1" applyFont="1" applyBorder="1" applyAlignment="1">
      <alignment horizontal="center" vertical="center"/>
    </xf>
    <xf numFmtId="2" fontId="86" fillId="3" borderId="0" xfId="4" applyNumberFormat="1" applyFont="1" applyFill="1" applyAlignment="1">
      <alignment horizontal="center" vertical="center" wrapText="1"/>
    </xf>
    <xf numFmtId="2" fontId="87" fillId="3" borderId="0" xfId="4" applyNumberFormat="1" applyFont="1" applyFill="1" applyAlignment="1">
      <alignment horizontal="center" vertical="center"/>
    </xf>
    <xf numFmtId="2" fontId="88" fillId="3" borderId="15" xfId="4" applyNumberFormat="1" applyFont="1" applyFill="1" applyBorder="1" applyAlignment="1">
      <alignment horizontal="center" vertical="center"/>
    </xf>
    <xf numFmtId="2" fontId="53" fillId="3" borderId="15" xfId="4" applyNumberFormat="1" applyFont="1" applyFill="1" applyBorder="1" applyAlignment="1">
      <alignment horizontal="center" vertical="center"/>
    </xf>
    <xf numFmtId="168" fontId="42" fillId="3" borderId="3" xfId="4" applyNumberFormat="1" applyFont="1" applyFill="1" applyBorder="1" applyAlignment="1">
      <alignment horizontal="center" vertical="center"/>
    </xf>
    <xf numFmtId="2" fontId="42" fillId="5" borderId="3" xfId="4" applyNumberFormat="1" applyFont="1" applyFill="1" applyBorder="1" applyAlignment="1">
      <alignment horizontal="center" vertical="center"/>
    </xf>
    <xf numFmtId="2" fontId="36" fillId="0" borderId="0" xfId="4" applyNumberFormat="1" applyFont="1"/>
    <xf numFmtId="2" fontId="53" fillId="0" borderId="0" xfId="4" applyNumberFormat="1" applyFont="1" applyAlignment="1">
      <alignment horizontal="center" vertical="center"/>
    </xf>
    <xf numFmtId="164" fontId="54" fillId="0" borderId="0" xfId="4" applyNumberFormat="1" applyFont="1" applyAlignment="1">
      <alignment horizontal="right" vertical="center"/>
    </xf>
    <xf numFmtId="2" fontId="33" fillId="8" borderId="11" xfId="4" applyNumberFormat="1" applyFont="1" applyFill="1" applyBorder="1"/>
    <xf numFmtId="2" fontId="33" fillId="8" borderId="6" xfId="4" applyNumberFormat="1" applyFont="1" applyFill="1" applyBorder="1" applyAlignment="1">
      <alignment horizontal="center" vertical="center"/>
    </xf>
    <xf numFmtId="2" fontId="36" fillId="8" borderId="6" xfId="4" applyNumberFormat="1" applyFont="1" applyFill="1" applyBorder="1" applyAlignment="1">
      <alignment horizontal="center" vertical="center"/>
    </xf>
    <xf numFmtId="2" fontId="36" fillId="8" borderId="6" xfId="4" applyNumberFormat="1" applyFont="1" applyFill="1" applyBorder="1" applyAlignment="1">
      <alignment vertical="center"/>
    </xf>
    <xf numFmtId="1" fontId="36" fillId="8" borderId="3" xfId="4" applyNumberFormat="1" applyFont="1" applyFill="1" applyBorder="1" applyAlignment="1">
      <alignment vertical="center"/>
    </xf>
    <xf numFmtId="1" fontId="36" fillId="8" borderId="3" xfId="4" applyNumberFormat="1" applyFont="1" applyFill="1" applyBorder="1" applyAlignment="1">
      <alignment horizontal="center" vertical="center"/>
    </xf>
    <xf numFmtId="1" fontId="36" fillId="8" borderId="17" xfId="4" applyNumberFormat="1" applyFont="1" applyFill="1" applyBorder="1" applyAlignment="1">
      <alignment horizontal="center" vertical="center"/>
    </xf>
    <xf numFmtId="1" fontId="37" fillId="0" borderId="9" xfId="4" applyNumberFormat="1" applyFont="1" applyBorder="1" applyAlignment="1">
      <alignment horizontal="center" vertical="center"/>
    </xf>
    <xf numFmtId="2" fontId="37" fillId="0" borderId="1" xfId="4" applyNumberFormat="1" applyFont="1" applyBorder="1"/>
    <xf numFmtId="2" fontId="37" fillId="0" borderId="6" xfId="4" applyNumberFormat="1" applyFont="1" applyBorder="1"/>
    <xf numFmtId="2" fontId="37" fillId="0" borderId="16" xfId="4" applyNumberFormat="1" applyFont="1" applyBorder="1"/>
    <xf numFmtId="1" fontId="36" fillId="8" borderId="3" xfId="4" applyNumberFormat="1" applyFont="1" applyFill="1" applyBorder="1" applyAlignment="1">
      <alignment horizontal="right" vertical="center"/>
    </xf>
    <xf numFmtId="2" fontId="36" fillId="8" borderId="4" xfId="4" applyNumberFormat="1" applyFont="1" applyFill="1" applyBorder="1" applyAlignment="1">
      <alignment horizontal="center" vertical="center"/>
    </xf>
    <xf numFmtId="2" fontId="36" fillId="8" borderId="4" xfId="4" applyNumberFormat="1" applyFont="1" applyFill="1" applyBorder="1" applyAlignment="1">
      <alignment vertical="center"/>
    </xf>
    <xf numFmtId="2" fontId="37" fillId="0" borderId="0" xfId="4" applyNumberFormat="1" applyFont="1"/>
    <xf numFmtId="2" fontId="37" fillId="0" borderId="15" xfId="4" applyNumberFormat="1" applyFont="1" applyBorder="1"/>
    <xf numFmtId="2" fontId="37" fillId="10" borderId="28" xfId="4" applyNumberFormat="1" applyFont="1" applyFill="1" applyBorder="1"/>
    <xf numFmtId="2" fontId="37" fillId="10" borderId="25" xfId="4" applyNumberFormat="1" applyFont="1" applyFill="1" applyBorder="1"/>
    <xf numFmtId="2" fontId="37" fillId="0" borderId="25" xfId="4" applyNumberFormat="1" applyFont="1" applyBorder="1"/>
    <xf numFmtId="2" fontId="37" fillId="0" borderId="61" xfId="4" applyNumberFormat="1" applyFont="1" applyBorder="1"/>
    <xf numFmtId="2" fontId="61" fillId="0" borderId="0" xfId="2" applyNumberFormat="1" applyFont="1" applyAlignment="1" applyProtection="1">
      <alignment horizontal="left" vertical="center"/>
      <protection locked="0"/>
    </xf>
    <xf numFmtId="164" fontId="82" fillId="4" borderId="79" xfId="0" quotePrefix="1" applyNumberFormat="1" applyFont="1" applyFill="1" applyBorder="1" applyAlignment="1" applyProtection="1">
      <alignment horizontal="right" vertical="center" wrapText="1"/>
      <protection locked="0"/>
    </xf>
    <xf numFmtId="164" fontId="81" fillId="0" borderId="3" xfId="0" applyNumberFormat="1" applyFont="1" applyBorder="1" applyAlignment="1">
      <alignment horizontal="center" vertical="center"/>
    </xf>
    <xf numFmtId="164" fontId="81" fillId="2" borderId="2" xfId="0" applyNumberFormat="1" applyFont="1" applyFill="1" applyBorder="1" applyAlignment="1">
      <alignment horizontal="left" vertical="center" wrapText="1"/>
    </xf>
    <xf numFmtId="0" fontId="81" fillId="0" borderId="0" xfId="0" applyFont="1" applyAlignment="1" applyProtection="1">
      <alignment horizontal="left" vertical="center"/>
      <protection locked="0"/>
    </xf>
    <xf numFmtId="165" fontId="8" fillId="0" borderId="3" xfId="1" applyNumberFormat="1" applyFont="1" applyBorder="1" applyAlignment="1">
      <alignment horizontal="center"/>
    </xf>
    <xf numFmtId="190" fontId="8" fillId="0" borderId="8" xfId="1" applyNumberFormat="1" applyFont="1" applyBorder="1" applyAlignment="1">
      <alignment horizontal="center"/>
    </xf>
    <xf numFmtId="167" fontId="36" fillId="3" borderId="3" xfId="0" applyNumberFormat="1" applyFont="1" applyFill="1" applyBorder="1" applyAlignment="1">
      <alignment horizontal="center" vertical="center"/>
    </xf>
    <xf numFmtId="189" fontId="6" fillId="0" borderId="3" xfId="0" applyNumberFormat="1" applyFont="1" applyBorder="1" applyAlignment="1">
      <alignment horizontal="center" vertical="center"/>
    </xf>
    <xf numFmtId="189" fontId="6" fillId="0" borderId="44" xfId="0" applyNumberFormat="1" applyFont="1" applyBorder="1" applyAlignment="1">
      <alignment horizontal="center" vertical="center"/>
    </xf>
    <xf numFmtId="189" fontId="6" fillId="0" borderId="17" xfId="0" applyNumberFormat="1" applyFont="1" applyBorder="1" applyAlignment="1">
      <alignment horizontal="center" vertical="center"/>
    </xf>
    <xf numFmtId="189" fontId="6" fillId="0" borderId="19" xfId="0" applyNumberFormat="1" applyFont="1" applyBorder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 wrapText="1"/>
    </xf>
    <xf numFmtId="165" fontId="13" fillId="0" borderId="10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7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/>
    </xf>
    <xf numFmtId="0" fontId="54" fillId="0" borderId="2" xfId="0" applyFont="1" applyBorder="1" applyAlignment="1">
      <alignment horizontal="left" vertical="center"/>
    </xf>
    <xf numFmtId="2" fontId="13" fillId="0" borderId="3" xfId="0" applyNumberFormat="1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7" fillId="0" borderId="1" xfId="0" applyFont="1" applyBorder="1" applyAlignment="1" applyProtection="1">
      <alignment horizontal="center" vertical="center" wrapText="1"/>
      <protection locked="0"/>
    </xf>
    <xf numFmtId="0" fontId="57" fillId="0" borderId="2" xfId="0" applyFont="1" applyBorder="1" applyAlignment="1" applyProtection="1">
      <alignment horizontal="center" vertical="center" wrapText="1"/>
      <protection locked="0"/>
    </xf>
    <xf numFmtId="0" fontId="57" fillId="0" borderId="1" xfId="0" applyFont="1" applyBorder="1" applyAlignment="1" applyProtection="1">
      <alignment horizontal="left" vertical="center" wrapText="1"/>
      <protection locked="0"/>
    </xf>
    <xf numFmtId="0" fontId="57" fillId="0" borderId="6" xfId="0" applyFont="1" applyBorder="1" applyAlignment="1" applyProtection="1">
      <alignment horizontal="left" vertical="center" wrapText="1"/>
      <protection locked="0"/>
    </xf>
    <xf numFmtId="0" fontId="75" fillId="0" borderId="3" xfId="0" applyFont="1" applyBorder="1" applyAlignment="1">
      <alignment horizontal="left" vertical="center"/>
    </xf>
    <xf numFmtId="0" fontId="48" fillId="7" borderId="62" xfId="0" applyFont="1" applyFill="1" applyBorder="1" applyAlignment="1">
      <alignment horizontal="center" vertical="center"/>
    </xf>
    <xf numFmtId="0" fontId="48" fillId="7" borderId="59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9" fillId="10" borderId="3" xfId="4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 wrapText="1"/>
    </xf>
    <xf numFmtId="0" fontId="50" fillId="3" borderId="5" xfId="0" applyFont="1" applyFill="1" applyBorder="1" applyAlignment="1">
      <alignment horizontal="center" vertical="center"/>
    </xf>
    <xf numFmtId="0" fontId="50" fillId="3" borderId="10" xfId="0" applyFont="1" applyFill="1" applyBorder="1" applyAlignment="1">
      <alignment horizontal="center" vertical="center"/>
    </xf>
    <xf numFmtId="0" fontId="49" fillId="10" borderId="3" xfId="4" applyFont="1" applyFill="1" applyBorder="1" applyAlignment="1">
      <alignment horizontal="center" vertical="center"/>
    </xf>
    <xf numFmtId="0" fontId="35" fillId="10" borderId="1" xfId="4" applyFont="1" applyFill="1" applyBorder="1" applyAlignment="1">
      <alignment horizontal="center"/>
    </xf>
    <xf numFmtId="0" fontId="35" fillId="10" borderId="6" xfId="4" applyFont="1" applyFill="1" applyBorder="1" applyAlignment="1">
      <alignment horizontal="center"/>
    </xf>
    <xf numFmtId="0" fontId="35" fillId="10" borderId="2" xfId="4" applyFont="1" applyFill="1" applyBorder="1" applyAlignment="1">
      <alignment horizontal="center"/>
    </xf>
    <xf numFmtId="0" fontId="30" fillId="3" borderId="17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36" fillId="3" borderId="22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/>
    </xf>
    <xf numFmtId="0" fontId="36" fillId="3" borderId="3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6" xfId="0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4" fillId="11" borderId="34" xfId="0" applyFont="1" applyFill="1" applyBorder="1" applyAlignment="1">
      <alignment horizontal="center" vertical="center" wrapText="1"/>
    </xf>
    <xf numFmtId="0" fontId="44" fillId="11" borderId="3" xfId="0" applyFont="1" applyFill="1" applyBorder="1" applyAlignment="1">
      <alignment horizontal="center" vertical="center" wrapText="1"/>
    </xf>
    <xf numFmtId="0" fontId="45" fillId="11" borderId="34" xfId="0" applyFont="1" applyFill="1" applyBorder="1" applyAlignment="1">
      <alignment horizontal="center" vertical="center" wrapText="1"/>
    </xf>
    <xf numFmtId="0" fontId="45" fillId="11" borderId="3" xfId="0" applyFont="1" applyFill="1" applyBorder="1" applyAlignment="1">
      <alignment horizontal="center" vertical="center" wrapText="1"/>
    </xf>
    <xf numFmtId="0" fontId="45" fillId="11" borderId="34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34" fillId="0" borderId="35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2" fontId="0" fillId="7" borderId="28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7" borderId="61" xfId="0" applyNumberFormat="1" applyFill="1" applyBorder="1" applyAlignment="1">
      <alignment horizontal="center" vertical="center"/>
    </xf>
    <xf numFmtId="0" fontId="44" fillId="11" borderId="33" xfId="0" applyFont="1" applyFill="1" applyBorder="1" applyAlignment="1">
      <alignment horizontal="center" vertical="center" wrapText="1"/>
    </xf>
    <xf numFmtId="0" fontId="44" fillId="11" borderId="9" xfId="0" applyFont="1" applyFill="1" applyBorder="1" applyAlignment="1">
      <alignment horizontal="center" vertical="center" wrapText="1"/>
    </xf>
    <xf numFmtId="0" fontId="36" fillId="11" borderId="9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36" fillId="11" borderId="74" xfId="0" applyFont="1" applyFill="1" applyBorder="1" applyAlignment="1">
      <alignment horizontal="center" vertical="center" wrapText="1"/>
    </xf>
    <xf numFmtId="0" fontId="36" fillId="11" borderId="71" xfId="0" applyFont="1" applyFill="1" applyBorder="1" applyAlignment="1">
      <alignment horizontal="center" vertical="center" wrapText="1"/>
    </xf>
    <xf numFmtId="0" fontId="36" fillId="11" borderId="33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 wrapText="1"/>
    </xf>
    <xf numFmtId="0" fontId="36" fillId="11" borderId="33" xfId="0" applyFont="1" applyFill="1" applyBorder="1" applyAlignment="1">
      <alignment horizontal="center" vertical="center" wrapText="1"/>
    </xf>
    <xf numFmtId="0" fontId="36" fillId="11" borderId="9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/>
    </xf>
    <xf numFmtId="0" fontId="44" fillId="3" borderId="34" xfId="0" applyFont="1" applyFill="1" applyBorder="1" applyAlignment="1">
      <alignment horizontal="center" vertical="center"/>
    </xf>
    <xf numFmtId="0" fontId="44" fillId="3" borderId="35" xfId="0" applyFont="1" applyFill="1" applyBorder="1" applyAlignment="1">
      <alignment horizontal="center" vertical="center"/>
    </xf>
    <xf numFmtId="0" fontId="48" fillId="3" borderId="33" xfId="0" applyFont="1" applyFill="1" applyBorder="1" applyAlignment="1">
      <alignment horizontal="center" vertical="center"/>
    </xf>
    <xf numFmtId="0" fontId="48" fillId="3" borderId="34" xfId="0" applyFont="1" applyFill="1" applyBorder="1" applyAlignment="1">
      <alignment horizontal="center" vertical="center"/>
    </xf>
    <xf numFmtId="0" fontId="48" fillId="3" borderId="35" xfId="0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42" fillId="3" borderId="3" xfId="4" applyFont="1" applyFill="1" applyBorder="1" applyAlignment="1">
      <alignment horizontal="left" vertical="center" wrapText="1"/>
    </xf>
    <xf numFmtId="0" fontId="42" fillId="3" borderId="0" xfId="4" applyFont="1" applyFill="1" applyAlignment="1">
      <alignment horizontal="left" vertical="center" wrapText="1"/>
    </xf>
    <xf numFmtId="0" fontId="45" fillId="3" borderId="3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/>
    </xf>
    <xf numFmtId="0" fontId="10" fillId="3" borderId="63" xfId="0" applyFont="1" applyFill="1" applyBorder="1" applyAlignment="1">
      <alignment horizontal="center" vertical="center"/>
    </xf>
    <xf numFmtId="0" fontId="40" fillId="0" borderId="31" xfId="0" applyFont="1" applyBorder="1" applyAlignment="1">
      <alignment horizontal="center"/>
    </xf>
    <xf numFmtId="0" fontId="40" fillId="0" borderId="63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37" xfId="0" applyFont="1" applyBorder="1" applyAlignment="1">
      <alignment horizontal="center"/>
    </xf>
    <xf numFmtId="0" fontId="37" fillId="0" borderId="38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164" fontId="53" fillId="3" borderId="3" xfId="0" applyNumberFormat="1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/>
    </xf>
    <xf numFmtId="0" fontId="2" fillId="3" borderId="73" xfId="0" applyFont="1" applyFill="1" applyBorder="1" applyAlignment="1">
      <alignment horizontal="center"/>
    </xf>
    <xf numFmtId="0" fontId="44" fillId="3" borderId="31" xfId="0" applyFont="1" applyFill="1" applyBorder="1" applyAlignment="1">
      <alignment horizontal="center" vertical="center"/>
    </xf>
    <xf numFmtId="0" fontId="44" fillId="3" borderId="32" xfId="0" applyFont="1" applyFill="1" applyBorder="1" applyAlignment="1">
      <alignment horizontal="center" vertical="center"/>
    </xf>
    <xf numFmtId="0" fontId="44" fillId="3" borderId="63" xfId="0" applyFont="1" applyFill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1" fontId="2" fillId="8" borderId="46" xfId="4" applyNumberFormat="1" applyFill="1" applyBorder="1" applyAlignment="1">
      <alignment horizontal="center"/>
    </xf>
    <xf numFmtId="1" fontId="2" fillId="8" borderId="4" xfId="4" applyNumberFormat="1" applyFill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66" xfId="0" applyFont="1" applyBorder="1" applyAlignment="1">
      <alignment horizontal="center"/>
    </xf>
    <xf numFmtId="0" fontId="38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8" fillId="0" borderId="63" xfId="0" applyFont="1" applyBorder="1" applyAlignment="1">
      <alignment horizontal="center" vertical="center"/>
    </xf>
    <xf numFmtId="0" fontId="2" fillId="3" borderId="13" xfId="0" quotePrefix="1" applyFont="1" applyFill="1" applyBorder="1" applyAlignment="1" applyProtection="1">
      <alignment horizontal="left"/>
      <protection locked="0"/>
    </xf>
    <xf numFmtId="0" fontId="2" fillId="3" borderId="0" xfId="0" quotePrefix="1" applyFont="1" applyFill="1" applyAlignment="1" applyProtection="1">
      <alignment horizontal="left"/>
      <protection locked="0"/>
    </xf>
    <xf numFmtId="0" fontId="2" fillId="3" borderId="45" xfId="0" quotePrefix="1" applyFont="1" applyFill="1" applyBorder="1" applyAlignment="1" applyProtection="1">
      <alignment horizontal="left"/>
      <protection locked="0"/>
    </xf>
    <xf numFmtId="0" fontId="2" fillId="3" borderId="62" xfId="0" applyFont="1" applyFill="1" applyBorder="1" applyAlignment="1" applyProtection="1">
      <alignment horizontal="left" vertical="center"/>
      <protection locked="0"/>
    </xf>
    <xf numFmtId="0" fontId="2" fillId="3" borderId="59" xfId="0" applyFont="1" applyFill="1" applyBorder="1" applyAlignment="1" applyProtection="1">
      <alignment horizontal="left" vertical="center"/>
      <protection locked="0"/>
    </xf>
    <xf numFmtId="0" fontId="2" fillId="3" borderId="75" xfId="0" applyFont="1" applyFill="1" applyBorder="1" applyAlignment="1" applyProtection="1">
      <alignment horizontal="left" vertical="center"/>
      <protection locked="0"/>
    </xf>
    <xf numFmtId="0" fontId="2" fillId="3" borderId="13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45" xfId="0" applyFont="1" applyFill="1" applyBorder="1" applyAlignment="1" applyProtection="1">
      <alignment horizontal="left" vertical="center"/>
      <protection locked="0"/>
    </xf>
    <xf numFmtId="1" fontId="61" fillId="0" borderId="0" xfId="2" applyNumberFormat="1" applyFont="1" applyAlignment="1">
      <alignment horizontal="center" vertical="center"/>
    </xf>
    <xf numFmtId="0" fontId="61" fillId="0" borderId="0" xfId="2" applyFont="1" applyAlignment="1">
      <alignment horizontal="right" vertical="center"/>
    </xf>
    <xf numFmtId="182" fontId="61" fillId="5" borderId="3" xfId="2" applyNumberFormat="1" applyFont="1" applyFill="1" applyBorder="1" applyAlignment="1" applyProtection="1">
      <alignment horizontal="center" vertical="center"/>
      <protection locked="0"/>
    </xf>
    <xf numFmtId="0" fontId="61" fillId="5" borderId="3" xfId="2" applyFont="1" applyFill="1" applyBorder="1" applyAlignment="1" applyProtection="1">
      <alignment horizontal="center" vertical="center"/>
      <protection locked="0"/>
    </xf>
    <xf numFmtId="0" fontId="61" fillId="6" borderId="3" xfId="2" applyFont="1" applyFill="1" applyBorder="1" applyAlignment="1">
      <alignment horizontal="center"/>
    </xf>
    <xf numFmtId="0" fontId="61" fillId="5" borderId="3" xfId="2" applyFont="1" applyFill="1" applyBorder="1" applyAlignment="1">
      <alignment horizontal="center"/>
    </xf>
    <xf numFmtId="0" fontId="61" fillId="0" borderId="0" xfId="0" applyFont="1" applyAlignment="1" applyProtection="1">
      <alignment horizontal="left" vertical="center" wrapText="1"/>
      <protection locked="0"/>
    </xf>
    <xf numFmtId="0" fontId="54" fillId="0" borderId="3" xfId="0" applyFont="1" applyBorder="1" applyAlignment="1" applyProtection="1">
      <alignment horizontal="center" vertical="center"/>
      <protection locked="0"/>
    </xf>
    <xf numFmtId="0" fontId="54" fillId="0" borderId="3" xfId="0" applyFont="1" applyBorder="1" applyAlignment="1" applyProtection="1">
      <alignment horizontal="left" vertical="center"/>
      <protection locked="0"/>
    </xf>
    <xf numFmtId="0" fontId="61" fillId="0" borderId="3" xfId="0" applyFont="1" applyBorder="1" applyAlignment="1" applyProtection="1">
      <alignment horizontal="left" vertical="center"/>
      <protection locked="0"/>
    </xf>
    <xf numFmtId="0" fontId="61" fillId="6" borderId="3" xfId="2" applyFont="1" applyFill="1" applyBorder="1" applyAlignment="1">
      <alignment horizontal="center" vertical="center"/>
    </xf>
    <xf numFmtId="182" fontId="61" fillId="5" borderId="3" xfId="2" applyNumberFormat="1" applyFont="1" applyFill="1" applyBorder="1" applyAlignment="1">
      <alignment horizontal="center"/>
    </xf>
    <xf numFmtId="0" fontId="61" fillId="6" borderId="3" xfId="2" applyFont="1" applyFill="1" applyBorder="1" applyAlignment="1" applyProtection="1">
      <alignment horizontal="center"/>
      <protection locked="0"/>
    </xf>
    <xf numFmtId="0" fontId="61" fillId="0" borderId="2" xfId="0" applyFont="1" applyBorder="1" applyAlignment="1" applyProtection="1">
      <alignment horizontal="center"/>
      <protection locked="0"/>
    </xf>
    <xf numFmtId="0" fontId="61" fillId="0" borderId="3" xfId="0" applyFont="1" applyBorder="1" applyAlignment="1" applyProtection="1">
      <alignment horizontal="center"/>
      <protection locked="0"/>
    </xf>
    <xf numFmtId="2" fontId="61" fillId="0" borderId="3" xfId="0" applyNumberFormat="1" applyFont="1" applyBorder="1" applyAlignment="1">
      <alignment horizontal="center"/>
    </xf>
    <xf numFmtId="2" fontId="66" fillId="0" borderId="0" xfId="2" applyNumberFormat="1" applyFont="1" applyAlignment="1">
      <alignment horizontal="center" vertical="top"/>
    </xf>
    <xf numFmtId="2" fontId="65" fillId="0" borderId="0" xfId="0" applyNumberFormat="1" applyFont="1" applyAlignment="1">
      <alignment horizontal="center" vertical="center" readingOrder="1"/>
    </xf>
    <xf numFmtId="0" fontId="28" fillId="0" borderId="3" xfId="0" applyFont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188" fontId="54" fillId="0" borderId="88" xfId="0" applyNumberFormat="1" applyFont="1" applyBorder="1" applyAlignment="1">
      <alignment horizontal="center" vertical="center" wrapText="1"/>
    </xf>
    <xf numFmtId="0" fontId="61" fillId="0" borderId="0" xfId="2" applyFont="1" applyAlignment="1">
      <alignment horizontal="center" vertical="center"/>
    </xf>
    <xf numFmtId="183" fontId="61" fillId="0" borderId="3" xfId="0" applyNumberFormat="1" applyFont="1" applyBorder="1" applyAlignment="1">
      <alignment horizontal="center" vertical="center" wrapText="1"/>
    </xf>
    <xf numFmtId="183" fontId="61" fillId="0" borderId="1" xfId="0" applyNumberFormat="1" applyFont="1" applyBorder="1" applyAlignment="1">
      <alignment horizontal="center" vertical="center" wrapText="1"/>
    </xf>
    <xf numFmtId="2" fontId="61" fillId="0" borderId="3" xfId="2" applyNumberFormat="1" applyFont="1" applyBorder="1" applyAlignment="1">
      <alignment horizontal="center" vertical="center"/>
    </xf>
    <xf numFmtId="164" fontId="61" fillId="0" borderId="3" xfId="0" applyNumberFormat="1" applyFont="1" applyBorder="1" applyAlignment="1">
      <alignment horizontal="center" vertical="center"/>
    </xf>
    <xf numFmtId="2" fontId="61" fillId="0" borderId="3" xfId="0" applyNumberFormat="1" applyFont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 wrapText="1"/>
    </xf>
    <xf numFmtId="164" fontId="28" fillId="0" borderId="3" xfId="0" applyNumberFormat="1" applyFont="1" applyBorder="1" applyAlignment="1">
      <alignment horizontal="center" vertical="center" wrapText="1"/>
    </xf>
    <xf numFmtId="177" fontId="61" fillId="5" borderId="3" xfId="0" applyNumberFormat="1" applyFont="1" applyFill="1" applyBorder="1" applyAlignment="1">
      <alignment horizontal="center"/>
    </xf>
    <xf numFmtId="0" fontId="61" fillId="12" borderId="3" xfId="2" applyFont="1" applyFill="1" applyBorder="1" applyAlignment="1">
      <alignment horizontal="center" vertical="center"/>
    </xf>
    <xf numFmtId="0" fontId="68" fillId="0" borderId="0" xfId="2" applyFont="1" applyAlignment="1">
      <alignment horizontal="center" vertical="center"/>
    </xf>
    <xf numFmtId="0" fontId="54" fillId="4" borderId="86" xfId="0" applyFont="1" applyFill="1" applyBorder="1" applyAlignment="1">
      <alignment horizontal="left" vertical="center"/>
    </xf>
    <xf numFmtId="0" fontId="54" fillId="4" borderId="87" xfId="0" applyFont="1" applyFill="1" applyBorder="1" applyAlignment="1">
      <alignment horizontal="left" vertical="center"/>
    </xf>
    <xf numFmtId="0" fontId="54" fillId="4" borderId="88" xfId="0" applyFont="1" applyFill="1" applyBorder="1" applyAlignment="1">
      <alignment horizontal="left" vertical="center"/>
    </xf>
    <xf numFmtId="0" fontId="61" fillId="0" borderId="3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186" fontId="61" fillId="0" borderId="0" xfId="0" applyNumberFormat="1" applyFont="1" applyAlignment="1">
      <alignment horizontal="left" vertical="top"/>
    </xf>
    <xf numFmtId="0" fontId="27" fillId="0" borderId="0" xfId="2" applyFont="1" applyAlignment="1">
      <alignment horizontal="center" vertical="center"/>
    </xf>
    <xf numFmtId="0" fontId="61" fillId="0" borderId="3" xfId="2" applyFont="1" applyBorder="1" applyAlignment="1">
      <alignment horizontal="center"/>
    </xf>
    <xf numFmtId="185" fontId="73" fillId="0" borderId="0" xfId="2" applyNumberFormat="1" applyFont="1" applyAlignment="1">
      <alignment horizontal="center" vertical="center"/>
    </xf>
    <xf numFmtId="185" fontId="73" fillId="0" borderId="45" xfId="2" applyNumberFormat="1" applyFont="1" applyBorder="1" applyAlignment="1">
      <alignment horizontal="center" vertical="center"/>
    </xf>
    <xf numFmtId="0" fontId="28" fillId="0" borderId="0" xfId="2" applyFont="1" applyAlignment="1">
      <alignment horizontal="center" wrapText="1"/>
    </xf>
    <xf numFmtId="0" fontId="61" fillId="0" borderId="0" xfId="0" applyFont="1" applyAlignment="1">
      <alignment horizontal="left"/>
    </xf>
    <xf numFmtId="0" fontId="57" fillId="0" borderId="6" xfId="0" applyFont="1" applyBorder="1" applyAlignment="1">
      <alignment horizontal="center" vertical="center" wrapText="1"/>
    </xf>
    <xf numFmtId="175" fontId="54" fillId="0" borderId="77" xfId="0" applyNumberFormat="1" applyFont="1" applyBorder="1" applyAlignment="1">
      <alignment horizontal="center" vertical="center" wrapText="1"/>
    </xf>
    <xf numFmtId="176" fontId="54" fillId="0" borderId="81" xfId="0" applyNumberFormat="1" applyFont="1" applyBorder="1" applyAlignment="1">
      <alignment horizontal="center" vertical="center" wrapText="1"/>
    </xf>
    <xf numFmtId="176" fontId="54" fillId="0" borderId="82" xfId="0" applyNumberFormat="1" applyFont="1" applyBorder="1" applyAlignment="1">
      <alignment horizontal="center" vertical="center" wrapText="1"/>
    </xf>
    <xf numFmtId="182" fontId="61" fillId="0" borderId="0" xfId="2" applyNumberFormat="1" applyFont="1" applyAlignment="1">
      <alignment horizontal="center" vertical="center"/>
    </xf>
    <xf numFmtId="0" fontId="61" fillId="0" borderId="0" xfId="0" applyFont="1" applyAlignment="1">
      <alignment horizontal="left" vertical="top" wrapText="1"/>
    </xf>
    <xf numFmtId="0" fontId="57" fillId="0" borderId="6" xfId="0" applyFont="1" applyBorder="1" applyAlignment="1" applyProtection="1">
      <alignment horizontal="center" vertical="center" wrapText="1"/>
      <protection locked="0"/>
    </xf>
    <xf numFmtId="175" fontId="54" fillId="0" borderId="76" xfId="0" applyNumberFormat="1" applyFont="1" applyBorder="1" applyAlignment="1" applyProtection="1">
      <alignment horizontal="center" vertical="center" wrapText="1"/>
      <protection locked="0"/>
    </xf>
    <xf numFmtId="175" fontId="54" fillId="0" borderId="77" xfId="0" applyNumberFormat="1" applyFont="1" applyBorder="1" applyAlignment="1" applyProtection="1">
      <alignment horizontal="center" vertical="center" wrapText="1"/>
      <protection locked="0"/>
    </xf>
    <xf numFmtId="0" fontId="81" fillId="4" borderId="0" xfId="0" applyFont="1" applyFill="1" applyAlignment="1" applyProtection="1">
      <alignment horizontal="left" vertical="center"/>
      <protection locked="0"/>
    </xf>
    <xf numFmtId="164" fontId="57" fillId="0" borderId="3" xfId="0" applyNumberFormat="1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164" fontId="57" fillId="0" borderId="3" xfId="0" applyNumberFormat="1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12" xfId="0" applyFont="1" applyBorder="1" applyAlignment="1">
      <alignment horizontal="center" vertical="center" wrapText="1"/>
    </xf>
    <xf numFmtId="0" fontId="57" fillId="0" borderId="3" xfId="2" applyFont="1" applyBorder="1" applyAlignment="1">
      <alignment horizontal="center" vertical="center"/>
    </xf>
    <xf numFmtId="2" fontId="81" fillId="4" borderId="3" xfId="0" applyNumberFormat="1" applyFont="1" applyFill="1" applyBorder="1" applyAlignment="1" applyProtection="1">
      <alignment horizontal="center" vertical="center"/>
      <protection locked="0"/>
    </xf>
    <xf numFmtId="0" fontId="61" fillId="4" borderId="0" xfId="2" applyFont="1" applyFill="1" applyAlignment="1" applyProtection="1">
      <alignment horizontal="left" vertical="center"/>
      <protection locked="0"/>
    </xf>
    <xf numFmtId="0" fontId="81" fillId="4" borderId="0" xfId="3" applyFont="1" applyFill="1" applyAlignment="1" applyProtection="1">
      <alignment horizontal="left" vertical="center"/>
      <protection locked="0"/>
    </xf>
    <xf numFmtId="181" fontId="54" fillId="0" borderId="86" xfId="0" applyNumberFormat="1" applyFont="1" applyBorder="1" applyAlignment="1">
      <alignment horizontal="center" vertical="center" wrapText="1"/>
    </xf>
    <xf numFmtId="181" fontId="54" fillId="0" borderId="88" xfId="0" applyNumberFormat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2" fontId="63" fillId="0" borderId="4" xfId="0" applyNumberFormat="1" applyFont="1" applyBorder="1" applyAlignment="1">
      <alignment horizontal="center" vertical="center"/>
    </xf>
    <xf numFmtId="2" fontId="61" fillId="4" borderId="3" xfId="0" applyNumberFormat="1" applyFont="1" applyFill="1" applyBorder="1" applyAlignment="1" applyProtection="1">
      <alignment horizontal="center" vertical="center"/>
      <protection locked="0"/>
    </xf>
    <xf numFmtId="2" fontId="61" fillId="4" borderId="3" xfId="2" applyNumberFormat="1" applyFont="1" applyFill="1" applyBorder="1" applyAlignment="1" applyProtection="1">
      <alignment horizontal="center" vertical="center"/>
      <protection locked="0"/>
    </xf>
    <xf numFmtId="0" fontId="68" fillId="3" borderId="0" xfId="2" applyFont="1" applyFill="1" applyAlignment="1" applyProtection="1">
      <alignment horizontal="right" vertical="center"/>
      <protection locked="0"/>
    </xf>
    <xf numFmtId="0" fontId="70" fillId="13" borderId="3" xfId="2" applyFont="1" applyFill="1" applyBorder="1" applyAlignment="1">
      <alignment horizontal="center" vertical="center"/>
    </xf>
    <xf numFmtId="0" fontId="70" fillId="0" borderId="3" xfId="2" applyFont="1" applyBorder="1" applyAlignment="1">
      <alignment horizontal="center" vertical="center"/>
    </xf>
    <xf numFmtId="164" fontId="71" fillId="13" borderId="3" xfId="2" applyNumberFormat="1" applyFont="1" applyFill="1" applyBorder="1" applyAlignment="1">
      <alignment horizontal="center" vertical="center"/>
    </xf>
    <xf numFmtId="0" fontId="71" fillId="13" borderId="3" xfId="2" applyFont="1" applyFill="1" applyBorder="1" applyAlignment="1">
      <alignment horizontal="center" vertical="center"/>
    </xf>
    <xf numFmtId="0" fontId="72" fillId="0" borderId="3" xfId="2" applyFont="1" applyBorder="1" applyAlignment="1">
      <alignment horizontal="center" vertical="center"/>
    </xf>
    <xf numFmtId="0" fontId="61" fillId="0" borderId="0" xfId="2" applyFont="1" applyAlignment="1">
      <alignment horizontal="center" vertical="center" wrapText="1"/>
    </xf>
    <xf numFmtId="0" fontId="68" fillId="7" borderId="0" xfId="2" applyFont="1" applyFill="1" applyAlignment="1" applyProtection="1">
      <alignment horizontal="center" vertical="center"/>
      <protection locked="0"/>
    </xf>
    <xf numFmtId="186" fontId="61" fillId="4" borderId="0" xfId="2" quotePrefix="1" applyNumberFormat="1" applyFont="1" applyFill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4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2" fontId="8" fillId="0" borderId="34" xfId="1" applyNumberFormat="1" applyFont="1" applyBorder="1" applyAlignment="1">
      <alignment horizontal="center" vertical="center"/>
    </xf>
    <xf numFmtId="2" fontId="8" fillId="0" borderId="21" xfId="1" applyNumberFormat="1" applyFont="1" applyBorder="1" applyAlignment="1">
      <alignment horizontal="center" vertical="center"/>
    </xf>
    <xf numFmtId="0" fontId="8" fillId="0" borderId="4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0" fillId="3" borderId="17" xfId="4" applyFont="1" applyFill="1" applyBorder="1" applyAlignment="1">
      <alignment horizontal="center" vertical="center" wrapText="1"/>
    </xf>
    <xf numFmtId="0" fontId="30" fillId="3" borderId="3" xfId="4" applyFont="1" applyFill="1" applyBorder="1" applyAlignment="1">
      <alignment horizontal="center" vertical="center"/>
    </xf>
    <xf numFmtId="0" fontId="2" fillId="3" borderId="11" xfId="4" applyFill="1" applyBorder="1" applyAlignment="1">
      <alignment horizontal="center"/>
    </xf>
    <xf numFmtId="0" fontId="2" fillId="3" borderId="6" xfId="4" applyFill="1" applyBorder="1" applyAlignment="1">
      <alignment horizontal="center"/>
    </xf>
    <xf numFmtId="0" fontId="2" fillId="3" borderId="2" xfId="4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6" fillId="3" borderId="6" xfId="4" applyFont="1" applyFill="1" applyBorder="1" applyAlignment="1">
      <alignment horizontal="center"/>
    </xf>
    <xf numFmtId="0" fontId="36" fillId="3" borderId="2" xfId="4" applyFont="1" applyFill="1" applyBorder="1" applyAlignment="1">
      <alignment horizontal="center"/>
    </xf>
    <xf numFmtId="0" fontId="2" fillId="3" borderId="1" xfId="4" applyFill="1" applyBorder="1" applyAlignment="1">
      <alignment horizontal="center"/>
    </xf>
    <xf numFmtId="0" fontId="2" fillId="3" borderId="16" xfId="4" applyFill="1" applyBorder="1" applyAlignment="1">
      <alignment horizontal="center"/>
    </xf>
    <xf numFmtId="0" fontId="48" fillId="7" borderId="62" xfId="4" applyFont="1" applyFill="1" applyBorder="1" applyAlignment="1">
      <alignment horizontal="center" vertical="center"/>
    </xf>
    <xf numFmtId="0" fontId="48" fillId="7" borderId="59" xfId="4" applyFont="1" applyFill="1" applyBorder="1" applyAlignment="1">
      <alignment horizontal="center" vertical="center"/>
    </xf>
    <xf numFmtId="0" fontId="48" fillId="7" borderId="60" xfId="4" applyFont="1" applyFill="1" applyBorder="1" applyAlignment="1">
      <alignment horizontal="center" vertical="center"/>
    </xf>
    <xf numFmtId="0" fontId="49" fillId="10" borderId="9" xfId="4" applyFont="1" applyFill="1" applyBorder="1" applyAlignment="1">
      <alignment horizontal="center" vertical="center"/>
    </xf>
    <xf numFmtId="0" fontId="30" fillId="3" borderId="3" xfId="4" applyFont="1" applyFill="1" applyBorder="1" applyAlignment="1">
      <alignment horizontal="center" vertical="center" wrapText="1"/>
    </xf>
    <xf numFmtId="0" fontId="50" fillId="3" borderId="5" xfId="4" applyFont="1" applyFill="1" applyBorder="1" applyAlignment="1">
      <alignment horizontal="center" vertical="center"/>
    </xf>
    <xf numFmtId="0" fontId="50" fillId="3" borderId="10" xfId="4" applyFont="1" applyFill="1" applyBorder="1" applyAlignment="1">
      <alignment horizontal="center" vertical="center"/>
    </xf>
    <xf numFmtId="0" fontId="49" fillId="10" borderId="9" xfId="4" applyFont="1" applyFill="1" applyBorder="1" applyAlignment="1">
      <alignment horizontal="center"/>
    </xf>
    <xf numFmtId="0" fontId="35" fillId="10" borderId="11" xfId="4" applyFont="1" applyFill="1" applyBorder="1" applyAlignment="1">
      <alignment horizontal="center"/>
    </xf>
    <xf numFmtId="0" fontId="2" fillId="3" borderId="14" xfId="4" applyFill="1" applyBorder="1" applyAlignment="1">
      <alignment horizontal="center"/>
    </xf>
    <xf numFmtId="0" fontId="2" fillId="3" borderId="12" xfId="4" applyFill="1" applyBorder="1" applyAlignment="1">
      <alignment horizontal="center"/>
    </xf>
    <xf numFmtId="0" fontId="2" fillId="3" borderId="30" xfId="4" applyFill="1" applyBorder="1" applyAlignment="1">
      <alignment horizontal="center"/>
    </xf>
    <xf numFmtId="0" fontId="36" fillId="3" borderId="22" xfId="4" applyFont="1" applyFill="1" applyBorder="1" applyAlignment="1">
      <alignment horizontal="center"/>
    </xf>
    <xf numFmtId="0" fontId="36" fillId="3" borderId="12" xfId="4" applyFont="1" applyFill="1" applyBorder="1" applyAlignment="1">
      <alignment horizontal="center"/>
    </xf>
    <xf numFmtId="0" fontId="36" fillId="3" borderId="30" xfId="4" applyFont="1" applyFill="1" applyBorder="1" applyAlignment="1">
      <alignment horizontal="center"/>
    </xf>
    <xf numFmtId="0" fontId="34" fillId="0" borderId="35" xfId="4" applyFont="1" applyBorder="1" applyAlignment="1">
      <alignment horizontal="center" vertical="center" wrapText="1"/>
    </xf>
    <xf numFmtId="0" fontId="34" fillId="0" borderId="17" xfId="4" applyFont="1" applyBorder="1" applyAlignment="1">
      <alignment horizontal="center" vertical="center" wrapText="1"/>
    </xf>
    <xf numFmtId="0" fontId="36" fillId="11" borderId="72" xfId="4" applyFont="1" applyFill="1" applyBorder="1" applyAlignment="1">
      <alignment horizontal="center" vertical="center"/>
    </xf>
    <xf numFmtId="0" fontId="36" fillId="11" borderId="71" xfId="4" applyFont="1" applyFill="1" applyBorder="1" applyAlignment="1">
      <alignment horizontal="center" vertical="center"/>
    </xf>
    <xf numFmtId="0" fontId="36" fillId="11" borderId="91" xfId="4" applyFont="1" applyFill="1" applyBorder="1" applyAlignment="1">
      <alignment horizontal="center" vertical="center"/>
    </xf>
    <xf numFmtId="0" fontId="2" fillId="8" borderId="17" xfId="4" applyFill="1" applyBorder="1" applyAlignment="1">
      <alignment horizontal="center" vertical="center" wrapText="1"/>
    </xf>
    <xf numFmtId="0" fontId="36" fillId="11" borderId="74" xfId="4" applyFont="1" applyFill="1" applyBorder="1" applyAlignment="1">
      <alignment horizontal="center" vertical="center" wrapText="1"/>
    </xf>
    <xf numFmtId="0" fontId="36" fillId="11" borderId="71" xfId="4" applyFont="1" applyFill="1" applyBorder="1" applyAlignment="1">
      <alignment horizontal="center" vertical="center" wrapText="1"/>
    </xf>
    <xf numFmtId="2" fontId="2" fillId="7" borderId="28" xfId="4" applyNumberFormat="1" applyFill="1" applyBorder="1" applyAlignment="1">
      <alignment horizontal="center" vertical="center"/>
    </xf>
    <xf numFmtId="2" fontId="2" fillId="7" borderId="25" xfId="4" applyNumberFormat="1" applyFill="1" applyBorder="1" applyAlignment="1">
      <alignment horizontal="center" vertical="center"/>
    </xf>
    <xf numFmtId="2" fontId="2" fillId="7" borderId="61" xfId="4" applyNumberFormat="1" applyFill="1" applyBorder="1" applyAlignment="1">
      <alignment horizontal="center" vertical="center"/>
    </xf>
    <xf numFmtId="0" fontId="44" fillId="11" borderId="33" xfId="4" applyFont="1" applyFill="1" applyBorder="1" applyAlignment="1">
      <alignment horizontal="center" vertical="center" wrapText="1"/>
    </xf>
    <xf numFmtId="0" fontId="44" fillId="11" borderId="9" xfId="4" applyFont="1" applyFill="1" applyBorder="1" applyAlignment="1">
      <alignment horizontal="center" vertical="center" wrapText="1"/>
    </xf>
    <xf numFmtId="0" fontId="44" fillId="11" borderId="34" xfId="4" applyFont="1" applyFill="1" applyBorder="1" applyAlignment="1">
      <alignment horizontal="center" vertical="center" wrapText="1"/>
    </xf>
    <xf numFmtId="0" fontId="44" fillId="11" borderId="3" xfId="4" applyFont="1" applyFill="1" applyBorder="1" applyAlignment="1">
      <alignment horizontal="center" vertical="center" wrapText="1"/>
    </xf>
    <xf numFmtId="0" fontId="45" fillId="11" borderId="34" xfId="4" applyFont="1" applyFill="1" applyBorder="1" applyAlignment="1">
      <alignment horizontal="center" vertical="center" wrapText="1"/>
    </xf>
    <xf numFmtId="0" fontId="45" fillId="11" borderId="3" xfId="4" applyFont="1" applyFill="1" applyBorder="1" applyAlignment="1">
      <alignment horizontal="center" vertical="center" wrapText="1"/>
    </xf>
    <xf numFmtId="0" fontId="45" fillId="11" borderId="34" xfId="4" applyFont="1" applyFill="1" applyBorder="1" applyAlignment="1">
      <alignment horizontal="center" vertical="center"/>
    </xf>
    <xf numFmtId="0" fontId="45" fillId="11" borderId="3" xfId="4" applyFont="1" applyFill="1" applyBorder="1" applyAlignment="1">
      <alignment horizontal="center" vertical="center"/>
    </xf>
    <xf numFmtId="0" fontId="36" fillId="11" borderId="74" xfId="4" applyFont="1" applyFill="1" applyBorder="1" applyAlignment="1">
      <alignment horizontal="center" vertical="center"/>
    </xf>
    <xf numFmtId="0" fontId="2" fillId="8" borderId="35" xfId="4" applyFill="1" applyBorder="1" applyAlignment="1">
      <alignment horizontal="center" vertical="center" wrapText="1"/>
    </xf>
    <xf numFmtId="0" fontId="36" fillId="11" borderId="33" xfId="4" applyFont="1" applyFill="1" applyBorder="1" applyAlignment="1">
      <alignment horizontal="center" vertical="center" wrapText="1"/>
    </xf>
    <xf numFmtId="0" fontId="36" fillId="11" borderId="9" xfId="4" applyFont="1" applyFill="1" applyBorder="1" applyAlignment="1">
      <alignment horizontal="center" vertical="center" wrapText="1"/>
    </xf>
    <xf numFmtId="0" fontId="36" fillId="11" borderId="47" xfId="4" applyFont="1" applyFill="1" applyBorder="1" applyAlignment="1">
      <alignment horizontal="center" vertical="center" wrapText="1"/>
    </xf>
    <xf numFmtId="0" fontId="44" fillId="3" borderId="33" xfId="4" applyFont="1" applyFill="1" applyBorder="1" applyAlignment="1">
      <alignment horizontal="center" vertical="center"/>
    </xf>
    <xf numFmtId="0" fontId="44" fillId="3" borderId="34" xfId="4" applyFont="1" applyFill="1" applyBorder="1" applyAlignment="1">
      <alignment horizontal="center" vertical="center"/>
    </xf>
    <xf numFmtId="0" fontId="44" fillId="3" borderId="35" xfId="4" applyFont="1" applyFill="1" applyBorder="1" applyAlignment="1">
      <alignment horizontal="center" vertical="center"/>
    </xf>
    <xf numFmtId="0" fontId="48" fillId="3" borderId="36" xfId="4" applyFont="1" applyFill="1" applyBorder="1" applyAlignment="1">
      <alignment horizontal="center" vertical="center"/>
    </xf>
    <xf numFmtId="0" fontId="48" fillId="3" borderId="37" xfId="4" applyFont="1" applyFill="1" applyBorder="1" applyAlignment="1">
      <alignment horizontal="center" vertical="center"/>
    </xf>
    <xf numFmtId="0" fontId="48" fillId="3" borderId="38" xfId="4" applyFont="1" applyFill="1" applyBorder="1" applyAlignment="1">
      <alignment horizontal="center" vertical="center"/>
    </xf>
    <xf numFmtId="0" fontId="10" fillId="3" borderId="31" xfId="4" applyFont="1" applyFill="1" applyBorder="1" applyAlignment="1">
      <alignment horizontal="center" vertical="center"/>
    </xf>
    <xf numFmtId="0" fontId="10" fillId="3" borderId="63" xfId="4" applyFont="1" applyFill="1" applyBorder="1" applyAlignment="1">
      <alignment horizontal="center" vertical="center"/>
    </xf>
    <xf numFmtId="0" fontId="37" fillId="0" borderId="36" xfId="4" applyFont="1" applyBorder="1" applyAlignment="1">
      <alignment horizontal="center"/>
    </xf>
    <xf numFmtId="0" fontId="37" fillId="0" borderId="37" xfId="4" applyFont="1" applyBorder="1" applyAlignment="1">
      <alignment horizontal="center"/>
    </xf>
    <xf numFmtId="0" fontId="37" fillId="0" borderId="38" xfId="4" applyFont="1" applyBorder="1" applyAlignment="1">
      <alignment horizontal="center"/>
    </xf>
    <xf numFmtId="0" fontId="44" fillId="3" borderId="31" xfId="4" applyFont="1" applyFill="1" applyBorder="1" applyAlignment="1">
      <alignment horizontal="center" vertical="center"/>
    </xf>
    <xf numFmtId="0" fontId="44" fillId="3" borderId="32" xfId="4" applyFont="1" applyFill="1" applyBorder="1" applyAlignment="1">
      <alignment horizontal="center" vertical="center"/>
    </xf>
    <xf numFmtId="0" fontId="44" fillId="3" borderId="63" xfId="4" applyFont="1" applyFill="1" applyBorder="1" applyAlignment="1">
      <alignment horizontal="center" vertical="center"/>
    </xf>
    <xf numFmtId="0" fontId="2" fillId="0" borderId="39" xfId="4" applyBorder="1" applyAlignment="1">
      <alignment horizontal="left" vertical="center"/>
    </xf>
    <xf numFmtId="0" fontId="2" fillId="0" borderId="24" xfId="4" applyBorder="1" applyAlignment="1">
      <alignment horizontal="left" vertical="center"/>
    </xf>
    <xf numFmtId="0" fontId="2" fillId="0" borderId="73" xfId="4" applyBorder="1" applyAlignment="1">
      <alignment horizontal="left" vertical="center"/>
    </xf>
    <xf numFmtId="0" fontId="45" fillId="3" borderId="3" xfId="4" applyFont="1" applyFill="1" applyBorder="1" applyAlignment="1">
      <alignment horizontal="center" vertical="center"/>
    </xf>
    <xf numFmtId="0" fontId="45" fillId="3" borderId="3" xfId="4" applyFont="1" applyFill="1" applyBorder="1" applyAlignment="1">
      <alignment horizontal="center" vertical="center" wrapText="1"/>
    </xf>
    <xf numFmtId="0" fontId="30" fillId="3" borderId="0" xfId="4" applyFont="1" applyFill="1" applyAlignment="1">
      <alignment horizontal="center" vertical="center" wrapText="1"/>
    </xf>
    <xf numFmtId="164" fontId="61" fillId="0" borderId="1" xfId="2" applyNumberFormat="1" applyFont="1" applyBorder="1" applyAlignment="1">
      <alignment horizontal="center" vertical="center"/>
    </xf>
    <xf numFmtId="164" fontId="61" fillId="0" borderId="6" xfId="2" applyNumberFormat="1" applyFont="1" applyBorder="1" applyAlignment="1">
      <alignment horizontal="center" vertical="center"/>
    </xf>
    <xf numFmtId="164" fontId="61" fillId="0" borderId="2" xfId="2" applyNumberFormat="1" applyFont="1" applyBorder="1" applyAlignment="1">
      <alignment horizontal="center" vertical="center"/>
    </xf>
    <xf numFmtId="0" fontId="61" fillId="0" borderId="0" xfId="2" applyFont="1" applyAlignment="1" applyProtection="1">
      <alignment horizontal="left" vertical="center" wrapText="1"/>
      <protection locked="0"/>
    </xf>
    <xf numFmtId="164" fontId="81" fillId="0" borderId="1" xfId="2" applyNumberFormat="1" applyFont="1" applyBorder="1" applyAlignment="1">
      <alignment horizontal="center" vertical="center"/>
    </xf>
    <xf numFmtId="164" fontId="81" fillId="0" borderId="6" xfId="2" applyNumberFormat="1" applyFont="1" applyBorder="1" applyAlignment="1">
      <alignment horizontal="center" vertical="center"/>
    </xf>
    <xf numFmtId="164" fontId="81" fillId="0" borderId="2" xfId="2" applyNumberFormat="1" applyFont="1" applyBorder="1" applyAlignment="1">
      <alignment horizontal="center" vertical="center"/>
    </xf>
    <xf numFmtId="187" fontId="54" fillId="0" borderId="77" xfId="0" applyNumberFormat="1" applyFont="1" applyBorder="1" applyAlignment="1">
      <alignment horizontal="center" vertical="center" wrapText="1"/>
    </xf>
    <xf numFmtId="164" fontId="81" fillId="0" borderId="1" xfId="0" applyNumberFormat="1" applyFont="1" applyBorder="1" applyAlignment="1">
      <alignment horizontal="center" vertical="center"/>
    </xf>
    <xf numFmtId="164" fontId="81" fillId="0" borderId="6" xfId="0" applyNumberFormat="1" applyFont="1" applyBorder="1" applyAlignment="1">
      <alignment horizontal="center" vertical="center"/>
    </xf>
    <xf numFmtId="164" fontId="81" fillId="0" borderId="2" xfId="0" applyNumberFormat="1" applyFont="1" applyBorder="1" applyAlignment="1">
      <alignment horizontal="center" vertical="center"/>
    </xf>
    <xf numFmtId="165" fontId="61" fillId="0" borderId="3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164" fontId="28" fillId="0" borderId="26" xfId="0" applyNumberFormat="1" applyFont="1" applyBorder="1" applyAlignment="1">
      <alignment horizontal="center" vertical="center" wrapText="1"/>
    </xf>
    <xf numFmtId="164" fontId="28" fillId="0" borderId="4" xfId="0" applyNumberFormat="1" applyFont="1" applyBorder="1" applyAlignment="1">
      <alignment horizontal="center" vertical="center" wrapText="1"/>
    </xf>
    <xf numFmtId="164" fontId="28" fillId="0" borderId="29" xfId="0" applyNumberFormat="1" applyFont="1" applyBorder="1" applyAlignment="1">
      <alignment horizontal="center" vertical="center" wrapText="1"/>
    </xf>
    <xf numFmtId="164" fontId="28" fillId="0" borderId="22" xfId="0" applyNumberFormat="1" applyFont="1" applyBorder="1" applyAlignment="1">
      <alignment horizontal="center" vertical="center" wrapText="1"/>
    </xf>
    <xf numFmtId="164" fontId="28" fillId="0" borderId="12" xfId="0" applyNumberFormat="1" applyFont="1" applyBorder="1" applyAlignment="1">
      <alignment horizontal="center" vertical="center" wrapText="1"/>
    </xf>
    <xf numFmtId="164" fontId="28" fillId="0" borderId="30" xfId="0" applyNumberFormat="1" applyFont="1" applyBorder="1" applyAlignment="1">
      <alignment horizontal="center" vertical="center" wrapText="1"/>
    </xf>
    <xf numFmtId="186" fontId="61" fillId="0" borderId="0" xfId="2" applyNumberFormat="1" applyFont="1" applyAlignment="1">
      <alignment horizontal="left" vertical="center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188" fontId="54" fillId="0" borderId="77" xfId="0" applyNumberFormat="1" applyFont="1" applyBorder="1" applyAlignment="1">
      <alignment horizontal="center" vertical="center" wrapText="1"/>
    </xf>
    <xf numFmtId="0" fontId="28" fillId="3" borderId="0" xfId="2" applyFont="1" applyFill="1" applyAlignment="1">
      <alignment horizontal="center" vertical="center"/>
    </xf>
    <xf numFmtId="2" fontId="23" fillId="3" borderId="1" xfId="4" applyNumberFormat="1" applyFont="1" applyFill="1" applyBorder="1" applyAlignment="1">
      <alignment horizontal="center" vertical="center" wrapText="1"/>
    </xf>
    <xf numFmtId="2" fontId="23" fillId="3" borderId="6" xfId="4" applyNumberFormat="1" applyFont="1" applyFill="1" applyBorder="1" applyAlignment="1">
      <alignment horizontal="center" vertical="center" wrapText="1"/>
    </xf>
    <xf numFmtId="2" fontId="23" fillId="3" borderId="2" xfId="4" applyNumberFormat="1" applyFont="1" applyFill="1" applyBorder="1" applyAlignment="1">
      <alignment horizontal="center" vertical="center" wrapText="1"/>
    </xf>
    <xf numFmtId="2" fontId="37" fillId="0" borderId="36" xfId="4" applyNumberFormat="1" applyFont="1" applyBorder="1" applyAlignment="1">
      <alignment horizontal="center"/>
    </xf>
    <xf numFmtId="2" fontId="37" fillId="0" borderId="37" xfId="4" applyNumberFormat="1" applyFont="1" applyBorder="1" applyAlignment="1">
      <alignment horizontal="center"/>
    </xf>
    <xf numFmtId="2" fontId="37" fillId="0" borderId="38" xfId="4" applyNumberFormat="1" applyFont="1" applyBorder="1" applyAlignment="1">
      <alignment horizontal="center"/>
    </xf>
    <xf numFmtId="2" fontId="44" fillId="3" borderId="6" xfId="4" applyNumberFormat="1" applyFont="1" applyFill="1" applyBorder="1" applyAlignment="1">
      <alignment horizontal="center" vertical="center"/>
    </xf>
    <xf numFmtId="2" fontId="31" fillId="0" borderId="3" xfId="4" applyNumberFormat="1" applyFont="1" applyBorder="1" applyAlignment="1">
      <alignment horizontal="center" vertical="center" wrapText="1"/>
    </xf>
    <xf numFmtId="2" fontId="31" fillId="0" borderId="3" xfId="4" applyNumberFormat="1" applyFont="1" applyBorder="1" applyAlignment="1">
      <alignment horizontal="center" vertical="center"/>
    </xf>
    <xf numFmtId="2" fontId="36" fillId="3" borderId="33" xfId="4" applyNumberFormat="1" applyFont="1" applyFill="1" applyBorder="1" applyAlignment="1">
      <alignment horizontal="center" vertical="center"/>
    </xf>
    <xf numFmtId="2" fontId="36" fillId="3" borderId="34" xfId="4" applyNumberFormat="1" applyFont="1" applyFill="1" applyBorder="1" applyAlignment="1">
      <alignment horizontal="center" vertical="center"/>
    </xf>
    <xf numFmtId="2" fontId="36" fillId="3" borderId="35" xfId="4" applyNumberFormat="1" applyFont="1" applyFill="1" applyBorder="1" applyAlignment="1">
      <alignment horizontal="center" vertical="center"/>
    </xf>
    <xf numFmtId="2" fontId="89" fillId="3" borderId="36" xfId="4" applyNumberFormat="1" applyFont="1" applyFill="1" applyBorder="1" applyAlignment="1">
      <alignment horizontal="center" vertical="center"/>
    </xf>
    <xf numFmtId="2" fontId="89" fillId="3" borderId="37" xfId="4" applyNumberFormat="1" applyFont="1" applyFill="1" applyBorder="1" applyAlignment="1">
      <alignment horizontal="center" vertical="center"/>
    </xf>
    <xf numFmtId="2" fontId="89" fillId="3" borderId="38" xfId="4" applyNumberFormat="1" applyFont="1" applyFill="1" applyBorder="1" applyAlignment="1">
      <alignment horizontal="center" vertical="center"/>
    </xf>
    <xf numFmtId="2" fontId="44" fillId="3" borderId="12" xfId="4" applyNumberFormat="1" applyFont="1" applyFill="1" applyBorder="1" applyAlignment="1">
      <alignment horizontal="center" vertical="center"/>
    </xf>
    <xf numFmtId="2" fontId="2" fillId="8" borderId="3" xfId="4" applyNumberFormat="1" applyFill="1" applyBorder="1" applyAlignment="1">
      <alignment horizontal="center" vertical="center" wrapText="1"/>
    </xf>
    <xf numFmtId="2" fontId="52" fillId="3" borderId="33" xfId="4" applyNumberFormat="1" applyFont="1" applyFill="1" applyBorder="1" applyAlignment="1">
      <alignment horizontal="center" vertical="center" wrapText="1"/>
    </xf>
    <xf numFmtId="2" fontId="52" fillId="3" borderId="9" xfId="4" applyNumberFormat="1" applyFont="1" applyFill="1" applyBorder="1" applyAlignment="1">
      <alignment horizontal="center" vertical="center" wrapText="1"/>
    </xf>
    <xf numFmtId="2" fontId="52" fillId="3" borderId="72" xfId="4" applyNumberFormat="1" applyFont="1" applyFill="1" applyBorder="1" applyAlignment="1">
      <alignment horizontal="center" vertical="center" wrapText="1"/>
    </xf>
    <xf numFmtId="2" fontId="52" fillId="3" borderId="42" xfId="4" applyNumberFormat="1" applyFont="1" applyFill="1" applyBorder="1" applyAlignment="1">
      <alignment horizontal="center" vertical="center" wrapText="1"/>
    </xf>
    <xf numFmtId="2" fontId="52" fillId="3" borderId="10" xfId="4" applyNumberFormat="1" applyFont="1" applyFill="1" applyBorder="1" applyAlignment="1">
      <alignment horizontal="center" vertical="center" wrapText="1"/>
    </xf>
    <xf numFmtId="2" fontId="52" fillId="3" borderId="70" xfId="4" applyNumberFormat="1" applyFont="1" applyFill="1" applyBorder="1" applyAlignment="1">
      <alignment horizontal="center" vertical="center" wrapText="1"/>
    </xf>
    <xf numFmtId="2" fontId="2" fillId="3" borderId="43" xfId="4" applyNumberFormat="1" applyFill="1" applyBorder="1" applyAlignment="1">
      <alignment horizontal="center" vertical="center" wrapText="1"/>
    </xf>
    <xf numFmtId="2" fontId="2" fillId="3" borderId="23" xfId="4" applyNumberFormat="1" applyFill="1" applyBorder="1" applyAlignment="1">
      <alignment horizontal="center" vertical="center" wrapText="1"/>
    </xf>
    <xf numFmtId="2" fontId="2" fillId="3" borderId="51" xfId="4" applyNumberFormat="1" applyFill="1" applyBorder="1" applyAlignment="1">
      <alignment horizontal="center" vertical="center" wrapText="1"/>
    </xf>
    <xf numFmtId="2" fontId="32" fillId="0" borderId="3" xfId="4" applyNumberFormat="1" applyFont="1" applyBorder="1" applyAlignment="1">
      <alignment horizontal="center"/>
    </xf>
    <xf numFmtId="2" fontId="2" fillId="8" borderId="3" xfId="4" applyNumberFormat="1" applyFill="1" applyBorder="1" applyAlignment="1">
      <alignment horizontal="center" vertical="center"/>
    </xf>
    <xf numFmtId="2" fontId="1" fillId="8" borderId="3" xfId="4" applyNumberFormat="1" applyFont="1" applyFill="1" applyBorder="1" applyAlignment="1">
      <alignment horizontal="center" vertical="center" wrapText="1"/>
    </xf>
    <xf numFmtId="2" fontId="33" fillId="8" borderId="3" xfId="4" applyNumberFormat="1" applyFont="1" applyFill="1" applyBorder="1" applyAlignment="1">
      <alignment horizontal="center"/>
    </xf>
    <xf numFmtId="2" fontId="33" fillId="8" borderId="3" xfId="4" applyNumberFormat="1" applyFont="1" applyFill="1" applyBorder="1" applyAlignment="1">
      <alignment horizontal="center" vertical="center"/>
    </xf>
    <xf numFmtId="2" fontId="31" fillId="3" borderId="3" xfId="4" applyNumberFormat="1" applyFont="1" applyFill="1" applyBorder="1" applyAlignment="1">
      <alignment horizontal="center" vertical="center" wrapText="1"/>
    </xf>
    <xf numFmtId="2" fontId="2" fillId="3" borderId="3" xfId="4" applyNumberFormat="1" applyFill="1" applyBorder="1" applyAlignment="1">
      <alignment horizontal="center" vertical="center" wrapText="1"/>
    </xf>
    <xf numFmtId="2" fontId="61" fillId="7" borderId="13" xfId="4" applyNumberFormat="1" applyFont="1" applyFill="1" applyBorder="1" applyAlignment="1">
      <alignment horizontal="center" vertical="center" wrapText="1"/>
    </xf>
    <xf numFmtId="2" fontId="61" fillId="7" borderId="0" xfId="4" applyNumberFormat="1" applyFont="1" applyFill="1" applyAlignment="1">
      <alignment horizontal="center" vertical="center" wrapText="1"/>
    </xf>
    <xf numFmtId="2" fontId="33" fillId="8" borderId="1" xfId="4" applyNumberFormat="1" applyFont="1" applyFill="1" applyBorder="1" applyAlignment="1">
      <alignment horizontal="center"/>
    </xf>
    <xf numFmtId="2" fontId="33" fillId="8" borderId="6" xfId="4" applyNumberFormat="1" applyFont="1" applyFill="1" applyBorder="1" applyAlignment="1">
      <alignment horizontal="center"/>
    </xf>
    <xf numFmtId="2" fontId="33" fillId="8" borderId="2" xfId="4" applyNumberFormat="1" applyFont="1" applyFill="1" applyBorder="1" applyAlignment="1">
      <alignment horizontal="center"/>
    </xf>
    <xf numFmtId="2" fontId="2" fillId="3" borderId="3" xfId="4" applyNumberFormat="1" applyFill="1" applyBorder="1" applyAlignment="1">
      <alignment horizontal="center" vertical="center"/>
    </xf>
    <xf numFmtId="2" fontId="71" fillId="0" borderId="3" xfId="4" applyNumberFormat="1" applyFont="1" applyBorder="1" applyAlignment="1">
      <alignment horizontal="center" vertical="center" wrapText="1"/>
    </xf>
    <xf numFmtId="2" fontId="1" fillId="0" borderId="3" xfId="4" applyNumberFormat="1" applyFont="1" applyBorder="1" applyAlignment="1">
      <alignment horizontal="center" vertical="center"/>
    </xf>
    <xf numFmtId="2" fontId="32" fillId="0" borderId="3" xfId="4" applyNumberFormat="1" applyFont="1" applyBorder="1" applyAlignment="1">
      <alignment horizontal="center" vertical="center"/>
    </xf>
    <xf numFmtId="2" fontId="71" fillId="3" borderId="3" xfId="4" applyNumberFormat="1" applyFont="1" applyFill="1" applyBorder="1" applyAlignment="1">
      <alignment horizontal="center" vertical="center" wrapText="1"/>
    </xf>
    <xf numFmtId="2" fontId="2" fillId="0" borderId="3" xfId="4" applyNumberFormat="1" applyBorder="1" applyAlignment="1">
      <alignment horizontal="center" vertical="center"/>
    </xf>
    <xf numFmtId="2" fontId="2" fillId="5" borderId="3" xfId="4" applyNumberFormat="1" applyFill="1" applyBorder="1" applyAlignment="1">
      <alignment horizontal="center" vertical="center"/>
    </xf>
    <xf numFmtId="2" fontId="1" fillId="5" borderId="3" xfId="4" applyNumberFormat="1" applyFont="1" applyFill="1" applyBorder="1" applyAlignment="1">
      <alignment horizontal="center" vertical="center"/>
    </xf>
    <xf numFmtId="2" fontId="83" fillId="7" borderId="14" xfId="4" applyNumberFormat="1" applyFont="1" applyFill="1" applyBorder="1" applyAlignment="1">
      <alignment horizontal="center" vertical="center"/>
    </xf>
    <xf numFmtId="2" fontId="83" fillId="7" borderId="12" xfId="4" applyNumberFormat="1" applyFont="1" applyFill="1" applyBorder="1" applyAlignment="1">
      <alignment horizontal="center" vertical="center"/>
    </xf>
    <xf numFmtId="0" fontId="36" fillId="3" borderId="64" xfId="5" applyFont="1" applyFill="1" applyBorder="1" applyAlignment="1">
      <alignment horizontal="center" vertical="center"/>
    </xf>
    <xf numFmtId="0" fontId="36" fillId="3" borderId="68" xfId="5" applyFont="1" applyFill="1" applyBorder="1" applyAlignment="1">
      <alignment horizontal="center" vertical="center"/>
    </xf>
    <xf numFmtId="0" fontId="42" fillId="3" borderId="31" xfId="5" applyFont="1" applyFill="1" applyBorder="1" applyAlignment="1">
      <alignment horizontal="center" vertical="center"/>
    </xf>
    <xf numFmtId="0" fontId="42" fillId="3" borderId="32" xfId="5" applyFont="1" applyFill="1" applyBorder="1" applyAlignment="1">
      <alignment horizontal="center" vertical="center"/>
    </xf>
    <xf numFmtId="0" fontId="42" fillId="3" borderId="63" xfId="5" applyFont="1" applyFill="1" applyBorder="1" applyAlignment="1">
      <alignment horizontal="center" vertical="center"/>
    </xf>
    <xf numFmtId="0" fontId="44" fillId="9" borderId="36" xfId="5" applyFont="1" applyFill="1" applyBorder="1" applyAlignment="1" applyProtection="1">
      <alignment horizontal="center" vertical="center"/>
      <protection locked="0"/>
    </xf>
    <xf numFmtId="0" fontId="44" fillId="9" borderId="37" xfId="5" applyFont="1" applyFill="1" applyBorder="1" applyAlignment="1" applyProtection="1">
      <alignment horizontal="center" vertical="center"/>
      <protection locked="0"/>
    </xf>
    <xf numFmtId="0" fontId="44" fillId="9" borderId="59" xfId="5" applyFont="1" applyFill="1" applyBorder="1" applyAlignment="1" applyProtection="1">
      <alignment horizontal="center" vertical="center"/>
      <protection locked="0"/>
    </xf>
    <xf numFmtId="0" fontId="44" fillId="9" borderId="38" xfId="5" applyFont="1" applyFill="1" applyBorder="1" applyAlignment="1" applyProtection="1">
      <alignment horizontal="center" vertical="center"/>
      <protection locked="0"/>
    </xf>
    <xf numFmtId="0" fontId="44" fillId="3" borderId="3" xfId="4" applyFont="1" applyFill="1" applyBorder="1" applyAlignment="1">
      <alignment horizontal="center" vertical="center"/>
    </xf>
    <xf numFmtId="0" fontId="44" fillId="9" borderId="20" xfId="5" applyFont="1" applyFill="1" applyBorder="1" applyAlignment="1" applyProtection="1">
      <alignment horizontal="center" vertical="center"/>
      <protection locked="0"/>
    </xf>
    <xf numFmtId="0" fontId="44" fillId="9" borderId="21" xfId="5" applyFont="1" applyFill="1" applyBorder="1" applyAlignment="1" applyProtection="1">
      <alignment horizontal="center" vertical="center"/>
      <protection locked="0"/>
    </xf>
    <xf numFmtId="0" fontId="44" fillId="9" borderId="70" xfId="5" applyFont="1" applyFill="1" applyBorder="1" applyAlignment="1" applyProtection="1">
      <alignment horizontal="center" vertical="center"/>
      <protection locked="0"/>
    </xf>
    <xf numFmtId="0" fontId="44" fillId="9" borderId="19" xfId="5" applyFont="1" applyFill="1" applyBorder="1" applyAlignment="1" applyProtection="1">
      <alignment horizontal="center" vertical="center"/>
      <protection locked="0"/>
    </xf>
    <xf numFmtId="0" fontId="42" fillId="3" borderId="41" xfId="4" applyFont="1" applyFill="1" applyBorder="1" applyAlignment="1">
      <alignment horizontal="left" vertical="center" wrapText="1"/>
    </xf>
    <xf numFmtId="0" fontId="42" fillId="3" borderId="37" xfId="4" applyFont="1" applyFill="1" applyBorder="1" applyAlignment="1">
      <alignment horizontal="left" vertical="center" wrapText="1"/>
    </xf>
    <xf numFmtId="0" fontId="42" fillId="3" borderId="38" xfId="4" applyFont="1" applyFill="1" applyBorder="1" applyAlignment="1">
      <alignment horizontal="left" vertical="center" wrapText="1"/>
    </xf>
    <xf numFmtId="0" fontId="45" fillId="3" borderId="3" xfId="5" applyFont="1" applyFill="1" applyBorder="1" applyAlignment="1">
      <alignment horizontal="center" vertical="center"/>
    </xf>
    <xf numFmtId="0" fontId="45" fillId="3" borderId="17" xfId="5" applyFont="1" applyFill="1" applyBorder="1" applyAlignment="1">
      <alignment horizontal="center" vertical="center"/>
    </xf>
    <xf numFmtId="0" fontId="42" fillId="3" borderId="72" xfId="5" applyFont="1" applyFill="1" applyBorder="1" applyAlignment="1">
      <alignment horizontal="center" vertical="center" wrapText="1"/>
    </xf>
    <xf numFmtId="0" fontId="42" fillId="3" borderId="71" xfId="5" applyFont="1" applyFill="1" applyBorder="1" applyAlignment="1">
      <alignment horizontal="center" vertical="center" wrapText="1"/>
    </xf>
    <xf numFmtId="0" fontId="42" fillId="3" borderId="47" xfId="5" applyFont="1" applyFill="1" applyBorder="1" applyAlignment="1">
      <alignment horizontal="center" vertical="center" wrapText="1"/>
    </xf>
    <xf numFmtId="0" fontId="42" fillId="3" borderId="3" xfId="5" applyFont="1" applyFill="1" applyBorder="1" applyAlignment="1">
      <alignment horizontal="center" vertical="center" wrapText="1"/>
    </xf>
    <xf numFmtId="0" fontId="44" fillId="3" borderId="17" xfId="4" applyFont="1" applyFill="1" applyBorder="1" applyAlignment="1">
      <alignment horizontal="center" vertical="center" wrapText="1"/>
    </xf>
    <xf numFmtId="0" fontId="36" fillId="9" borderId="9" xfId="5" applyFont="1" applyFill="1" applyBorder="1" applyAlignment="1">
      <alignment horizontal="center" vertical="center"/>
    </xf>
    <xf numFmtId="0" fontId="36" fillId="9" borderId="3" xfId="5" applyFont="1" applyFill="1" applyBorder="1" applyAlignment="1">
      <alignment horizontal="center" vertical="center"/>
    </xf>
    <xf numFmtId="0" fontId="42" fillId="3" borderId="34" xfId="4" applyFont="1" applyFill="1" applyBorder="1" applyAlignment="1">
      <alignment horizontal="left" vertical="center" wrapText="1"/>
    </xf>
    <xf numFmtId="0" fontId="42" fillId="3" borderId="35" xfId="4" applyFont="1" applyFill="1" applyBorder="1" applyAlignment="1">
      <alignment horizontal="left" vertical="center" wrapText="1"/>
    </xf>
    <xf numFmtId="1" fontId="42" fillId="5" borderId="3" xfId="5" applyNumberFormat="1" applyFont="1" applyFill="1" applyBorder="1" applyAlignment="1">
      <alignment horizontal="center" vertical="center"/>
    </xf>
    <xf numFmtId="1" fontId="42" fillId="5" borderId="1" xfId="5" applyNumberFormat="1" applyFont="1" applyFill="1" applyBorder="1" applyAlignment="1">
      <alignment horizontal="center" vertical="center"/>
    </xf>
    <xf numFmtId="0" fontId="44" fillId="5" borderId="3" xfId="5" applyFont="1" applyFill="1" applyBorder="1" applyAlignment="1">
      <alignment horizontal="center" vertical="center"/>
    </xf>
    <xf numFmtId="0" fontId="44" fillId="5" borderId="1" xfId="5" applyFont="1" applyFill="1" applyBorder="1" applyAlignment="1">
      <alignment horizontal="center" vertical="center"/>
    </xf>
    <xf numFmtId="0" fontId="42" fillId="9" borderId="34" xfId="4" applyFont="1" applyFill="1" applyBorder="1" applyAlignment="1">
      <alignment horizontal="center" vertical="center"/>
    </xf>
    <xf numFmtId="1" fontId="42" fillId="5" borderId="34" xfId="5" applyNumberFormat="1" applyFont="1" applyFill="1" applyBorder="1" applyAlignment="1">
      <alignment horizontal="center" vertical="center"/>
    </xf>
    <xf numFmtId="1" fontId="42" fillId="5" borderId="41" xfId="5" applyNumberFormat="1" applyFont="1" applyFill="1" applyBorder="1" applyAlignment="1">
      <alignment horizontal="center" vertical="center"/>
    </xf>
    <xf numFmtId="0" fontId="45" fillId="9" borderId="3" xfId="5" applyFont="1" applyFill="1" applyBorder="1" applyAlignment="1">
      <alignment horizontal="center" vertical="center"/>
    </xf>
    <xf numFmtId="0" fontId="44" fillId="9" borderId="33" xfId="5" applyFont="1" applyFill="1" applyBorder="1" applyAlignment="1">
      <alignment horizontal="center" vertical="center"/>
    </xf>
    <xf numFmtId="0" fontId="44" fillId="9" borderId="9" xfId="5" applyFont="1" applyFill="1" applyBorder="1" applyAlignment="1">
      <alignment horizontal="center" vertical="center"/>
    </xf>
    <xf numFmtId="0" fontId="44" fillId="9" borderId="34" xfId="5" applyFont="1" applyFill="1" applyBorder="1" applyAlignment="1">
      <alignment horizontal="center" vertical="center" wrapText="1"/>
    </xf>
    <xf numFmtId="0" fontId="44" fillId="9" borderId="3" xfId="5" applyFont="1" applyFill="1" applyBorder="1" applyAlignment="1">
      <alignment horizontal="center" vertical="center" wrapText="1"/>
    </xf>
    <xf numFmtId="0" fontId="44" fillId="9" borderId="34" xfId="5" applyFont="1" applyFill="1" applyBorder="1" applyAlignment="1">
      <alignment horizontal="center" vertical="center"/>
    </xf>
    <xf numFmtId="0" fontId="44" fillId="9" borderId="3" xfId="5" applyFont="1" applyFill="1" applyBorder="1" applyAlignment="1">
      <alignment horizontal="center" vertical="center"/>
    </xf>
    <xf numFmtId="0" fontId="2" fillId="0" borderId="64" xfId="5" applyBorder="1" applyAlignment="1">
      <alignment horizontal="center" vertical="center"/>
    </xf>
    <xf numFmtId="0" fontId="2" fillId="0" borderId="65" xfId="5" applyBorder="1" applyAlignment="1">
      <alignment horizontal="center" vertical="center"/>
    </xf>
    <xf numFmtId="0" fontId="2" fillId="0" borderId="68" xfId="5" applyBorder="1" applyAlignment="1">
      <alignment horizontal="center" vertical="center"/>
    </xf>
    <xf numFmtId="0" fontId="42" fillId="9" borderId="62" xfId="4" applyFont="1" applyFill="1" applyBorder="1" applyAlignment="1">
      <alignment horizontal="center" vertical="center"/>
    </xf>
    <xf numFmtId="0" fontId="42" fillId="9" borderId="59" xfId="4" applyFont="1" applyFill="1" applyBorder="1" applyAlignment="1">
      <alignment horizontal="center" vertical="center"/>
    </xf>
    <xf numFmtId="0" fontId="42" fillId="9" borderId="60" xfId="4" applyFont="1" applyFill="1" applyBorder="1" applyAlignment="1">
      <alignment horizontal="center" vertical="center"/>
    </xf>
    <xf numFmtId="0" fontId="30" fillId="9" borderId="31" xfId="5" applyFont="1" applyFill="1" applyBorder="1" applyAlignment="1">
      <alignment horizontal="center" vertical="center"/>
    </xf>
    <xf numFmtId="0" fontId="30" fillId="9" borderId="66" xfId="5" applyFont="1" applyFill="1" applyBorder="1" applyAlignment="1">
      <alignment horizontal="center" vertical="center"/>
    </xf>
    <xf numFmtId="0" fontId="30" fillId="9" borderId="67" xfId="5" applyFont="1" applyFill="1" applyBorder="1" applyAlignment="1">
      <alignment horizontal="center" vertical="center"/>
    </xf>
    <xf numFmtId="0" fontId="30" fillId="9" borderId="32" xfId="5" applyFont="1" applyFill="1" applyBorder="1" applyAlignment="1">
      <alignment horizontal="center" vertical="center"/>
    </xf>
    <xf numFmtId="0" fontId="30" fillId="9" borderId="64" xfId="5" applyFont="1" applyFill="1" applyBorder="1" applyAlignment="1">
      <alignment horizontal="center" vertical="center"/>
    </xf>
    <xf numFmtId="0" fontId="30" fillId="9" borderId="68" xfId="5" applyFont="1" applyFill="1" applyBorder="1" applyAlignment="1">
      <alignment horizontal="center" vertical="center"/>
    </xf>
    <xf numFmtId="0" fontId="29" fillId="9" borderId="31" xfId="4" applyFont="1" applyFill="1" applyBorder="1" applyAlignment="1">
      <alignment horizontal="center" vertical="center"/>
    </xf>
    <xf numFmtId="0" fontId="29" fillId="9" borderId="66" xfId="4" applyFont="1" applyFill="1" applyBorder="1" applyAlignment="1">
      <alignment horizontal="center" vertical="center"/>
    </xf>
    <xf numFmtId="0" fontId="40" fillId="9" borderId="28" xfId="4" applyFont="1" applyFill="1" applyBorder="1" applyAlignment="1">
      <alignment horizontal="center" vertical="center"/>
    </xf>
    <xf numFmtId="0" fontId="29" fillId="9" borderId="69" xfId="4" applyFont="1" applyFill="1" applyBorder="1" applyAlignment="1">
      <alignment horizontal="center" vertical="center"/>
    </xf>
    <xf numFmtId="1" fontId="43" fillId="9" borderId="62" xfId="5" applyNumberFormat="1" applyFont="1" applyFill="1" applyBorder="1" applyAlignment="1">
      <alignment horizontal="center" vertical="center"/>
    </xf>
    <xf numFmtId="1" fontId="43" fillId="9" borderId="60" xfId="5" applyNumberFormat="1" applyFont="1" applyFill="1" applyBorder="1" applyAlignment="1">
      <alignment horizontal="center" vertical="center"/>
    </xf>
    <xf numFmtId="0" fontId="42" fillId="9" borderId="31" xfId="4" applyFont="1" applyFill="1" applyBorder="1" applyAlignment="1">
      <alignment horizontal="center" vertical="center"/>
    </xf>
    <xf numFmtId="0" fontId="42" fillId="9" borderId="32" xfId="4" applyFont="1" applyFill="1" applyBorder="1" applyAlignment="1">
      <alignment horizontal="center" vertical="center"/>
    </xf>
    <xf numFmtId="0" fontId="42" fillId="9" borderId="63" xfId="4" applyFont="1" applyFill="1" applyBorder="1" applyAlignment="1">
      <alignment horizontal="center" vertical="center"/>
    </xf>
    <xf numFmtId="0" fontId="29" fillId="9" borderId="3" xfId="4" applyFont="1" applyFill="1" applyBorder="1" applyAlignment="1">
      <alignment horizontal="center" vertical="center"/>
    </xf>
    <xf numFmtId="0" fontId="40" fillId="9" borderId="3" xfId="4" applyFont="1" applyFill="1" applyBorder="1" applyAlignment="1">
      <alignment horizontal="center" vertical="center"/>
    </xf>
    <xf numFmtId="0" fontId="2" fillId="0" borderId="62" xfId="5" applyBorder="1" applyAlignment="1">
      <alignment horizontal="center" vertical="center"/>
    </xf>
    <xf numFmtId="0" fontId="2" fillId="0" borderId="13" xfId="5" applyBorder="1" applyAlignment="1">
      <alignment horizontal="center" vertical="center"/>
    </xf>
    <xf numFmtId="0" fontId="2" fillId="0" borderId="28" xfId="5" applyBorder="1" applyAlignment="1">
      <alignment horizontal="center" vertical="center"/>
    </xf>
    <xf numFmtId="0" fontId="42" fillId="9" borderId="3" xfId="4" applyFont="1" applyFill="1" applyBorder="1" applyAlignment="1">
      <alignment horizontal="center" vertical="center"/>
    </xf>
    <xf numFmtId="1" fontId="43" fillId="9" borderId="3" xfId="5" applyNumberFormat="1" applyFont="1" applyFill="1" applyBorder="1" applyAlignment="1">
      <alignment horizontal="center" vertical="center"/>
    </xf>
    <xf numFmtId="0" fontId="30" fillId="9" borderId="3" xfId="5" applyFont="1" applyFill="1" applyBorder="1" applyAlignment="1">
      <alignment horizontal="center" vertical="center"/>
    </xf>
    <xf numFmtId="0" fontId="41" fillId="7" borderId="31" xfId="5" applyFont="1" applyFill="1" applyBorder="1" applyAlignment="1">
      <alignment horizontal="center" vertical="center"/>
    </xf>
    <xf numFmtId="0" fontId="41" fillId="7" borderId="59" xfId="5" applyFont="1" applyFill="1" applyBorder="1" applyAlignment="1">
      <alignment horizontal="center" vertical="center"/>
    </xf>
    <xf numFmtId="0" fontId="41" fillId="7" borderId="32" xfId="5" applyFont="1" applyFill="1" applyBorder="1" applyAlignment="1">
      <alignment horizontal="center" vertical="center"/>
    </xf>
    <xf numFmtId="0" fontId="41" fillId="7" borderId="60" xfId="5" applyFont="1" applyFill="1" applyBorder="1" applyAlignment="1">
      <alignment horizontal="center" vertical="center"/>
    </xf>
    <xf numFmtId="0" fontId="35" fillId="0" borderId="0" xfId="6" applyFont="1" applyAlignment="1">
      <alignment horizontal="left" vertical="center" wrapText="1"/>
    </xf>
    <xf numFmtId="0" fontId="76" fillId="0" borderId="0" xfId="6" applyFont="1" applyAlignment="1" applyProtection="1">
      <alignment horizontal="center" vertical="center"/>
      <protection locked="0"/>
    </xf>
    <xf numFmtId="0" fontId="35" fillId="0" borderId="0" xfId="6" applyFont="1" applyAlignment="1">
      <alignment horizontal="center"/>
    </xf>
    <xf numFmtId="0" fontId="79" fillId="0" borderId="0" xfId="7" applyFont="1" applyAlignment="1">
      <alignment horizontal="right"/>
    </xf>
    <xf numFmtId="0" fontId="35" fillId="0" borderId="0" xfId="6" applyFont="1" applyAlignment="1" applyProtection="1">
      <alignment horizontal="left" vertical="center" wrapText="1"/>
      <protection locked="0"/>
    </xf>
    <xf numFmtId="0" fontId="35" fillId="0" borderId="1" xfId="6" applyFont="1" applyBorder="1" applyAlignment="1">
      <alignment horizontal="left" vertical="top" wrapText="1"/>
    </xf>
    <xf numFmtId="0" fontId="35" fillId="0" borderId="6" xfId="6" applyFont="1" applyBorder="1" applyAlignment="1">
      <alignment horizontal="left" vertical="top" wrapText="1"/>
    </xf>
    <xf numFmtId="186" fontId="78" fillId="0" borderId="0" xfId="7" applyNumberFormat="1" applyFont="1" applyAlignment="1">
      <alignment horizontal="left"/>
    </xf>
    <xf numFmtId="0" fontId="78" fillId="0" borderId="0" xfId="7" applyFont="1" applyAlignment="1">
      <alignment horizontal="left" vertical="top" wrapText="1"/>
    </xf>
    <xf numFmtId="186" fontId="35" fillId="0" borderId="0" xfId="6" applyNumberFormat="1" applyFont="1" applyAlignment="1">
      <alignment horizontal="left" vertical="top" wrapText="1"/>
    </xf>
    <xf numFmtId="164" fontId="63" fillId="2" borderId="0" xfId="0" applyNumberFormat="1" applyFont="1" applyFill="1" applyBorder="1" applyAlignment="1">
      <alignment horizontal="left" vertical="center" wrapText="1"/>
    </xf>
    <xf numFmtId="175" fontId="54" fillId="0" borderId="53" xfId="0" applyNumberFormat="1" applyFont="1" applyBorder="1" applyAlignment="1">
      <alignment horizontal="center" vertical="center" wrapText="1"/>
    </xf>
    <xf numFmtId="176" fontId="54" fillId="0" borderId="93" xfId="0" applyNumberFormat="1" applyFont="1" applyBorder="1" applyAlignment="1">
      <alignment horizontal="center" vertical="center" wrapText="1"/>
    </xf>
    <xf numFmtId="188" fontId="54" fillId="0" borderId="87" xfId="0" applyNumberFormat="1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164" fontId="61" fillId="2" borderId="26" xfId="0" applyNumberFormat="1" applyFont="1" applyFill="1" applyBorder="1" applyAlignment="1">
      <alignment horizontal="right" vertical="center" wrapText="1"/>
    </xf>
    <xf numFmtId="164" fontId="61" fillId="2" borderId="7" xfId="0" applyNumberFormat="1" applyFont="1" applyFill="1" applyBorder="1" applyAlignment="1">
      <alignment horizontal="right" vertical="center" wrapText="1"/>
    </xf>
    <xf numFmtId="164" fontId="61" fillId="2" borderId="22" xfId="0" applyNumberFormat="1" applyFont="1" applyFill="1" applyBorder="1" applyAlignment="1">
      <alignment horizontal="right" vertical="center" wrapText="1"/>
    </xf>
    <xf numFmtId="164" fontId="81" fillId="2" borderId="1" xfId="0" applyNumberFormat="1" applyFont="1" applyFill="1" applyBorder="1" applyAlignment="1">
      <alignment horizontal="right" vertical="center" wrapText="1"/>
    </xf>
    <xf numFmtId="187" fontId="54" fillId="0" borderId="53" xfId="0" applyNumberFormat="1" applyFont="1" applyBorder="1" applyAlignment="1">
      <alignment horizontal="center" vertical="center" wrapText="1"/>
    </xf>
    <xf numFmtId="188" fontId="54" fillId="0" borderId="53" xfId="0" applyNumberFormat="1" applyFont="1" applyBorder="1" applyAlignment="1">
      <alignment horizontal="center" vertical="center" wrapText="1"/>
    </xf>
    <xf numFmtId="0" fontId="54" fillId="3" borderId="30" xfId="0" applyFont="1" applyFill="1" applyBorder="1" applyAlignment="1" applyProtection="1">
      <alignment horizontal="left" vertical="center"/>
      <protection locked="0"/>
    </xf>
    <xf numFmtId="0" fontId="54" fillId="3" borderId="2" xfId="0" applyFont="1" applyFill="1" applyBorder="1" applyAlignment="1" applyProtection="1">
      <alignment horizontal="left" vertical="center" wrapText="1"/>
      <protection locked="0"/>
    </xf>
  </cellXfs>
  <cellStyles count="8">
    <cellStyle name="Normal" xfId="0" builtinId="0"/>
    <cellStyle name="Normal 2" xfId="1" xr:uid="{00000000-0005-0000-0000-000001000000}"/>
    <cellStyle name="Normal 2 2" xfId="4" xr:uid="{98B5E6F3-EBEB-4CC5-808B-A46D49EF3EE5}"/>
    <cellStyle name="Normal 2 3" xfId="6" xr:uid="{20C08D04-EFCF-4367-9AC2-B9C2983977EC}"/>
    <cellStyle name="Normal 3" xfId="5" xr:uid="{E35A3BF7-6088-43D2-B754-78E7B5AB5CDF}"/>
    <cellStyle name="Normal 4" xfId="7" xr:uid="{E7C83206-9AF5-430D-BC46-767BA204F226}"/>
    <cellStyle name="Normal_Daftar kelistrikan (ecg)" xfId="2" xr:uid="{00000000-0005-0000-0000-000002000000}"/>
    <cellStyle name="Normal_Sheet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62</xdr:row>
      <xdr:rowOff>142875</xdr:rowOff>
    </xdr:to>
    <xdr:sp macro="" textlink="">
      <xdr:nvSpPr>
        <xdr:cNvPr id="28415" name="Text Box 1">
          <a:extLst>
            <a:ext uri="{FF2B5EF4-FFF2-40B4-BE49-F238E27FC236}">
              <a16:creationId xmlns:a16="http://schemas.microsoft.com/office/drawing/2014/main" id="{00000000-0008-0000-0000-0000FF6E0000}"/>
            </a:ext>
          </a:extLst>
        </xdr:cNvPr>
        <xdr:cNvSpPr txBox="1">
          <a:spLocks noChangeArrowheads="1"/>
        </xdr:cNvSpPr>
      </xdr:nvSpPr>
      <xdr:spPr bwMode="auto">
        <a:xfrm>
          <a:off x="6915150" y="13782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76200</xdr:colOff>
      <xdr:row>90</xdr:row>
      <xdr:rowOff>0</xdr:rowOff>
    </xdr:to>
    <xdr:sp macro="" textlink="">
      <xdr:nvSpPr>
        <xdr:cNvPr id="28416" name="Text Box 43">
          <a:extLst>
            <a:ext uri="{FF2B5EF4-FFF2-40B4-BE49-F238E27FC236}">
              <a16:creationId xmlns:a16="http://schemas.microsoft.com/office/drawing/2014/main" id="{00000000-0008-0000-0000-0000006F0000}"/>
            </a:ext>
          </a:extLst>
        </xdr:cNvPr>
        <xdr:cNvSpPr txBox="1">
          <a:spLocks noChangeArrowheads="1"/>
        </xdr:cNvSpPr>
      </xdr:nvSpPr>
      <xdr:spPr bwMode="auto">
        <a:xfrm>
          <a:off x="6915150" y="18516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413092</xdr:colOff>
      <xdr:row>36</xdr:row>
      <xdr:rowOff>157490</xdr:rowOff>
    </xdr:from>
    <xdr:to>
      <xdr:col>11</xdr:col>
      <xdr:colOff>734011</xdr:colOff>
      <xdr:row>36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36</xdr:row>
      <xdr:rowOff>157490</xdr:rowOff>
    </xdr:from>
    <xdr:to>
      <xdr:col>11</xdr:col>
      <xdr:colOff>734011</xdr:colOff>
      <xdr:row>36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54</xdr:row>
      <xdr:rowOff>0</xdr:rowOff>
    </xdr:from>
    <xdr:to>
      <xdr:col>12</xdr:col>
      <xdr:colOff>76200</xdr:colOff>
      <xdr:row>55</xdr:row>
      <xdr:rowOff>38100</xdr:rowOff>
    </xdr:to>
    <xdr:sp macro="" textlink="">
      <xdr:nvSpPr>
        <xdr:cNvPr id="27598" name="Text Box 1">
          <a:extLst>
            <a:ext uri="{FF2B5EF4-FFF2-40B4-BE49-F238E27FC236}">
              <a16:creationId xmlns:a16="http://schemas.microsoft.com/office/drawing/2014/main" id="{00000000-0008-0000-0300-0000CE6B0000}"/>
            </a:ext>
          </a:extLst>
        </xdr:cNvPr>
        <xdr:cNvSpPr txBox="1">
          <a:spLocks noChangeArrowheads="1"/>
        </xdr:cNvSpPr>
      </xdr:nvSpPr>
      <xdr:spPr bwMode="auto">
        <a:xfrm>
          <a:off x="6648450" y="96964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76200</xdr:colOff>
      <xdr:row>74</xdr:row>
      <xdr:rowOff>0</xdr:rowOff>
    </xdr:to>
    <xdr:sp macro="" textlink="">
      <xdr:nvSpPr>
        <xdr:cNvPr id="27599" name="Text Box 43">
          <a:extLst>
            <a:ext uri="{FF2B5EF4-FFF2-40B4-BE49-F238E27FC236}">
              <a16:creationId xmlns:a16="http://schemas.microsoft.com/office/drawing/2014/main" id="{00000000-0008-0000-0300-0000CF6B0000}"/>
            </a:ext>
          </a:extLst>
        </xdr:cNvPr>
        <xdr:cNvSpPr txBox="1">
          <a:spLocks noChangeArrowheads="1"/>
        </xdr:cNvSpPr>
      </xdr:nvSpPr>
      <xdr:spPr bwMode="auto">
        <a:xfrm>
          <a:off x="6648450" y="15535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72</xdr:row>
      <xdr:rowOff>0</xdr:rowOff>
    </xdr:from>
    <xdr:to>
      <xdr:col>12</xdr:col>
      <xdr:colOff>76200</xdr:colOff>
      <xdr:row>73</xdr:row>
      <xdr:rowOff>0</xdr:rowOff>
    </xdr:to>
    <xdr:sp macro="" textlink="">
      <xdr:nvSpPr>
        <xdr:cNvPr id="29920" name="Text Box 1">
          <a:extLst>
            <a:ext uri="{FF2B5EF4-FFF2-40B4-BE49-F238E27FC236}">
              <a16:creationId xmlns:a16="http://schemas.microsoft.com/office/drawing/2014/main" id="{00000000-0008-0000-0100-0000E0740000}"/>
            </a:ext>
          </a:extLst>
        </xdr:cNvPr>
        <xdr:cNvSpPr txBox="1">
          <a:spLocks noChangeArrowheads="1"/>
        </xdr:cNvSpPr>
      </xdr:nvSpPr>
      <xdr:spPr bwMode="auto">
        <a:xfrm>
          <a:off x="7743825" y="10896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97</xdr:row>
      <xdr:rowOff>0</xdr:rowOff>
    </xdr:from>
    <xdr:to>
      <xdr:col>12</xdr:col>
      <xdr:colOff>76200</xdr:colOff>
      <xdr:row>98</xdr:row>
      <xdr:rowOff>44450</xdr:rowOff>
    </xdr:to>
    <xdr:sp macro="" textlink="">
      <xdr:nvSpPr>
        <xdr:cNvPr id="29921" name="Text Box 43">
          <a:extLst>
            <a:ext uri="{FF2B5EF4-FFF2-40B4-BE49-F238E27FC236}">
              <a16:creationId xmlns:a16="http://schemas.microsoft.com/office/drawing/2014/main" id="{00000000-0008-0000-0100-0000E1740000}"/>
            </a:ext>
          </a:extLst>
        </xdr:cNvPr>
        <xdr:cNvSpPr txBox="1">
          <a:spLocks noChangeArrowheads="1"/>
        </xdr:cNvSpPr>
      </xdr:nvSpPr>
      <xdr:spPr bwMode="auto">
        <a:xfrm>
          <a:off x="7743825" y="15630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413092</xdr:colOff>
      <xdr:row>36</xdr:row>
      <xdr:rowOff>157490</xdr:rowOff>
    </xdr:from>
    <xdr:to>
      <xdr:col>12</xdr:col>
      <xdr:colOff>734011</xdr:colOff>
      <xdr:row>36</xdr:row>
      <xdr:rowOff>157490</xdr:rowOff>
    </xdr:to>
    <xdr:sp macro="" textlink="">
      <xdr:nvSpPr>
        <xdr:cNvPr id="22" name="Text Box 6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4642192" y="7244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36</xdr:row>
      <xdr:rowOff>157490</xdr:rowOff>
    </xdr:from>
    <xdr:to>
      <xdr:col>12</xdr:col>
      <xdr:colOff>734011</xdr:colOff>
      <xdr:row>36</xdr:row>
      <xdr:rowOff>157490</xdr:rowOff>
    </xdr:to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4642192" y="7244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53</xdr:row>
      <xdr:rowOff>0</xdr:rowOff>
    </xdr:from>
    <xdr:to>
      <xdr:col>14</xdr:col>
      <xdr:colOff>104775</xdr:colOff>
      <xdr:row>54</xdr:row>
      <xdr:rowOff>57150</xdr:rowOff>
    </xdr:to>
    <xdr:sp macro="" textlink="">
      <xdr:nvSpPr>
        <xdr:cNvPr id="29684" name="Text Box 1">
          <a:extLst>
            <a:ext uri="{FF2B5EF4-FFF2-40B4-BE49-F238E27FC236}">
              <a16:creationId xmlns:a16="http://schemas.microsoft.com/office/drawing/2014/main" id="{00000000-0008-0000-0400-0000F4730000}"/>
            </a:ext>
          </a:extLst>
        </xdr:cNvPr>
        <xdr:cNvSpPr txBox="1">
          <a:spLocks noChangeArrowheads="1"/>
        </xdr:cNvSpPr>
      </xdr:nvSpPr>
      <xdr:spPr bwMode="auto">
        <a:xfrm>
          <a:off x="9915525" y="901065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155</xdr:row>
      <xdr:rowOff>152400</xdr:rowOff>
    </xdr:from>
    <xdr:to>
      <xdr:col>14</xdr:col>
      <xdr:colOff>104775</xdr:colOff>
      <xdr:row>156</xdr:row>
      <xdr:rowOff>180975</xdr:rowOff>
    </xdr:to>
    <xdr:sp macro="" textlink="">
      <xdr:nvSpPr>
        <xdr:cNvPr id="29685" name="Text Box 21">
          <a:extLst>
            <a:ext uri="{FF2B5EF4-FFF2-40B4-BE49-F238E27FC236}">
              <a16:creationId xmlns:a16="http://schemas.microsoft.com/office/drawing/2014/main" id="{00000000-0008-0000-0400-0000F5730000}"/>
            </a:ext>
          </a:extLst>
        </xdr:cNvPr>
        <xdr:cNvSpPr txBox="1">
          <a:spLocks noChangeArrowheads="1"/>
        </xdr:cNvSpPr>
      </xdr:nvSpPr>
      <xdr:spPr bwMode="auto">
        <a:xfrm>
          <a:off x="9915525" y="262413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4642192" y="7453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28</xdr:row>
      <xdr:rowOff>157490</xdr:rowOff>
    </xdr:from>
    <xdr:to>
      <xdr:col>9</xdr:col>
      <xdr:colOff>734011</xdr:colOff>
      <xdr:row>28</xdr:row>
      <xdr:rowOff>157490</xdr:rowOff>
    </xdr:to>
    <xdr:sp macro="" textlink="">
      <xdr:nvSpPr>
        <xdr:cNvPr id="61" name="Text Box 7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>
          <a:spLocks noChangeArrowheads="1"/>
        </xdr:cNvSpPr>
      </xdr:nvSpPr>
      <xdr:spPr bwMode="auto">
        <a:xfrm>
          <a:off x="4642192" y="7453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%202020/SOFTWARE%20PASSWORD%204%20Februari%202020/SOFTWARE%20Lingkup%20Akreditasi/WAKTU%20FREKUENSI/CENTRIFUGE%20KALIBRASI%2021.01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Kelistrikan"/>
      <sheetName val="DB Tachometer"/>
      <sheetName val="DB Stopwatch"/>
    </sheetNames>
    <sheetDataSet>
      <sheetData sheetId="0"/>
      <sheetData sheetId="1">
        <row r="2">
          <cell r="F2" t="str">
            <v>Nomor Sertifikat : 10 /</v>
          </cell>
        </row>
        <row r="18">
          <cell r="E18">
            <v>26.7</v>
          </cell>
          <cell r="F18">
            <v>27.7</v>
          </cell>
        </row>
        <row r="19">
          <cell r="E19">
            <v>73.3</v>
          </cell>
          <cell r="F19">
            <v>72</v>
          </cell>
        </row>
        <row r="30">
          <cell r="C30" t="str">
            <v>Arus bocor peralatan untuk peralatan elektromedik kelas II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showGridLines="0" view="pageBreakPreview" topLeftCell="A26" zoomScaleNormal="100" zoomScaleSheetLayoutView="100" workbookViewId="0">
      <selection activeCell="D10" sqref="D10"/>
    </sheetView>
  </sheetViews>
  <sheetFormatPr defaultColWidth="9.1796875" defaultRowHeight="15.5" x14ac:dyDescent="0.25"/>
  <cols>
    <col min="1" max="1" width="4.7265625" style="6" customWidth="1"/>
    <col min="2" max="2" width="17.1796875" style="6" customWidth="1"/>
    <col min="3" max="3" width="10.1796875" style="6" customWidth="1"/>
    <col min="4" max="9" width="11.7265625" style="6" customWidth="1"/>
    <col min="10" max="12" width="13.7265625" style="6" customWidth="1"/>
    <col min="13" max="13" width="10.26953125" style="6" customWidth="1"/>
    <col min="14" max="14" width="14.1796875" style="6" customWidth="1"/>
    <col min="15" max="16384" width="9.1796875" style="6"/>
  </cols>
  <sheetData>
    <row r="1" spans="1:14" ht="18.5" x14ac:dyDescent="0.25">
      <c r="A1" s="1082" t="s">
        <v>364</v>
      </c>
      <c r="B1" s="1082"/>
      <c r="C1" s="1082"/>
      <c r="D1" s="1082"/>
      <c r="E1" s="1082"/>
      <c r="F1" s="1082"/>
      <c r="G1" s="1082"/>
      <c r="H1" s="1082"/>
      <c r="I1" s="1082"/>
      <c r="J1" s="1082"/>
      <c r="K1" s="143"/>
      <c r="L1" s="143"/>
      <c r="M1" s="143"/>
      <c r="N1" s="143"/>
    </row>
    <row r="2" spans="1:14" ht="17" x14ac:dyDescent="0.25">
      <c r="A2" s="1083" t="s">
        <v>165</v>
      </c>
      <c r="B2" s="1083"/>
      <c r="C2" s="1083"/>
      <c r="D2" s="1083"/>
      <c r="E2" s="1083"/>
      <c r="F2" s="1083"/>
      <c r="G2" s="1083"/>
      <c r="H2" s="1083"/>
      <c r="I2" s="1083"/>
      <c r="J2" s="1083"/>
      <c r="K2" s="144"/>
      <c r="L2" s="144"/>
      <c r="M2" s="144"/>
      <c r="N2" s="144"/>
    </row>
    <row r="3" spans="1:14" ht="13.5" customHeight="1" x14ac:dyDescent="0.25"/>
    <row r="4" spans="1:14" ht="20.149999999999999" customHeight="1" x14ac:dyDescent="0.25">
      <c r="A4" s="6" t="s">
        <v>25</v>
      </c>
      <c r="D4" s="146" t="s">
        <v>61</v>
      </c>
      <c r="E4" s="13"/>
    </row>
    <row r="5" spans="1:14" ht="20.149999999999999" customHeight="1" x14ac:dyDescent="0.25">
      <c r="A5" s="6" t="s">
        <v>24</v>
      </c>
      <c r="D5" s="147" t="s">
        <v>61</v>
      </c>
      <c r="E5" s="127"/>
      <c r="F5" s="128"/>
      <c r="G5" s="128"/>
    </row>
    <row r="6" spans="1:14" ht="20.149999999999999" customHeight="1" x14ac:dyDescent="0.25">
      <c r="A6" s="6" t="s">
        <v>0</v>
      </c>
      <c r="D6" s="147" t="s">
        <v>61</v>
      </c>
      <c r="E6" s="127"/>
      <c r="F6" s="128"/>
      <c r="G6" s="128"/>
    </row>
    <row r="7" spans="1:14" ht="20.149999999999999" hidden="1" customHeight="1" x14ac:dyDescent="0.25">
      <c r="A7" s="6" t="s">
        <v>252</v>
      </c>
      <c r="D7" s="147" t="s">
        <v>61</v>
      </c>
      <c r="E7" s="127"/>
      <c r="F7" s="128"/>
      <c r="G7" s="128"/>
    </row>
    <row r="8" spans="1:14" ht="20.149999999999999" customHeight="1" x14ac:dyDescent="0.25">
      <c r="A8" s="6" t="s">
        <v>252</v>
      </c>
      <c r="D8" s="147" t="s">
        <v>61</v>
      </c>
      <c r="E8" s="127" t="s">
        <v>329</v>
      </c>
      <c r="F8" s="128"/>
      <c r="G8" s="128"/>
    </row>
    <row r="9" spans="1:14" ht="20.149999999999999" customHeight="1" x14ac:dyDescent="0.25">
      <c r="A9" s="6" t="s">
        <v>424</v>
      </c>
      <c r="D9" s="147" t="s">
        <v>61</v>
      </c>
      <c r="E9" s="127"/>
      <c r="F9" s="128"/>
      <c r="G9" s="128"/>
    </row>
    <row r="10" spans="1:14" ht="20.149999999999999" customHeight="1" x14ac:dyDescent="0.25">
      <c r="A10" s="6" t="s">
        <v>14</v>
      </c>
      <c r="D10" s="147" t="s">
        <v>61</v>
      </c>
      <c r="E10" s="127"/>
      <c r="F10" s="128"/>
      <c r="G10" s="128"/>
    </row>
    <row r="11" spans="1:14" ht="20.149999999999999" customHeight="1" x14ac:dyDescent="0.25">
      <c r="A11" s="6" t="s">
        <v>15</v>
      </c>
      <c r="D11" s="147" t="s">
        <v>61</v>
      </c>
      <c r="E11" s="127"/>
      <c r="F11" s="128"/>
      <c r="G11" s="128"/>
    </row>
    <row r="12" spans="1:14" ht="20.149999999999999" customHeight="1" x14ac:dyDescent="0.25">
      <c r="A12" s="6" t="s">
        <v>27</v>
      </c>
      <c r="D12" s="147" t="s">
        <v>61</v>
      </c>
      <c r="E12" s="127"/>
      <c r="F12" s="128"/>
      <c r="G12" s="128"/>
    </row>
    <row r="13" spans="1:14" ht="10.5" customHeight="1" x14ac:dyDescent="0.25">
      <c r="D13" s="125"/>
    </row>
    <row r="14" spans="1:14" ht="20.149999999999999" customHeight="1" x14ac:dyDescent="0.25">
      <c r="A14" s="10" t="s">
        <v>17</v>
      </c>
      <c r="B14" s="10" t="s">
        <v>18</v>
      </c>
      <c r="C14" s="10"/>
      <c r="D14" s="125"/>
      <c r="E14" s="10"/>
    </row>
    <row r="15" spans="1:14" ht="20.149999999999999" customHeight="1" x14ac:dyDescent="0.25">
      <c r="A15" s="10"/>
      <c r="B15" s="10"/>
      <c r="C15" s="10"/>
      <c r="D15" s="123" t="s">
        <v>68</v>
      </c>
      <c r="E15" s="123" t="s">
        <v>69</v>
      </c>
      <c r="H15" s="10"/>
    </row>
    <row r="16" spans="1:14" ht="20.149999999999999" customHeight="1" x14ac:dyDescent="0.25">
      <c r="B16" s="6" t="s">
        <v>26</v>
      </c>
      <c r="D16" s="139"/>
      <c r="E16" s="139"/>
      <c r="F16" s="6" t="s">
        <v>125</v>
      </c>
    </row>
    <row r="17" spans="1:21" ht="20.149999999999999" customHeight="1" x14ac:dyDescent="0.25">
      <c r="B17" s="6" t="s">
        <v>131</v>
      </c>
      <c r="D17" s="139"/>
      <c r="E17" s="139"/>
      <c r="F17" s="6" t="s">
        <v>133</v>
      </c>
    </row>
    <row r="18" spans="1:21" ht="16.5" customHeight="1" x14ac:dyDescent="0.25">
      <c r="B18" s="6" t="s">
        <v>124</v>
      </c>
      <c r="D18" s="148" t="s">
        <v>61</v>
      </c>
      <c r="E18" s="129"/>
      <c r="F18" s="124" t="s">
        <v>119</v>
      </c>
    </row>
    <row r="19" spans="1:21" ht="9.75" customHeight="1" x14ac:dyDescent="0.25"/>
    <row r="20" spans="1:21" ht="20.149999999999999" customHeight="1" x14ac:dyDescent="0.25">
      <c r="A20" s="10" t="s">
        <v>19</v>
      </c>
      <c r="B20" s="10" t="s">
        <v>260</v>
      </c>
      <c r="C20" s="10"/>
      <c r="E20" s="10"/>
      <c r="F20" s="10"/>
    </row>
    <row r="21" spans="1:21" ht="20.149999999999999" customHeight="1" x14ac:dyDescent="0.25">
      <c r="B21" s="6" t="s">
        <v>20</v>
      </c>
      <c r="E21" s="6" t="s">
        <v>76</v>
      </c>
    </row>
    <row r="22" spans="1:21" ht="20.149999999999999" customHeight="1" x14ac:dyDescent="0.25">
      <c r="B22" s="6" t="s">
        <v>1</v>
      </c>
      <c r="E22" s="6" t="s">
        <v>76</v>
      </c>
    </row>
    <row r="23" spans="1:21" ht="4.5" customHeight="1" x14ac:dyDescent="0.25">
      <c r="A23" s="10"/>
      <c r="B23" s="10"/>
    </row>
    <row r="24" spans="1:21" ht="20.149999999999999" customHeight="1" x14ac:dyDescent="0.25">
      <c r="A24" s="10" t="s">
        <v>2</v>
      </c>
      <c r="B24" s="10" t="s">
        <v>261</v>
      </c>
    </row>
    <row r="25" spans="1:21" s="304" customFormat="1" ht="30" customHeight="1" x14ac:dyDescent="0.25">
      <c r="A25" s="305" t="s">
        <v>262</v>
      </c>
      <c r="B25" s="1087" t="s">
        <v>4</v>
      </c>
      <c r="C25" s="1088"/>
      <c r="D25" s="1088"/>
      <c r="E25" s="1088"/>
      <c r="F25" s="1088"/>
      <c r="G25" s="326" t="s">
        <v>78</v>
      </c>
      <c r="H25" s="1085" t="s">
        <v>121</v>
      </c>
      <c r="I25" s="1086"/>
      <c r="J25" s="330" t="s">
        <v>267</v>
      </c>
      <c r="N25" s="306"/>
    </row>
    <row r="26" spans="1:21" s="304" customFormat="1" ht="18" customHeight="1" x14ac:dyDescent="0.25">
      <c r="A26" s="307">
        <v>1</v>
      </c>
      <c r="B26" s="308" t="str">
        <f>ID!C25</f>
        <v>Resistansi isolasi</v>
      </c>
      <c r="C26" s="309"/>
      <c r="D26" s="309"/>
      <c r="E26" s="309"/>
      <c r="F26" s="309"/>
      <c r="G26" s="327" t="s">
        <v>263</v>
      </c>
      <c r="H26" s="441">
        <v>2</v>
      </c>
      <c r="I26" s="442" t="s">
        <v>263</v>
      </c>
      <c r="J26" s="331">
        <v>10</v>
      </c>
      <c r="N26" s="306"/>
      <c r="O26" s="310"/>
      <c r="P26" s="310"/>
      <c r="Q26" s="310"/>
      <c r="R26" s="310"/>
      <c r="S26" s="310"/>
      <c r="T26" s="310"/>
      <c r="U26" s="310"/>
    </row>
    <row r="27" spans="1:21" s="304" customFormat="1" ht="14" x14ac:dyDescent="0.25">
      <c r="A27" s="311">
        <v>2</v>
      </c>
      <c r="B27" s="308" t="str">
        <f>ID!C26</f>
        <v>Resistansi pembumian protektif</v>
      </c>
      <c r="C27" s="313"/>
      <c r="D27" s="314"/>
      <c r="E27" s="314"/>
      <c r="F27" s="314"/>
      <c r="G27" s="328" t="s">
        <v>264</v>
      </c>
      <c r="H27" s="443">
        <v>0.2</v>
      </c>
      <c r="I27" s="442" t="s">
        <v>264</v>
      </c>
      <c r="J27" s="331">
        <v>10</v>
      </c>
      <c r="N27" s="317"/>
      <c r="O27" s="310"/>
      <c r="P27" s="310"/>
      <c r="Q27" s="318"/>
      <c r="R27" s="319"/>
      <c r="S27" s="319"/>
      <c r="T27" s="320"/>
      <c r="U27" s="310"/>
    </row>
    <row r="28" spans="1:21" s="304" customFormat="1" ht="15.75" customHeight="1" x14ac:dyDescent="0.25">
      <c r="A28" s="321">
        <v>3</v>
      </c>
      <c r="B28" s="324" t="s">
        <v>266</v>
      </c>
      <c r="C28" s="325"/>
      <c r="D28" s="325"/>
      <c r="E28" s="325"/>
      <c r="F28" s="325"/>
      <c r="G28" s="329" t="s">
        <v>118</v>
      </c>
      <c r="H28" s="444" t="s">
        <v>273</v>
      </c>
      <c r="I28" s="445" t="s">
        <v>118</v>
      </c>
      <c r="J28" s="331">
        <v>20</v>
      </c>
      <c r="O28" s="310"/>
      <c r="P28" s="310"/>
      <c r="Q28" s="323"/>
      <c r="R28" s="319"/>
      <c r="S28" s="319"/>
      <c r="T28" s="320"/>
      <c r="U28" s="310"/>
    </row>
    <row r="29" spans="1:21" ht="26.5" customHeight="1" x14ac:dyDescent="0.25">
      <c r="A29" s="11"/>
      <c r="H29" s="12"/>
      <c r="I29" s="130"/>
      <c r="L29" s="679"/>
      <c r="N29" s="124"/>
    </row>
    <row r="30" spans="1:21" ht="15.75" customHeight="1" x14ac:dyDescent="0.25">
      <c r="A30" s="15" t="s">
        <v>3</v>
      </c>
      <c r="B30" s="15" t="s">
        <v>402</v>
      </c>
      <c r="C30" s="15"/>
      <c r="G30" s="13"/>
      <c r="H30" s="13"/>
      <c r="I30" s="13"/>
      <c r="J30" s="13"/>
      <c r="K30" s="13"/>
      <c r="L30" s="13"/>
      <c r="M30" s="678"/>
      <c r="N30" s="13"/>
    </row>
    <row r="31" spans="1:21" ht="15.75" customHeight="1" x14ac:dyDescent="0.25">
      <c r="A31" s="15" t="s">
        <v>352</v>
      </c>
      <c r="B31" s="15"/>
      <c r="C31" s="15"/>
      <c r="D31" s="15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21" ht="20.149999999999999" customHeight="1" x14ac:dyDescent="0.25">
      <c r="A32" s="1056" t="s">
        <v>21</v>
      </c>
      <c r="B32" s="1059" t="s">
        <v>4</v>
      </c>
      <c r="C32" s="1056" t="s">
        <v>136</v>
      </c>
      <c r="D32" s="1064" t="s">
        <v>13</v>
      </c>
      <c r="E32" s="1065"/>
      <c r="F32" s="1065"/>
      <c r="G32" s="1065"/>
      <c r="H32" s="1065"/>
      <c r="I32" s="1056" t="s">
        <v>75</v>
      </c>
      <c r="K32" s="126"/>
      <c r="L32" s="15">
        <f>40/3</f>
        <v>13.333333333333334</v>
      </c>
      <c r="N32" s="131"/>
    </row>
    <row r="33" spans="1:14" ht="20.149999999999999" customHeight="1" x14ac:dyDescent="0.25">
      <c r="A33" s="1057"/>
      <c r="B33" s="1060"/>
      <c r="C33" s="1057"/>
      <c r="D33" s="1084" t="s">
        <v>5</v>
      </c>
      <c r="E33" s="1084" t="s">
        <v>6</v>
      </c>
      <c r="F33" s="1084" t="s">
        <v>7</v>
      </c>
      <c r="G33" s="1084" t="s">
        <v>8</v>
      </c>
      <c r="H33" s="1084" t="s">
        <v>9</v>
      </c>
      <c r="I33" s="1057"/>
      <c r="K33" s="1055"/>
      <c r="L33" s="655"/>
      <c r="N33" s="5"/>
    </row>
    <row r="34" spans="1:14" ht="10.5" customHeight="1" x14ac:dyDescent="0.25">
      <c r="A34" s="1058"/>
      <c r="B34" s="1061"/>
      <c r="C34" s="1058"/>
      <c r="D34" s="1084"/>
      <c r="E34" s="1084"/>
      <c r="F34" s="1084"/>
      <c r="G34" s="1084"/>
      <c r="H34" s="1084"/>
      <c r="I34" s="1058"/>
      <c r="K34" s="1055"/>
      <c r="L34" s="655"/>
      <c r="N34" s="5"/>
    </row>
    <row r="35" spans="1:14" ht="19.5" customHeight="1" x14ac:dyDescent="0.25">
      <c r="A35" s="149">
        <v>1</v>
      </c>
      <c r="B35" s="1066" t="s">
        <v>332</v>
      </c>
      <c r="C35" s="4">
        <v>10</v>
      </c>
      <c r="D35" s="132"/>
      <c r="E35" s="132"/>
      <c r="F35" s="132"/>
      <c r="G35" s="132"/>
      <c r="H35" s="132"/>
      <c r="I35" s="1062" t="s">
        <v>72</v>
      </c>
      <c r="K35" s="133"/>
      <c r="L35" s="655"/>
      <c r="N35" s="14"/>
    </row>
    <row r="36" spans="1:14" ht="20.149999999999999" customHeight="1" x14ac:dyDescent="0.25">
      <c r="A36" s="150">
        <v>2</v>
      </c>
      <c r="B36" s="1067"/>
      <c r="C36" s="4">
        <v>20</v>
      </c>
      <c r="D36" s="132"/>
      <c r="E36" s="132"/>
      <c r="F36" s="132"/>
      <c r="G36" s="132"/>
      <c r="H36" s="132"/>
      <c r="I36" s="1063"/>
      <c r="K36" s="133"/>
      <c r="L36" s="656"/>
      <c r="N36" s="14"/>
    </row>
    <row r="37" spans="1:14" ht="20.149999999999999" customHeight="1" x14ac:dyDescent="0.25">
      <c r="A37" s="150">
        <v>3</v>
      </c>
      <c r="B37" s="1067"/>
      <c r="C37" s="4">
        <v>30</v>
      </c>
      <c r="D37" s="132"/>
      <c r="E37" s="132"/>
      <c r="F37" s="132"/>
      <c r="G37" s="132"/>
      <c r="H37" s="132"/>
      <c r="I37" s="1063"/>
      <c r="K37" s="133"/>
      <c r="L37" s="104"/>
      <c r="N37" s="14"/>
    </row>
    <row r="38" spans="1:14" ht="20.149999999999999" customHeight="1" x14ac:dyDescent="0.25">
      <c r="A38" s="150">
        <v>4</v>
      </c>
      <c r="B38" s="1068"/>
      <c r="C38" s="4">
        <v>40</v>
      </c>
      <c r="D38" s="132"/>
      <c r="E38" s="132"/>
      <c r="F38" s="132"/>
      <c r="G38" s="132"/>
      <c r="H38" s="132"/>
      <c r="I38" s="1063"/>
      <c r="K38" s="133"/>
      <c r="L38" s="7"/>
      <c r="N38" s="14"/>
    </row>
    <row r="39" spans="1:14" ht="12" customHeight="1" x14ac:dyDescent="0.25">
      <c r="A39" s="134"/>
      <c r="B39" s="134"/>
      <c r="C39" s="103"/>
      <c r="D39" s="104"/>
      <c r="E39" s="104"/>
      <c r="F39" s="104"/>
      <c r="G39" s="104"/>
      <c r="H39" s="104"/>
      <c r="I39" s="104"/>
      <c r="K39" s="7"/>
      <c r="L39" s="7"/>
      <c r="M39" s="8"/>
      <c r="N39" s="14"/>
    </row>
    <row r="40" spans="1:14" ht="15.65" customHeight="1" x14ac:dyDescent="0.25">
      <c r="A40" s="10" t="s">
        <v>353</v>
      </c>
      <c r="B40" s="105"/>
      <c r="C40" s="106"/>
      <c r="D40" s="135"/>
      <c r="E40" s="135"/>
      <c r="F40" s="135"/>
      <c r="G40" s="135"/>
      <c r="H40" s="135"/>
      <c r="I40" s="136"/>
      <c r="J40" s="7"/>
      <c r="K40" s="7"/>
      <c r="L40" s="7"/>
      <c r="M40" s="8"/>
      <c r="N40" s="14"/>
    </row>
    <row r="41" spans="1:14" ht="20.149999999999999" customHeight="1" x14ac:dyDescent="0.25">
      <c r="A41" s="1069" t="s">
        <v>21</v>
      </c>
      <c r="B41" s="1069" t="s">
        <v>104</v>
      </c>
      <c r="C41" s="1056" t="s">
        <v>136</v>
      </c>
      <c r="D41" s="1071" t="s">
        <v>13</v>
      </c>
      <c r="E41" s="1072"/>
      <c r="F41" s="1072"/>
      <c r="G41" s="1072"/>
      <c r="H41" s="1072"/>
      <c r="I41" s="1073"/>
      <c r="J41" s="1054" t="s">
        <v>75</v>
      </c>
      <c r="K41" s="7"/>
      <c r="L41" s="8"/>
      <c r="M41" s="139"/>
    </row>
    <row r="42" spans="1:14" ht="20.149999999999999" customHeight="1" x14ac:dyDescent="0.25">
      <c r="A42" s="1070"/>
      <c r="B42" s="1070"/>
      <c r="C42" s="1058"/>
      <c r="D42" s="1054" t="s">
        <v>5</v>
      </c>
      <c r="E42" s="1054"/>
      <c r="F42" s="1054" t="s">
        <v>6</v>
      </c>
      <c r="G42" s="1054"/>
      <c r="H42" s="1054" t="s">
        <v>7</v>
      </c>
      <c r="I42" s="1054"/>
      <c r="J42" s="1054"/>
      <c r="K42" s="8"/>
      <c r="L42" s="14"/>
    </row>
    <row r="43" spans="1:14" ht="18.75" customHeight="1" x14ac:dyDescent="0.25">
      <c r="A43" s="4">
        <v>1</v>
      </c>
      <c r="B43" s="107" t="s">
        <v>333</v>
      </c>
      <c r="C43" s="108">
        <v>300</v>
      </c>
      <c r="D43" s="1076"/>
      <c r="E43" s="1076"/>
      <c r="F43" s="1076"/>
      <c r="G43" s="1076"/>
      <c r="H43" s="1077"/>
      <c r="I43" s="1077"/>
      <c r="J43" s="109" t="s">
        <v>72</v>
      </c>
      <c r="K43" s="8"/>
      <c r="L43" s="14"/>
    </row>
    <row r="44" spans="1:14" ht="18.75" hidden="1" customHeight="1" x14ac:dyDescent="0.25">
      <c r="A44" s="4">
        <v>2</v>
      </c>
      <c r="B44" s="107" t="s">
        <v>334</v>
      </c>
      <c r="C44" s="654">
        <v>20</v>
      </c>
      <c r="D44" s="1078"/>
      <c r="E44" s="1079"/>
      <c r="F44" s="1078"/>
      <c r="G44" s="1079"/>
      <c r="H44" s="1080"/>
      <c r="I44" s="1081"/>
      <c r="J44" s="109" t="s">
        <v>72</v>
      </c>
      <c r="K44" s="8"/>
      <c r="L44" s="14"/>
    </row>
    <row r="45" spans="1:14" ht="18.75" hidden="1" customHeight="1" x14ac:dyDescent="0.25">
      <c r="A45" s="4">
        <v>3</v>
      </c>
      <c r="B45" s="107" t="s">
        <v>335</v>
      </c>
      <c r="C45" s="654">
        <v>20</v>
      </c>
      <c r="D45" s="1078"/>
      <c r="E45" s="1079"/>
      <c r="F45" s="1078"/>
      <c r="G45" s="1079"/>
      <c r="H45" s="1080"/>
      <c r="I45" s="1081"/>
      <c r="J45" s="109" t="s">
        <v>72</v>
      </c>
      <c r="K45" s="8"/>
      <c r="L45" s="14"/>
    </row>
    <row r="46" spans="1:14" ht="12.65" customHeight="1" x14ac:dyDescent="0.25">
      <c r="B46" s="332" t="s">
        <v>268</v>
      </c>
      <c r="C46" s="5"/>
      <c r="D46" s="7"/>
      <c r="E46" s="7"/>
      <c r="F46" s="7"/>
      <c r="G46" s="7"/>
      <c r="H46" s="7"/>
      <c r="I46" s="7"/>
    </row>
    <row r="47" spans="1:14" ht="20.149999999999999" customHeight="1" x14ac:dyDescent="0.25">
      <c r="A47" s="16" t="s">
        <v>11</v>
      </c>
      <c r="B47" s="16" t="s">
        <v>291</v>
      </c>
      <c r="C47" s="101"/>
      <c r="D47" s="9"/>
      <c r="E47" s="1074" t="s">
        <v>362</v>
      </c>
      <c r="F47" s="1075"/>
      <c r="G47" s="680">
        <v>0.5</v>
      </c>
      <c r="H47" s="673"/>
      <c r="I47" s="17"/>
    </row>
    <row r="48" spans="1:14" ht="20.149999999999999" customHeight="1" x14ac:dyDescent="0.25">
      <c r="A48" s="16"/>
      <c r="B48" s="124" t="s">
        <v>71</v>
      </c>
      <c r="C48" s="101"/>
      <c r="D48" s="9"/>
      <c r="E48" s="9"/>
      <c r="F48" s="9"/>
      <c r="G48" s="9"/>
      <c r="H48" s="9"/>
      <c r="I48" s="17"/>
    </row>
    <row r="49" spans="1:13" ht="20.149999999999999" customHeight="1" x14ac:dyDescent="0.25">
      <c r="A49" s="10"/>
      <c r="B49" s="137" t="s">
        <v>71</v>
      </c>
      <c r="J49" s="17"/>
      <c r="K49" s="17"/>
      <c r="L49" s="17"/>
      <c r="M49" s="138"/>
    </row>
    <row r="50" spans="1:13" ht="6.75" customHeight="1" x14ac:dyDescent="0.25">
      <c r="A50" s="10"/>
      <c r="B50" s="137"/>
      <c r="J50" s="17"/>
      <c r="K50" s="17"/>
      <c r="L50" s="17"/>
      <c r="M50" s="138"/>
    </row>
    <row r="51" spans="1:13" ht="20.149999999999999" customHeight="1" x14ac:dyDescent="0.25">
      <c r="A51" s="10" t="s">
        <v>12</v>
      </c>
      <c r="B51" s="10" t="s">
        <v>290</v>
      </c>
    </row>
    <row r="52" spans="1:13" ht="14.15" customHeight="1" x14ac:dyDescent="0.25">
      <c r="A52" s="139"/>
      <c r="B52" s="140" t="s">
        <v>167</v>
      </c>
      <c r="C52" s="13"/>
      <c r="D52" s="13"/>
      <c r="E52" s="13"/>
    </row>
    <row r="53" spans="1:13" ht="14.15" customHeight="1" x14ac:dyDescent="0.25">
      <c r="A53" s="139"/>
      <c r="B53" s="13" t="s">
        <v>141</v>
      </c>
    </row>
    <row r="54" spans="1:13" ht="14.15" customHeight="1" x14ac:dyDescent="0.25">
      <c r="A54" s="139"/>
      <c r="B54" s="13" t="s">
        <v>253</v>
      </c>
    </row>
    <row r="55" spans="1:13" ht="14.15" customHeight="1" x14ac:dyDescent="0.25">
      <c r="A55" s="139"/>
      <c r="B55" s="13" t="s">
        <v>254</v>
      </c>
    </row>
    <row r="56" spans="1:13" ht="14.15" customHeight="1" x14ac:dyDescent="0.25">
      <c r="A56" s="139"/>
      <c r="B56" s="13" t="s">
        <v>255</v>
      </c>
    </row>
    <row r="57" spans="1:13" ht="14.15" customHeight="1" x14ac:dyDescent="0.25">
      <c r="A57" s="139"/>
      <c r="B57" s="13" t="s">
        <v>142</v>
      </c>
    </row>
    <row r="58" spans="1:13" ht="14.15" customHeight="1" x14ac:dyDescent="0.25">
      <c r="A58" s="139"/>
      <c r="B58" s="13" t="s">
        <v>256</v>
      </c>
    </row>
    <row r="59" spans="1:13" ht="14.15" customHeight="1" x14ac:dyDescent="0.25">
      <c r="A59" s="139"/>
      <c r="B59" s="13" t="s">
        <v>381</v>
      </c>
    </row>
    <row r="60" spans="1:13" ht="13" customHeight="1" x14ac:dyDescent="0.25">
      <c r="A60" s="10" t="s">
        <v>22</v>
      </c>
      <c r="B60" s="10" t="s">
        <v>31</v>
      </c>
      <c r="C60" s="10"/>
    </row>
    <row r="61" spans="1:13" ht="14.15" customHeight="1" x14ac:dyDescent="0.25">
      <c r="B61" s="124" t="s">
        <v>79</v>
      </c>
    </row>
    <row r="62" spans="1:13" ht="4.5" customHeight="1" x14ac:dyDescent="0.25">
      <c r="B62" s="124"/>
      <c r="L62" s="141"/>
    </row>
    <row r="63" spans="1:13" ht="16" thickBot="1" x14ac:dyDescent="0.3">
      <c r="A63" s="10" t="s">
        <v>32</v>
      </c>
      <c r="B63" s="10" t="s">
        <v>366</v>
      </c>
      <c r="C63" s="10"/>
      <c r="L63" s="141"/>
    </row>
    <row r="64" spans="1:13" x14ac:dyDescent="0.25">
      <c r="B64" s="145"/>
      <c r="I64" s="836"/>
      <c r="L64" s="141"/>
    </row>
    <row r="65" spans="1:14" ht="16" thickBot="1" x14ac:dyDescent="0.3">
      <c r="B65" s="13"/>
      <c r="I65" s="837"/>
      <c r="L65" s="141"/>
    </row>
    <row r="66" spans="1:14" x14ac:dyDescent="0.25">
      <c r="L66" s="141"/>
    </row>
    <row r="69" spans="1:14" x14ac:dyDescent="0.25">
      <c r="L69" s="142"/>
    </row>
    <row r="72" spans="1:14" x14ac:dyDescent="0.25">
      <c r="A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</row>
    <row r="73" spans="1:14" x14ac:dyDescent="0.25">
      <c r="A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5">
      <c r="A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8" spans="1:14" x14ac:dyDescent="0.25">
      <c r="B78" s="125"/>
    </row>
    <row r="79" spans="1:14" x14ac:dyDescent="0.25">
      <c r="B79" s="9"/>
    </row>
    <row r="80" spans="1:14" x14ac:dyDescent="0.25">
      <c r="B80" s="9"/>
    </row>
  </sheetData>
  <sheetProtection insertRows="0"/>
  <mergeCells count="35">
    <mergeCell ref="A1:J1"/>
    <mergeCell ref="A2:J2"/>
    <mergeCell ref="D33:D34"/>
    <mergeCell ref="E33:E34"/>
    <mergeCell ref="F33:F34"/>
    <mergeCell ref="G33:G34"/>
    <mergeCell ref="H33:H34"/>
    <mergeCell ref="H25:I25"/>
    <mergeCell ref="B25:F25"/>
    <mergeCell ref="E47:F47"/>
    <mergeCell ref="D43:E43"/>
    <mergeCell ref="F43:G43"/>
    <mergeCell ref="H43:I43"/>
    <mergeCell ref="B41:B42"/>
    <mergeCell ref="C41:C42"/>
    <mergeCell ref="D44:E44"/>
    <mergeCell ref="D45:E45"/>
    <mergeCell ref="F44:G44"/>
    <mergeCell ref="H44:I44"/>
    <mergeCell ref="F45:G45"/>
    <mergeCell ref="H45:I45"/>
    <mergeCell ref="J41:J42"/>
    <mergeCell ref="K33:K34"/>
    <mergeCell ref="A32:A34"/>
    <mergeCell ref="B32:B34"/>
    <mergeCell ref="C32:C34"/>
    <mergeCell ref="I32:I34"/>
    <mergeCell ref="I35:I38"/>
    <mergeCell ref="D32:H32"/>
    <mergeCell ref="B35:B38"/>
    <mergeCell ref="A41:A42"/>
    <mergeCell ref="D41:I41"/>
    <mergeCell ref="D42:E42"/>
    <mergeCell ref="F42:G42"/>
    <mergeCell ref="H42:I42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73" orientation="portrait" horizontalDpi="4294967294" verticalDpi="4294967294" r:id="rId1"/>
  <headerFooter>
    <oddHeader>&amp;R&amp;"Times New Roman,Regular"&amp;9GM.LK 053.18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3090-C32E-4D7A-ADEC-BF46747E26D2}">
  <sheetPr>
    <tabColor rgb="FF00B050"/>
  </sheetPr>
  <dimension ref="A1:Y311"/>
  <sheetViews>
    <sheetView topLeftCell="A266" zoomScale="87" zoomScaleNormal="87" workbookViewId="0">
      <selection activeCell="O271" sqref="O271"/>
    </sheetView>
  </sheetViews>
  <sheetFormatPr defaultColWidth="8.7265625" defaultRowHeight="12.5" x14ac:dyDescent="0.25"/>
  <cols>
    <col min="1" max="1" width="10.26953125" style="956" bestFit="1" customWidth="1"/>
    <col min="2" max="2" width="10.26953125" style="956" customWidth="1"/>
    <col min="3" max="3" width="11" style="956" customWidth="1"/>
    <col min="4" max="4" width="9" style="956" bestFit="1" customWidth="1"/>
    <col min="5" max="5" width="10" style="956" customWidth="1"/>
    <col min="6" max="6" width="9.36328125" style="956" bestFit="1" customWidth="1"/>
    <col min="7" max="7" width="8.90625" style="956" bestFit="1" customWidth="1"/>
    <col min="8" max="8" width="13.453125" style="956" customWidth="1"/>
    <col min="9" max="9" width="11.90625" style="956" customWidth="1"/>
    <col min="10" max="10" width="10.08984375" style="956" customWidth="1"/>
    <col min="11" max="11" width="9.453125" style="956" customWidth="1"/>
    <col min="12" max="12" width="9.54296875" style="956" customWidth="1"/>
    <col min="13" max="13" width="12.26953125" style="956" customWidth="1"/>
    <col min="14" max="14" width="24.453125" style="956" customWidth="1"/>
    <col min="15" max="15" width="10.54296875" style="956" customWidth="1"/>
    <col min="16" max="16" width="8.7265625" style="956"/>
    <col min="17" max="17" width="10.453125" style="956" customWidth="1"/>
    <col min="18" max="18" width="11.36328125" style="956" customWidth="1"/>
    <col min="19" max="19" width="9.81640625" style="956" customWidth="1"/>
    <col min="20" max="20" width="9.90625" style="956" customWidth="1"/>
    <col min="21" max="16384" width="8.7265625" style="956"/>
  </cols>
  <sheetData>
    <row r="1" spans="1:24" ht="17.5" x14ac:dyDescent="0.25">
      <c r="A1" s="1436" t="s">
        <v>146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  <c r="N1" s="1437"/>
      <c r="O1" s="1437"/>
      <c r="P1" s="1437"/>
      <c r="Q1" s="1437"/>
      <c r="R1" s="1437"/>
      <c r="S1" s="1437"/>
      <c r="T1" s="1437"/>
      <c r="U1" s="1437"/>
      <c r="V1" s="956" t="s">
        <v>159</v>
      </c>
    </row>
    <row r="2" spans="1:24" ht="14.5" x14ac:dyDescent="0.25">
      <c r="A2" s="1432" t="s">
        <v>147</v>
      </c>
      <c r="B2" s="1435" t="s">
        <v>105</v>
      </c>
      <c r="C2" s="1435"/>
      <c r="D2" s="1435"/>
      <c r="E2" s="1435"/>
      <c r="F2" s="1435"/>
      <c r="G2" s="1435"/>
      <c r="H2" s="1429" t="s">
        <v>148</v>
      </c>
      <c r="I2" s="1435" t="s">
        <v>112</v>
      </c>
      <c r="J2" s="1435"/>
      <c r="K2" s="1435"/>
      <c r="L2" s="1435"/>
      <c r="M2" s="1435"/>
      <c r="N2" s="1435"/>
      <c r="O2" s="1429" t="s">
        <v>149</v>
      </c>
      <c r="P2" s="1435" t="s">
        <v>114</v>
      </c>
      <c r="Q2" s="1435"/>
      <c r="R2" s="1435"/>
      <c r="S2" s="1435"/>
      <c r="T2" s="1435"/>
      <c r="U2" s="1435"/>
    </row>
    <row r="3" spans="1:24" ht="14" x14ac:dyDescent="0.3">
      <c r="A3" s="1432"/>
      <c r="B3" s="1416" t="s">
        <v>106</v>
      </c>
      <c r="C3" s="1416"/>
      <c r="D3" s="1416"/>
      <c r="E3" s="1416"/>
      <c r="F3" s="1416"/>
      <c r="G3" s="1416"/>
      <c r="H3" s="1429"/>
      <c r="I3" s="1416" t="s">
        <v>106</v>
      </c>
      <c r="J3" s="1416"/>
      <c r="K3" s="1416"/>
      <c r="L3" s="1416"/>
      <c r="M3" s="1416"/>
      <c r="N3" s="1416"/>
      <c r="O3" s="1429"/>
      <c r="P3" s="1416" t="s">
        <v>106</v>
      </c>
      <c r="Q3" s="1416"/>
      <c r="R3" s="1416"/>
      <c r="S3" s="1416"/>
      <c r="T3" s="1416"/>
      <c r="U3" s="1416"/>
    </row>
    <row r="4" spans="1:24" ht="13" x14ac:dyDescent="0.25">
      <c r="A4" s="1432"/>
      <c r="B4" s="1398" t="s">
        <v>107</v>
      </c>
      <c r="C4" s="1398"/>
      <c r="D4" s="1398"/>
      <c r="E4" s="1398"/>
      <c r="F4" s="1398" t="s">
        <v>150</v>
      </c>
      <c r="G4" s="1398" t="s">
        <v>80</v>
      </c>
      <c r="H4" s="1429"/>
      <c r="I4" s="1398" t="str">
        <f>B4</f>
        <v>Setting VAC</v>
      </c>
      <c r="J4" s="1398"/>
      <c r="K4" s="1398"/>
      <c r="L4" s="1398"/>
      <c r="M4" s="1398" t="s">
        <v>150</v>
      </c>
      <c r="N4" s="1398" t="s">
        <v>80</v>
      </c>
      <c r="O4" s="1429"/>
      <c r="P4" s="1398" t="str">
        <f>B4</f>
        <v>Setting VAC</v>
      </c>
      <c r="Q4" s="1398"/>
      <c r="R4" s="1398"/>
      <c r="S4" s="1398"/>
      <c r="T4" s="1398" t="s">
        <v>150</v>
      </c>
      <c r="U4" s="1398" t="s">
        <v>80</v>
      </c>
    </row>
    <row r="5" spans="1:24" ht="14" x14ac:dyDescent="0.25">
      <c r="A5" s="1432"/>
      <c r="B5" s="958" t="s">
        <v>108</v>
      </c>
      <c r="C5" s="959">
        <v>2022</v>
      </c>
      <c r="D5" s="959">
        <v>2020</v>
      </c>
      <c r="E5" s="959">
        <v>2019</v>
      </c>
      <c r="F5" s="1398"/>
      <c r="G5" s="1398"/>
      <c r="H5" s="1429"/>
      <c r="I5" s="958" t="s">
        <v>108</v>
      </c>
      <c r="J5" s="959">
        <v>2022</v>
      </c>
      <c r="K5" s="959">
        <v>2019</v>
      </c>
      <c r="L5" s="959">
        <v>2017</v>
      </c>
      <c r="M5" s="1398"/>
      <c r="N5" s="1398"/>
      <c r="O5" s="1429"/>
      <c r="P5" s="958" t="s">
        <v>108</v>
      </c>
      <c r="Q5" s="959">
        <v>2022</v>
      </c>
      <c r="R5" s="959">
        <v>2021</v>
      </c>
      <c r="S5" s="959">
        <v>2018</v>
      </c>
      <c r="T5" s="1398"/>
      <c r="U5" s="1398"/>
      <c r="V5" s="960"/>
      <c r="W5" s="960"/>
      <c r="X5" s="961"/>
    </row>
    <row r="6" spans="1:24" x14ac:dyDescent="0.25">
      <c r="A6" s="1432"/>
      <c r="B6" s="962">
        <v>150</v>
      </c>
      <c r="C6" s="963">
        <v>0.35</v>
      </c>
      <c r="D6" s="963">
        <v>0.31</v>
      </c>
      <c r="E6" s="963">
        <v>0.76</v>
      </c>
      <c r="F6" s="964">
        <f>0.5*(MAX(C6:E6)-MIN(C6:E6))</f>
        <v>0.22500000000000001</v>
      </c>
      <c r="G6" s="964">
        <f>1.2/100</f>
        <v>1.2E-2</v>
      </c>
      <c r="H6" s="1429"/>
      <c r="I6" s="962">
        <v>150</v>
      </c>
      <c r="J6" s="963">
        <v>0.22</v>
      </c>
      <c r="K6" s="963">
        <v>0.15</v>
      </c>
      <c r="L6" s="963">
        <v>0.23</v>
      </c>
      <c r="M6" s="964">
        <f>0.5*(MAX(J6:L6)-MIN(J6:L6))</f>
        <v>4.0000000000000008E-2</v>
      </c>
      <c r="N6" s="964">
        <f t="shared" ref="N6:N11" si="0">(1.2/100)*I6</f>
        <v>1.8</v>
      </c>
      <c r="O6" s="1429"/>
      <c r="P6" s="962">
        <v>150</v>
      </c>
      <c r="Q6" s="963">
        <v>-1.43</v>
      </c>
      <c r="R6" s="963">
        <v>-1.6</v>
      </c>
      <c r="S6" s="963">
        <v>-7.0000000000000007E-2</v>
      </c>
      <c r="T6" s="964">
        <f>0.5*(MAX(Q6:S6)-MIN(Q6:S6))</f>
        <v>0.76500000000000001</v>
      </c>
      <c r="U6" s="964">
        <f>(1.2/100)*P6</f>
        <v>1.8</v>
      </c>
      <c r="V6" s="563"/>
      <c r="W6" s="564"/>
      <c r="X6" s="961"/>
    </row>
    <row r="7" spans="1:24" x14ac:dyDescent="0.25">
      <c r="A7" s="1432"/>
      <c r="B7" s="962">
        <v>180</v>
      </c>
      <c r="C7" s="963">
        <v>-0.1</v>
      </c>
      <c r="D7" s="963">
        <v>0.1</v>
      </c>
      <c r="E7" s="963">
        <v>-0.03</v>
      </c>
      <c r="F7" s="964">
        <f t="shared" ref="F7:F11" si="1">0.5*(MAX(C7:E7)-MIN(C7:E7))</f>
        <v>0.1</v>
      </c>
      <c r="G7" s="964">
        <f t="shared" ref="G7:G11" si="2">(1.2/100)*B7</f>
        <v>2.16</v>
      </c>
      <c r="H7" s="1429"/>
      <c r="I7" s="962">
        <v>180</v>
      </c>
      <c r="J7" s="963">
        <v>0.1</v>
      </c>
      <c r="K7" s="963">
        <v>0.12</v>
      </c>
      <c r="L7" s="963">
        <v>-0.06</v>
      </c>
      <c r="M7" s="964">
        <f t="shared" ref="M7:M11" si="3">0.5*(MAX(J7:L7)-MIN(J7:L7))</f>
        <v>0.09</v>
      </c>
      <c r="N7" s="964">
        <f t="shared" si="0"/>
        <v>2.16</v>
      </c>
      <c r="O7" s="1429"/>
      <c r="P7" s="962">
        <v>180</v>
      </c>
      <c r="Q7" s="963">
        <v>-1.81</v>
      </c>
      <c r="R7" s="963">
        <v>-1.9</v>
      </c>
      <c r="S7" s="963">
        <v>-0.13</v>
      </c>
      <c r="T7" s="964">
        <f t="shared" ref="T7:T11" si="4">0.5*(MAX(Q7:S7)-MIN(Q7:S7))</f>
        <v>0.88500000000000001</v>
      </c>
      <c r="U7" s="964">
        <f t="shared" ref="U7:U11" si="5">(1.2/100)*P7</f>
        <v>2.16</v>
      </c>
      <c r="V7" s="563"/>
      <c r="W7" s="564"/>
      <c r="X7" s="961"/>
    </row>
    <row r="8" spans="1:24" x14ac:dyDescent="0.25">
      <c r="A8" s="1432"/>
      <c r="B8" s="962">
        <v>200</v>
      </c>
      <c r="C8" s="963">
        <v>-0.17</v>
      </c>
      <c r="D8" s="963">
        <v>-0.04</v>
      </c>
      <c r="E8" s="963">
        <v>-0.16</v>
      </c>
      <c r="F8" s="964">
        <f t="shared" si="1"/>
        <v>6.5000000000000002E-2</v>
      </c>
      <c r="G8" s="964">
        <f t="shared" si="2"/>
        <v>2.4</v>
      </c>
      <c r="H8" s="1429"/>
      <c r="I8" s="962">
        <v>200</v>
      </c>
      <c r="J8" s="963">
        <v>0.09</v>
      </c>
      <c r="K8" s="963">
        <v>0.06</v>
      </c>
      <c r="L8" s="963">
        <v>-0.18</v>
      </c>
      <c r="M8" s="964">
        <f t="shared" si="3"/>
        <v>0.13500000000000001</v>
      </c>
      <c r="N8" s="964">
        <f t="shared" si="0"/>
        <v>2.4</v>
      </c>
      <c r="O8" s="1429"/>
      <c r="P8" s="962">
        <v>200</v>
      </c>
      <c r="Q8" s="963">
        <v>-2.0499999999999998</v>
      </c>
      <c r="R8" s="963">
        <v>-2.14</v>
      </c>
      <c r="S8" s="963">
        <v>-0.26</v>
      </c>
      <c r="T8" s="964">
        <f t="shared" si="4"/>
        <v>0.94000000000000006</v>
      </c>
      <c r="U8" s="964">
        <f t="shared" si="5"/>
        <v>2.4</v>
      </c>
      <c r="V8" s="563"/>
      <c r="W8" s="564"/>
      <c r="X8" s="961"/>
    </row>
    <row r="9" spans="1:24" x14ac:dyDescent="0.25">
      <c r="A9" s="1432"/>
      <c r="B9" s="962">
        <v>220</v>
      </c>
      <c r="C9" s="963">
        <v>-0.27</v>
      </c>
      <c r="D9" s="963">
        <v>-0.28000000000000003</v>
      </c>
      <c r="E9" s="963">
        <v>-0.18</v>
      </c>
      <c r="F9" s="964">
        <f t="shared" si="1"/>
        <v>5.0000000000000017E-2</v>
      </c>
      <c r="G9" s="964">
        <f t="shared" si="2"/>
        <v>2.64</v>
      </c>
      <c r="H9" s="1429"/>
      <c r="I9" s="962">
        <v>220</v>
      </c>
      <c r="J9" s="963">
        <v>0.53</v>
      </c>
      <c r="K9" s="963">
        <v>0.05</v>
      </c>
      <c r="L9" s="963">
        <v>-0.03</v>
      </c>
      <c r="M9" s="964">
        <f t="shared" si="3"/>
        <v>0.28000000000000003</v>
      </c>
      <c r="N9" s="964">
        <f t="shared" si="0"/>
        <v>2.64</v>
      </c>
      <c r="O9" s="1429"/>
      <c r="P9" s="962">
        <v>220</v>
      </c>
      <c r="Q9" s="963">
        <v>-2.29</v>
      </c>
      <c r="R9" s="963">
        <v>-3.44</v>
      </c>
      <c r="S9" s="963">
        <v>-0.28999999999999998</v>
      </c>
      <c r="T9" s="964">
        <f t="shared" si="4"/>
        <v>1.575</v>
      </c>
      <c r="U9" s="964">
        <f t="shared" si="5"/>
        <v>2.64</v>
      </c>
      <c r="V9" s="563"/>
      <c r="W9" s="564"/>
      <c r="X9" s="961"/>
    </row>
    <row r="10" spans="1:24" x14ac:dyDescent="0.25">
      <c r="A10" s="1432"/>
      <c r="B10" s="962">
        <v>230</v>
      </c>
      <c r="C10" s="963">
        <v>0.64</v>
      </c>
      <c r="D10" s="963">
        <v>-0.2</v>
      </c>
      <c r="E10" s="963">
        <v>-0.26</v>
      </c>
      <c r="F10" s="964">
        <f t="shared" si="1"/>
        <v>0.45</v>
      </c>
      <c r="G10" s="964">
        <f t="shared" si="2"/>
        <v>2.7600000000000002</v>
      </c>
      <c r="H10" s="1429"/>
      <c r="I10" s="962">
        <v>230</v>
      </c>
      <c r="J10" s="963">
        <v>1.08</v>
      </c>
      <c r="K10" s="963">
        <v>9.9999999999999995E-7</v>
      </c>
      <c r="L10" s="963">
        <v>0.05</v>
      </c>
      <c r="M10" s="964">
        <f t="shared" si="3"/>
        <v>0.53999950000000008</v>
      </c>
      <c r="N10" s="964">
        <f t="shared" si="0"/>
        <v>2.7600000000000002</v>
      </c>
      <c r="O10" s="1429"/>
      <c r="P10" s="962">
        <v>230</v>
      </c>
      <c r="Q10" s="963">
        <v>-11.79</v>
      </c>
      <c r="R10" s="963">
        <v>-2.52</v>
      </c>
      <c r="S10" s="963">
        <v>-0.23</v>
      </c>
      <c r="T10" s="964">
        <f t="shared" si="4"/>
        <v>5.7799999999999994</v>
      </c>
      <c r="U10" s="964">
        <f t="shared" si="5"/>
        <v>2.7600000000000002</v>
      </c>
      <c r="V10" s="563"/>
      <c r="W10" s="564"/>
      <c r="X10" s="961"/>
    </row>
    <row r="11" spans="1:24" x14ac:dyDescent="0.25">
      <c r="A11" s="1432"/>
      <c r="B11" s="962">
        <v>250</v>
      </c>
      <c r="C11" s="963">
        <v>-0.36</v>
      </c>
      <c r="D11" s="963">
        <v>-0.32</v>
      </c>
      <c r="E11" s="963">
        <v>9.9999999999999995E-7</v>
      </c>
      <c r="F11" s="964">
        <f t="shared" si="1"/>
        <v>0.18000049999999998</v>
      </c>
      <c r="G11" s="964">
        <f t="shared" si="2"/>
        <v>3</v>
      </c>
      <c r="H11" s="1429"/>
      <c r="I11" s="962">
        <v>250</v>
      </c>
      <c r="J11" s="963">
        <v>9.9999999999999995E-7</v>
      </c>
      <c r="K11" s="963">
        <v>9.9999999999999995E-7</v>
      </c>
      <c r="L11" s="963">
        <v>9.9999999999999995E-7</v>
      </c>
      <c r="M11" s="964">
        <f t="shared" si="3"/>
        <v>0</v>
      </c>
      <c r="N11" s="964">
        <f t="shared" si="0"/>
        <v>3</v>
      </c>
      <c r="O11" s="1429"/>
      <c r="P11" s="962">
        <v>250</v>
      </c>
      <c r="Q11" s="963">
        <v>9.9999999999999995E-7</v>
      </c>
      <c r="R11" s="963">
        <v>9.9999999999999995E-7</v>
      </c>
      <c r="S11" s="963">
        <v>9.9999999999999995E-7</v>
      </c>
      <c r="T11" s="964">
        <f t="shared" si="4"/>
        <v>0</v>
      </c>
      <c r="U11" s="964">
        <f t="shared" si="5"/>
        <v>3</v>
      </c>
      <c r="V11" s="563"/>
      <c r="W11" s="564"/>
      <c r="X11" s="961"/>
    </row>
    <row r="12" spans="1:24" ht="13" customHeight="1" x14ac:dyDescent="0.25">
      <c r="A12" s="1432"/>
      <c r="B12" s="1397" t="s">
        <v>113</v>
      </c>
      <c r="C12" s="1397"/>
      <c r="D12" s="1397"/>
      <c r="E12" s="1397"/>
      <c r="F12" s="1398" t="s">
        <v>150</v>
      </c>
      <c r="G12" s="1398" t="s">
        <v>80</v>
      </c>
      <c r="H12" s="1429"/>
      <c r="I12" s="1397" t="str">
        <f>B12</f>
        <v>Current Leakage</v>
      </c>
      <c r="J12" s="1397"/>
      <c r="K12" s="1397"/>
      <c r="L12" s="1397"/>
      <c r="M12" s="1398" t="s">
        <v>150</v>
      </c>
      <c r="N12" s="1398" t="s">
        <v>80</v>
      </c>
      <c r="O12" s="1429"/>
      <c r="P12" s="1397" t="str">
        <f>B12</f>
        <v>Current Leakage</v>
      </c>
      <c r="Q12" s="1397"/>
      <c r="R12" s="1397"/>
      <c r="S12" s="1397"/>
      <c r="T12" s="1398" t="s">
        <v>150</v>
      </c>
      <c r="U12" s="1398" t="s">
        <v>80</v>
      </c>
      <c r="V12" s="961"/>
      <c r="W12" s="961"/>
      <c r="X12" s="961"/>
    </row>
    <row r="13" spans="1:24" ht="14" x14ac:dyDescent="0.25">
      <c r="A13" s="1432"/>
      <c r="B13" s="958" t="s">
        <v>109</v>
      </c>
      <c r="C13" s="959">
        <f>C5</f>
        <v>2022</v>
      </c>
      <c r="D13" s="959">
        <f>D5</f>
        <v>2020</v>
      </c>
      <c r="E13" s="959">
        <f>E5</f>
        <v>2019</v>
      </c>
      <c r="F13" s="1398"/>
      <c r="G13" s="1398"/>
      <c r="H13" s="1429"/>
      <c r="I13" s="958" t="s">
        <v>109</v>
      </c>
      <c r="J13" s="959">
        <f>J5</f>
        <v>2022</v>
      </c>
      <c r="K13" s="959">
        <f>K5</f>
        <v>2019</v>
      </c>
      <c r="L13" s="959">
        <f>L5</f>
        <v>2017</v>
      </c>
      <c r="M13" s="1398"/>
      <c r="N13" s="1398"/>
      <c r="O13" s="1429"/>
      <c r="P13" s="958" t="s">
        <v>109</v>
      </c>
      <c r="Q13" s="959">
        <f>Q5</f>
        <v>2022</v>
      </c>
      <c r="R13" s="959">
        <f>R5</f>
        <v>2021</v>
      </c>
      <c r="S13" s="959">
        <f>S5</f>
        <v>2018</v>
      </c>
      <c r="T13" s="1398"/>
      <c r="U13" s="1398"/>
      <c r="V13" s="961"/>
      <c r="W13" s="961"/>
      <c r="X13" s="961"/>
    </row>
    <row r="14" spans="1:24" x14ac:dyDescent="0.25">
      <c r="A14" s="1432"/>
      <c r="B14" s="962">
        <v>9.9999999999999995E-7</v>
      </c>
      <c r="C14" s="963">
        <v>9.9999999999999995E-7</v>
      </c>
      <c r="D14" s="963">
        <v>9.9999999999999995E-7</v>
      </c>
      <c r="E14" s="963">
        <v>9.9999999999999995E-7</v>
      </c>
      <c r="F14" s="964">
        <f>0.5*(MAX(C14:E14)-MIN(C14:E14))</f>
        <v>0</v>
      </c>
      <c r="G14" s="964">
        <f t="shared" ref="G14:G19" si="6">(0.59/100)*B14</f>
        <v>5.8999999999999999E-9</v>
      </c>
      <c r="H14" s="1429"/>
      <c r="I14" s="962">
        <v>9.9999999999999995E-7</v>
      </c>
      <c r="J14" s="963">
        <v>9.9999999999999995E-7</v>
      </c>
      <c r="K14" s="963">
        <v>9.9999999999999995E-7</v>
      </c>
      <c r="L14" s="963">
        <v>9.9999999999999995E-7</v>
      </c>
      <c r="M14" s="964">
        <f>0.5*(MAX(J14:L14)-MIN(J14:L14))</f>
        <v>0</v>
      </c>
      <c r="N14" s="964">
        <f t="shared" ref="N14:N19" si="7">(0.59/100)*I14</f>
        <v>5.8999999999999999E-9</v>
      </c>
      <c r="O14" s="1429"/>
      <c r="P14" s="962">
        <v>9.9999999999999995E-7</v>
      </c>
      <c r="Q14" s="963">
        <v>9.9999999999999995E-7</v>
      </c>
      <c r="R14" s="963">
        <v>9.9999999999999995E-7</v>
      </c>
      <c r="S14" s="963">
        <v>9.9999999999999995E-7</v>
      </c>
      <c r="T14" s="964">
        <f>0.5*(MAX(Q14:S14)-MIN(Q14:S14))</f>
        <v>0</v>
      </c>
      <c r="U14" s="964">
        <f t="shared" ref="U14:U19" si="8">(0.59/100)*P14</f>
        <v>5.8999999999999999E-9</v>
      </c>
      <c r="V14" s="961"/>
      <c r="W14" s="961"/>
      <c r="X14" s="961"/>
    </row>
    <row r="15" spans="1:24" x14ac:dyDescent="0.25">
      <c r="A15" s="1432"/>
      <c r="B15" s="962">
        <v>50</v>
      </c>
      <c r="C15" s="963">
        <v>4</v>
      </c>
      <c r="D15" s="963">
        <v>0.1</v>
      </c>
      <c r="E15" s="963">
        <v>-0.06</v>
      </c>
      <c r="F15" s="964">
        <f t="shared" ref="F15:F19" si="9">0.5*(MAX(C15:E15)-MIN(C15:E15))</f>
        <v>2.0299999999999998</v>
      </c>
      <c r="G15" s="964">
        <f t="shared" si="6"/>
        <v>0.29499999999999998</v>
      </c>
      <c r="H15" s="1429"/>
      <c r="I15" s="962">
        <v>50</v>
      </c>
      <c r="J15" s="963">
        <v>1</v>
      </c>
      <c r="K15" s="963">
        <v>-0.08</v>
      </c>
      <c r="L15" s="963">
        <v>0.1</v>
      </c>
      <c r="M15" s="964">
        <f t="shared" ref="M15:M19" si="10">0.5*(MAX(J15:L15)-MIN(J15:L15))</f>
        <v>0.54</v>
      </c>
      <c r="N15" s="964">
        <f t="shared" si="7"/>
        <v>0.29499999999999998</v>
      </c>
      <c r="O15" s="1429"/>
      <c r="P15" s="962">
        <v>50</v>
      </c>
      <c r="Q15" s="963">
        <v>9.1</v>
      </c>
      <c r="R15" s="963">
        <v>-0.62</v>
      </c>
      <c r="S15" s="963">
        <v>2</v>
      </c>
      <c r="T15" s="964">
        <f t="shared" ref="T15:T19" si="11">0.5*(MAX(Q15:S15)-MIN(Q15:S15))</f>
        <v>4.8599999999999994</v>
      </c>
      <c r="U15" s="964">
        <f t="shared" si="8"/>
        <v>0.29499999999999998</v>
      </c>
      <c r="V15" s="961"/>
      <c r="W15" s="961"/>
      <c r="X15" s="961"/>
    </row>
    <row r="16" spans="1:24" x14ac:dyDescent="0.25">
      <c r="A16" s="1432"/>
      <c r="B16" s="962">
        <v>100</v>
      </c>
      <c r="C16" s="963">
        <v>3.6</v>
      </c>
      <c r="D16" s="963">
        <v>0.2</v>
      </c>
      <c r="E16" s="963">
        <v>-0.06</v>
      </c>
      <c r="F16" s="964">
        <f t="shared" si="9"/>
        <v>1.83</v>
      </c>
      <c r="G16" s="964">
        <f t="shared" si="6"/>
        <v>0.59</v>
      </c>
      <c r="H16" s="1429"/>
      <c r="I16" s="962">
        <v>100</v>
      </c>
      <c r="J16" s="963">
        <v>-0.9</v>
      </c>
      <c r="K16" s="963">
        <v>-7.0000000000000007E-2</v>
      </c>
      <c r="L16" s="963">
        <v>2.2000000000000002</v>
      </c>
      <c r="M16" s="964">
        <f t="shared" si="10"/>
        <v>1.55</v>
      </c>
      <c r="N16" s="964">
        <f t="shared" si="7"/>
        <v>0.59</v>
      </c>
      <c r="O16" s="1429"/>
      <c r="P16" s="962">
        <v>100</v>
      </c>
      <c r="Q16" s="963">
        <v>6</v>
      </c>
      <c r="R16" s="963">
        <v>-0.22</v>
      </c>
      <c r="S16" s="963">
        <v>2</v>
      </c>
      <c r="T16" s="964">
        <f t="shared" si="11"/>
        <v>3.11</v>
      </c>
      <c r="U16" s="964">
        <f t="shared" si="8"/>
        <v>0.59</v>
      </c>
      <c r="V16" s="961"/>
      <c r="W16" s="961"/>
      <c r="X16" s="961"/>
    </row>
    <row r="17" spans="1:24" x14ac:dyDescent="0.25">
      <c r="A17" s="1432"/>
      <c r="B17" s="962">
        <v>200</v>
      </c>
      <c r="C17" s="963">
        <v>2.2000000000000002</v>
      </c>
      <c r="D17" s="963">
        <v>0.4</v>
      </c>
      <c r="E17" s="963">
        <v>9.9999999999999995E-7</v>
      </c>
      <c r="F17" s="964">
        <f t="shared" si="9"/>
        <v>1.0999995</v>
      </c>
      <c r="G17" s="964">
        <f t="shared" si="6"/>
        <v>1.18</v>
      </c>
      <c r="H17" s="1429"/>
      <c r="I17" s="962">
        <v>200</v>
      </c>
      <c r="J17" s="963">
        <v>-6.4</v>
      </c>
      <c r="K17" s="963">
        <v>-0.1</v>
      </c>
      <c r="L17" s="963">
        <v>3.3</v>
      </c>
      <c r="M17" s="964">
        <f t="shared" si="10"/>
        <v>4.8499999999999996</v>
      </c>
      <c r="N17" s="964">
        <f t="shared" si="7"/>
        <v>1.18</v>
      </c>
      <c r="O17" s="1429"/>
      <c r="P17" s="962">
        <v>200</v>
      </c>
      <c r="Q17" s="963">
        <v>-3.6</v>
      </c>
      <c r="R17" s="963">
        <v>-0.1</v>
      </c>
      <c r="S17" s="963">
        <v>3.6</v>
      </c>
      <c r="T17" s="964">
        <f t="shared" si="11"/>
        <v>3.6</v>
      </c>
      <c r="U17" s="964">
        <f t="shared" si="8"/>
        <v>1.18</v>
      </c>
      <c r="V17" s="961"/>
      <c r="W17" s="961"/>
      <c r="X17" s="961"/>
    </row>
    <row r="18" spans="1:24" x14ac:dyDescent="0.25">
      <c r="A18" s="1432"/>
      <c r="B18" s="962">
        <v>500</v>
      </c>
      <c r="C18" s="963">
        <v>-2</v>
      </c>
      <c r="D18" s="963">
        <v>3.8</v>
      </c>
      <c r="E18" s="963">
        <v>-0.9</v>
      </c>
      <c r="F18" s="964">
        <f t="shared" si="9"/>
        <v>2.9</v>
      </c>
      <c r="G18" s="964">
        <f t="shared" si="6"/>
        <v>2.9499999999999997</v>
      </c>
      <c r="H18" s="1429"/>
      <c r="I18" s="962">
        <v>500</v>
      </c>
      <c r="J18" s="963">
        <v>-21.7</v>
      </c>
      <c r="K18" s="963">
        <v>0.8</v>
      </c>
      <c r="L18" s="963">
        <v>2</v>
      </c>
      <c r="M18" s="964">
        <f t="shared" si="10"/>
        <v>11.85</v>
      </c>
      <c r="N18" s="964">
        <f t="shared" si="7"/>
        <v>2.9499999999999997</v>
      </c>
      <c r="O18" s="1429"/>
      <c r="P18" s="962">
        <v>500</v>
      </c>
      <c r="Q18" s="963">
        <v>-18.8</v>
      </c>
      <c r="R18" s="963">
        <v>-1.1000000000000001</v>
      </c>
      <c r="S18" s="963">
        <v>2.9</v>
      </c>
      <c r="T18" s="964">
        <f t="shared" si="11"/>
        <v>10.85</v>
      </c>
      <c r="U18" s="964">
        <f t="shared" si="8"/>
        <v>2.9499999999999997</v>
      </c>
      <c r="V18" s="961"/>
      <c r="W18" s="961"/>
      <c r="X18" s="961"/>
    </row>
    <row r="19" spans="1:24" x14ac:dyDescent="0.25">
      <c r="A19" s="1432"/>
      <c r="B19" s="962">
        <v>1000</v>
      </c>
      <c r="C19" s="963">
        <v>-26</v>
      </c>
      <c r="D19" s="963">
        <v>9.9999999999999995E-7</v>
      </c>
      <c r="E19" s="963">
        <v>9.9999999999999995E-7</v>
      </c>
      <c r="F19" s="964">
        <f t="shared" si="9"/>
        <v>13.000000500000001</v>
      </c>
      <c r="G19" s="964">
        <f t="shared" si="6"/>
        <v>5.8999999999999995</v>
      </c>
      <c r="H19" s="1429"/>
      <c r="I19" s="962">
        <v>1000</v>
      </c>
      <c r="J19" s="963">
        <v>-67</v>
      </c>
      <c r="K19" s="963">
        <v>9.9999999999999995E-7</v>
      </c>
      <c r="L19" s="963">
        <v>9.9999999999999995E-7</v>
      </c>
      <c r="M19" s="964">
        <f t="shared" si="10"/>
        <v>33.500000499999999</v>
      </c>
      <c r="N19" s="964">
        <f t="shared" si="7"/>
        <v>5.8999999999999995</v>
      </c>
      <c r="O19" s="1429"/>
      <c r="P19" s="962">
        <v>1000</v>
      </c>
      <c r="Q19" s="963">
        <v>-47</v>
      </c>
      <c r="R19" s="963">
        <v>3</v>
      </c>
      <c r="S19" s="963">
        <v>3</v>
      </c>
      <c r="T19" s="964">
        <f t="shared" si="11"/>
        <v>25</v>
      </c>
      <c r="U19" s="964">
        <f t="shared" si="8"/>
        <v>5.8999999999999995</v>
      </c>
      <c r="V19" s="961"/>
      <c r="W19" s="961"/>
      <c r="X19" s="961"/>
    </row>
    <row r="20" spans="1:24" ht="13" x14ac:dyDescent="0.25">
      <c r="A20" s="1432"/>
      <c r="B20" s="1397" t="s">
        <v>110</v>
      </c>
      <c r="C20" s="1397"/>
      <c r="D20" s="1397"/>
      <c r="E20" s="1397"/>
      <c r="F20" s="1398" t="s">
        <v>150</v>
      </c>
      <c r="G20" s="1398" t="s">
        <v>80</v>
      </c>
      <c r="H20" s="1429"/>
      <c r="I20" s="1397" t="str">
        <f>B20</f>
        <v>Main-PE</v>
      </c>
      <c r="J20" s="1397"/>
      <c r="K20" s="1397"/>
      <c r="L20" s="1397"/>
      <c r="M20" s="1398" t="s">
        <v>150</v>
      </c>
      <c r="N20" s="1398" t="s">
        <v>80</v>
      </c>
      <c r="O20" s="1429"/>
      <c r="P20" s="1397" t="str">
        <f>B20</f>
        <v>Main-PE</v>
      </c>
      <c r="Q20" s="1397"/>
      <c r="R20" s="1397"/>
      <c r="S20" s="1397"/>
      <c r="T20" s="1398" t="s">
        <v>150</v>
      </c>
      <c r="U20" s="1398" t="s">
        <v>80</v>
      </c>
      <c r="V20" s="961"/>
      <c r="W20" s="961"/>
      <c r="X20" s="961"/>
    </row>
    <row r="21" spans="1:24" ht="14.5" x14ac:dyDescent="0.25">
      <c r="A21" s="1432"/>
      <c r="B21" s="958" t="s">
        <v>469</v>
      </c>
      <c r="C21" s="959">
        <f>C5</f>
        <v>2022</v>
      </c>
      <c r="D21" s="959">
        <f>D5</f>
        <v>2020</v>
      </c>
      <c r="E21" s="959">
        <f>E5</f>
        <v>2019</v>
      </c>
      <c r="F21" s="1398"/>
      <c r="G21" s="1398"/>
      <c r="H21" s="1429"/>
      <c r="I21" s="958" t="s">
        <v>469</v>
      </c>
      <c r="J21" s="959">
        <f>J5</f>
        <v>2022</v>
      </c>
      <c r="K21" s="959">
        <f>K5</f>
        <v>2019</v>
      </c>
      <c r="L21" s="959">
        <f>L5</f>
        <v>2017</v>
      </c>
      <c r="M21" s="1398"/>
      <c r="N21" s="1398"/>
      <c r="O21" s="1429"/>
      <c r="P21" s="958" t="s">
        <v>469</v>
      </c>
      <c r="Q21" s="959">
        <f>Q5</f>
        <v>2022</v>
      </c>
      <c r="R21" s="959">
        <f>R5</f>
        <v>2021</v>
      </c>
      <c r="S21" s="959">
        <f>S5</f>
        <v>2018</v>
      </c>
      <c r="T21" s="1398"/>
      <c r="U21" s="1398"/>
      <c r="V21" s="961"/>
      <c r="W21" s="961"/>
      <c r="X21" s="961"/>
    </row>
    <row r="22" spans="1:24" x14ac:dyDescent="0.25">
      <c r="A22" s="1432"/>
      <c r="B22" s="962">
        <v>10</v>
      </c>
      <c r="C22" s="963">
        <v>9.9999999999999995E-7</v>
      </c>
      <c r="D22" s="963">
        <v>-1E-3</v>
      </c>
      <c r="E22" s="963">
        <v>9.9999999999999995E-7</v>
      </c>
      <c r="F22" s="964">
        <f>0.5*(MAX(C22:E22)-MIN(C22:E22))</f>
        <v>5.0049999999999997E-4</v>
      </c>
      <c r="G22" s="964">
        <f>(1.7/100)*B22</f>
        <v>0.17</v>
      </c>
      <c r="H22" s="1429"/>
      <c r="I22" s="962">
        <v>10</v>
      </c>
      <c r="J22" s="963">
        <v>9.9999999999999995E-7</v>
      </c>
      <c r="K22" s="963">
        <v>0.1</v>
      </c>
      <c r="L22" s="963">
        <v>9.9999999999999995E-7</v>
      </c>
      <c r="M22" s="964">
        <f>0.5*(MAX(J22:L22)-MIN(J22:L22))</f>
        <v>4.9999500000000002E-2</v>
      </c>
      <c r="N22" s="964">
        <f>(1.7/100)*I22</f>
        <v>0.17</v>
      </c>
      <c r="O22" s="1429"/>
      <c r="P22" s="962">
        <v>5</v>
      </c>
      <c r="Q22" s="963">
        <v>9.9999999999999995E-7</v>
      </c>
      <c r="R22" s="963">
        <v>9.9999999999999995E-7</v>
      </c>
      <c r="S22" s="963">
        <v>9.9999999999999995E-7</v>
      </c>
      <c r="T22" s="964">
        <f>0.5*(MAX(Q22:S22)-MIN(Q22:S22))</f>
        <v>0</v>
      </c>
      <c r="U22" s="964">
        <f>(1.7/100)*P22</f>
        <v>8.5000000000000006E-2</v>
      </c>
      <c r="V22" s="961"/>
      <c r="W22" s="961"/>
      <c r="X22" s="961"/>
    </row>
    <row r="23" spans="1:24" x14ac:dyDescent="0.25">
      <c r="A23" s="1432"/>
      <c r="B23" s="962">
        <v>20</v>
      </c>
      <c r="C23" s="963">
        <v>0.1</v>
      </c>
      <c r="D23" s="963">
        <v>9.9999999999999995E-7</v>
      </c>
      <c r="E23" s="963">
        <v>9.9999999999999995E-7</v>
      </c>
      <c r="F23" s="964">
        <f t="shared" ref="F23:F25" si="12">0.5*(MAX(C23:E23)-MIN(C23:E23))</f>
        <v>4.9999500000000002E-2</v>
      </c>
      <c r="G23" s="964">
        <f t="shared" ref="G23:G25" si="13">(1.7/100)*B23</f>
        <v>0.34</v>
      </c>
      <c r="H23" s="1429"/>
      <c r="I23" s="962">
        <v>20</v>
      </c>
      <c r="J23" s="963">
        <v>0.1</v>
      </c>
      <c r="K23" s="963">
        <v>0.2</v>
      </c>
      <c r="L23" s="963">
        <v>0.1</v>
      </c>
      <c r="M23" s="964">
        <f t="shared" ref="M23:M25" si="14">0.5*(MAX(J23:L23)-MIN(J23:L23))</f>
        <v>0.05</v>
      </c>
      <c r="N23" s="964">
        <f t="shared" ref="N23:N25" si="15">(1.7/100)*I23</f>
        <v>0.34</v>
      </c>
      <c r="O23" s="1429"/>
      <c r="P23" s="962">
        <v>10</v>
      </c>
      <c r="Q23" s="963">
        <v>9.9999999999999995E-7</v>
      </c>
      <c r="R23" s="963">
        <v>9.9999999999999995E-7</v>
      </c>
      <c r="S23" s="963">
        <v>9.9999999999999995E-7</v>
      </c>
      <c r="T23" s="964">
        <f t="shared" ref="T23:T25" si="16">0.5*(MAX(Q23:S23)-MIN(Q23:S23))</f>
        <v>0</v>
      </c>
      <c r="U23" s="964">
        <f>(1.7/100)*P23</f>
        <v>0.17</v>
      </c>
      <c r="V23" s="961"/>
      <c r="W23" s="961"/>
      <c r="X23" s="961"/>
    </row>
    <row r="24" spans="1:24" x14ac:dyDescent="0.25">
      <c r="A24" s="1432"/>
      <c r="B24" s="962">
        <v>50</v>
      </c>
      <c r="C24" s="963">
        <v>0.3</v>
      </c>
      <c r="D24" s="963">
        <v>9.9999999999999995E-7</v>
      </c>
      <c r="E24" s="963">
        <v>9.9999999999999995E-7</v>
      </c>
      <c r="F24" s="964">
        <f t="shared" si="12"/>
        <v>0.14999950000000001</v>
      </c>
      <c r="G24" s="964">
        <f t="shared" si="13"/>
        <v>0.85000000000000009</v>
      </c>
      <c r="H24" s="1429"/>
      <c r="I24" s="962">
        <v>50</v>
      </c>
      <c r="J24" s="963">
        <v>0.2</v>
      </c>
      <c r="K24" s="963">
        <v>0.3</v>
      </c>
      <c r="L24" s="963">
        <v>0.1</v>
      </c>
      <c r="M24" s="964">
        <f t="shared" si="14"/>
        <v>9.9999999999999992E-2</v>
      </c>
      <c r="N24" s="964">
        <f t="shared" si="15"/>
        <v>0.85000000000000009</v>
      </c>
      <c r="O24" s="1429"/>
      <c r="P24" s="962">
        <v>20</v>
      </c>
      <c r="Q24" s="963">
        <v>9.9999999999999995E-7</v>
      </c>
      <c r="R24" s="963">
        <v>0.4</v>
      </c>
      <c r="S24" s="963">
        <v>0.3</v>
      </c>
      <c r="T24" s="964">
        <f t="shared" si="16"/>
        <v>0.19999950000000002</v>
      </c>
      <c r="U24" s="964">
        <f>(1.7/100)*P24</f>
        <v>0.34</v>
      </c>
      <c r="V24" s="961"/>
      <c r="W24" s="961"/>
      <c r="X24" s="961"/>
    </row>
    <row r="25" spans="1:24" x14ac:dyDescent="0.25">
      <c r="A25" s="1432"/>
      <c r="B25" s="962">
        <v>100</v>
      </c>
      <c r="C25" s="963">
        <v>0.4</v>
      </c>
      <c r="D25" s="963">
        <v>9.9999999999999995E-7</v>
      </c>
      <c r="E25" s="963">
        <v>9.9999999999999995E-7</v>
      </c>
      <c r="F25" s="964">
        <f t="shared" si="12"/>
        <v>0.19999950000000002</v>
      </c>
      <c r="G25" s="964">
        <f t="shared" si="13"/>
        <v>1.7000000000000002</v>
      </c>
      <c r="H25" s="1429"/>
      <c r="I25" s="962">
        <v>100</v>
      </c>
      <c r="J25" s="963">
        <v>0.2</v>
      </c>
      <c r="K25" s="963">
        <v>0.3</v>
      </c>
      <c r="L25" s="963">
        <v>9.9999999999999995E-7</v>
      </c>
      <c r="M25" s="964">
        <f t="shared" si="14"/>
        <v>0.14999950000000001</v>
      </c>
      <c r="N25" s="964">
        <f t="shared" si="15"/>
        <v>1.7000000000000002</v>
      </c>
      <c r="O25" s="1429"/>
      <c r="P25" s="962">
        <v>50</v>
      </c>
      <c r="Q25" s="963">
        <v>0.1</v>
      </c>
      <c r="R25" s="963">
        <v>1.1000000000000001</v>
      </c>
      <c r="S25" s="963">
        <v>0.6</v>
      </c>
      <c r="T25" s="964">
        <f t="shared" si="16"/>
        <v>0.5</v>
      </c>
      <c r="U25" s="964">
        <f>(1.7/100)*P25</f>
        <v>0.85000000000000009</v>
      </c>
      <c r="V25" s="961"/>
      <c r="W25" s="961"/>
      <c r="X25" s="961"/>
    </row>
    <row r="26" spans="1:24" ht="13" customHeight="1" x14ac:dyDescent="0.25">
      <c r="A26" s="1432"/>
      <c r="B26" s="1397" t="s">
        <v>111</v>
      </c>
      <c r="C26" s="1397"/>
      <c r="D26" s="1397"/>
      <c r="E26" s="1397"/>
      <c r="F26" s="1398" t="s">
        <v>150</v>
      </c>
      <c r="G26" s="1398" t="s">
        <v>80</v>
      </c>
      <c r="H26" s="1429"/>
      <c r="I26" s="1397" t="str">
        <f>B26</f>
        <v>Resistance</v>
      </c>
      <c r="J26" s="1397"/>
      <c r="K26" s="1397"/>
      <c r="L26" s="1397"/>
      <c r="M26" s="1398" t="s">
        <v>150</v>
      </c>
      <c r="N26" s="1398" t="s">
        <v>80</v>
      </c>
      <c r="O26" s="1429"/>
      <c r="P26" s="1397" t="str">
        <f>B26</f>
        <v>Resistance</v>
      </c>
      <c r="Q26" s="1397"/>
      <c r="R26" s="1397"/>
      <c r="S26" s="1397"/>
      <c r="T26" s="1398" t="s">
        <v>150</v>
      </c>
      <c r="U26" s="1398" t="s">
        <v>80</v>
      </c>
      <c r="V26" s="961"/>
      <c r="W26" s="961"/>
      <c r="X26" s="961"/>
    </row>
    <row r="27" spans="1:24" ht="14.5" x14ac:dyDescent="0.25">
      <c r="A27" s="1432"/>
      <c r="B27" s="958" t="s">
        <v>470</v>
      </c>
      <c r="C27" s="959">
        <f>C5</f>
        <v>2022</v>
      </c>
      <c r="D27" s="959">
        <f>D5</f>
        <v>2020</v>
      </c>
      <c r="E27" s="959">
        <f>E5</f>
        <v>2019</v>
      </c>
      <c r="F27" s="1398"/>
      <c r="G27" s="1398"/>
      <c r="H27" s="1429"/>
      <c r="I27" s="958" t="s">
        <v>470</v>
      </c>
      <c r="J27" s="959">
        <f>J5</f>
        <v>2022</v>
      </c>
      <c r="K27" s="959">
        <f>K5</f>
        <v>2019</v>
      </c>
      <c r="L27" s="959">
        <f>L5</f>
        <v>2017</v>
      </c>
      <c r="M27" s="1398"/>
      <c r="N27" s="1398"/>
      <c r="O27" s="1429"/>
      <c r="P27" s="958" t="s">
        <v>470</v>
      </c>
      <c r="Q27" s="959">
        <f>Q5</f>
        <v>2022</v>
      </c>
      <c r="R27" s="959">
        <f>R5</f>
        <v>2021</v>
      </c>
      <c r="S27" s="959">
        <f>S5</f>
        <v>2018</v>
      </c>
      <c r="T27" s="1398"/>
      <c r="U27" s="1398"/>
      <c r="V27" s="961"/>
      <c r="W27" s="961"/>
      <c r="X27" s="961"/>
    </row>
    <row r="28" spans="1:24" x14ac:dyDescent="0.25">
      <c r="A28" s="1432"/>
      <c r="B28" s="660">
        <v>9.9999999999999995E-7</v>
      </c>
      <c r="C28" s="963">
        <v>-2E-3</v>
      </c>
      <c r="D28" s="963">
        <v>9.9999999999999995E-7</v>
      </c>
      <c r="E28" s="963">
        <v>9.9999999999999995E-7</v>
      </c>
      <c r="F28" s="964">
        <f>0.5*(MAX(C28:E28)-MIN(C28:E28))</f>
        <v>1.0005000000000001E-3</v>
      </c>
      <c r="G28" s="964">
        <f>(1.2/100)*B28</f>
        <v>1.2E-8</v>
      </c>
      <c r="H28" s="1429"/>
      <c r="I28" s="660">
        <v>0.01</v>
      </c>
      <c r="J28" s="963">
        <v>9.9999999999999995E-7</v>
      </c>
      <c r="K28" s="963">
        <v>9.9999999999999995E-7</v>
      </c>
      <c r="L28" s="963">
        <v>9.9999999999999995E-7</v>
      </c>
      <c r="M28" s="964">
        <f>0.5*(MAX(J28:L28)-MIN(J28:L28))</f>
        <v>0</v>
      </c>
      <c r="N28" s="964">
        <f>(1.2/100)*I28</f>
        <v>1.2E-4</v>
      </c>
      <c r="O28" s="1429"/>
      <c r="P28" s="660">
        <v>9.9999999999999995E-7</v>
      </c>
      <c r="Q28" s="963">
        <v>-1E-3</v>
      </c>
      <c r="R28" s="963">
        <v>9.9999999999999995E-7</v>
      </c>
      <c r="S28" s="963">
        <v>9.9999999999999995E-7</v>
      </c>
      <c r="T28" s="964">
        <f>0.5*(MAX(Q28:S28)-MIN(Q28:S28))</f>
        <v>5.0049999999999997E-4</v>
      </c>
      <c r="U28" s="964">
        <f>(1.2/100)*P28</f>
        <v>1.2E-8</v>
      </c>
      <c r="V28" s="961"/>
      <c r="W28" s="961"/>
      <c r="X28" s="961"/>
    </row>
    <row r="29" spans="1:24" x14ac:dyDescent="0.25">
      <c r="A29" s="1432"/>
      <c r="B29" s="660">
        <v>0.1</v>
      </c>
      <c r="C29" s="963">
        <v>1E-3</v>
      </c>
      <c r="D29" s="963">
        <v>-1E-3</v>
      </c>
      <c r="E29" s="963">
        <v>2E-3</v>
      </c>
      <c r="F29" s="964">
        <f t="shared" ref="F29:F31" si="17">0.5*(MAX(C29:E29)-MIN(C29:E29))</f>
        <v>1.5E-3</v>
      </c>
      <c r="G29" s="964">
        <f>(1.2/100)*B29</f>
        <v>1.2000000000000001E-3</v>
      </c>
      <c r="H29" s="1429"/>
      <c r="I29" s="660">
        <v>0.1</v>
      </c>
      <c r="J29" s="963">
        <v>5.0000000000000001E-3</v>
      </c>
      <c r="K29" s="963">
        <v>6.0000000000000001E-3</v>
      </c>
      <c r="L29" s="963">
        <v>5.0000000000000001E-3</v>
      </c>
      <c r="M29" s="964">
        <f t="shared" ref="M29:M31" si="18">0.5*(MAX(J29:L29)-MIN(J29:L29))</f>
        <v>5.0000000000000001E-4</v>
      </c>
      <c r="N29" s="964">
        <f>(1.2/100)*I29</f>
        <v>1.2000000000000001E-3</v>
      </c>
      <c r="O29" s="1429"/>
      <c r="P29" s="660">
        <v>0.5</v>
      </c>
      <c r="Q29" s="963">
        <v>-2E-3</v>
      </c>
      <c r="R29" s="963">
        <v>-1E-3</v>
      </c>
      <c r="S29" s="963">
        <v>9.9999999999999995E-7</v>
      </c>
      <c r="T29" s="964">
        <f t="shared" ref="T29:T31" si="19">0.5*(MAX(Q29:S29)-MIN(Q29:S29))</f>
        <v>1.0005000000000001E-3</v>
      </c>
      <c r="U29" s="964">
        <f>(1.2/100)*P29</f>
        <v>6.0000000000000001E-3</v>
      </c>
      <c r="V29" s="961"/>
      <c r="W29" s="961"/>
      <c r="X29" s="961"/>
    </row>
    <row r="30" spans="1:24" x14ac:dyDescent="0.25">
      <c r="A30" s="1432"/>
      <c r="B30" s="660">
        <v>1</v>
      </c>
      <c r="C30" s="963">
        <v>4.0000000000000001E-3</v>
      </c>
      <c r="D30" s="963">
        <v>4.0000000000000001E-3</v>
      </c>
      <c r="E30" s="963">
        <v>1.2E-2</v>
      </c>
      <c r="F30" s="964">
        <f t="shared" si="17"/>
        <v>4.0000000000000001E-3</v>
      </c>
      <c r="G30" s="964">
        <f>(1.2/100)*B30</f>
        <v>1.2E-2</v>
      </c>
      <c r="H30" s="1429"/>
      <c r="I30" s="660">
        <v>1</v>
      </c>
      <c r="J30" s="963">
        <v>5.8000000000000003E-2</v>
      </c>
      <c r="K30" s="963">
        <v>4.4999999999999998E-2</v>
      </c>
      <c r="L30" s="963">
        <v>5.5E-2</v>
      </c>
      <c r="M30" s="964">
        <f t="shared" si="18"/>
        <v>6.5000000000000023E-3</v>
      </c>
      <c r="N30" s="964">
        <f>(1.2/100)*I30</f>
        <v>1.2E-2</v>
      </c>
      <c r="O30" s="1429"/>
      <c r="P30" s="660">
        <v>1</v>
      </c>
      <c r="Q30" s="963">
        <v>-1.2E-2</v>
      </c>
      <c r="R30" s="963">
        <v>5.0000000000000001E-3</v>
      </c>
      <c r="S30" s="963">
        <v>9.9999999999999995E-7</v>
      </c>
      <c r="T30" s="964">
        <f t="shared" si="19"/>
        <v>8.5000000000000006E-3</v>
      </c>
      <c r="U30" s="964">
        <f>(1.2/100)*P30</f>
        <v>1.2E-2</v>
      </c>
      <c r="V30" s="961"/>
      <c r="W30" s="961"/>
      <c r="X30" s="961"/>
    </row>
    <row r="31" spans="1:24" x14ac:dyDescent="0.25">
      <c r="A31" s="1432"/>
      <c r="B31" s="660">
        <v>2</v>
      </c>
      <c r="C31" s="963">
        <v>1.2E-2</v>
      </c>
      <c r="D31" s="963">
        <v>7.0000000000000001E-3</v>
      </c>
      <c r="E31" s="963">
        <v>9.9999999999999995E-7</v>
      </c>
      <c r="F31" s="964">
        <f t="shared" si="17"/>
        <v>5.9995000000000005E-3</v>
      </c>
      <c r="G31" s="964">
        <f>(1.2/100)*B31</f>
        <v>2.4E-2</v>
      </c>
      <c r="H31" s="1429"/>
      <c r="I31" s="660">
        <v>2</v>
      </c>
      <c r="J31" s="963">
        <v>0.113</v>
      </c>
      <c r="K31" s="963">
        <v>9.9999999999999995E-7</v>
      </c>
      <c r="L31" s="963">
        <v>9.9999999999999995E-7</v>
      </c>
      <c r="M31" s="964">
        <f t="shared" si="18"/>
        <v>5.6499500000000001E-2</v>
      </c>
      <c r="N31" s="964">
        <f>(1.2/100)*I31</f>
        <v>2.4E-2</v>
      </c>
      <c r="O31" s="1429"/>
      <c r="P31" s="660">
        <v>2</v>
      </c>
      <c r="Q31" s="963">
        <v>-8.0000000000000002E-3</v>
      </c>
      <c r="R31" s="963">
        <v>1.4E-2</v>
      </c>
      <c r="S31" s="963">
        <v>9.9999999999999995E-7</v>
      </c>
      <c r="T31" s="964">
        <f t="shared" si="19"/>
        <v>1.0999999999999999E-2</v>
      </c>
      <c r="U31" s="964">
        <f>(1.2/100)*P31</f>
        <v>2.4E-2</v>
      </c>
      <c r="V31" s="961"/>
      <c r="W31" s="961"/>
      <c r="X31" s="961"/>
    </row>
    <row r="32" spans="1:24" x14ac:dyDescent="0.25">
      <c r="A32" s="965"/>
      <c r="T32" s="966"/>
      <c r="V32" s="961"/>
      <c r="W32" s="961"/>
      <c r="X32" s="961"/>
    </row>
    <row r="33" spans="1:24" ht="14.5" x14ac:dyDescent="0.25">
      <c r="A33" s="1432" t="s">
        <v>151</v>
      </c>
      <c r="B33" s="1434" t="s">
        <v>115</v>
      </c>
      <c r="C33" s="1434"/>
      <c r="D33" s="1434"/>
      <c r="E33" s="1434"/>
      <c r="F33" s="1434"/>
      <c r="G33" s="1434"/>
      <c r="H33" s="1429" t="s">
        <v>152</v>
      </c>
      <c r="I33" s="1435" t="s">
        <v>116</v>
      </c>
      <c r="J33" s="1435"/>
      <c r="K33" s="1435"/>
      <c r="L33" s="1435"/>
      <c r="M33" s="1435"/>
      <c r="N33" s="1435"/>
      <c r="O33" s="1429" t="s">
        <v>153</v>
      </c>
      <c r="P33" s="1434" t="s">
        <v>117</v>
      </c>
      <c r="Q33" s="1434"/>
      <c r="R33" s="1434"/>
      <c r="S33" s="1434"/>
      <c r="T33" s="1434"/>
      <c r="U33" s="1434"/>
      <c r="V33" s="961"/>
      <c r="W33" s="961"/>
      <c r="X33" s="961"/>
    </row>
    <row r="34" spans="1:24" ht="14" x14ac:dyDescent="0.3">
      <c r="A34" s="1432"/>
      <c r="B34" s="1416" t="s">
        <v>106</v>
      </c>
      <c r="C34" s="1416"/>
      <c r="D34" s="1416"/>
      <c r="E34" s="1416"/>
      <c r="F34" s="1416"/>
      <c r="G34" s="1416"/>
      <c r="H34" s="1429"/>
      <c r="I34" s="1416" t="s">
        <v>106</v>
      </c>
      <c r="J34" s="1416"/>
      <c r="K34" s="1416"/>
      <c r="L34" s="1416"/>
      <c r="M34" s="1416"/>
      <c r="N34" s="1416"/>
      <c r="O34" s="1429"/>
      <c r="P34" s="1416" t="s">
        <v>106</v>
      </c>
      <c r="Q34" s="1416"/>
      <c r="R34" s="1416"/>
      <c r="S34" s="1416"/>
      <c r="T34" s="1416"/>
      <c r="U34" s="1416"/>
      <c r="V34" s="961"/>
      <c r="W34" s="961"/>
      <c r="X34" s="961"/>
    </row>
    <row r="35" spans="1:24" ht="13" x14ac:dyDescent="0.25">
      <c r="A35" s="1432"/>
      <c r="B35" s="1398" t="str">
        <f>B4</f>
        <v>Setting VAC</v>
      </c>
      <c r="C35" s="1398"/>
      <c r="D35" s="1398"/>
      <c r="E35" s="1398"/>
      <c r="F35" s="1398" t="s">
        <v>150</v>
      </c>
      <c r="G35" s="1398" t="s">
        <v>80</v>
      </c>
      <c r="H35" s="1429"/>
      <c r="I35" s="1398" t="str">
        <f>B35</f>
        <v>Setting VAC</v>
      </c>
      <c r="J35" s="1398"/>
      <c r="K35" s="1398"/>
      <c r="L35" s="1398"/>
      <c r="M35" s="1398" t="s">
        <v>150</v>
      </c>
      <c r="N35" s="1398" t="s">
        <v>80</v>
      </c>
      <c r="O35" s="1429"/>
      <c r="P35" s="1398" t="str">
        <f>I35</f>
        <v>Setting VAC</v>
      </c>
      <c r="Q35" s="1398"/>
      <c r="R35" s="1398"/>
      <c r="S35" s="1398"/>
      <c r="T35" s="1398" t="s">
        <v>150</v>
      </c>
      <c r="U35" s="1398" t="s">
        <v>80</v>
      </c>
      <c r="V35" s="961"/>
      <c r="W35" s="961"/>
      <c r="X35" s="961"/>
    </row>
    <row r="36" spans="1:24" ht="14" x14ac:dyDescent="0.25">
      <c r="A36" s="1432"/>
      <c r="B36" s="958" t="s">
        <v>108</v>
      </c>
      <c r="C36" s="959">
        <v>2022</v>
      </c>
      <c r="D36" s="959">
        <v>2021</v>
      </c>
      <c r="E36" s="959">
        <v>2019</v>
      </c>
      <c r="F36" s="1398"/>
      <c r="G36" s="1398"/>
      <c r="H36" s="1429"/>
      <c r="I36" s="958" t="s">
        <v>108</v>
      </c>
      <c r="J36" s="959">
        <v>2022</v>
      </c>
      <c r="K36" s="959">
        <v>2021</v>
      </c>
      <c r="L36" s="959">
        <v>2019</v>
      </c>
      <c r="M36" s="1398"/>
      <c r="N36" s="1398"/>
      <c r="O36" s="1429"/>
      <c r="P36" s="958" t="s">
        <v>108</v>
      </c>
      <c r="Q36" s="959">
        <v>2022</v>
      </c>
      <c r="R36" s="959">
        <v>2019</v>
      </c>
      <c r="S36" s="959">
        <v>2018</v>
      </c>
      <c r="T36" s="1398"/>
      <c r="U36" s="1398"/>
      <c r="V36" s="960"/>
      <c r="W36" s="960"/>
      <c r="X36" s="961"/>
    </row>
    <row r="37" spans="1:24" x14ac:dyDescent="0.25">
      <c r="A37" s="1432"/>
      <c r="B37" s="962">
        <v>150</v>
      </c>
      <c r="C37" s="963">
        <v>0.08</v>
      </c>
      <c r="D37" s="963">
        <v>-0.05</v>
      </c>
      <c r="E37" s="963">
        <v>0.11</v>
      </c>
      <c r="F37" s="964">
        <f>0.5*(MAX(C37:E37)-MIN(C37:E37))</f>
        <v>0.08</v>
      </c>
      <c r="G37" s="964">
        <f t="shared" ref="G37:G42" si="20">(1.2/100)*B37</f>
        <v>1.8</v>
      </c>
      <c r="H37" s="1429"/>
      <c r="I37" s="962">
        <v>150</v>
      </c>
      <c r="J37" s="963">
        <v>0.02</v>
      </c>
      <c r="K37" s="963">
        <v>0.25</v>
      </c>
      <c r="L37" s="963">
        <v>0.02</v>
      </c>
      <c r="M37" s="964">
        <f>0.5*(MAX(J37:L37)-MIN(J37:L37))</f>
        <v>0.115</v>
      </c>
      <c r="N37" s="964">
        <f t="shared" ref="N37:N42" si="21">(1.2/100)*I37</f>
        <v>1.8</v>
      </c>
      <c r="O37" s="1429"/>
      <c r="P37" s="962">
        <v>150</v>
      </c>
      <c r="Q37" s="963">
        <v>0.15</v>
      </c>
      <c r="R37" s="963">
        <v>-0.15</v>
      </c>
      <c r="S37" s="963">
        <v>0.03</v>
      </c>
      <c r="T37" s="964">
        <f>0.5*(MAX(Q37:S37)-MIN(Q37:S37))</f>
        <v>0.15</v>
      </c>
      <c r="U37" s="964">
        <f t="shared" ref="U37:U42" si="22">(1.2/100)*P37</f>
        <v>1.8</v>
      </c>
      <c r="V37" s="563"/>
      <c r="W37" s="564"/>
      <c r="X37" s="961"/>
    </row>
    <row r="38" spans="1:24" x14ac:dyDescent="0.25">
      <c r="A38" s="1432"/>
      <c r="B38" s="962">
        <v>180</v>
      </c>
      <c r="C38" s="963">
        <v>0.11</v>
      </c>
      <c r="D38" s="963">
        <v>-0.04</v>
      </c>
      <c r="E38" s="963">
        <v>0.03</v>
      </c>
      <c r="F38" s="964">
        <f t="shared" ref="F38:F42" si="23">0.5*(MAX(C38:E38)-MIN(C38:E38))</f>
        <v>7.4999999999999997E-2</v>
      </c>
      <c r="G38" s="964">
        <f t="shared" si="20"/>
        <v>2.16</v>
      </c>
      <c r="H38" s="1429"/>
      <c r="I38" s="962">
        <v>180</v>
      </c>
      <c r="J38" s="963">
        <v>-0.08</v>
      </c>
      <c r="K38" s="963">
        <v>0.09</v>
      </c>
      <c r="L38" s="963">
        <v>0.1</v>
      </c>
      <c r="M38" s="964">
        <f t="shared" ref="M38:M42" si="24">0.5*(MAX(J38:L38)-MIN(J38:L38))</f>
        <v>0.09</v>
      </c>
      <c r="N38" s="964">
        <f t="shared" si="21"/>
        <v>2.16</v>
      </c>
      <c r="O38" s="1429"/>
      <c r="P38" s="962">
        <v>180</v>
      </c>
      <c r="Q38" s="963">
        <v>0.17</v>
      </c>
      <c r="R38" s="963">
        <v>-0.11</v>
      </c>
      <c r="S38" s="963">
        <v>9.9999999999999995E-7</v>
      </c>
      <c r="T38" s="964">
        <f t="shared" ref="T38:T42" si="25">0.5*(MAX(Q38:S38)-MIN(Q38:S38))</f>
        <v>0.14000000000000001</v>
      </c>
      <c r="U38" s="964">
        <f t="shared" si="22"/>
        <v>2.16</v>
      </c>
      <c r="V38" s="563"/>
      <c r="W38" s="564"/>
      <c r="X38" s="961"/>
    </row>
    <row r="39" spans="1:24" x14ac:dyDescent="0.25">
      <c r="A39" s="1432"/>
      <c r="B39" s="962">
        <v>200</v>
      </c>
      <c r="C39" s="963">
        <v>0.11</v>
      </c>
      <c r="D39" s="963">
        <v>-0.67</v>
      </c>
      <c r="E39" s="963">
        <v>0.05</v>
      </c>
      <c r="F39" s="964">
        <f t="shared" si="23"/>
        <v>0.39</v>
      </c>
      <c r="G39" s="964">
        <f t="shared" si="20"/>
        <v>2.4</v>
      </c>
      <c r="H39" s="1429"/>
      <c r="I39" s="962">
        <v>200</v>
      </c>
      <c r="J39" s="963">
        <v>-0.12</v>
      </c>
      <c r="K39" s="963">
        <v>0.18</v>
      </c>
      <c r="L39" s="963">
        <v>-0.03</v>
      </c>
      <c r="M39" s="964">
        <f t="shared" si="24"/>
        <v>0.15</v>
      </c>
      <c r="N39" s="964">
        <f t="shared" si="21"/>
        <v>2.4</v>
      </c>
      <c r="O39" s="1429"/>
      <c r="P39" s="962">
        <v>200</v>
      </c>
      <c r="Q39" s="963">
        <v>0.1</v>
      </c>
      <c r="R39" s="963">
        <v>-0.1</v>
      </c>
      <c r="S39" s="963">
        <v>0.05</v>
      </c>
      <c r="T39" s="964">
        <f t="shared" si="25"/>
        <v>0.1</v>
      </c>
      <c r="U39" s="964">
        <f t="shared" si="22"/>
        <v>2.4</v>
      </c>
      <c r="V39" s="563"/>
      <c r="W39" s="564"/>
      <c r="X39" s="961"/>
    </row>
    <row r="40" spans="1:24" x14ac:dyDescent="0.25">
      <c r="A40" s="1432"/>
      <c r="B40" s="962">
        <v>220</v>
      </c>
      <c r="C40" s="963">
        <v>0.13</v>
      </c>
      <c r="D40" s="963">
        <v>9.9999999999999995E-7</v>
      </c>
      <c r="E40" s="963">
        <v>0.1</v>
      </c>
      <c r="F40" s="964">
        <f t="shared" si="23"/>
        <v>6.4999500000000002E-2</v>
      </c>
      <c r="G40" s="964">
        <f t="shared" si="20"/>
        <v>2.64</v>
      </c>
      <c r="H40" s="1429"/>
      <c r="I40" s="962">
        <v>220</v>
      </c>
      <c r="J40" s="963">
        <v>-0.17</v>
      </c>
      <c r="K40" s="963">
        <v>0.56000000000000005</v>
      </c>
      <c r="L40" s="963">
        <v>0.38</v>
      </c>
      <c r="M40" s="964">
        <f t="shared" si="24"/>
        <v>0.36500000000000005</v>
      </c>
      <c r="N40" s="964">
        <f t="shared" si="21"/>
        <v>2.64</v>
      </c>
      <c r="O40" s="1429"/>
      <c r="P40" s="962">
        <v>220</v>
      </c>
      <c r="Q40" s="963">
        <v>7.0000000000000007E-2</v>
      </c>
      <c r="R40" s="963">
        <v>-0.13</v>
      </c>
      <c r="S40" s="963">
        <v>0.05</v>
      </c>
      <c r="T40" s="964">
        <f t="shared" si="25"/>
        <v>0.1</v>
      </c>
      <c r="U40" s="964">
        <f t="shared" si="22"/>
        <v>2.64</v>
      </c>
      <c r="V40" s="563"/>
      <c r="W40" s="564"/>
      <c r="X40" s="961"/>
    </row>
    <row r="41" spans="1:24" x14ac:dyDescent="0.25">
      <c r="A41" s="1432"/>
      <c r="B41" s="962">
        <v>230</v>
      </c>
      <c r="C41" s="963">
        <v>0.11</v>
      </c>
      <c r="D41" s="963">
        <v>-0.11</v>
      </c>
      <c r="E41" s="963">
        <v>1.1100000000000001</v>
      </c>
      <c r="F41" s="964">
        <f t="shared" si="23"/>
        <v>0.6100000000000001</v>
      </c>
      <c r="G41" s="964">
        <f t="shared" si="20"/>
        <v>2.7600000000000002</v>
      </c>
      <c r="H41" s="1429"/>
      <c r="I41" s="962">
        <v>230</v>
      </c>
      <c r="J41" s="963">
        <v>-0.14000000000000001</v>
      </c>
      <c r="K41" s="963">
        <v>0.73</v>
      </c>
      <c r="L41" s="963">
        <v>-0.16</v>
      </c>
      <c r="M41" s="964">
        <f t="shared" si="24"/>
        <v>0.44500000000000001</v>
      </c>
      <c r="N41" s="964">
        <f t="shared" si="21"/>
        <v>2.7600000000000002</v>
      </c>
      <c r="O41" s="1429"/>
      <c r="P41" s="962">
        <v>230</v>
      </c>
      <c r="Q41" s="963">
        <v>0.08</v>
      </c>
      <c r="R41" s="963">
        <v>-0.15</v>
      </c>
      <c r="S41" s="963">
        <v>-0.05</v>
      </c>
      <c r="T41" s="964">
        <f t="shared" si="25"/>
        <v>0.11499999999999999</v>
      </c>
      <c r="U41" s="964">
        <f t="shared" si="22"/>
        <v>2.7600000000000002</v>
      </c>
      <c r="V41" s="563"/>
      <c r="W41" s="564"/>
      <c r="X41" s="961"/>
    </row>
    <row r="42" spans="1:24" x14ac:dyDescent="0.25">
      <c r="A42" s="1432"/>
      <c r="B42" s="962">
        <v>250</v>
      </c>
      <c r="C42" s="963">
        <v>9.9999999999999995E-7</v>
      </c>
      <c r="D42" s="963">
        <v>9.9999999999999995E-7</v>
      </c>
      <c r="E42" s="963">
        <v>9.9999999999999995E-7</v>
      </c>
      <c r="F42" s="964">
        <f t="shared" si="23"/>
        <v>0</v>
      </c>
      <c r="G42" s="964">
        <f t="shared" si="20"/>
        <v>3</v>
      </c>
      <c r="H42" s="1429"/>
      <c r="I42" s="962">
        <v>250</v>
      </c>
      <c r="J42" s="963">
        <v>9.9999999999999995E-7</v>
      </c>
      <c r="K42" s="963">
        <v>9.9999999999999995E-7</v>
      </c>
      <c r="L42" s="963">
        <v>9.9999999999999995E-7</v>
      </c>
      <c r="M42" s="964">
        <f t="shared" si="24"/>
        <v>0</v>
      </c>
      <c r="N42" s="964">
        <f t="shared" si="21"/>
        <v>3</v>
      </c>
      <c r="O42" s="1429"/>
      <c r="P42" s="962">
        <v>250</v>
      </c>
      <c r="Q42" s="963">
        <v>9.9999999999999995E-7</v>
      </c>
      <c r="R42" s="963">
        <v>9.9999999999999995E-7</v>
      </c>
      <c r="S42" s="963">
        <v>9.9999999999999995E-7</v>
      </c>
      <c r="T42" s="964">
        <f t="shared" si="25"/>
        <v>0</v>
      </c>
      <c r="U42" s="964">
        <f t="shared" si="22"/>
        <v>3</v>
      </c>
      <c r="V42" s="563"/>
      <c r="W42" s="564"/>
      <c r="X42" s="961"/>
    </row>
    <row r="43" spans="1:24" ht="12.75" customHeight="1" x14ac:dyDescent="0.25">
      <c r="A43" s="1432"/>
      <c r="B43" s="1397" t="str">
        <f>B12</f>
        <v>Current Leakage</v>
      </c>
      <c r="C43" s="1397"/>
      <c r="D43" s="1397"/>
      <c r="E43" s="1397"/>
      <c r="F43" s="1398" t="s">
        <v>150</v>
      </c>
      <c r="G43" s="1398" t="s">
        <v>80</v>
      </c>
      <c r="H43" s="1429"/>
      <c r="I43" s="1397" t="str">
        <f>B43</f>
        <v>Current Leakage</v>
      </c>
      <c r="J43" s="1397"/>
      <c r="K43" s="1397"/>
      <c r="L43" s="1397"/>
      <c r="M43" s="1398" t="s">
        <v>150</v>
      </c>
      <c r="N43" s="1398" t="s">
        <v>80</v>
      </c>
      <c r="O43" s="1429"/>
      <c r="P43" s="1397" t="str">
        <f>I43</f>
        <v>Current Leakage</v>
      </c>
      <c r="Q43" s="1397"/>
      <c r="R43" s="1397"/>
      <c r="S43" s="1397"/>
      <c r="T43" s="1398" t="s">
        <v>150</v>
      </c>
      <c r="U43" s="1398" t="s">
        <v>80</v>
      </c>
      <c r="V43" s="961"/>
      <c r="W43" s="961"/>
      <c r="X43" s="961"/>
    </row>
    <row r="44" spans="1:24" ht="14" x14ac:dyDescent="0.25">
      <c r="A44" s="1432"/>
      <c r="B44" s="958" t="s">
        <v>109</v>
      </c>
      <c r="C44" s="959">
        <f>C36</f>
        <v>2022</v>
      </c>
      <c r="D44" s="959">
        <f>D36</f>
        <v>2021</v>
      </c>
      <c r="E44" s="959">
        <f>E36</f>
        <v>2019</v>
      </c>
      <c r="F44" s="1398"/>
      <c r="G44" s="1398"/>
      <c r="H44" s="1429"/>
      <c r="I44" s="958" t="s">
        <v>109</v>
      </c>
      <c r="J44" s="959">
        <f>J36</f>
        <v>2022</v>
      </c>
      <c r="K44" s="959">
        <f>K36</f>
        <v>2021</v>
      </c>
      <c r="L44" s="959">
        <f>L36</f>
        <v>2019</v>
      </c>
      <c r="M44" s="1398"/>
      <c r="N44" s="1398"/>
      <c r="O44" s="1429"/>
      <c r="P44" s="958" t="s">
        <v>109</v>
      </c>
      <c r="Q44" s="959">
        <f>Q36</f>
        <v>2022</v>
      </c>
      <c r="R44" s="959">
        <f>R36</f>
        <v>2019</v>
      </c>
      <c r="S44" s="959">
        <f>S36</f>
        <v>2018</v>
      </c>
      <c r="T44" s="1398"/>
      <c r="U44" s="1398"/>
      <c r="V44" s="961"/>
      <c r="W44" s="961"/>
      <c r="X44" s="961"/>
    </row>
    <row r="45" spans="1:24" x14ac:dyDescent="0.25">
      <c r="A45" s="1432"/>
      <c r="B45" s="962">
        <v>9.9999999999999995E-7</v>
      </c>
      <c r="C45" s="963">
        <v>9.9999999999999995E-7</v>
      </c>
      <c r="D45" s="963">
        <v>9.9999999999999995E-7</v>
      </c>
      <c r="E45" s="963">
        <v>9.9999999999999995E-7</v>
      </c>
      <c r="F45" s="964">
        <f>0.5*(MAX(C45:E45)-MIN(C45:E45))</f>
        <v>0</v>
      </c>
      <c r="G45" s="964">
        <f t="shared" ref="G45:G50" si="26">(0.59/100)*B45</f>
        <v>5.8999999999999999E-9</v>
      </c>
      <c r="H45" s="1429"/>
      <c r="I45" s="962">
        <v>9.9999999999999995E-7</v>
      </c>
      <c r="J45" s="963">
        <v>9.9999999999999995E-7</v>
      </c>
      <c r="K45" s="963">
        <v>9.9999999999999995E-7</v>
      </c>
      <c r="L45" s="963">
        <v>9.9999999999999995E-7</v>
      </c>
      <c r="M45" s="964">
        <f>0.5*(MAX(J45:L45)-MIN(J45:L45))</f>
        <v>0</v>
      </c>
      <c r="N45" s="964">
        <f>(0.59/100)*I45</f>
        <v>5.8999999999999999E-9</v>
      </c>
      <c r="O45" s="1429"/>
      <c r="P45" s="962">
        <v>9.9999999999999995E-7</v>
      </c>
      <c r="Q45" s="963">
        <v>9.9999999999999995E-7</v>
      </c>
      <c r="R45" s="963">
        <v>9.9999999999999995E-7</v>
      </c>
      <c r="S45" s="963">
        <v>9.9999999999999995E-7</v>
      </c>
      <c r="T45" s="964">
        <f>0.5*(MAX(Q45:S45)-MIN(Q45:S45))</f>
        <v>0</v>
      </c>
      <c r="U45" s="964">
        <f>(0.59/100)*P45</f>
        <v>5.8999999999999999E-9</v>
      </c>
    </row>
    <row r="46" spans="1:24" x14ac:dyDescent="0.25">
      <c r="A46" s="1432"/>
      <c r="B46" s="962">
        <v>50</v>
      </c>
      <c r="C46" s="963">
        <v>9.9999999999999995E-7</v>
      </c>
      <c r="D46" s="963">
        <v>-0.3</v>
      </c>
      <c r="E46" s="963">
        <v>-0.28999999999999998</v>
      </c>
      <c r="F46" s="964">
        <f t="shared" ref="F46:F50" si="27">0.5*(MAX(C46:E46)-MIN(C46:E46))</f>
        <v>0.15000049999999998</v>
      </c>
      <c r="G46" s="964">
        <f t="shared" si="26"/>
        <v>0.29499999999999998</v>
      </c>
      <c r="H46" s="1429"/>
      <c r="I46" s="962">
        <v>50</v>
      </c>
      <c r="J46" s="963">
        <v>4.0999999999999996</v>
      </c>
      <c r="K46" s="963">
        <v>0.3</v>
      </c>
      <c r="L46" s="963">
        <v>-0.33</v>
      </c>
      <c r="M46" s="964">
        <f t="shared" ref="M46:M50" si="28">0.5*(MAX(J46:L46)-MIN(J46:L46))</f>
        <v>2.2149999999999999</v>
      </c>
      <c r="N46" s="964">
        <f t="shared" ref="N46:N50" si="29">(0.59/100)*I46</f>
        <v>0.29499999999999998</v>
      </c>
      <c r="O46" s="1429"/>
      <c r="P46" s="962">
        <v>50</v>
      </c>
      <c r="Q46" s="963">
        <v>19.100000000000001</v>
      </c>
      <c r="R46" s="963">
        <v>0.02</v>
      </c>
      <c r="S46" s="963">
        <v>-0.1</v>
      </c>
      <c r="T46" s="964">
        <f t="shared" ref="T46:T50" si="30">0.5*(MAX(Q46:S46)-MIN(Q46:S46))</f>
        <v>9.6000000000000014</v>
      </c>
      <c r="U46" s="964">
        <f t="shared" ref="U46:U50" si="31">(0.59/100)*P46</f>
        <v>0.29499999999999998</v>
      </c>
    </row>
    <row r="47" spans="1:24" x14ac:dyDescent="0.25">
      <c r="A47" s="1432"/>
      <c r="B47" s="962">
        <v>100</v>
      </c>
      <c r="C47" s="963">
        <v>4.0999999999999996</v>
      </c>
      <c r="D47" s="963">
        <v>-0.4</v>
      </c>
      <c r="E47" s="963">
        <v>-0.35</v>
      </c>
      <c r="F47" s="964">
        <f t="shared" si="27"/>
        <v>2.25</v>
      </c>
      <c r="G47" s="964">
        <f t="shared" si="26"/>
        <v>0.59</v>
      </c>
      <c r="H47" s="1429"/>
      <c r="I47" s="962">
        <v>100</v>
      </c>
      <c r="J47" s="963">
        <v>5</v>
      </c>
      <c r="K47" s="963">
        <v>-0.1</v>
      </c>
      <c r="L47" s="963">
        <v>-0.42</v>
      </c>
      <c r="M47" s="964">
        <f t="shared" si="28"/>
        <v>2.71</v>
      </c>
      <c r="N47" s="964">
        <f t="shared" si="29"/>
        <v>0.59</v>
      </c>
      <c r="O47" s="1429"/>
      <c r="P47" s="962">
        <v>100</v>
      </c>
      <c r="Q47" s="963">
        <v>18.399999999999999</v>
      </c>
      <c r="R47" s="963">
        <v>0.22</v>
      </c>
      <c r="S47" s="963">
        <v>-0.2</v>
      </c>
      <c r="T47" s="964">
        <f t="shared" si="30"/>
        <v>9.2999999999999989</v>
      </c>
      <c r="U47" s="964">
        <f t="shared" si="31"/>
        <v>0.59</v>
      </c>
    </row>
    <row r="48" spans="1:24" x14ac:dyDescent="0.25">
      <c r="A48" s="1432"/>
      <c r="B48" s="962">
        <v>200</v>
      </c>
      <c r="C48" s="963">
        <v>5</v>
      </c>
      <c r="D48" s="963">
        <v>0.3</v>
      </c>
      <c r="E48" s="963">
        <v>0.8</v>
      </c>
      <c r="F48" s="964">
        <f t="shared" si="27"/>
        <v>2.35</v>
      </c>
      <c r="G48" s="964">
        <f t="shared" si="26"/>
        <v>1.18</v>
      </c>
      <c r="H48" s="1429"/>
      <c r="I48" s="962">
        <v>200</v>
      </c>
      <c r="J48" s="963">
        <v>7.7</v>
      </c>
      <c r="K48" s="963">
        <v>1.3</v>
      </c>
      <c r="L48" s="963">
        <v>1.3</v>
      </c>
      <c r="M48" s="964">
        <f t="shared" si="28"/>
        <v>3.2</v>
      </c>
      <c r="N48" s="964">
        <f t="shared" si="29"/>
        <v>1.18</v>
      </c>
      <c r="O48" s="1429"/>
      <c r="P48" s="962">
        <v>200</v>
      </c>
      <c r="Q48" s="963">
        <v>14.4</v>
      </c>
      <c r="R48" s="963">
        <v>0.8</v>
      </c>
      <c r="S48" s="963">
        <v>0.8</v>
      </c>
      <c r="T48" s="964">
        <f t="shared" si="30"/>
        <v>6.8</v>
      </c>
      <c r="U48" s="964">
        <f t="shared" si="31"/>
        <v>1.18</v>
      </c>
    </row>
    <row r="49" spans="1:21" x14ac:dyDescent="0.25">
      <c r="A49" s="1432"/>
      <c r="B49" s="962">
        <v>500</v>
      </c>
      <c r="C49" s="963">
        <v>3.5</v>
      </c>
      <c r="D49" s="963">
        <v>0.2</v>
      </c>
      <c r="E49" s="963">
        <v>1.2</v>
      </c>
      <c r="F49" s="964">
        <f t="shared" si="27"/>
        <v>1.65</v>
      </c>
      <c r="G49" s="964">
        <f t="shared" si="26"/>
        <v>2.9499999999999997</v>
      </c>
      <c r="H49" s="1429"/>
      <c r="I49" s="962">
        <v>500</v>
      </c>
      <c r="J49" s="963">
        <v>5.7</v>
      </c>
      <c r="K49" s="963">
        <v>0.7</v>
      </c>
      <c r="L49" s="963">
        <v>0.7</v>
      </c>
      <c r="M49" s="964">
        <f t="shared" si="28"/>
        <v>2.5</v>
      </c>
      <c r="N49" s="964">
        <f t="shared" si="29"/>
        <v>2.9499999999999997</v>
      </c>
      <c r="O49" s="1429"/>
      <c r="P49" s="962">
        <v>500</v>
      </c>
      <c r="Q49" s="963">
        <v>6.2</v>
      </c>
      <c r="R49" s="963">
        <v>1.1000000000000001</v>
      </c>
      <c r="S49" s="963">
        <v>0.6</v>
      </c>
      <c r="T49" s="964">
        <f t="shared" si="30"/>
        <v>2.8000000000000003</v>
      </c>
      <c r="U49" s="964">
        <f t="shared" si="31"/>
        <v>2.9499999999999997</v>
      </c>
    </row>
    <row r="50" spans="1:21" x14ac:dyDescent="0.25">
      <c r="A50" s="1432"/>
      <c r="B50" s="962">
        <v>1000</v>
      </c>
      <c r="C50" s="963">
        <v>-100</v>
      </c>
      <c r="D50" s="963">
        <v>2</v>
      </c>
      <c r="E50" s="963">
        <v>2</v>
      </c>
      <c r="F50" s="964">
        <f t="shared" si="27"/>
        <v>51</v>
      </c>
      <c r="G50" s="964">
        <f t="shared" si="26"/>
        <v>5.8999999999999995</v>
      </c>
      <c r="H50" s="1429"/>
      <c r="I50" s="962">
        <v>850</v>
      </c>
      <c r="J50" s="963">
        <v>-88</v>
      </c>
      <c r="K50" s="963">
        <v>9.9999999999999995E-7</v>
      </c>
      <c r="L50" s="963">
        <v>9.9999999999999995E-7</v>
      </c>
      <c r="M50" s="964">
        <f t="shared" si="28"/>
        <v>44.000000499999999</v>
      </c>
      <c r="N50" s="964">
        <f t="shared" si="29"/>
        <v>5.0149999999999997</v>
      </c>
      <c r="O50" s="1429"/>
      <c r="P50" s="962">
        <v>1000</v>
      </c>
      <c r="Q50" s="963">
        <v>-11</v>
      </c>
      <c r="R50" s="963">
        <v>9.9999999999999995E-7</v>
      </c>
      <c r="S50" s="963">
        <v>9.9999999999999995E-7</v>
      </c>
      <c r="T50" s="964">
        <f t="shared" si="30"/>
        <v>5.5000004999999996</v>
      </c>
      <c r="U50" s="964">
        <f t="shared" si="31"/>
        <v>5.8999999999999995</v>
      </c>
    </row>
    <row r="51" spans="1:21" ht="13" x14ac:dyDescent="0.25">
      <c r="A51" s="1432"/>
      <c r="B51" s="1397" t="str">
        <f>B20</f>
        <v>Main-PE</v>
      </c>
      <c r="C51" s="1397"/>
      <c r="D51" s="1397"/>
      <c r="E51" s="1397"/>
      <c r="F51" s="1398" t="s">
        <v>150</v>
      </c>
      <c r="G51" s="1398" t="s">
        <v>80</v>
      </c>
      <c r="H51" s="1429"/>
      <c r="I51" s="1397" t="str">
        <f>B51</f>
        <v>Main-PE</v>
      </c>
      <c r="J51" s="1397"/>
      <c r="K51" s="1397"/>
      <c r="L51" s="1397"/>
      <c r="M51" s="1398" t="s">
        <v>150</v>
      </c>
      <c r="N51" s="1398" t="s">
        <v>80</v>
      </c>
      <c r="O51" s="1429"/>
      <c r="P51" s="1397" t="str">
        <f>I51</f>
        <v>Main-PE</v>
      </c>
      <c r="Q51" s="1397"/>
      <c r="R51" s="1397"/>
      <c r="S51" s="1397"/>
      <c r="T51" s="1398" t="s">
        <v>150</v>
      </c>
      <c r="U51" s="1398" t="s">
        <v>80</v>
      </c>
    </row>
    <row r="52" spans="1:21" ht="14.5" x14ac:dyDescent="0.25">
      <c r="A52" s="1432"/>
      <c r="B52" s="958" t="s">
        <v>469</v>
      </c>
      <c r="C52" s="959">
        <f>C36</f>
        <v>2022</v>
      </c>
      <c r="D52" s="959">
        <f>D36</f>
        <v>2021</v>
      </c>
      <c r="E52" s="959">
        <f>E36</f>
        <v>2019</v>
      </c>
      <c r="F52" s="1398"/>
      <c r="G52" s="1398"/>
      <c r="H52" s="1429"/>
      <c r="I52" s="958" t="s">
        <v>469</v>
      </c>
      <c r="J52" s="959">
        <f>J36</f>
        <v>2022</v>
      </c>
      <c r="K52" s="959">
        <f>K36</f>
        <v>2021</v>
      </c>
      <c r="L52" s="959">
        <f>L36</f>
        <v>2019</v>
      </c>
      <c r="M52" s="1398"/>
      <c r="N52" s="1398"/>
      <c r="O52" s="1429"/>
      <c r="P52" s="958" t="s">
        <v>469</v>
      </c>
      <c r="Q52" s="959">
        <f>Q36</f>
        <v>2022</v>
      </c>
      <c r="R52" s="959">
        <f>R36</f>
        <v>2019</v>
      </c>
      <c r="S52" s="959">
        <f>S36</f>
        <v>2018</v>
      </c>
      <c r="T52" s="1398"/>
      <c r="U52" s="1398"/>
    </row>
    <row r="53" spans="1:21" x14ac:dyDescent="0.25">
      <c r="A53" s="1432"/>
      <c r="B53" s="962">
        <v>10</v>
      </c>
      <c r="C53" s="963">
        <v>9.9999999999999995E-7</v>
      </c>
      <c r="D53" s="963">
        <v>9.9999999999999995E-7</v>
      </c>
      <c r="E53" s="963">
        <v>0.1</v>
      </c>
      <c r="F53" s="964">
        <f>0.5*(MAX(C53:E53)-MIN(C53:E53))</f>
        <v>4.9999500000000002E-2</v>
      </c>
      <c r="G53" s="964">
        <f>(1.7/100)*B53</f>
        <v>0.17</v>
      </c>
      <c r="H53" s="1429"/>
      <c r="I53" s="962">
        <v>10</v>
      </c>
      <c r="J53" s="963">
        <v>9.9999999999999995E-7</v>
      </c>
      <c r="K53" s="963">
        <v>9.9999999999999995E-7</v>
      </c>
      <c r="L53" s="963">
        <v>0.1</v>
      </c>
      <c r="M53" s="964">
        <f>0.5*(MAX(J53:L53)-MIN(J53:L53))</f>
        <v>4.9999500000000002E-2</v>
      </c>
      <c r="N53" s="964">
        <f>(1.7/100)*I53</f>
        <v>0.17</v>
      </c>
      <c r="O53" s="1429"/>
      <c r="P53" s="962">
        <v>10</v>
      </c>
      <c r="Q53" s="963">
        <v>0.1</v>
      </c>
      <c r="R53" s="963">
        <v>0.1</v>
      </c>
      <c r="S53" s="963">
        <v>9.9999999999999995E-7</v>
      </c>
      <c r="T53" s="964">
        <f>0.5*(MAX(Q53:S53)-MIN(Q53:S53))</f>
        <v>4.9999500000000002E-2</v>
      </c>
      <c r="U53" s="964">
        <f>(1.7/100)*P53</f>
        <v>0.17</v>
      </c>
    </row>
    <row r="54" spans="1:21" x14ac:dyDescent="0.25">
      <c r="A54" s="1432"/>
      <c r="B54" s="962">
        <v>20</v>
      </c>
      <c r="C54" s="963">
        <v>0.1</v>
      </c>
      <c r="D54" s="963">
        <v>0.1</v>
      </c>
      <c r="E54" s="963">
        <v>0.2</v>
      </c>
      <c r="F54" s="964">
        <f t="shared" ref="F54:F56" si="32">0.5*(MAX(C54:E54)-MIN(C54:E54))</f>
        <v>0.05</v>
      </c>
      <c r="G54" s="964">
        <f>(1.7/100)*B54</f>
        <v>0.34</v>
      </c>
      <c r="H54" s="1429"/>
      <c r="I54" s="962">
        <v>20</v>
      </c>
      <c r="J54" s="963">
        <v>0.1</v>
      </c>
      <c r="K54" s="963">
        <v>0.1</v>
      </c>
      <c r="L54" s="963">
        <v>0.1</v>
      </c>
      <c r="M54" s="964">
        <f t="shared" ref="M54:M56" si="33">0.5*(MAX(J54:L54)-MIN(J54:L54))</f>
        <v>0</v>
      </c>
      <c r="N54" s="964">
        <f>(1.7/100)*I54</f>
        <v>0.34</v>
      </c>
      <c r="O54" s="1429"/>
      <c r="P54" s="962">
        <v>20</v>
      </c>
      <c r="Q54" s="963">
        <v>0.1</v>
      </c>
      <c r="R54" s="963">
        <v>0.1</v>
      </c>
      <c r="S54" s="963">
        <v>9.9999999999999995E-7</v>
      </c>
      <c r="T54" s="964">
        <f t="shared" ref="T54:T56" si="34">0.5*(MAX(Q54:S54)-MIN(Q54:S54))</f>
        <v>4.9999500000000002E-2</v>
      </c>
      <c r="U54" s="964">
        <f>(1.7/100)*P54</f>
        <v>0.34</v>
      </c>
    </row>
    <row r="55" spans="1:21" x14ac:dyDescent="0.25">
      <c r="A55" s="1432"/>
      <c r="B55" s="962">
        <v>50</v>
      </c>
      <c r="C55" s="963">
        <v>0.4</v>
      </c>
      <c r="D55" s="963">
        <v>0.4</v>
      </c>
      <c r="E55" s="963">
        <v>0.5</v>
      </c>
      <c r="F55" s="964">
        <f t="shared" si="32"/>
        <v>4.9999999999999989E-2</v>
      </c>
      <c r="G55" s="964">
        <f>(1.7/100)*B55</f>
        <v>0.85000000000000009</v>
      </c>
      <c r="H55" s="1429"/>
      <c r="I55" s="962">
        <v>50</v>
      </c>
      <c r="J55" s="963">
        <v>0.3</v>
      </c>
      <c r="K55" s="963">
        <v>0.6</v>
      </c>
      <c r="L55" s="963">
        <v>0.4</v>
      </c>
      <c r="M55" s="964">
        <f t="shared" si="33"/>
        <v>0.15</v>
      </c>
      <c r="N55" s="964">
        <f>(1.7/100)*I55</f>
        <v>0.85000000000000009</v>
      </c>
      <c r="O55" s="1429"/>
      <c r="P55" s="962">
        <v>50</v>
      </c>
      <c r="Q55" s="963">
        <v>0.3</v>
      </c>
      <c r="R55" s="963">
        <v>0.3</v>
      </c>
      <c r="S55" s="963">
        <v>0.2</v>
      </c>
      <c r="T55" s="964">
        <f t="shared" si="34"/>
        <v>4.9999999999999989E-2</v>
      </c>
      <c r="U55" s="964">
        <f>(1.7/100)*P55</f>
        <v>0.85000000000000009</v>
      </c>
    </row>
    <row r="56" spans="1:21" x14ac:dyDescent="0.25">
      <c r="A56" s="1432"/>
      <c r="B56" s="962">
        <v>100</v>
      </c>
      <c r="C56" s="963">
        <v>0.8</v>
      </c>
      <c r="D56" s="963">
        <v>1.4</v>
      </c>
      <c r="E56" s="963">
        <v>1</v>
      </c>
      <c r="F56" s="964">
        <f t="shared" si="32"/>
        <v>0.29999999999999993</v>
      </c>
      <c r="G56" s="964">
        <f>(1.7/100)*B56</f>
        <v>1.7000000000000002</v>
      </c>
      <c r="H56" s="1429"/>
      <c r="I56" s="962">
        <v>100</v>
      </c>
      <c r="J56" s="963">
        <v>0.4</v>
      </c>
      <c r="K56" s="963">
        <v>1.5</v>
      </c>
      <c r="L56" s="963">
        <v>0.8</v>
      </c>
      <c r="M56" s="964">
        <f t="shared" si="33"/>
        <v>0.55000000000000004</v>
      </c>
      <c r="N56" s="964">
        <f>(1.7/100)*I56</f>
        <v>1.7000000000000002</v>
      </c>
      <c r="O56" s="1429"/>
      <c r="P56" s="962">
        <v>100</v>
      </c>
      <c r="Q56" s="963">
        <v>0.6</v>
      </c>
      <c r="R56" s="963">
        <v>0.6</v>
      </c>
      <c r="S56" s="963">
        <v>0.7</v>
      </c>
      <c r="T56" s="964">
        <f t="shared" si="34"/>
        <v>4.9999999999999989E-2</v>
      </c>
      <c r="U56" s="964">
        <f>(1.7/100)*P56</f>
        <v>1.7000000000000002</v>
      </c>
    </row>
    <row r="57" spans="1:21" ht="12.75" customHeight="1" x14ac:dyDescent="0.25">
      <c r="A57" s="1432"/>
      <c r="B57" s="1397" t="str">
        <f>B26</f>
        <v>Resistance</v>
      </c>
      <c r="C57" s="1397"/>
      <c r="D57" s="1397"/>
      <c r="E57" s="1397"/>
      <c r="F57" s="1398" t="s">
        <v>150</v>
      </c>
      <c r="G57" s="1398" t="s">
        <v>80</v>
      </c>
      <c r="H57" s="1429"/>
      <c r="I57" s="1397" t="str">
        <f>B57</f>
        <v>Resistance</v>
      </c>
      <c r="J57" s="1397"/>
      <c r="K57" s="1397"/>
      <c r="L57" s="1397"/>
      <c r="M57" s="1398" t="s">
        <v>150</v>
      </c>
      <c r="N57" s="1398" t="s">
        <v>80</v>
      </c>
      <c r="O57" s="1429"/>
      <c r="P57" s="1397" t="str">
        <f>I57</f>
        <v>Resistance</v>
      </c>
      <c r="Q57" s="1397"/>
      <c r="R57" s="1397"/>
      <c r="S57" s="1397"/>
      <c r="T57" s="1398" t="s">
        <v>150</v>
      </c>
      <c r="U57" s="1398" t="s">
        <v>80</v>
      </c>
    </row>
    <row r="58" spans="1:21" ht="14.5" x14ac:dyDescent="0.25">
      <c r="A58" s="1432"/>
      <c r="B58" s="958" t="s">
        <v>470</v>
      </c>
      <c r="C58" s="959">
        <f>C36</f>
        <v>2022</v>
      </c>
      <c r="D58" s="959">
        <f>D36</f>
        <v>2021</v>
      </c>
      <c r="E58" s="959">
        <f>E36</f>
        <v>2019</v>
      </c>
      <c r="F58" s="1398"/>
      <c r="G58" s="1398"/>
      <c r="H58" s="1429"/>
      <c r="I58" s="958" t="s">
        <v>470</v>
      </c>
      <c r="J58" s="959">
        <f>J36</f>
        <v>2022</v>
      </c>
      <c r="K58" s="959">
        <f>K36</f>
        <v>2021</v>
      </c>
      <c r="L58" s="959">
        <f>L36</f>
        <v>2019</v>
      </c>
      <c r="M58" s="1398"/>
      <c r="N58" s="1398"/>
      <c r="O58" s="1429"/>
      <c r="P58" s="958" t="s">
        <v>470</v>
      </c>
      <c r="Q58" s="959">
        <f>Q36</f>
        <v>2022</v>
      </c>
      <c r="R58" s="959">
        <f>R36</f>
        <v>2019</v>
      </c>
      <c r="S58" s="959">
        <f>S36</f>
        <v>2018</v>
      </c>
      <c r="T58" s="1398"/>
      <c r="U58" s="1398"/>
    </row>
    <row r="59" spans="1:21" x14ac:dyDescent="0.25">
      <c r="A59" s="1432"/>
      <c r="B59" s="660">
        <v>0.01</v>
      </c>
      <c r="C59" s="963">
        <v>9.9999999999999995E-7</v>
      </c>
      <c r="D59" s="963">
        <v>9.9999999999999995E-7</v>
      </c>
      <c r="E59" s="963">
        <v>9.9999999999999995E-7</v>
      </c>
      <c r="F59" s="964">
        <f>0.5*(MAX(C59:E59)-MIN(C59:E59))</f>
        <v>0</v>
      </c>
      <c r="G59" s="964">
        <f>(1.2/100)*B59</f>
        <v>1.2E-4</v>
      </c>
      <c r="H59" s="1429"/>
      <c r="I59" s="660">
        <v>0.01</v>
      </c>
      <c r="J59" s="963">
        <v>9.9999999999999995E-7</v>
      </c>
      <c r="K59" s="963">
        <v>9.9999999999999995E-7</v>
      </c>
      <c r="L59" s="963">
        <v>9.9999999999999995E-7</v>
      </c>
      <c r="M59" s="964">
        <f>0.5*(MAX(J59:L59)-MIN(J59:L59))</f>
        <v>0</v>
      </c>
      <c r="N59" s="964">
        <f>(1.2/100)*I59</f>
        <v>1.2E-4</v>
      </c>
      <c r="O59" s="1429"/>
      <c r="P59" s="660">
        <v>0.01</v>
      </c>
      <c r="Q59" s="963">
        <v>9.9999999999999995E-7</v>
      </c>
      <c r="R59" s="963">
        <v>9.9999999999999995E-7</v>
      </c>
      <c r="S59" s="963">
        <v>9.9999999999999995E-7</v>
      </c>
      <c r="T59" s="964">
        <f>0.5*(MAX(Q59:S59)-MIN(Q59:S59))</f>
        <v>0</v>
      </c>
      <c r="U59" s="964">
        <f>(1.2/100)*P59</f>
        <v>1.2E-4</v>
      </c>
    </row>
    <row r="60" spans="1:21" x14ac:dyDescent="0.25">
      <c r="A60" s="1432"/>
      <c r="B60" s="660">
        <v>0.1</v>
      </c>
      <c r="C60" s="963">
        <v>9.9999999999999995E-7</v>
      </c>
      <c r="D60" s="963">
        <v>-2E-3</v>
      </c>
      <c r="E60" s="963">
        <v>9.9999999999999995E-7</v>
      </c>
      <c r="F60" s="964">
        <f t="shared" ref="F60:F62" si="35">0.5*(MAX(C60:E60)-MIN(C60:E60))</f>
        <v>1.0005000000000001E-3</v>
      </c>
      <c r="G60" s="964">
        <f>(1.2/100)*B60</f>
        <v>1.2000000000000001E-3</v>
      </c>
      <c r="H60" s="1429"/>
      <c r="I60" s="660">
        <v>0.1</v>
      </c>
      <c r="J60" s="963">
        <v>-6.0000000000000001E-3</v>
      </c>
      <c r="K60" s="963">
        <v>5.0000000000000001E-3</v>
      </c>
      <c r="L60" s="963">
        <v>2E-3</v>
      </c>
      <c r="M60" s="964">
        <f t="shared" ref="M60:M62" si="36">0.5*(MAX(J60:L60)-MIN(J60:L60))</f>
        <v>5.4999999999999997E-3</v>
      </c>
      <c r="N60" s="964">
        <f>(1.2/100)*I60</f>
        <v>1.2000000000000001E-3</v>
      </c>
      <c r="O60" s="1429"/>
      <c r="P60" s="660">
        <v>0.1</v>
      </c>
      <c r="Q60" s="963">
        <v>-3.0000000000000001E-3</v>
      </c>
      <c r="R60" s="963">
        <v>-2E-3</v>
      </c>
      <c r="S60" s="963">
        <v>6.0000000000000001E-3</v>
      </c>
      <c r="T60" s="964">
        <f t="shared" ref="T60:T62" si="37">0.5*(MAX(Q60:S60)-MIN(Q60:S60))</f>
        <v>4.5000000000000005E-3</v>
      </c>
      <c r="U60" s="964">
        <f>(1.2/100)*P60</f>
        <v>1.2000000000000001E-3</v>
      </c>
    </row>
    <row r="61" spans="1:21" x14ac:dyDescent="0.25">
      <c r="A61" s="1432"/>
      <c r="B61" s="660">
        <v>1</v>
      </c>
      <c r="C61" s="963">
        <v>-2E-3</v>
      </c>
      <c r="D61" s="963">
        <v>-8.0000000000000002E-3</v>
      </c>
      <c r="E61" s="963">
        <v>-1E-3</v>
      </c>
      <c r="F61" s="964">
        <f t="shared" si="35"/>
        <v>3.5000000000000001E-3</v>
      </c>
      <c r="G61" s="964">
        <f>(1.2/100)*B61</f>
        <v>1.2E-2</v>
      </c>
      <c r="H61" s="1429"/>
      <c r="I61" s="660">
        <v>1</v>
      </c>
      <c r="J61" s="963">
        <v>-2E-3</v>
      </c>
      <c r="K61" s="963">
        <v>1.7999999999999999E-2</v>
      </c>
      <c r="L61" s="963">
        <v>1.2E-2</v>
      </c>
      <c r="M61" s="964">
        <f t="shared" si="36"/>
        <v>9.9999999999999985E-3</v>
      </c>
      <c r="N61" s="964">
        <f>(1.2/100)*I61</f>
        <v>1.2E-2</v>
      </c>
      <c r="O61" s="1429"/>
      <c r="P61" s="660">
        <v>1</v>
      </c>
      <c r="Q61" s="963">
        <v>-7.0000000000000001E-3</v>
      </c>
      <c r="R61" s="963">
        <v>-1E-3</v>
      </c>
      <c r="S61" s="963">
        <v>8.0000000000000002E-3</v>
      </c>
      <c r="T61" s="964">
        <f t="shared" si="37"/>
        <v>7.4999999999999997E-3</v>
      </c>
      <c r="U61" s="964">
        <f>(1.2/100)*P61</f>
        <v>1.2E-2</v>
      </c>
    </row>
    <row r="62" spans="1:21" x14ac:dyDescent="0.25">
      <c r="A62" s="1432"/>
      <c r="B62" s="660">
        <v>2</v>
      </c>
      <c r="C62" s="963">
        <v>-6.0000000000000001E-3</v>
      </c>
      <c r="D62" s="963">
        <v>-7.0000000000000001E-3</v>
      </c>
      <c r="E62" s="963">
        <v>9.9999999999999995E-7</v>
      </c>
      <c r="F62" s="964">
        <f t="shared" si="35"/>
        <v>3.5005000000000001E-3</v>
      </c>
      <c r="G62" s="964">
        <f>(1.2/100)*B62</f>
        <v>2.4E-2</v>
      </c>
      <c r="H62" s="1429"/>
      <c r="I62" s="660">
        <v>2</v>
      </c>
      <c r="J62" s="963">
        <v>-4.0000000000000001E-3</v>
      </c>
      <c r="K62" s="963">
        <v>0.113</v>
      </c>
      <c r="L62" s="963">
        <v>9.9999999999999995E-7</v>
      </c>
      <c r="M62" s="964">
        <f t="shared" si="36"/>
        <v>5.8500000000000003E-2</v>
      </c>
      <c r="N62" s="964">
        <f>(1.2/100)*I62</f>
        <v>2.4E-2</v>
      </c>
      <c r="O62" s="1429"/>
      <c r="P62" s="660">
        <v>2</v>
      </c>
      <c r="Q62" s="963">
        <v>-7.0000000000000001E-3</v>
      </c>
      <c r="R62" s="963">
        <v>9.9999999999999995E-7</v>
      </c>
      <c r="S62" s="963">
        <v>9.9999999999999995E-7</v>
      </c>
      <c r="T62" s="964">
        <f t="shared" si="37"/>
        <v>3.5005000000000001E-3</v>
      </c>
      <c r="U62" s="964">
        <f>(1.2/100)*P62</f>
        <v>2.4E-2</v>
      </c>
    </row>
    <row r="63" spans="1:21" ht="15.5" x14ac:dyDescent="0.25">
      <c r="A63" s="967"/>
      <c r="B63" s="968"/>
      <c r="C63" s="968"/>
      <c r="D63" s="969"/>
      <c r="E63" s="969"/>
      <c r="F63" s="969"/>
      <c r="H63" s="970"/>
      <c r="I63" s="971"/>
      <c r="J63" s="968"/>
      <c r="K63" s="969"/>
      <c r="L63" s="969"/>
      <c r="M63" s="969"/>
      <c r="O63" s="970"/>
      <c r="P63" s="968"/>
      <c r="Q63" s="968"/>
      <c r="T63" s="966"/>
    </row>
    <row r="64" spans="1:21" ht="14.5" customHeight="1" x14ac:dyDescent="0.25">
      <c r="A64" s="1432" t="s">
        <v>154</v>
      </c>
      <c r="B64" s="1434" t="s">
        <v>164</v>
      </c>
      <c r="C64" s="1434"/>
      <c r="D64" s="1434"/>
      <c r="E64" s="1434"/>
      <c r="F64" s="1434"/>
      <c r="G64" s="1434"/>
      <c r="H64" s="1429" t="s">
        <v>155</v>
      </c>
      <c r="I64" s="1434" t="s">
        <v>471</v>
      </c>
      <c r="J64" s="1434"/>
      <c r="K64" s="1434"/>
      <c r="L64" s="1434"/>
      <c r="M64" s="1434"/>
      <c r="N64" s="1434"/>
      <c r="O64" s="1429" t="s">
        <v>5</v>
      </c>
      <c r="P64" s="1434" t="s">
        <v>382</v>
      </c>
      <c r="Q64" s="1434"/>
      <c r="R64" s="1434"/>
      <c r="S64" s="1434"/>
      <c r="T64" s="1434"/>
      <c r="U64" s="1434"/>
    </row>
    <row r="65" spans="1:21" ht="14" x14ac:dyDescent="0.3">
      <c r="A65" s="1432"/>
      <c r="B65" s="1416" t="s">
        <v>106</v>
      </c>
      <c r="C65" s="1416"/>
      <c r="D65" s="1416"/>
      <c r="E65" s="1416"/>
      <c r="F65" s="1416"/>
      <c r="G65" s="1416"/>
      <c r="H65" s="1429"/>
      <c r="I65" s="1416" t="s">
        <v>106</v>
      </c>
      <c r="J65" s="1416"/>
      <c r="K65" s="1416"/>
      <c r="L65" s="1416"/>
      <c r="M65" s="1416"/>
      <c r="N65" s="1416"/>
      <c r="O65" s="1429"/>
      <c r="P65" s="1416" t="s">
        <v>106</v>
      </c>
      <c r="Q65" s="1416"/>
      <c r="R65" s="1416"/>
      <c r="S65" s="1416"/>
      <c r="T65" s="1416"/>
      <c r="U65" s="1416"/>
    </row>
    <row r="66" spans="1:21" ht="13" x14ac:dyDescent="0.25">
      <c r="A66" s="1432"/>
      <c r="B66" s="1398" t="s">
        <v>107</v>
      </c>
      <c r="C66" s="1398"/>
      <c r="D66" s="1398"/>
      <c r="E66" s="1398"/>
      <c r="F66" s="1398" t="s">
        <v>150</v>
      </c>
      <c r="G66" s="1398" t="s">
        <v>80</v>
      </c>
      <c r="H66" s="1429"/>
      <c r="I66" s="1398" t="str">
        <f>B66</f>
        <v>Setting VAC</v>
      </c>
      <c r="J66" s="1398"/>
      <c r="K66" s="1398"/>
      <c r="L66" s="1398"/>
      <c r="M66" s="1398" t="s">
        <v>150</v>
      </c>
      <c r="N66" s="1398" t="s">
        <v>80</v>
      </c>
      <c r="O66" s="1429"/>
      <c r="P66" s="1398" t="str">
        <f>B66</f>
        <v>Setting VAC</v>
      </c>
      <c r="Q66" s="1398"/>
      <c r="R66" s="1398"/>
      <c r="S66" s="1398"/>
      <c r="T66" s="1398" t="s">
        <v>150</v>
      </c>
      <c r="U66" s="1398" t="s">
        <v>80</v>
      </c>
    </row>
    <row r="67" spans="1:21" ht="14" x14ac:dyDescent="0.25">
      <c r="A67" s="1432"/>
      <c r="B67" s="958" t="s">
        <v>108</v>
      </c>
      <c r="C67" s="959">
        <v>2022</v>
      </c>
      <c r="D67" s="959">
        <v>2020</v>
      </c>
      <c r="E67" s="959">
        <v>2018</v>
      </c>
      <c r="F67" s="1398"/>
      <c r="G67" s="1398"/>
      <c r="H67" s="1429"/>
      <c r="I67" s="958" t="s">
        <v>108</v>
      </c>
      <c r="J67" s="959">
        <v>2022</v>
      </c>
      <c r="K67" s="959">
        <v>2020</v>
      </c>
      <c r="L67" s="959" t="s">
        <v>65</v>
      </c>
      <c r="M67" s="1398"/>
      <c r="N67" s="1398"/>
      <c r="O67" s="1429"/>
      <c r="P67" s="958" t="s">
        <v>108</v>
      </c>
      <c r="Q67" s="959">
        <v>2022</v>
      </c>
      <c r="R67" s="959">
        <v>2020</v>
      </c>
      <c r="S67" s="959" t="s">
        <v>65</v>
      </c>
      <c r="T67" s="1398"/>
      <c r="U67" s="1398"/>
    </row>
    <row r="68" spans="1:21" x14ac:dyDescent="0.25">
      <c r="A68" s="1432"/>
      <c r="B68" s="962">
        <v>150.21</v>
      </c>
      <c r="C68" s="963">
        <v>0.36</v>
      </c>
      <c r="D68" s="963">
        <v>0.21</v>
      </c>
      <c r="E68" s="963">
        <v>0.27</v>
      </c>
      <c r="F68" s="964">
        <f>0.5*(MAX(C68:E68)-MIN(C68:E68))</f>
        <v>7.4999999999999997E-2</v>
      </c>
      <c r="G68" s="964">
        <f t="shared" ref="G68:G73" si="38">(1.2/100)*B68</f>
        <v>1.8025200000000001</v>
      </c>
      <c r="H68" s="1429"/>
      <c r="I68" s="962">
        <v>150</v>
      </c>
      <c r="J68" s="963">
        <v>-0.17</v>
      </c>
      <c r="K68" s="963">
        <v>-0.24</v>
      </c>
      <c r="L68" s="963" t="s">
        <v>65</v>
      </c>
      <c r="M68" s="964">
        <f>0.5*(MAX(J68:L68)-MIN(J68:L68))</f>
        <v>3.4999999999999989E-2</v>
      </c>
      <c r="N68" s="964">
        <f t="shared" ref="N68:N73" si="39">(1.2/100)*I68</f>
        <v>1.8</v>
      </c>
      <c r="O68" s="1429"/>
      <c r="P68" s="962">
        <v>149.83000000000001</v>
      </c>
      <c r="Q68" s="963">
        <v>-0.08</v>
      </c>
      <c r="R68" s="963">
        <v>-0.17</v>
      </c>
      <c r="S68" s="963" t="s">
        <v>65</v>
      </c>
      <c r="T68" s="964">
        <f>0.5*(MAX(Q68:S68)-MIN(Q68:S68))</f>
        <v>4.5000000000000005E-2</v>
      </c>
      <c r="U68" s="964">
        <f t="shared" ref="U68:U73" si="40">(1.2/100)*P68</f>
        <v>1.7979600000000002</v>
      </c>
    </row>
    <row r="69" spans="1:21" x14ac:dyDescent="0.25">
      <c r="A69" s="1432"/>
      <c r="B69" s="962">
        <v>180.33</v>
      </c>
      <c r="C69" s="963">
        <v>0.46</v>
      </c>
      <c r="D69" s="963">
        <v>0.33</v>
      </c>
      <c r="E69" s="963">
        <v>0.37</v>
      </c>
      <c r="F69" s="964">
        <f t="shared" ref="F69:F73" si="41">0.5*(MAX(C69:E69)-MIN(C69:E69))</f>
        <v>6.5000000000000002E-2</v>
      </c>
      <c r="G69" s="964">
        <f t="shared" si="38"/>
        <v>2.1639600000000003</v>
      </c>
      <c r="H69" s="1429"/>
      <c r="I69" s="962">
        <v>180</v>
      </c>
      <c r="J69" s="963">
        <v>-0.39</v>
      </c>
      <c r="K69" s="963">
        <v>-0.14000000000000001</v>
      </c>
      <c r="L69" s="963" t="s">
        <v>65</v>
      </c>
      <c r="M69" s="964">
        <f t="shared" ref="M69:M73" si="42">0.5*(MAX(J69:L69)-MIN(J69:L69))</f>
        <v>0.125</v>
      </c>
      <c r="N69" s="964">
        <f t="shared" si="39"/>
        <v>2.16</v>
      </c>
      <c r="O69" s="1429"/>
      <c r="P69" s="962">
        <v>179.78</v>
      </c>
      <c r="Q69" s="963">
        <v>-0.2</v>
      </c>
      <c r="R69" s="963">
        <v>-0.22</v>
      </c>
      <c r="S69" s="963" t="s">
        <v>65</v>
      </c>
      <c r="T69" s="964">
        <f t="shared" ref="T69:T73" si="43">0.5*(MAX(Q69:S69)-MIN(Q69:S69))</f>
        <v>9.999999999999995E-3</v>
      </c>
      <c r="U69" s="964">
        <f t="shared" si="40"/>
        <v>2.1573600000000002</v>
      </c>
    </row>
    <row r="70" spans="1:21" x14ac:dyDescent="0.25">
      <c r="A70" s="1432"/>
      <c r="B70" s="962">
        <v>200.35</v>
      </c>
      <c r="C70" s="963">
        <v>0.52</v>
      </c>
      <c r="D70" s="963">
        <v>0.34</v>
      </c>
      <c r="E70" s="963">
        <v>0.4</v>
      </c>
      <c r="F70" s="964">
        <f t="shared" si="41"/>
        <v>0.09</v>
      </c>
      <c r="G70" s="964">
        <f t="shared" si="38"/>
        <v>2.4041999999999999</v>
      </c>
      <c r="H70" s="1429"/>
      <c r="I70" s="962">
        <v>200</v>
      </c>
      <c r="J70" s="963">
        <v>-0.23</v>
      </c>
      <c r="K70" s="963">
        <v>-0.33</v>
      </c>
      <c r="L70" s="963" t="s">
        <v>65</v>
      </c>
      <c r="M70" s="964">
        <f t="shared" si="42"/>
        <v>0.05</v>
      </c>
      <c r="N70" s="964">
        <f t="shared" si="39"/>
        <v>2.4</v>
      </c>
      <c r="O70" s="1429"/>
      <c r="P70" s="962">
        <v>199.67</v>
      </c>
      <c r="Q70" s="963">
        <v>-0.25</v>
      </c>
      <c r="R70" s="963">
        <v>-0.33</v>
      </c>
      <c r="S70" s="963" t="s">
        <v>65</v>
      </c>
      <c r="T70" s="964">
        <f t="shared" si="43"/>
        <v>4.0000000000000008E-2</v>
      </c>
      <c r="U70" s="964">
        <f t="shared" si="40"/>
        <v>2.3960399999999997</v>
      </c>
    </row>
    <row r="71" spans="1:21" x14ac:dyDescent="0.25">
      <c r="A71" s="1432"/>
      <c r="B71" s="962">
        <v>220.37</v>
      </c>
      <c r="C71" s="963">
        <v>0.57999999999999996</v>
      </c>
      <c r="D71" s="963">
        <v>0.37</v>
      </c>
      <c r="E71" s="963">
        <v>0.38</v>
      </c>
      <c r="F71" s="964">
        <f t="shared" si="41"/>
        <v>0.10499999999999998</v>
      </c>
      <c r="G71" s="964">
        <f t="shared" si="38"/>
        <v>2.6444399999999999</v>
      </c>
      <c r="H71" s="1429"/>
      <c r="I71" s="962">
        <v>220</v>
      </c>
      <c r="J71" s="963">
        <v>-0.16</v>
      </c>
      <c r="K71" s="963">
        <v>-0.45</v>
      </c>
      <c r="L71" s="963" t="s">
        <v>65</v>
      </c>
      <c r="M71" s="964">
        <f t="shared" si="42"/>
        <v>0.14500000000000002</v>
      </c>
      <c r="N71" s="964">
        <f t="shared" si="39"/>
        <v>2.64</v>
      </c>
      <c r="O71" s="1429"/>
      <c r="P71" s="962">
        <v>219.61</v>
      </c>
      <c r="Q71" s="963">
        <v>-0.28999999999999998</v>
      </c>
      <c r="R71" s="963">
        <v>-0.39</v>
      </c>
      <c r="S71" s="963" t="s">
        <v>65</v>
      </c>
      <c r="T71" s="964">
        <f t="shared" si="43"/>
        <v>5.0000000000000017E-2</v>
      </c>
      <c r="U71" s="964">
        <f t="shared" si="40"/>
        <v>2.6353200000000001</v>
      </c>
    </row>
    <row r="72" spans="1:21" x14ac:dyDescent="0.25">
      <c r="A72" s="1432"/>
      <c r="B72" s="962">
        <v>230.47</v>
      </c>
      <c r="C72" s="963">
        <v>0.47</v>
      </c>
      <c r="D72" s="963">
        <v>0.47</v>
      </c>
      <c r="E72" s="963">
        <v>0.4</v>
      </c>
      <c r="F72" s="964">
        <f t="shared" si="41"/>
        <v>3.4999999999999976E-2</v>
      </c>
      <c r="G72" s="964">
        <f t="shared" si="38"/>
        <v>2.7656399999999999</v>
      </c>
      <c r="H72" s="1429"/>
      <c r="I72" s="962">
        <v>230</v>
      </c>
      <c r="J72" s="963">
        <v>-0.15</v>
      </c>
      <c r="K72" s="963">
        <v>-0.54</v>
      </c>
      <c r="L72" s="963" t="s">
        <v>65</v>
      </c>
      <c r="M72" s="964">
        <f t="shared" si="42"/>
        <v>0.19500000000000001</v>
      </c>
      <c r="N72" s="964">
        <f t="shared" si="39"/>
        <v>2.7600000000000002</v>
      </c>
      <c r="O72" s="1429"/>
      <c r="P72" s="962">
        <v>229.61</v>
      </c>
      <c r="Q72" s="963">
        <v>-0.34</v>
      </c>
      <c r="R72" s="963">
        <v>-0.39</v>
      </c>
      <c r="S72" s="963" t="s">
        <v>65</v>
      </c>
      <c r="T72" s="964">
        <f t="shared" si="43"/>
        <v>2.4999999999999994E-2</v>
      </c>
      <c r="U72" s="964">
        <f t="shared" si="40"/>
        <v>2.7553200000000002</v>
      </c>
    </row>
    <row r="73" spans="1:21" x14ac:dyDescent="0.25">
      <c r="A73" s="1432"/>
      <c r="B73" s="962">
        <v>240.38</v>
      </c>
      <c r="C73" s="963">
        <v>9.9999999999999995E-7</v>
      </c>
      <c r="D73" s="963">
        <v>0.38</v>
      </c>
      <c r="E73" s="963">
        <v>9.9999999999999995E-7</v>
      </c>
      <c r="F73" s="964">
        <f t="shared" si="41"/>
        <v>0.18999950000000002</v>
      </c>
      <c r="G73" s="964">
        <f t="shared" si="38"/>
        <v>2.88456</v>
      </c>
      <c r="H73" s="1429"/>
      <c r="I73" s="962">
        <v>250</v>
      </c>
      <c r="J73" s="963">
        <v>9.9999999999999995E-7</v>
      </c>
      <c r="K73" s="963">
        <v>-0.49</v>
      </c>
      <c r="L73" s="963" t="s">
        <v>65</v>
      </c>
      <c r="M73" s="964">
        <f t="shared" si="42"/>
        <v>0.24500049999999998</v>
      </c>
      <c r="N73" s="964">
        <f t="shared" si="39"/>
        <v>3</v>
      </c>
      <c r="O73" s="1429"/>
      <c r="P73" s="962">
        <v>239.61</v>
      </c>
      <c r="Q73" s="963">
        <v>9.9999999999999995E-7</v>
      </c>
      <c r="R73" s="963">
        <v>-0.39</v>
      </c>
      <c r="S73" s="963" t="s">
        <v>65</v>
      </c>
      <c r="T73" s="964">
        <f t="shared" si="43"/>
        <v>0.19500049999999999</v>
      </c>
      <c r="U73" s="964">
        <f t="shared" si="40"/>
        <v>2.8753200000000003</v>
      </c>
    </row>
    <row r="74" spans="1:21" ht="12.75" customHeight="1" x14ac:dyDescent="0.25">
      <c r="A74" s="1432"/>
      <c r="B74" s="1397" t="s">
        <v>113</v>
      </c>
      <c r="C74" s="1397"/>
      <c r="D74" s="1397"/>
      <c r="E74" s="1397"/>
      <c r="F74" s="1398" t="s">
        <v>150</v>
      </c>
      <c r="G74" s="1398" t="s">
        <v>80</v>
      </c>
      <c r="H74" s="1429"/>
      <c r="I74" s="1397" t="str">
        <f>B74</f>
        <v>Current Leakage</v>
      </c>
      <c r="J74" s="1397"/>
      <c r="K74" s="1397"/>
      <c r="L74" s="1397"/>
      <c r="M74" s="1398" t="s">
        <v>150</v>
      </c>
      <c r="N74" s="1398" t="s">
        <v>80</v>
      </c>
      <c r="O74" s="1429"/>
      <c r="P74" s="1397" t="str">
        <f>B74</f>
        <v>Current Leakage</v>
      </c>
      <c r="Q74" s="1397"/>
      <c r="R74" s="1397"/>
      <c r="S74" s="1397"/>
      <c r="T74" s="1398" t="s">
        <v>150</v>
      </c>
      <c r="U74" s="1398" t="s">
        <v>80</v>
      </c>
    </row>
    <row r="75" spans="1:21" ht="14" x14ac:dyDescent="0.25">
      <c r="A75" s="1432"/>
      <c r="B75" s="958" t="s">
        <v>109</v>
      </c>
      <c r="C75" s="959">
        <f>C67</f>
        <v>2022</v>
      </c>
      <c r="D75" s="959">
        <f>D67</f>
        <v>2020</v>
      </c>
      <c r="E75" s="959">
        <f>E67</f>
        <v>2018</v>
      </c>
      <c r="F75" s="1398"/>
      <c r="G75" s="1398"/>
      <c r="H75" s="1429"/>
      <c r="I75" s="958" t="s">
        <v>109</v>
      </c>
      <c r="J75" s="959">
        <f>J67</f>
        <v>2022</v>
      </c>
      <c r="K75" s="959">
        <f>K67</f>
        <v>2020</v>
      </c>
      <c r="L75" s="959" t="str">
        <f>L67</f>
        <v>-</v>
      </c>
      <c r="M75" s="1398"/>
      <c r="N75" s="1398"/>
      <c r="O75" s="1429"/>
      <c r="P75" s="958" t="s">
        <v>109</v>
      </c>
      <c r="Q75" s="959">
        <f>Q67</f>
        <v>2022</v>
      </c>
      <c r="R75" s="959">
        <f>R67</f>
        <v>2020</v>
      </c>
      <c r="S75" s="959" t="str">
        <f>S67</f>
        <v>-</v>
      </c>
      <c r="T75" s="1398"/>
      <c r="U75" s="1398"/>
    </row>
    <row r="76" spans="1:21" x14ac:dyDescent="0.25">
      <c r="A76" s="1432"/>
      <c r="B76" s="962">
        <v>9.9999999999999995E-7</v>
      </c>
      <c r="C76" s="963">
        <v>9.9999999999999995E-7</v>
      </c>
      <c r="D76" s="963">
        <v>9.9999999999999995E-7</v>
      </c>
      <c r="E76" s="963">
        <v>9.9999999999999995E-7</v>
      </c>
      <c r="F76" s="964">
        <f>0.5*(MAX(C76:E76)-MIN(C76:E76))</f>
        <v>0</v>
      </c>
      <c r="G76" s="964">
        <f>(0.59/100)*B76</f>
        <v>5.8999999999999999E-9</v>
      </c>
      <c r="H76" s="1429"/>
      <c r="I76" s="962">
        <v>9.9999999999999995E-7</v>
      </c>
      <c r="J76" s="963">
        <v>9.9999999999999995E-7</v>
      </c>
      <c r="K76" s="963">
        <v>9.9999999999999995E-7</v>
      </c>
      <c r="L76" s="963" t="s">
        <v>65</v>
      </c>
      <c r="M76" s="964">
        <f>0.5*(MAX(J76:L76)-MIN(J76:L76))</f>
        <v>0</v>
      </c>
      <c r="N76" s="964">
        <f t="shared" ref="N76:N81" si="44">(0.59/100)*I76</f>
        <v>5.8999999999999999E-9</v>
      </c>
      <c r="O76" s="1429"/>
      <c r="P76" s="962">
        <v>9.9999999999999995E-7</v>
      </c>
      <c r="Q76" s="963">
        <v>9.9999999999999995E-7</v>
      </c>
      <c r="R76" s="963">
        <v>9.9999999999999995E-7</v>
      </c>
      <c r="S76" s="963" t="s">
        <v>65</v>
      </c>
      <c r="T76" s="964">
        <f>0.5*(MAX(Q76:S76)-MIN(Q76:S76))</f>
        <v>0</v>
      </c>
      <c r="U76" s="964">
        <f>(0.59/100)*P76</f>
        <v>5.8999999999999999E-9</v>
      </c>
    </row>
    <row r="77" spans="1:21" x14ac:dyDescent="0.25">
      <c r="A77" s="1432"/>
      <c r="B77" s="962">
        <v>50</v>
      </c>
      <c r="C77" s="963">
        <v>1.9</v>
      </c>
      <c r="D77" s="963">
        <v>1.7</v>
      </c>
      <c r="E77" s="963">
        <v>2.1</v>
      </c>
      <c r="F77" s="964">
        <f t="shared" ref="F77:F81" si="45">0.5*(MAX(C77:E77)-MIN(C77:E77))</f>
        <v>0.20000000000000007</v>
      </c>
      <c r="G77" s="964">
        <f t="shared" ref="G77:G81" si="46">(0.59/100)*B77</f>
        <v>0.29499999999999998</v>
      </c>
      <c r="H77" s="1429"/>
      <c r="I77" s="962">
        <v>20</v>
      </c>
      <c r="J77" s="963">
        <v>6.6</v>
      </c>
      <c r="K77" s="963">
        <v>0.9</v>
      </c>
      <c r="L77" s="963" t="s">
        <v>65</v>
      </c>
      <c r="M77" s="964">
        <f t="shared" ref="M77:M81" si="47">0.5*(MAX(J77:L77)-MIN(J77:L77))</f>
        <v>2.8499999999999996</v>
      </c>
      <c r="N77" s="964">
        <f t="shared" si="44"/>
        <v>0.11799999999999999</v>
      </c>
      <c r="O77" s="1429"/>
      <c r="P77" s="962">
        <v>20.8</v>
      </c>
      <c r="Q77" s="963">
        <v>4.9000000000000004</v>
      </c>
      <c r="R77" s="963">
        <v>0.8</v>
      </c>
      <c r="S77" s="963" t="s">
        <v>65</v>
      </c>
      <c r="T77" s="964">
        <f t="shared" ref="T77:T81" si="48">0.5*(MAX(Q77:S77)-MIN(Q77:S77))</f>
        <v>2.0500000000000003</v>
      </c>
      <c r="U77" s="964">
        <f t="shared" ref="U77:U81" si="49">(0.59/100)*P77</f>
        <v>0.12272</v>
      </c>
    </row>
    <row r="78" spans="1:21" x14ac:dyDescent="0.25">
      <c r="A78" s="1432"/>
      <c r="B78" s="962">
        <v>100</v>
      </c>
      <c r="C78" s="963">
        <v>1.7</v>
      </c>
      <c r="D78" s="963">
        <v>1.7</v>
      </c>
      <c r="E78" s="963">
        <v>2.2000000000000002</v>
      </c>
      <c r="F78" s="964">
        <f t="shared" si="45"/>
        <v>0.25000000000000011</v>
      </c>
      <c r="G78" s="964">
        <f t="shared" si="46"/>
        <v>0.59</v>
      </c>
      <c r="H78" s="1429"/>
      <c r="I78" s="962">
        <v>50</v>
      </c>
      <c r="J78" s="963">
        <v>5</v>
      </c>
      <c r="K78" s="963">
        <v>2.1</v>
      </c>
      <c r="L78" s="963" t="s">
        <v>65</v>
      </c>
      <c r="M78" s="964">
        <f t="shared" si="47"/>
        <v>1.45</v>
      </c>
      <c r="N78" s="964">
        <f t="shared" si="44"/>
        <v>0.29499999999999998</v>
      </c>
      <c r="O78" s="1429"/>
      <c r="P78" s="962">
        <v>51.7</v>
      </c>
      <c r="Q78" s="963">
        <v>9.1999999999999993</v>
      </c>
      <c r="R78" s="963">
        <v>1.7</v>
      </c>
      <c r="S78" s="963" t="s">
        <v>65</v>
      </c>
      <c r="T78" s="964">
        <f t="shared" si="48"/>
        <v>3.7499999999999996</v>
      </c>
      <c r="U78" s="964">
        <f t="shared" si="49"/>
        <v>0.30503000000000002</v>
      </c>
    </row>
    <row r="79" spans="1:21" x14ac:dyDescent="0.25">
      <c r="A79" s="1432"/>
      <c r="B79" s="962">
        <v>200.4</v>
      </c>
      <c r="C79" s="963">
        <v>1.5</v>
      </c>
      <c r="D79" s="963">
        <v>0.4</v>
      </c>
      <c r="E79" s="963">
        <v>2.4</v>
      </c>
      <c r="F79" s="964">
        <f t="shared" si="45"/>
        <v>1</v>
      </c>
      <c r="G79" s="964">
        <f t="shared" si="46"/>
        <v>1.1823600000000001</v>
      </c>
      <c r="H79" s="1429"/>
      <c r="I79" s="962">
        <v>200</v>
      </c>
      <c r="J79" s="963">
        <v>-8.1999999999999993</v>
      </c>
      <c r="K79" s="963">
        <v>3.7</v>
      </c>
      <c r="L79" s="963" t="s">
        <v>65</v>
      </c>
      <c r="M79" s="964">
        <f t="shared" si="47"/>
        <v>5.9499999999999993</v>
      </c>
      <c r="N79" s="964">
        <f t="shared" si="44"/>
        <v>1.18</v>
      </c>
      <c r="O79" s="1429"/>
      <c r="P79" s="962">
        <v>103.4</v>
      </c>
      <c r="Q79" s="963">
        <v>7.7</v>
      </c>
      <c r="R79" s="963">
        <v>3.4</v>
      </c>
      <c r="S79" s="963" t="s">
        <v>65</v>
      </c>
      <c r="T79" s="964">
        <f t="shared" si="48"/>
        <v>2.1500000000000004</v>
      </c>
      <c r="U79" s="964">
        <f t="shared" si="49"/>
        <v>0.61006000000000005</v>
      </c>
    </row>
    <row r="80" spans="1:21" x14ac:dyDescent="0.25">
      <c r="A80" s="1432"/>
      <c r="B80" s="962">
        <v>500</v>
      </c>
      <c r="C80" s="963">
        <v>0.9</v>
      </c>
      <c r="D80" s="963">
        <v>3</v>
      </c>
      <c r="E80" s="963">
        <v>3.3</v>
      </c>
      <c r="F80" s="964">
        <f t="shared" si="45"/>
        <v>1.2</v>
      </c>
      <c r="G80" s="964">
        <f t="shared" si="46"/>
        <v>2.9499999999999997</v>
      </c>
      <c r="H80" s="1429"/>
      <c r="I80" s="962">
        <v>500</v>
      </c>
      <c r="J80" s="963">
        <v>-31.8</v>
      </c>
      <c r="K80" s="963">
        <v>8.3000000000000007</v>
      </c>
      <c r="L80" s="963" t="s">
        <v>65</v>
      </c>
      <c r="M80" s="964">
        <f t="shared" si="47"/>
        <v>20.05</v>
      </c>
      <c r="N80" s="964">
        <f t="shared" si="44"/>
        <v>2.9499999999999997</v>
      </c>
      <c r="O80" s="1429"/>
      <c r="P80" s="962">
        <v>507.2</v>
      </c>
      <c r="Q80" s="963">
        <v>-0.2</v>
      </c>
      <c r="R80" s="963">
        <v>7.2</v>
      </c>
      <c r="S80" s="963" t="s">
        <v>65</v>
      </c>
      <c r="T80" s="964">
        <f t="shared" si="48"/>
        <v>3.7</v>
      </c>
      <c r="U80" s="964">
        <f t="shared" si="49"/>
        <v>2.99248</v>
      </c>
    </row>
    <row r="81" spans="1:21" x14ac:dyDescent="0.25">
      <c r="A81" s="1432"/>
      <c r="B81" s="962">
        <v>1000</v>
      </c>
      <c r="C81" s="963">
        <v>-10</v>
      </c>
      <c r="D81" s="963">
        <v>9.9999999999999995E-7</v>
      </c>
      <c r="E81" s="963">
        <v>9.9999999999999995E-7</v>
      </c>
      <c r="F81" s="964">
        <f t="shared" si="45"/>
        <v>5.0000004999999996</v>
      </c>
      <c r="G81" s="964">
        <f t="shared" si="46"/>
        <v>5.8999999999999995</v>
      </c>
      <c r="H81" s="1429"/>
      <c r="I81" s="962">
        <v>1000</v>
      </c>
      <c r="J81" s="963">
        <v>-74</v>
      </c>
      <c r="K81" s="963">
        <v>9.9999999999999995E-7</v>
      </c>
      <c r="L81" s="963" t="s">
        <v>65</v>
      </c>
      <c r="M81" s="964">
        <f t="shared" si="47"/>
        <v>37.000000499999999</v>
      </c>
      <c r="N81" s="964">
        <f t="shared" si="44"/>
        <v>5.8999999999999995</v>
      </c>
      <c r="O81" s="1429"/>
      <c r="P81" s="962">
        <v>920</v>
      </c>
      <c r="Q81" s="963">
        <v>-66</v>
      </c>
      <c r="R81" s="963">
        <v>9.9999999999999995E-7</v>
      </c>
      <c r="S81" s="963" t="s">
        <v>65</v>
      </c>
      <c r="T81" s="964">
        <f t="shared" si="48"/>
        <v>33.000000499999999</v>
      </c>
      <c r="U81" s="964">
        <f t="shared" si="49"/>
        <v>5.4279999999999999</v>
      </c>
    </row>
    <row r="82" spans="1:21" ht="13" x14ac:dyDescent="0.25">
      <c r="A82" s="1432"/>
      <c r="B82" s="1397" t="s">
        <v>110</v>
      </c>
      <c r="C82" s="1397"/>
      <c r="D82" s="1397"/>
      <c r="E82" s="1397"/>
      <c r="F82" s="1398" t="s">
        <v>150</v>
      </c>
      <c r="G82" s="1398" t="s">
        <v>80</v>
      </c>
      <c r="H82" s="1429"/>
      <c r="I82" s="1397" t="s">
        <v>110</v>
      </c>
      <c r="J82" s="1397"/>
      <c r="K82" s="1397"/>
      <c r="L82" s="1397"/>
      <c r="M82" s="1398" t="s">
        <v>150</v>
      </c>
      <c r="N82" s="1398" t="s">
        <v>80</v>
      </c>
      <c r="O82" s="1429"/>
      <c r="P82" s="1397" t="str">
        <f>B82</f>
        <v>Main-PE</v>
      </c>
      <c r="Q82" s="1397"/>
      <c r="R82" s="1397"/>
      <c r="S82" s="1397"/>
      <c r="T82" s="1398" t="s">
        <v>150</v>
      </c>
      <c r="U82" s="1398" t="s">
        <v>80</v>
      </c>
    </row>
    <row r="83" spans="1:21" ht="14.5" x14ac:dyDescent="0.25">
      <c r="A83" s="1432"/>
      <c r="B83" s="958" t="s">
        <v>469</v>
      </c>
      <c r="C83" s="959">
        <f>C67</f>
        <v>2022</v>
      </c>
      <c r="D83" s="959">
        <f>D67</f>
        <v>2020</v>
      </c>
      <c r="E83" s="959">
        <f>E67</f>
        <v>2018</v>
      </c>
      <c r="F83" s="1398"/>
      <c r="G83" s="1398"/>
      <c r="H83" s="1429"/>
      <c r="I83" s="958" t="s">
        <v>469</v>
      </c>
      <c r="J83" s="959">
        <f>J67</f>
        <v>2022</v>
      </c>
      <c r="K83" s="959">
        <f>K67</f>
        <v>2020</v>
      </c>
      <c r="L83" s="959" t="str">
        <f>L67</f>
        <v>-</v>
      </c>
      <c r="M83" s="1398"/>
      <c r="N83" s="1398"/>
      <c r="O83" s="1429"/>
      <c r="P83" s="958" t="s">
        <v>469</v>
      </c>
      <c r="Q83" s="959">
        <f>Q67</f>
        <v>2022</v>
      </c>
      <c r="R83" s="959">
        <f>R67</f>
        <v>2020</v>
      </c>
      <c r="S83" s="959" t="str">
        <f>S67</f>
        <v>-</v>
      </c>
      <c r="T83" s="1398"/>
      <c r="U83" s="1398"/>
    </row>
    <row r="84" spans="1:21" x14ac:dyDescent="0.25">
      <c r="A84" s="1432"/>
      <c r="B84" s="962">
        <v>10</v>
      </c>
      <c r="C84" s="963">
        <v>9.9999999999999995E-7</v>
      </c>
      <c r="D84" s="963">
        <v>9.9999999999999995E-7</v>
      </c>
      <c r="E84" s="963">
        <v>9.9999999999999995E-7</v>
      </c>
      <c r="F84" s="964">
        <f>0.5*(MAX(C84:E84)-MIN(C84:E84))</f>
        <v>0</v>
      </c>
      <c r="G84" s="964">
        <f>(1.7/100)*B84</f>
        <v>0.17</v>
      </c>
      <c r="H84" s="1429"/>
      <c r="I84" s="962">
        <v>10</v>
      </c>
      <c r="J84" s="963">
        <v>9.9999999999999995E-7</v>
      </c>
      <c r="K84" s="963">
        <v>9.9999999999999995E-7</v>
      </c>
      <c r="L84" s="963" t="s">
        <v>65</v>
      </c>
      <c r="M84" s="964">
        <f>0.5*(MAX(J84:L84)-MIN(J84:L84))</f>
        <v>0</v>
      </c>
      <c r="N84" s="964">
        <f>(1.7/100)*I84</f>
        <v>0.17</v>
      </c>
      <c r="O84" s="1429"/>
      <c r="P84" s="962">
        <v>10</v>
      </c>
      <c r="Q84" s="963">
        <v>9.9999999999999995E-7</v>
      </c>
      <c r="R84" s="963">
        <v>9.9999999999999995E-7</v>
      </c>
      <c r="S84" s="963" t="s">
        <v>65</v>
      </c>
      <c r="T84" s="964">
        <f>0.5*(MAX(Q84:S84)-MIN(Q84:S84))</f>
        <v>0</v>
      </c>
      <c r="U84" s="964">
        <f>(1.7/100)*P84</f>
        <v>0.17</v>
      </c>
    </row>
    <row r="85" spans="1:21" x14ac:dyDescent="0.25">
      <c r="A85" s="1432"/>
      <c r="B85" s="962">
        <v>20</v>
      </c>
      <c r="C85" s="963">
        <v>0.1</v>
      </c>
      <c r="D85" s="963">
        <v>9.9999999999999995E-7</v>
      </c>
      <c r="E85" s="963">
        <v>0.1</v>
      </c>
      <c r="F85" s="964">
        <f t="shared" ref="F85:F87" si="50">0.5*(MAX(C85:E85)-MIN(C85:E85))</f>
        <v>4.9999500000000002E-2</v>
      </c>
      <c r="G85" s="964">
        <f>(1.7/100)*B85</f>
        <v>0.34</v>
      </c>
      <c r="H85" s="1429"/>
      <c r="I85" s="962">
        <v>20</v>
      </c>
      <c r="J85" s="963">
        <v>9.9999999999999995E-7</v>
      </c>
      <c r="K85" s="963">
        <v>9.9999999999999995E-7</v>
      </c>
      <c r="L85" s="963" t="s">
        <v>65</v>
      </c>
      <c r="M85" s="964">
        <f t="shared" ref="M85:M87" si="51">0.5*(MAX(J85:L85)-MIN(J85:L85))</f>
        <v>0</v>
      </c>
      <c r="N85" s="964">
        <f t="shared" ref="N85:N87" si="52">(1.7/100)*I85</f>
        <v>0.34</v>
      </c>
      <c r="O85" s="1429"/>
      <c r="P85" s="962">
        <v>20</v>
      </c>
      <c r="Q85" s="963">
        <v>9.9999999999999995E-7</v>
      </c>
      <c r="R85" s="963">
        <v>9.9999999999999995E-7</v>
      </c>
      <c r="S85" s="963" t="s">
        <v>65</v>
      </c>
      <c r="T85" s="964">
        <f t="shared" ref="T85:T87" si="53">0.5*(MAX(Q85:S85)-MIN(Q85:S85))</f>
        <v>0</v>
      </c>
      <c r="U85" s="964">
        <f t="shared" ref="U85:U87" si="54">(1.7/100)*P85</f>
        <v>0.34</v>
      </c>
    </row>
    <row r="86" spans="1:21" x14ac:dyDescent="0.25">
      <c r="A86" s="1432"/>
      <c r="B86" s="962">
        <v>50</v>
      </c>
      <c r="C86" s="963">
        <v>0.5</v>
      </c>
      <c r="D86" s="963">
        <v>9.9999999999999995E-7</v>
      </c>
      <c r="E86" s="963">
        <v>0.4</v>
      </c>
      <c r="F86" s="964">
        <f t="shared" si="50"/>
        <v>0.24999950000000001</v>
      </c>
      <c r="G86" s="964">
        <f>(1.7/100)*B86</f>
        <v>0.85000000000000009</v>
      </c>
      <c r="H86" s="1429"/>
      <c r="I86" s="962">
        <v>50</v>
      </c>
      <c r="J86" s="963">
        <v>0.2</v>
      </c>
      <c r="K86" s="963">
        <v>9.9999999999999995E-7</v>
      </c>
      <c r="L86" s="963" t="s">
        <v>65</v>
      </c>
      <c r="M86" s="964">
        <f t="shared" si="51"/>
        <v>9.9999500000000005E-2</v>
      </c>
      <c r="N86" s="964">
        <f t="shared" si="52"/>
        <v>0.85000000000000009</v>
      </c>
      <c r="O86" s="1429"/>
      <c r="P86" s="962">
        <v>50</v>
      </c>
      <c r="Q86" s="963">
        <v>0.2</v>
      </c>
      <c r="R86" s="963">
        <v>9.9999999999999995E-7</v>
      </c>
      <c r="S86" s="963" t="s">
        <v>65</v>
      </c>
      <c r="T86" s="964">
        <f t="shared" si="53"/>
        <v>9.9999500000000005E-2</v>
      </c>
      <c r="U86" s="964">
        <f t="shared" si="54"/>
        <v>0.85000000000000009</v>
      </c>
    </row>
    <row r="87" spans="1:21" x14ac:dyDescent="0.25">
      <c r="A87" s="1432"/>
      <c r="B87" s="962">
        <v>100</v>
      </c>
      <c r="C87" s="963">
        <v>0.9</v>
      </c>
      <c r="D87" s="963">
        <v>9.9999999999999995E-7</v>
      </c>
      <c r="E87" s="963">
        <v>1.4</v>
      </c>
      <c r="F87" s="964">
        <f t="shared" si="50"/>
        <v>0.6999995</v>
      </c>
      <c r="G87" s="964">
        <f>(1.7/100)*B87</f>
        <v>1.7000000000000002</v>
      </c>
      <c r="H87" s="1429"/>
      <c r="I87" s="962">
        <v>100</v>
      </c>
      <c r="J87" s="963">
        <v>0.4</v>
      </c>
      <c r="K87" s="963">
        <v>9.9999999999999995E-7</v>
      </c>
      <c r="L87" s="963" t="s">
        <v>65</v>
      </c>
      <c r="M87" s="964">
        <f t="shared" si="51"/>
        <v>0.19999950000000002</v>
      </c>
      <c r="N87" s="964">
        <f t="shared" si="52"/>
        <v>1.7000000000000002</v>
      </c>
      <c r="O87" s="1429"/>
      <c r="P87" s="962">
        <v>100</v>
      </c>
      <c r="Q87" s="963">
        <v>0.6</v>
      </c>
      <c r="R87" s="963">
        <v>9.9999999999999995E-7</v>
      </c>
      <c r="S87" s="963" t="s">
        <v>65</v>
      </c>
      <c r="T87" s="964">
        <f t="shared" si="53"/>
        <v>0.29999949999999997</v>
      </c>
      <c r="U87" s="964">
        <f t="shared" si="54"/>
        <v>1.7000000000000002</v>
      </c>
    </row>
    <row r="88" spans="1:21" ht="12.75" customHeight="1" x14ac:dyDescent="0.25">
      <c r="A88" s="1432"/>
      <c r="B88" s="1397" t="s">
        <v>111</v>
      </c>
      <c r="C88" s="1397"/>
      <c r="D88" s="1397"/>
      <c r="E88" s="1397"/>
      <c r="F88" s="1398" t="s">
        <v>150</v>
      </c>
      <c r="G88" s="1398" t="s">
        <v>80</v>
      </c>
      <c r="H88" s="1429"/>
      <c r="I88" s="1397" t="s">
        <v>111</v>
      </c>
      <c r="J88" s="1397"/>
      <c r="K88" s="1397"/>
      <c r="L88" s="1397"/>
      <c r="M88" s="1398" t="s">
        <v>150</v>
      </c>
      <c r="N88" s="1398" t="s">
        <v>80</v>
      </c>
      <c r="O88" s="1429"/>
      <c r="P88" s="1397" t="str">
        <f>B88</f>
        <v>Resistance</v>
      </c>
      <c r="Q88" s="1397"/>
      <c r="R88" s="1397"/>
      <c r="S88" s="1397"/>
      <c r="T88" s="1398" t="s">
        <v>150</v>
      </c>
      <c r="U88" s="1398" t="s">
        <v>80</v>
      </c>
    </row>
    <row r="89" spans="1:21" ht="14.5" x14ac:dyDescent="0.25">
      <c r="A89" s="1432"/>
      <c r="B89" s="958" t="s">
        <v>470</v>
      </c>
      <c r="C89" s="959">
        <f>C67</f>
        <v>2022</v>
      </c>
      <c r="D89" s="959">
        <f>D67</f>
        <v>2020</v>
      </c>
      <c r="E89" s="959">
        <f>E67</f>
        <v>2018</v>
      </c>
      <c r="F89" s="1398"/>
      <c r="G89" s="1398"/>
      <c r="H89" s="1429"/>
      <c r="I89" s="958" t="s">
        <v>470</v>
      </c>
      <c r="J89" s="959">
        <f>J67</f>
        <v>2022</v>
      </c>
      <c r="K89" s="959">
        <f>K67</f>
        <v>2020</v>
      </c>
      <c r="L89" s="959" t="str">
        <f>L67</f>
        <v>-</v>
      </c>
      <c r="M89" s="1398"/>
      <c r="N89" s="1398"/>
      <c r="O89" s="1429"/>
      <c r="P89" s="958" t="s">
        <v>470</v>
      </c>
      <c r="Q89" s="959">
        <f>Q67</f>
        <v>2022</v>
      </c>
      <c r="R89" s="959">
        <f>R67</f>
        <v>2020</v>
      </c>
      <c r="S89" s="959" t="str">
        <f>S67</f>
        <v>-</v>
      </c>
      <c r="T89" s="1398"/>
      <c r="U89" s="1398"/>
    </row>
    <row r="90" spans="1:21" x14ac:dyDescent="0.25">
      <c r="A90" s="1432"/>
      <c r="B90" s="660">
        <v>0.01</v>
      </c>
      <c r="C90" s="963">
        <v>9.9999999999999995E-7</v>
      </c>
      <c r="D90" s="963">
        <v>9.9999999999999995E-7</v>
      </c>
      <c r="E90" s="963">
        <v>9.9999999999999995E-7</v>
      </c>
      <c r="F90" s="964">
        <f>0.5*(MAX(C90:E90)-MIN(C90:E90))</f>
        <v>0</v>
      </c>
      <c r="G90" s="964">
        <f>(1.2/100)*B90</f>
        <v>1.2E-4</v>
      </c>
      <c r="H90" s="1429"/>
      <c r="I90" s="660">
        <v>0.1</v>
      </c>
      <c r="J90" s="963">
        <v>-1E-3</v>
      </c>
      <c r="K90" s="963">
        <v>-1E-3</v>
      </c>
      <c r="L90" s="963" t="s">
        <v>65</v>
      </c>
      <c r="M90" s="964">
        <f>0.5*(MAX(J90:L90)-MIN(J90:L90))</f>
        <v>0</v>
      </c>
      <c r="N90" s="964">
        <f>(1.2/100)*I90</f>
        <v>1.2000000000000001E-3</v>
      </c>
      <c r="O90" s="1429"/>
      <c r="P90" s="660">
        <v>1E-3</v>
      </c>
      <c r="Q90" s="963">
        <v>-2E-3</v>
      </c>
      <c r="R90" s="963">
        <v>-1E-3</v>
      </c>
      <c r="S90" s="963" t="s">
        <v>65</v>
      </c>
      <c r="T90" s="964">
        <f>0.5*(MAX(Q90:S90)-MIN(Q90:S90))</f>
        <v>5.0000000000000001E-4</v>
      </c>
      <c r="U90" s="964">
        <f>(1.2/100)*P90</f>
        <v>1.2E-5</v>
      </c>
    </row>
    <row r="91" spans="1:21" x14ac:dyDescent="0.25">
      <c r="A91" s="1432"/>
      <c r="B91" s="660">
        <v>0.5</v>
      </c>
      <c r="C91" s="963">
        <v>3.0000000000000001E-3</v>
      </c>
      <c r="D91" s="963">
        <v>9.9999999999999995E-7</v>
      </c>
      <c r="E91" s="963">
        <v>1E-3</v>
      </c>
      <c r="F91" s="964">
        <f t="shared" ref="F91:F93" si="55">0.5*(MAX(C91:E91)-MIN(C91:E91))</f>
        <v>1.4995E-3</v>
      </c>
      <c r="G91" s="964">
        <f t="shared" ref="G91:G93" si="56">(1.2/100)*B91</f>
        <v>6.0000000000000001E-3</v>
      </c>
      <c r="H91" s="1429"/>
      <c r="I91" s="660">
        <v>0.5</v>
      </c>
      <c r="J91" s="963">
        <v>4.0000000000000001E-3</v>
      </c>
      <c r="K91" s="963">
        <v>-3.0000000000000001E-3</v>
      </c>
      <c r="L91" s="963" t="s">
        <v>65</v>
      </c>
      <c r="M91" s="964">
        <f t="shared" ref="M91:M93" si="57">0.5*(MAX(J91:L91)-MIN(J91:L91))</f>
        <v>3.5000000000000001E-3</v>
      </c>
      <c r="N91" s="964">
        <f>(1.2/100)*I91</f>
        <v>6.0000000000000001E-3</v>
      </c>
      <c r="O91" s="1429"/>
      <c r="P91" s="660">
        <v>0.10199999999999999</v>
      </c>
      <c r="Q91" s="963">
        <v>1E-3</v>
      </c>
      <c r="R91" s="963">
        <v>-2E-3</v>
      </c>
      <c r="S91" s="963" t="s">
        <v>65</v>
      </c>
      <c r="T91" s="964">
        <f t="shared" ref="T91:T93" si="58">0.5*(MAX(Q91:S91)-MIN(Q91:S91))</f>
        <v>1.5E-3</v>
      </c>
      <c r="U91" s="964">
        <f>(1.2/100)*P91</f>
        <v>1.224E-3</v>
      </c>
    </row>
    <row r="92" spans="1:21" x14ac:dyDescent="0.25">
      <c r="A92" s="1432"/>
      <c r="B92" s="660">
        <v>1</v>
      </c>
      <c r="C92" s="963">
        <v>2E-3</v>
      </c>
      <c r="D92" s="963">
        <v>-2E-3</v>
      </c>
      <c r="E92" s="963">
        <v>1E-3</v>
      </c>
      <c r="F92" s="964">
        <f t="shared" si="55"/>
        <v>2E-3</v>
      </c>
      <c r="G92" s="964">
        <f t="shared" si="56"/>
        <v>1.2E-2</v>
      </c>
      <c r="H92" s="1429"/>
      <c r="I92" s="660">
        <v>1</v>
      </c>
      <c r="J92" s="963">
        <v>5.0000000000000001E-3</v>
      </c>
      <c r="K92" s="963">
        <v>1E-3</v>
      </c>
      <c r="L92" s="963" t="s">
        <v>65</v>
      </c>
      <c r="M92" s="964">
        <f t="shared" si="57"/>
        <v>2E-3</v>
      </c>
      <c r="N92" s="964">
        <f>(1.2/100)*I92</f>
        <v>1.2E-2</v>
      </c>
      <c r="O92" s="1429"/>
      <c r="P92" s="660">
        <v>0.5</v>
      </c>
      <c r="Q92" s="963">
        <v>4.0000000000000001E-3</v>
      </c>
      <c r="R92" s="963">
        <v>9.9999999999999995E-7</v>
      </c>
      <c r="S92" s="963" t="s">
        <v>65</v>
      </c>
      <c r="T92" s="964">
        <f t="shared" si="58"/>
        <v>1.9995E-3</v>
      </c>
      <c r="U92" s="964">
        <f>(1.2/100)*P92</f>
        <v>6.0000000000000001E-3</v>
      </c>
    </row>
    <row r="93" spans="1:21" x14ac:dyDescent="0.25">
      <c r="A93" s="1432"/>
      <c r="B93" s="660">
        <v>2</v>
      </c>
      <c r="C93" s="963">
        <v>-1E-3</v>
      </c>
      <c r="D93" s="963">
        <v>9.9999999999999995E-7</v>
      </c>
      <c r="E93" s="963">
        <v>9.9999999999999995E-7</v>
      </c>
      <c r="F93" s="964">
        <f t="shared" si="55"/>
        <v>5.0049999999999997E-4</v>
      </c>
      <c r="G93" s="964">
        <f t="shared" si="56"/>
        <v>2.4E-2</v>
      </c>
      <c r="H93" s="1429"/>
      <c r="I93" s="660">
        <v>2</v>
      </c>
      <c r="J93" s="963">
        <v>5.0000000000000001E-3</v>
      </c>
      <c r="K93" s="963">
        <v>-1E-3</v>
      </c>
      <c r="L93" s="963" t="s">
        <v>65</v>
      </c>
      <c r="M93" s="964">
        <f t="shared" si="57"/>
        <v>3.0000000000000001E-3</v>
      </c>
      <c r="N93" s="964">
        <f>(1.2/100)*I93</f>
        <v>2.4E-2</v>
      </c>
      <c r="O93" s="1429"/>
      <c r="P93" s="660">
        <v>1</v>
      </c>
      <c r="Q93" s="963">
        <v>9.9999999999999995E-7</v>
      </c>
      <c r="R93" s="963">
        <v>-1E-3</v>
      </c>
      <c r="S93" s="963" t="s">
        <v>65</v>
      </c>
      <c r="T93" s="964">
        <f t="shared" si="58"/>
        <v>5.0049999999999997E-4</v>
      </c>
      <c r="U93" s="964">
        <f>(1.2/100)*P93</f>
        <v>1.2E-2</v>
      </c>
    </row>
    <row r="94" spans="1:21" ht="15.5" x14ac:dyDescent="0.25">
      <c r="A94" s="972"/>
      <c r="B94" s="968"/>
      <c r="C94" s="968"/>
      <c r="D94" s="969"/>
      <c r="E94" s="973"/>
      <c r="F94" s="969"/>
      <c r="H94" s="970"/>
      <c r="I94" s="968"/>
      <c r="J94" s="968"/>
      <c r="K94" s="969"/>
      <c r="L94" s="969"/>
      <c r="M94" s="969"/>
      <c r="O94" s="970"/>
      <c r="P94" s="968"/>
      <c r="Q94" s="968"/>
      <c r="R94" s="969"/>
      <c r="S94" s="969"/>
      <c r="T94" s="969"/>
    </row>
    <row r="95" spans="1:21" ht="14.5" x14ac:dyDescent="0.25">
      <c r="A95" s="1432" t="s">
        <v>472</v>
      </c>
      <c r="B95" s="1433">
        <v>10</v>
      </c>
      <c r="C95" s="1433"/>
      <c r="D95" s="1433"/>
      <c r="E95" s="1433"/>
      <c r="F95" s="1433"/>
      <c r="G95" s="1433"/>
      <c r="H95" s="1429" t="s">
        <v>473</v>
      </c>
      <c r="I95" s="1430">
        <v>11</v>
      </c>
      <c r="J95" s="1430"/>
      <c r="K95" s="1430"/>
      <c r="L95" s="1430"/>
      <c r="M95" s="1430"/>
      <c r="N95" s="1430"/>
      <c r="O95" s="1429" t="s">
        <v>474</v>
      </c>
      <c r="P95" s="1430">
        <v>12</v>
      </c>
      <c r="Q95" s="1430"/>
      <c r="R95" s="1430"/>
      <c r="S95" s="1430"/>
      <c r="T95" s="1430"/>
      <c r="U95" s="1430"/>
    </row>
    <row r="96" spans="1:21" ht="14" x14ac:dyDescent="0.3">
      <c r="A96" s="1432"/>
      <c r="B96" s="1416" t="s">
        <v>106</v>
      </c>
      <c r="C96" s="1416"/>
      <c r="D96" s="1416"/>
      <c r="E96" s="1416"/>
      <c r="F96" s="1416"/>
      <c r="G96" s="1416"/>
      <c r="H96" s="1429"/>
      <c r="I96" s="1431" t="s">
        <v>106</v>
      </c>
      <c r="J96" s="1431"/>
      <c r="K96" s="1431"/>
      <c r="L96" s="1431"/>
      <c r="M96" s="1431"/>
      <c r="N96" s="1431"/>
      <c r="O96" s="1429"/>
      <c r="P96" s="1431" t="s">
        <v>106</v>
      </c>
      <c r="Q96" s="1431"/>
      <c r="R96" s="1431"/>
      <c r="S96" s="1431"/>
      <c r="T96" s="1431"/>
      <c r="U96" s="1431"/>
    </row>
    <row r="97" spans="1:21" ht="13" x14ac:dyDescent="0.25">
      <c r="A97" s="1432"/>
      <c r="B97" s="1398" t="s">
        <v>107</v>
      </c>
      <c r="C97" s="1398"/>
      <c r="D97" s="1398"/>
      <c r="E97" s="1398"/>
      <c r="F97" s="1398" t="s">
        <v>150</v>
      </c>
      <c r="G97" s="1398" t="s">
        <v>80</v>
      </c>
      <c r="H97" s="1429"/>
      <c r="I97" s="1398" t="str">
        <f>B97</f>
        <v>Setting VAC</v>
      </c>
      <c r="J97" s="1398"/>
      <c r="K97" s="1398"/>
      <c r="L97" s="1398"/>
      <c r="M97" s="1398" t="s">
        <v>150</v>
      </c>
      <c r="N97" s="1398" t="s">
        <v>80</v>
      </c>
      <c r="O97" s="1429"/>
      <c r="P97" s="1398" t="str">
        <f>B97</f>
        <v>Setting VAC</v>
      </c>
      <c r="Q97" s="1398"/>
      <c r="R97" s="1398"/>
      <c r="S97" s="1398"/>
      <c r="T97" s="1398" t="s">
        <v>150</v>
      </c>
      <c r="U97" s="1398" t="s">
        <v>80</v>
      </c>
    </row>
    <row r="98" spans="1:21" ht="14" x14ac:dyDescent="0.25">
      <c r="A98" s="1432"/>
      <c r="B98" s="958" t="s">
        <v>108</v>
      </c>
      <c r="C98" s="974">
        <v>2021</v>
      </c>
      <c r="D98" s="974" t="s">
        <v>65</v>
      </c>
      <c r="E98" s="974" t="s">
        <v>65</v>
      </c>
      <c r="F98" s="1398"/>
      <c r="G98" s="1398"/>
      <c r="H98" s="1429"/>
      <c r="I98" s="958" t="s">
        <v>108</v>
      </c>
      <c r="J98" s="974" t="s">
        <v>65</v>
      </c>
      <c r="K98" s="974" t="s">
        <v>65</v>
      </c>
      <c r="L98" s="974" t="s">
        <v>65</v>
      </c>
      <c r="M98" s="1398"/>
      <c r="N98" s="1398"/>
      <c r="O98" s="1429"/>
      <c r="P98" s="958" t="s">
        <v>108</v>
      </c>
      <c r="Q98" s="974" t="s">
        <v>65</v>
      </c>
      <c r="R98" s="974" t="s">
        <v>65</v>
      </c>
      <c r="S98" s="974" t="s">
        <v>65</v>
      </c>
      <c r="T98" s="1398"/>
      <c r="U98" s="1398"/>
    </row>
    <row r="99" spans="1:21" ht="13" x14ac:dyDescent="0.25">
      <c r="A99" s="1432"/>
      <c r="B99" s="660">
        <v>150</v>
      </c>
      <c r="C99" s="660">
        <v>-0.05</v>
      </c>
      <c r="D99" s="974" t="s">
        <v>65</v>
      </c>
      <c r="E99" s="975" t="s">
        <v>65</v>
      </c>
      <c r="F99" s="976">
        <f>0.5*(MAX(C99:E99)-MIN(C99:E99))</f>
        <v>0</v>
      </c>
      <c r="G99" s="974" t="s">
        <v>65</v>
      </c>
      <c r="H99" s="1429"/>
      <c r="I99" s="660">
        <v>150</v>
      </c>
      <c r="J99" s="660">
        <v>9.9999999999999995E-7</v>
      </c>
      <c r="K99" s="974" t="s">
        <v>65</v>
      </c>
      <c r="L99" s="975" t="s">
        <v>65</v>
      </c>
      <c r="M99" s="976">
        <f>0.5*(MAX(J99:L99)-MIN(J99:L99))</f>
        <v>0</v>
      </c>
      <c r="N99" s="974" t="s">
        <v>65</v>
      </c>
      <c r="O99" s="1429"/>
      <c r="P99" s="660">
        <v>150</v>
      </c>
      <c r="Q99" s="660">
        <v>9.9999999999999995E-7</v>
      </c>
      <c r="R99" s="974" t="s">
        <v>65</v>
      </c>
      <c r="S99" s="975" t="s">
        <v>65</v>
      </c>
      <c r="T99" s="976">
        <f>0.5*(MAX(Q99:S99)-MIN(Q99:S99))</f>
        <v>0</v>
      </c>
      <c r="U99" s="976" t="s">
        <v>65</v>
      </c>
    </row>
    <row r="100" spans="1:21" ht="13" x14ac:dyDescent="0.25">
      <c r="A100" s="1432"/>
      <c r="B100" s="660">
        <v>180</v>
      </c>
      <c r="C100" s="660">
        <v>-0.04</v>
      </c>
      <c r="D100" s="975" t="s">
        <v>65</v>
      </c>
      <c r="E100" s="975" t="s">
        <v>65</v>
      </c>
      <c r="F100" s="976">
        <f t="shared" ref="F100:F104" si="59">0.5*(MAX(C100:E100)-MIN(C100:E100))</f>
        <v>0</v>
      </c>
      <c r="G100" s="974" t="s">
        <v>65</v>
      </c>
      <c r="H100" s="1429"/>
      <c r="I100" s="660">
        <v>180</v>
      </c>
      <c r="J100" s="660">
        <v>9.9999999999999995E-7</v>
      </c>
      <c r="K100" s="975" t="s">
        <v>65</v>
      </c>
      <c r="L100" s="975" t="s">
        <v>65</v>
      </c>
      <c r="M100" s="976">
        <f t="shared" ref="M100:M104" si="60">0.5*(MAX(J100:L100)-MIN(J100:L100))</f>
        <v>0</v>
      </c>
      <c r="N100" s="975" t="s">
        <v>65</v>
      </c>
      <c r="O100" s="1429"/>
      <c r="P100" s="660">
        <v>180</v>
      </c>
      <c r="Q100" s="660">
        <v>9.9999999999999995E-7</v>
      </c>
      <c r="R100" s="975" t="s">
        <v>65</v>
      </c>
      <c r="S100" s="975" t="s">
        <v>65</v>
      </c>
      <c r="T100" s="976">
        <f t="shared" ref="T100:T104" si="61">0.5*(MAX(Q100:S100)-MIN(Q100:S100))</f>
        <v>0</v>
      </c>
      <c r="U100" s="976" t="s">
        <v>65</v>
      </c>
    </row>
    <row r="101" spans="1:21" ht="13" x14ac:dyDescent="0.25">
      <c r="A101" s="1432"/>
      <c r="B101" s="660">
        <v>200</v>
      </c>
      <c r="C101" s="660">
        <v>-0.67</v>
      </c>
      <c r="D101" s="975" t="s">
        <v>65</v>
      </c>
      <c r="E101" s="975" t="s">
        <v>65</v>
      </c>
      <c r="F101" s="976">
        <f t="shared" si="59"/>
        <v>0</v>
      </c>
      <c r="G101" s="974" t="s">
        <v>65</v>
      </c>
      <c r="H101" s="1429"/>
      <c r="I101" s="660">
        <v>200</v>
      </c>
      <c r="J101" s="660">
        <v>9.9999999999999995E-7</v>
      </c>
      <c r="K101" s="975" t="s">
        <v>65</v>
      </c>
      <c r="L101" s="975" t="s">
        <v>65</v>
      </c>
      <c r="M101" s="976">
        <f t="shared" si="60"/>
        <v>0</v>
      </c>
      <c r="N101" s="975" t="s">
        <v>65</v>
      </c>
      <c r="O101" s="1429"/>
      <c r="P101" s="660">
        <v>200</v>
      </c>
      <c r="Q101" s="660">
        <v>9.9999999999999995E-7</v>
      </c>
      <c r="R101" s="975" t="s">
        <v>65</v>
      </c>
      <c r="S101" s="975" t="s">
        <v>65</v>
      </c>
      <c r="T101" s="976">
        <f t="shared" si="61"/>
        <v>0</v>
      </c>
      <c r="U101" s="976" t="s">
        <v>65</v>
      </c>
    </row>
    <row r="102" spans="1:21" ht="13" x14ac:dyDescent="0.25">
      <c r="A102" s="1432"/>
      <c r="B102" s="660">
        <v>220</v>
      </c>
      <c r="C102" s="660">
        <v>9.9999999999999995E-7</v>
      </c>
      <c r="D102" s="975" t="s">
        <v>65</v>
      </c>
      <c r="E102" s="975" t="s">
        <v>65</v>
      </c>
      <c r="F102" s="976">
        <f t="shared" si="59"/>
        <v>0</v>
      </c>
      <c r="G102" s="974" t="s">
        <v>65</v>
      </c>
      <c r="H102" s="1429"/>
      <c r="I102" s="660">
        <v>220</v>
      </c>
      <c r="J102" s="660">
        <v>9.9999999999999995E-7</v>
      </c>
      <c r="K102" s="975" t="s">
        <v>65</v>
      </c>
      <c r="L102" s="975" t="s">
        <v>65</v>
      </c>
      <c r="M102" s="976">
        <f t="shared" si="60"/>
        <v>0</v>
      </c>
      <c r="N102" s="975" t="s">
        <v>65</v>
      </c>
      <c r="O102" s="1429"/>
      <c r="P102" s="660">
        <v>220</v>
      </c>
      <c r="Q102" s="660">
        <v>9.9999999999999995E-7</v>
      </c>
      <c r="R102" s="975" t="s">
        <v>65</v>
      </c>
      <c r="S102" s="975" t="s">
        <v>65</v>
      </c>
      <c r="T102" s="976">
        <f t="shared" si="61"/>
        <v>0</v>
      </c>
      <c r="U102" s="976" t="s">
        <v>65</v>
      </c>
    </row>
    <row r="103" spans="1:21" ht="13" x14ac:dyDescent="0.25">
      <c r="A103" s="1432"/>
      <c r="B103" s="660">
        <v>230</v>
      </c>
      <c r="C103" s="660">
        <v>-0.11</v>
      </c>
      <c r="D103" s="975" t="s">
        <v>65</v>
      </c>
      <c r="E103" s="975" t="s">
        <v>65</v>
      </c>
      <c r="F103" s="976">
        <f t="shared" si="59"/>
        <v>0</v>
      </c>
      <c r="G103" s="974" t="s">
        <v>65</v>
      </c>
      <c r="H103" s="1429"/>
      <c r="I103" s="660">
        <v>230</v>
      </c>
      <c r="J103" s="660">
        <v>9.9999999999999995E-7</v>
      </c>
      <c r="K103" s="975" t="s">
        <v>65</v>
      </c>
      <c r="L103" s="975" t="s">
        <v>65</v>
      </c>
      <c r="M103" s="976">
        <f t="shared" si="60"/>
        <v>0</v>
      </c>
      <c r="N103" s="975" t="s">
        <v>65</v>
      </c>
      <c r="O103" s="1429"/>
      <c r="P103" s="660">
        <v>230</v>
      </c>
      <c r="Q103" s="660">
        <v>9.9999999999999995E-7</v>
      </c>
      <c r="R103" s="975" t="s">
        <v>65</v>
      </c>
      <c r="S103" s="975" t="s">
        <v>65</v>
      </c>
      <c r="T103" s="976">
        <f t="shared" si="61"/>
        <v>0</v>
      </c>
      <c r="U103" s="976" t="s">
        <v>65</v>
      </c>
    </row>
    <row r="104" spans="1:21" ht="13" x14ac:dyDescent="0.25">
      <c r="A104" s="1432"/>
      <c r="B104" s="660">
        <v>250</v>
      </c>
      <c r="C104" s="660">
        <v>-0.11</v>
      </c>
      <c r="D104" s="975" t="s">
        <v>65</v>
      </c>
      <c r="E104" s="975" t="s">
        <v>65</v>
      </c>
      <c r="F104" s="976">
        <f t="shared" si="59"/>
        <v>0</v>
      </c>
      <c r="G104" s="974" t="s">
        <v>65</v>
      </c>
      <c r="H104" s="1429"/>
      <c r="I104" s="660">
        <v>250</v>
      </c>
      <c r="J104" s="660">
        <v>9.9999999999999995E-7</v>
      </c>
      <c r="K104" s="975" t="s">
        <v>65</v>
      </c>
      <c r="L104" s="975" t="s">
        <v>65</v>
      </c>
      <c r="M104" s="976">
        <f t="shared" si="60"/>
        <v>0</v>
      </c>
      <c r="N104" s="975" t="s">
        <v>65</v>
      </c>
      <c r="O104" s="1429"/>
      <c r="P104" s="660">
        <v>250</v>
      </c>
      <c r="Q104" s="660">
        <v>9.9999999999999995E-7</v>
      </c>
      <c r="R104" s="975" t="s">
        <v>65</v>
      </c>
      <c r="S104" s="975" t="s">
        <v>65</v>
      </c>
      <c r="T104" s="976">
        <f t="shared" si="61"/>
        <v>0</v>
      </c>
      <c r="U104" s="976" t="s">
        <v>65</v>
      </c>
    </row>
    <row r="105" spans="1:21" ht="13" customHeight="1" x14ac:dyDescent="0.25">
      <c r="A105" s="1432"/>
      <c r="B105" s="1397" t="s">
        <v>113</v>
      </c>
      <c r="C105" s="1397"/>
      <c r="D105" s="1397"/>
      <c r="E105" s="1397"/>
      <c r="F105" s="1398" t="s">
        <v>150</v>
      </c>
      <c r="G105" s="1398" t="s">
        <v>80</v>
      </c>
      <c r="H105" s="1429"/>
      <c r="I105" s="1397" t="str">
        <f>B105</f>
        <v>Current Leakage</v>
      </c>
      <c r="J105" s="1397"/>
      <c r="K105" s="1397"/>
      <c r="L105" s="1397"/>
      <c r="M105" s="1398" t="s">
        <v>150</v>
      </c>
      <c r="N105" s="1398" t="s">
        <v>80</v>
      </c>
      <c r="O105" s="1429"/>
      <c r="P105" s="1397" t="str">
        <f>B105</f>
        <v>Current Leakage</v>
      </c>
      <c r="Q105" s="1397"/>
      <c r="R105" s="1397"/>
      <c r="S105" s="1397"/>
      <c r="T105" s="1398" t="s">
        <v>150</v>
      </c>
      <c r="U105" s="1398" t="s">
        <v>80</v>
      </c>
    </row>
    <row r="106" spans="1:21" ht="14" x14ac:dyDescent="0.25">
      <c r="A106" s="1432"/>
      <c r="B106" s="958" t="s">
        <v>109</v>
      </c>
      <c r="C106" s="957">
        <f>C98</f>
        <v>2021</v>
      </c>
      <c r="D106" s="957" t="str">
        <f>D98</f>
        <v>-</v>
      </c>
      <c r="E106" s="957" t="str">
        <f>E98</f>
        <v>-</v>
      </c>
      <c r="F106" s="1398"/>
      <c r="G106" s="1398"/>
      <c r="H106" s="1429"/>
      <c r="I106" s="958" t="s">
        <v>109</v>
      </c>
      <c r="J106" s="957" t="str">
        <f>J98</f>
        <v>-</v>
      </c>
      <c r="K106" s="957" t="str">
        <f>K98</f>
        <v>-</v>
      </c>
      <c r="L106" s="957" t="str">
        <f>L98</f>
        <v>-</v>
      </c>
      <c r="M106" s="1398"/>
      <c r="N106" s="1398"/>
      <c r="O106" s="1429"/>
      <c r="P106" s="958" t="s">
        <v>109</v>
      </c>
      <c r="Q106" s="957" t="str">
        <f>Q98</f>
        <v>-</v>
      </c>
      <c r="R106" s="957" t="str">
        <f>R98</f>
        <v>-</v>
      </c>
      <c r="S106" s="957" t="str">
        <f>S98</f>
        <v>-</v>
      </c>
      <c r="T106" s="1398"/>
      <c r="U106" s="1398"/>
    </row>
    <row r="107" spans="1:21" ht="13" x14ac:dyDescent="0.25">
      <c r="A107" s="1432"/>
      <c r="B107" s="660">
        <v>0</v>
      </c>
      <c r="C107" s="660">
        <v>9.9999999999999995E-7</v>
      </c>
      <c r="D107" s="974" t="s">
        <v>65</v>
      </c>
      <c r="E107" s="975" t="s">
        <v>65</v>
      </c>
      <c r="F107" s="976">
        <f>0.5*(MAX(C107:E107)-MIN(C107:E107))</f>
        <v>0</v>
      </c>
      <c r="G107" s="974" t="s">
        <v>65</v>
      </c>
      <c r="H107" s="1429"/>
      <c r="I107" s="660">
        <v>0</v>
      </c>
      <c r="J107" s="660">
        <v>9.9999999999999995E-7</v>
      </c>
      <c r="K107" s="974" t="s">
        <v>65</v>
      </c>
      <c r="L107" s="975" t="s">
        <v>65</v>
      </c>
      <c r="M107" s="976">
        <f>0.5*(MAX(J107:L107)-MIN(J107:L107))</f>
        <v>0</v>
      </c>
      <c r="N107" s="974" t="s">
        <v>65</v>
      </c>
      <c r="O107" s="1429"/>
      <c r="P107" s="660">
        <v>0</v>
      </c>
      <c r="Q107" s="660">
        <v>9.9999999999999995E-7</v>
      </c>
      <c r="R107" s="974" t="s">
        <v>65</v>
      </c>
      <c r="S107" s="975" t="s">
        <v>65</v>
      </c>
      <c r="T107" s="976">
        <f>0.5*(MAX(Q107:S107)-MIN(Q107:S107))</f>
        <v>0</v>
      </c>
      <c r="U107" s="974" t="s">
        <v>65</v>
      </c>
    </row>
    <row r="108" spans="1:21" ht="13" x14ac:dyDescent="0.25">
      <c r="A108" s="1432"/>
      <c r="B108" s="660">
        <v>50</v>
      </c>
      <c r="C108" s="660">
        <v>0.4</v>
      </c>
      <c r="D108" s="975" t="s">
        <v>65</v>
      </c>
      <c r="E108" s="975" t="s">
        <v>65</v>
      </c>
      <c r="F108" s="976">
        <f t="shared" ref="F108:F112" si="62">0.5*(MAX(C108:E108)-MIN(C108:E108))</f>
        <v>0</v>
      </c>
      <c r="G108" s="974" t="s">
        <v>65</v>
      </c>
      <c r="H108" s="1429"/>
      <c r="I108" s="660">
        <v>50</v>
      </c>
      <c r="J108" s="660">
        <v>9.9999999999999995E-7</v>
      </c>
      <c r="K108" s="975" t="s">
        <v>65</v>
      </c>
      <c r="L108" s="975" t="s">
        <v>65</v>
      </c>
      <c r="M108" s="976">
        <f t="shared" ref="M108:M112" si="63">0.5*(MAX(J108:L108)-MIN(J108:L108))</f>
        <v>0</v>
      </c>
      <c r="N108" s="975" t="s">
        <v>65</v>
      </c>
      <c r="O108" s="1429"/>
      <c r="P108" s="660">
        <v>50</v>
      </c>
      <c r="Q108" s="660">
        <v>9.9999999999999995E-7</v>
      </c>
      <c r="R108" s="975" t="s">
        <v>65</v>
      </c>
      <c r="S108" s="975" t="s">
        <v>65</v>
      </c>
      <c r="T108" s="976">
        <f t="shared" ref="T108:T112" si="64">0.5*(MAX(Q108:S108)-MIN(Q108:S108))</f>
        <v>0</v>
      </c>
      <c r="U108" s="975" t="s">
        <v>65</v>
      </c>
    </row>
    <row r="109" spans="1:21" ht="13" x14ac:dyDescent="0.25">
      <c r="A109" s="1432"/>
      <c r="B109" s="660">
        <v>100</v>
      </c>
      <c r="C109" s="660">
        <v>0.4</v>
      </c>
      <c r="D109" s="975" t="s">
        <v>65</v>
      </c>
      <c r="E109" s="975" t="s">
        <v>65</v>
      </c>
      <c r="F109" s="976">
        <f t="shared" si="62"/>
        <v>0</v>
      </c>
      <c r="G109" s="974" t="s">
        <v>65</v>
      </c>
      <c r="H109" s="1429"/>
      <c r="I109" s="660">
        <v>100</v>
      </c>
      <c r="J109" s="660">
        <v>9.9999999999999995E-7</v>
      </c>
      <c r="K109" s="975" t="s">
        <v>65</v>
      </c>
      <c r="L109" s="975" t="s">
        <v>65</v>
      </c>
      <c r="M109" s="976">
        <f t="shared" si="63"/>
        <v>0</v>
      </c>
      <c r="N109" s="975" t="s">
        <v>65</v>
      </c>
      <c r="O109" s="1429"/>
      <c r="P109" s="660">
        <v>100</v>
      </c>
      <c r="Q109" s="660">
        <v>9.9999999999999995E-7</v>
      </c>
      <c r="R109" s="975" t="s">
        <v>65</v>
      </c>
      <c r="S109" s="975" t="s">
        <v>65</v>
      </c>
      <c r="T109" s="976">
        <f t="shared" si="64"/>
        <v>0</v>
      </c>
      <c r="U109" s="975" t="s">
        <v>65</v>
      </c>
    </row>
    <row r="110" spans="1:21" ht="13" x14ac:dyDescent="0.25">
      <c r="A110" s="1432"/>
      <c r="B110" s="660">
        <v>200</v>
      </c>
      <c r="C110" s="660">
        <v>0.4</v>
      </c>
      <c r="D110" s="975" t="s">
        <v>65</v>
      </c>
      <c r="E110" s="975" t="s">
        <v>65</v>
      </c>
      <c r="F110" s="976">
        <f t="shared" si="62"/>
        <v>0</v>
      </c>
      <c r="G110" s="974" t="s">
        <v>65</v>
      </c>
      <c r="H110" s="1429"/>
      <c r="I110" s="660">
        <v>200</v>
      </c>
      <c r="J110" s="660">
        <v>9.9999999999999995E-7</v>
      </c>
      <c r="K110" s="975" t="s">
        <v>65</v>
      </c>
      <c r="L110" s="975" t="s">
        <v>65</v>
      </c>
      <c r="M110" s="976">
        <f t="shared" si="63"/>
        <v>0</v>
      </c>
      <c r="N110" s="975" t="s">
        <v>65</v>
      </c>
      <c r="O110" s="1429"/>
      <c r="P110" s="660">
        <v>200</v>
      </c>
      <c r="Q110" s="660">
        <v>9.9999999999999995E-7</v>
      </c>
      <c r="R110" s="975" t="s">
        <v>65</v>
      </c>
      <c r="S110" s="975" t="s">
        <v>65</v>
      </c>
      <c r="T110" s="976">
        <f t="shared" si="64"/>
        <v>0</v>
      </c>
      <c r="U110" s="975" t="s">
        <v>65</v>
      </c>
    </row>
    <row r="111" spans="1:21" ht="13" x14ac:dyDescent="0.25">
      <c r="A111" s="1432"/>
      <c r="B111" s="660">
        <v>500</v>
      </c>
      <c r="C111" s="660">
        <v>1.5</v>
      </c>
      <c r="D111" s="975" t="s">
        <v>65</v>
      </c>
      <c r="E111" s="975" t="s">
        <v>65</v>
      </c>
      <c r="F111" s="976">
        <f t="shared" si="62"/>
        <v>0</v>
      </c>
      <c r="G111" s="974" t="s">
        <v>65</v>
      </c>
      <c r="H111" s="1429"/>
      <c r="I111" s="660">
        <v>500</v>
      </c>
      <c r="J111" s="660">
        <v>9.9999999999999995E-7</v>
      </c>
      <c r="K111" s="975" t="s">
        <v>65</v>
      </c>
      <c r="L111" s="975" t="s">
        <v>65</v>
      </c>
      <c r="M111" s="976">
        <f t="shared" si="63"/>
        <v>0</v>
      </c>
      <c r="N111" s="975" t="s">
        <v>65</v>
      </c>
      <c r="O111" s="1429"/>
      <c r="P111" s="660">
        <v>500</v>
      </c>
      <c r="Q111" s="660">
        <v>9.9999999999999995E-7</v>
      </c>
      <c r="R111" s="975" t="s">
        <v>65</v>
      </c>
      <c r="S111" s="975" t="s">
        <v>65</v>
      </c>
      <c r="T111" s="976">
        <f t="shared" si="64"/>
        <v>0</v>
      </c>
      <c r="U111" s="975" t="s">
        <v>65</v>
      </c>
    </row>
    <row r="112" spans="1:21" ht="13" x14ac:dyDescent="0.25">
      <c r="A112" s="1432"/>
      <c r="B112" s="660">
        <v>1000</v>
      </c>
      <c r="C112" s="660">
        <v>2</v>
      </c>
      <c r="D112" s="975" t="s">
        <v>65</v>
      </c>
      <c r="E112" s="975" t="s">
        <v>65</v>
      </c>
      <c r="F112" s="976">
        <f t="shared" si="62"/>
        <v>0</v>
      </c>
      <c r="G112" s="974" t="s">
        <v>65</v>
      </c>
      <c r="H112" s="1429"/>
      <c r="I112" s="660">
        <v>1000</v>
      </c>
      <c r="J112" s="660">
        <v>9.9999999999999995E-7</v>
      </c>
      <c r="K112" s="975" t="s">
        <v>65</v>
      </c>
      <c r="L112" s="975" t="s">
        <v>65</v>
      </c>
      <c r="M112" s="976">
        <f t="shared" si="63"/>
        <v>0</v>
      </c>
      <c r="N112" s="975" t="s">
        <v>65</v>
      </c>
      <c r="O112" s="1429"/>
      <c r="P112" s="660">
        <v>1000</v>
      </c>
      <c r="Q112" s="660">
        <v>9.9999999999999995E-7</v>
      </c>
      <c r="R112" s="975" t="s">
        <v>65</v>
      </c>
      <c r="S112" s="975" t="s">
        <v>65</v>
      </c>
      <c r="T112" s="976">
        <f t="shared" si="64"/>
        <v>0</v>
      </c>
      <c r="U112" s="975" t="s">
        <v>65</v>
      </c>
    </row>
    <row r="113" spans="1:21" ht="13" x14ac:dyDescent="0.25">
      <c r="A113" s="1432"/>
      <c r="B113" s="1397" t="s">
        <v>110</v>
      </c>
      <c r="C113" s="1397"/>
      <c r="D113" s="1397"/>
      <c r="E113" s="1397"/>
      <c r="F113" s="1398" t="s">
        <v>150</v>
      </c>
      <c r="G113" s="1398" t="s">
        <v>80</v>
      </c>
      <c r="H113" s="1429"/>
      <c r="I113" s="1397" t="s">
        <v>110</v>
      </c>
      <c r="J113" s="1397"/>
      <c r="K113" s="1397"/>
      <c r="L113" s="1397"/>
      <c r="M113" s="1398" t="s">
        <v>150</v>
      </c>
      <c r="N113" s="1398" t="s">
        <v>80</v>
      </c>
      <c r="O113" s="1429"/>
      <c r="P113" s="1397" t="str">
        <f>B113</f>
        <v>Main-PE</v>
      </c>
      <c r="Q113" s="1397"/>
      <c r="R113" s="1397"/>
      <c r="S113" s="1397"/>
      <c r="T113" s="1398" t="s">
        <v>150</v>
      </c>
      <c r="U113" s="1398" t="s">
        <v>80</v>
      </c>
    </row>
    <row r="114" spans="1:21" ht="14.5" x14ac:dyDescent="0.25">
      <c r="A114" s="1432"/>
      <c r="B114" s="958" t="s">
        <v>469</v>
      </c>
      <c r="C114" s="957">
        <f>C98</f>
        <v>2021</v>
      </c>
      <c r="D114" s="957" t="str">
        <f>D98</f>
        <v>-</v>
      </c>
      <c r="E114" s="957" t="str">
        <f>E98</f>
        <v>-</v>
      </c>
      <c r="F114" s="1398"/>
      <c r="G114" s="1398"/>
      <c r="H114" s="1429"/>
      <c r="I114" s="958" t="s">
        <v>469</v>
      </c>
      <c r="J114" s="957" t="str">
        <f>J98</f>
        <v>-</v>
      </c>
      <c r="K114" s="957" t="str">
        <f>K98</f>
        <v>-</v>
      </c>
      <c r="L114" s="957" t="str">
        <f>L98</f>
        <v>-</v>
      </c>
      <c r="M114" s="1398"/>
      <c r="N114" s="1398"/>
      <c r="O114" s="1429"/>
      <c r="P114" s="958" t="s">
        <v>469</v>
      </c>
      <c r="Q114" s="957" t="str">
        <f>Q98</f>
        <v>-</v>
      </c>
      <c r="R114" s="957" t="str">
        <f>R98</f>
        <v>-</v>
      </c>
      <c r="S114" s="957" t="str">
        <f>S98</f>
        <v>-</v>
      </c>
      <c r="T114" s="1398"/>
      <c r="U114" s="1398"/>
    </row>
    <row r="115" spans="1:21" x14ac:dyDescent="0.25">
      <c r="A115" s="1432"/>
      <c r="B115" s="660">
        <v>10</v>
      </c>
      <c r="C115" s="660">
        <v>9.9999999999999995E-7</v>
      </c>
      <c r="D115" s="975" t="s">
        <v>65</v>
      </c>
      <c r="E115" s="975" t="s">
        <v>65</v>
      </c>
      <c r="F115" s="976">
        <f>0.5*(MAX(C115:E115)-MIN(C115:E115))</f>
        <v>0</v>
      </c>
      <c r="G115" s="975" t="s">
        <v>65</v>
      </c>
      <c r="H115" s="1429"/>
      <c r="I115" s="660">
        <v>10</v>
      </c>
      <c r="J115" s="660">
        <v>9.9999999999999995E-7</v>
      </c>
      <c r="K115" s="975" t="s">
        <v>65</v>
      </c>
      <c r="L115" s="975" t="s">
        <v>65</v>
      </c>
      <c r="M115" s="976">
        <f>0.5*(MAX(J115:L115)-MIN(J115:L115))</f>
        <v>0</v>
      </c>
      <c r="N115" s="975" t="s">
        <v>65</v>
      </c>
      <c r="O115" s="1429"/>
      <c r="P115" s="660">
        <v>10</v>
      </c>
      <c r="Q115" s="660">
        <v>9.9999999999999995E-7</v>
      </c>
      <c r="R115" s="975" t="s">
        <v>65</v>
      </c>
      <c r="S115" s="975" t="s">
        <v>65</v>
      </c>
      <c r="T115" s="976">
        <f>0.5*(MAX(Q115:S115)-MIN(Q115:S115))</f>
        <v>0</v>
      </c>
      <c r="U115" s="975" t="s">
        <v>65</v>
      </c>
    </row>
    <row r="116" spans="1:21" x14ac:dyDescent="0.25">
      <c r="A116" s="1432"/>
      <c r="B116" s="660">
        <v>20</v>
      </c>
      <c r="C116" s="660">
        <v>0.1</v>
      </c>
      <c r="D116" s="975" t="s">
        <v>65</v>
      </c>
      <c r="E116" s="975" t="s">
        <v>65</v>
      </c>
      <c r="F116" s="976">
        <f t="shared" ref="F116:F118" si="65">0.5*(MAX(C116:E116)-MIN(C116:E116))</f>
        <v>0</v>
      </c>
      <c r="G116" s="975" t="s">
        <v>65</v>
      </c>
      <c r="H116" s="1429"/>
      <c r="I116" s="660">
        <v>20</v>
      </c>
      <c r="J116" s="660">
        <v>9.9999999999999995E-7</v>
      </c>
      <c r="K116" s="975" t="s">
        <v>65</v>
      </c>
      <c r="L116" s="975" t="s">
        <v>65</v>
      </c>
      <c r="M116" s="976">
        <f t="shared" ref="M116:M118" si="66">0.5*(MAX(J116:L116)-MIN(J116:L116))</f>
        <v>0</v>
      </c>
      <c r="N116" s="975" t="s">
        <v>65</v>
      </c>
      <c r="O116" s="1429"/>
      <c r="P116" s="660">
        <v>20</v>
      </c>
      <c r="Q116" s="660">
        <v>9.9999999999999995E-7</v>
      </c>
      <c r="R116" s="975" t="s">
        <v>65</v>
      </c>
      <c r="S116" s="975" t="s">
        <v>65</v>
      </c>
      <c r="T116" s="976">
        <f t="shared" ref="T116:T118" si="67">0.5*(MAX(Q116:S116)-MIN(Q116:S116))</f>
        <v>0</v>
      </c>
      <c r="U116" s="975" t="s">
        <v>65</v>
      </c>
    </row>
    <row r="117" spans="1:21" x14ac:dyDescent="0.25">
      <c r="A117" s="1432"/>
      <c r="B117" s="660">
        <v>50</v>
      </c>
      <c r="C117" s="660">
        <v>0.4</v>
      </c>
      <c r="D117" s="975" t="s">
        <v>65</v>
      </c>
      <c r="E117" s="975" t="s">
        <v>65</v>
      </c>
      <c r="F117" s="976">
        <f t="shared" si="65"/>
        <v>0</v>
      </c>
      <c r="G117" s="975" t="s">
        <v>65</v>
      </c>
      <c r="H117" s="1429"/>
      <c r="I117" s="660">
        <v>50</v>
      </c>
      <c r="J117" s="660">
        <v>9.9999999999999995E-7</v>
      </c>
      <c r="K117" s="975" t="s">
        <v>65</v>
      </c>
      <c r="L117" s="975" t="s">
        <v>65</v>
      </c>
      <c r="M117" s="976">
        <f t="shared" si="66"/>
        <v>0</v>
      </c>
      <c r="N117" s="975" t="s">
        <v>65</v>
      </c>
      <c r="O117" s="1429"/>
      <c r="P117" s="660">
        <v>50</v>
      </c>
      <c r="Q117" s="660">
        <v>9.9999999999999995E-7</v>
      </c>
      <c r="R117" s="975" t="s">
        <v>65</v>
      </c>
      <c r="S117" s="975" t="s">
        <v>65</v>
      </c>
      <c r="T117" s="976">
        <f t="shared" si="67"/>
        <v>0</v>
      </c>
      <c r="U117" s="975" t="s">
        <v>65</v>
      </c>
    </row>
    <row r="118" spans="1:21" x14ac:dyDescent="0.25">
      <c r="A118" s="1432"/>
      <c r="B118" s="660">
        <v>100</v>
      </c>
      <c r="C118" s="660">
        <v>1.4</v>
      </c>
      <c r="D118" s="975" t="s">
        <v>65</v>
      </c>
      <c r="E118" s="975" t="s">
        <v>65</v>
      </c>
      <c r="F118" s="976">
        <f t="shared" si="65"/>
        <v>0</v>
      </c>
      <c r="G118" s="975" t="s">
        <v>65</v>
      </c>
      <c r="H118" s="1429"/>
      <c r="I118" s="660">
        <v>100</v>
      </c>
      <c r="J118" s="660">
        <v>9.9999999999999995E-7</v>
      </c>
      <c r="K118" s="975" t="s">
        <v>65</v>
      </c>
      <c r="L118" s="975" t="s">
        <v>65</v>
      </c>
      <c r="M118" s="976">
        <f t="shared" si="66"/>
        <v>0</v>
      </c>
      <c r="N118" s="975" t="s">
        <v>65</v>
      </c>
      <c r="O118" s="1429"/>
      <c r="P118" s="660">
        <v>100</v>
      </c>
      <c r="Q118" s="660">
        <v>9.9999999999999995E-7</v>
      </c>
      <c r="R118" s="975" t="s">
        <v>65</v>
      </c>
      <c r="S118" s="975" t="s">
        <v>65</v>
      </c>
      <c r="T118" s="976">
        <f t="shared" si="67"/>
        <v>0</v>
      </c>
      <c r="U118" s="975" t="s">
        <v>65</v>
      </c>
    </row>
    <row r="119" spans="1:21" ht="13" customHeight="1" x14ac:dyDescent="0.25">
      <c r="A119" s="1432"/>
      <c r="B119" s="1397" t="s">
        <v>111</v>
      </c>
      <c r="C119" s="1397"/>
      <c r="D119" s="1397"/>
      <c r="E119" s="1397"/>
      <c r="F119" s="1398" t="s">
        <v>150</v>
      </c>
      <c r="G119" s="1398" t="s">
        <v>80</v>
      </c>
      <c r="H119" s="1429"/>
      <c r="I119" s="1397" t="s">
        <v>111</v>
      </c>
      <c r="J119" s="1397"/>
      <c r="K119" s="1397"/>
      <c r="L119" s="1397"/>
      <c r="M119" s="1398" t="s">
        <v>150</v>
      </c>
      <c r="N119" s="1398" t="s">
        <v>80</v>
      </c>
      <c r="O119" s="1429"/>
      <c r="P119" s="1397" t="str">
        <f>B119</f>
        <v>Resistance</v>
      </c>
      <c r="Q119" s="1397"/>
      <c r="R119" s="1397"/>
      <c r="S119" s="1397"/>
      <c r="T119" s="1398" t="s">
        <v>150</v>
      </c>
      <c r="U119" s="1398" t="s">
        <v>80</v>
      </c>
    </row>
    <row r="120" spans="1:21" ht="14.5" x14ac:dyDescent="0.25">
      <c r="A120" s="1432"/>
      <c r="B120" s="958" t="s">
        <v>470</v>
      </c>
      <c r="C120" s="957">
        <f>C98</f>
        <v>2021</v>
      </c>
      <c r="D120" s="957" t="str">
        <f>D98</f>
        <v>-</v>
      </c>
      <c r="E120" s="957" t="str">
        <f>E98</f>
        <v>-</v>
      </c>
      <c r="F120" s="1398"/>
      <c r="G120" s="1398"/>
      <c r="H120" s="1429"/>
      <c r="I120" s="958" t="s">
        <v>470</v>
      </c>
      <c r="J120" s="957" t="str">
        <f>J98</f>
        <v>-</v>
      </c>
      <c r="K120" s="957" t="str">
        <f>K98</f>
        <v>-</v>
      </c>
      <c r="L120" s="957" t="str">
        <f>L98</f>
        <v>-</v>
      </c>
      <c r="M120" s="1398"/>
      <c r="N120" s="1398"/>
      <c r="O120" s="1429"/>
      <c r="P120" s="958" t="s">
        <v>470</v>
      </c>
      <c r="Q120" s="957" t="str">
        <f>Q98</f>
        <v>-</v>
      </c>
      <c r="R120" s="957" t="str">
        <f>R98</f>
        <v>-</v>
      </c>
      <c r="S120" s="957" t="str">
        <f>S98</f>
        <v>-</v>
      </c>
      <c r="T120" s="1398"/>
      <c r="U120" s="1398"/>
    </row>
    <row r="121" spans="1:21" x14ac:dyDescent="0.25">
      <c r="A121" s="1432"/>
      <c r="B121" s="660">
        <v>0</v>
      </c>
      <c r="C121" s="660">
        <v>9.9999999999999995E-7</v>
      </c>
      <c r="D121" s="975" t="s">
        <v>65</v>
      </c>
      <c r="E121" s="975" t="s">
        <v>65</v>
      </c>
      <c r="F121" s="976">
        <f>0.5*(MAX(C121:E121)-MIN(C121:E121))</f>
        <v>0</v>
      </c>
      <c r="G121" s="975" t="s">
        <v>65</v>
      </c>
      <c r="H121" s="1429"/>
      <c r="I121" s="660">
        <v>0.01</v>
      </c>
      <c r="J121" s="660">
        <v>9.9999999999999995E-7</v>
      </c>
      <c r="K121" s="975" t="s">
        <v>65</v>
      </c>
      <c r="L121" s="975" t="s">
        <v>65</v>
      </c>
      <c r="M121" s="976">
        <f>0.5*(MAX(J121:L121)-MIN(J121:L121))</f>
        <v>0</v>
      </c>
      <c r="N121" s="975" t="s">
        <v>65</v>
      </c>
      <c r="O121" s="1429"/>
      <c r="P121" s="660">
        <v>0.01</v>
      </c>
      <c r="Q121" s="660">
        <v>9.9999999999999995E-7</v>
      </c>
      <c r="R121" s="975" t="s">
        <v>65</v>
      </c>
      <c r="S121" s="975" t="s">
        <v>65</v>
      </c>
      <c r="T121" s="976">
        <f>0.5*(MAX(Q121:S121)-MIN(Q121:S121))</f>
        <v>0</v>
      </c>
      <c r="U121" s="975" t="s">
        <v>65</v>
      </c>
    </row>
    <row r="122" spans="1:21" x14ac:dyDescent="0.25">
      <c r="A122" s="1432"/>
      <c r="B122" s="660">
        <v>0.1</v>
      </c>
      <c r="C122" s="660">
        <v>-2E-3</v>
      </c>
      <c r="D122" s="975" t="s">
        <v>65</v>
      </c>
      <c r="E122" s="975" t="s">
        <v>65</v>
      </c>
      <c r="F122" s="976">
        <f t="shared" ref="F122:F124" si="68">0.5*(MAX(C122:E122)-MIN(C122:E122))</f>
        <v>0</v>
      </c>
      <c r="G122" s="975" t="s">
        <v>65</v>
      </c>
      <c r="H122" s="1429"/>
      <c r="I122" s="660">
        <v>0.1</v>
      </c>
      <c r="J122" s="660">
        <v>9.9999999999999995E-7</v>
      </c>
      <c r="K122" s="975" t="s">
        <v>65</v>
      </c>
      <c r="L122" s="975" t="s">
        <v>65</v>
      </c>
      <c r="M122" s="976">
        <f t="shared" ref="M122:M124" si="69">0.5*(MAX(J122:L122)-MIN(J122:L122))</f>
        <v>0</v>
      </c>
      <c r="N122" s="975" t="s">
        <v>65</v>
      </c>
      <c r="O122" s="1429"/>
      <c r="P122" s="660">
        <v>0.1</v>
      </c>
      <c r="Q122" s="660">
        <v>9.9999999999999995E-7</v>
      </c>
      <c r="R122" s="975" t="s">
        <v>65</v>
      </c>
      <c r="S122" s="975" t="s">
        <v>65</v>
      </c>
      <c r="T122" s="976">
        <f t="shared" ref="T122:T124" si="70">0.5*(MAX(Q122:S122)-MIN(Q122:S122))</f>
        <v>0</v>
      </c>
      <c r="U122" s="975" t="s">
        <v>65</v>
      </c>
    </row>
    <row r="123" spans="1:21" x14ac:dyDescent="0.25">
      <c r="A123" s="1432"/>
      <c r="B123" s="660">
        <v>1</v>
      </c>
      <c r="C123" s="660">
        <v>-8.0000000000000002E-3</v>
      </c>
      <c r="D123" s="975" t="s">
        <v>65</v>
      </c>
      <c r="E123" s="975" t="s">
        <v>65</v>
      </c>
      <c r="F123" s="976">
        <f t="shared" si="68"/>
        <v>0</v>
      </c>
      <c r="G123" s="975" t="s">
        <v>65</v>
      </c>
      <c r="H123" s="1429"/>
      <c r="I123" s="660">
        <v>1</v>
      </c>
      <c r="J123" s="660">
        <v>9.9999999999999995E-7</v>
      </c>
      <c r="K123" s="975" t="s">
        <v>65</v>
      </c>
      <c r="L123" s="975" t="s">
        <v>65</v>
      </c>
      <c r="M123" s="976">
        <f t="shared" si="69"/>
        <v>0</v>
      </c>
      <c r="N123" s="975" t="s">
        <v>65</v>
      </c>
      <c r="O123" s="1429"/>
      <c r="P123" s="660">
        <v>1</v>
      </c>
      <c r="Q123" s="660">
        <v>9.9999999999999995E-7</v>
      </c>
      <c r="R123" s="975" t="s">
        <v>65</v>
      </c>
      <c r="S123" s="975" t="s">
        <v>65</v>
      </c>
      <c r="T123" s="976">
        <f t="shared" si="70"/>
        <v>0</v>
      </c>
      <c r="U123" s="975" t="s">
        <v>65</v>
      </c>
    </row>
    <row r="124" spans="1:21" x14ac:dyDescent="0.25">
      <c r="A124" s="1432"/>
      <c r="B124" s="660">
        <v>2</v>
      </c>
      <c r="C124" s="660">
        <v>-7.0000000000000001E-3</v>
      </c>
      <c r="D124" s="975" t="s">
        <v>65</v>
      </c>
      <c r="E124" s="975" t="s">
        <v>65</v>
      </c>
      <c r="F124" s="976">
        <f t="shared" si="68"/>
        <v>0</v>
      </c>
      <c r="G124" s="975" t="s">
        <v>65</v>
      </c>
      <c r="H124" s="1429"/>
      <c r="I124" s="660">
        <v>2</v>
      </c>
      <c r="J124" s="660">
        <v>9.9999999999999995E-7</v>
      </c>
      <c r="K124" s="975" t="s">
        <v>65</v>
      </c>
      <c r="L124" s="975" t="s">
        <v>65</v>
      </c>
      <c r="M124" s="976">
        <f t="shared" si="69"/>
        <v>0</v>
      </c>
      <c r="N124" s="975" t="s">
        <v>65</v>
      </c>
      <c r="O124" s="1429"/>
      <c r="P124" s="660">
        <v>2</v>
      </c>
      <c r="Q124" s="660">
        <v>9.9999999999999995E-7</v>
      </c>
      <c r="R124" s="975" t="s">
        <v>65</v>
      </c>
      <c r="S124" s="975" t="s">
        <v>65</v>
      </c>
      <c r="T124" s="976">
        <f t="shared" si="70"/>
        <v>0</v>
      </c>
      <c r="U124" s="975" t="s">
        <v>65</v>
      </c>
    </row>
    <row r="125" spans="1:21" ht="15.5" x14ac:dyDescent="0.25">
      <c r="A125" s="1423"/>
      <c r="B125" s="1424"/>
      <c r="C125" s="1424"/>
      <c r="D125" s="1424"/>
      <c r="E125" s="1424"/>
      <c r="F125" s="1424"/>
      <c r="G125" s="1424"/>
      <c r="H125" s="1424"/>
      <c r="I125" s="1424"/>
      <c r="J125" s="1424"/>
      <c r="K125" s="1424"/>
      <c r="L125" s="1424"/>
      <c r="M125" s="1424"/>
      <c r="N125" s="1424"/>
      <c r="O125" s="1424"/>
      <c r="P125" s="1424"/>
      <c r="Q125" s="1424"/>
      <c r="R125" s="1424"/>
      <c r="S125" s="1424"/>
      <c r="T125" s="1424"/>
      <c r="U125" s="1424"/>
    </row>
    <row r="126" spans="1:21" ht="15.5" x14ac:dyDescent="0.25">
      <c r="A126" s="1423"/>
      <c r="B126" s="1424"/>
      <c r="C126" s="1424"/>
      <c r="D126" s="1424"/>
      <c r="E126" s="1424"/>
      <c r="F126" s="1424"/>
      <c r="G126" s="1424"/>
      <c r="H126" s="1424"/>
      <c r="I126" s="1424"/>
      <c r="J126" s="1424"/>
      <c r="K126" s="1424"/>
      <c r="L126" s="1424"/>
      <c r="M126" s="1424"/>
      <c r="N126" s="1424"/>
      <c r="O126" s="1424"/>
      <c r="P126" s="1424"/>
      <c r="Q126" s="1424"/>
      <c r="R126" s="1424"/>
      <c r="S126" s="1424"/>
      <c r="T126" s="1424"/>
      <c r="U126" s="1424"/>
    </row>
    <row r="127" spans="1:21" x14ac:dyDescent="0.25">
      <c r="A127" s="977"/>
      <c r="B127" s="968"/>
      <c r="C127" s="968"/>
    </row>
    <row r="128" spans="1:21" ht="14" x14ac:dyDescent="0.3">
      <c r="A128" s="1417" t="s">
        <v>475</v>
      </c>
      <c r="B128" s="1418"/>
      <c r="C128" s="1419" t="s">
        <v>106</v>
      </c>
      <c r="D128" s="1419"/>
      <c r="E128" s="1419"/>
      <c r="F128" s="1419"/>
      <c r="G128" s="1419"/>
      <c r="H128" s="1419"/>
      <c r="J128" s="1417" t="str">
        <f>A128</f>
        <v>No. Urut</v>
      </c>
      <c r="K128" s="1418"/>
      <c r="L128" s="1425" t="s">
        <v>106</v>
      </c>
      <c r="M128" s="1426"/>
      <c r="N128" s="1426"/>
      <c r="O128" s="1427"/>
      <c r="P128" s="979"/>
      <c r="Q128" s="979"/>
    </row>
    <row r="129" spans="1:17" ht="13" customHeight="1" x14ac:dyDescent="0.25">
      <c r="A129" s="1417"/>
      <c r="B129" s="1418"/>
      <c r="C129" s="1428" t="str">
        <f>B4</f>
        <v>Setting VAC</v>
      </c>
      <c r="D129" s="1428"/>
      <c r="E129" s="1428"/>
      <c r="F129" s="1428"/>
      <c r="G129" s="978" t="s">
        <v>150</v>
      </c>
      <c r="H129" s="978" t="s">
        <v>80</v>
      </c>
      <c r="J129" s="1417"/>
      <c r="K129" s="1418"/>
      <c r="L129" s="1422" t="str">
        <f>B12</f>
        <v>Current Leakage</v>
      </c>
      <c r="M129" s="1422"/>
      <c r="N129" s="1422"/>
      <c r="O129" s="1422"/>
      <c r="P129" s="978" t="s">
        <v>150</v>
      </c>
      <c r="Q129" s="978" t="s">
        <v>80</v>
      </c>
    </row>
    <row r="130" spans="1:17" ht="14" x14ac:dyDescent="0.25">
      <c r="A130" s="1417"/>
      <c r="B130" s="1418"/>
      <c r="C130" s="981" t="s">
        <v>108</v>
      </c>
      <c r="D130" s="978"/>
      <c r="E130" s="978"/>
      <c r="F130" s="982"/>
      <c r="G130" s="978"/>
      <c r="H130" s="978"/>
      <c r="J130" s="1417"/>
      <c r="K130" s="1418"/>
      <c r="L130" s="981" t="s">
        <v>109</v>
      </c>
      <c r="M130" s="978"/>
      <c r="N130" s="978"/>
      <c r="O130" s="982"/>
      <c r="P130" s="978"/>
      <c r="Q130" s="978"/>
    </row>
    <row r="131" spans="1:17" ht="14" x14ac:dyDescent="0.25">
      <c r="A131" s="1417" t="s">
        <v>5</v>
      </c>
      <c r="B131" s="983">
        <v>1</v>
      </c>
      <c r="C131" s="983">
        <f t="shared" ref="C131:H131" si="71">B6</f>
        <v>150</v>
      </c>
      <c r="D131" s="983">
        <f t="shared" si="71"/>
        <v>0.35</v>
      </c>
      <c r="E131" s="983">
        <f t="shared" si="71"/>
        <v>0.31</v>
      </c>
      <c r="F131" s="983">
        <f t="shared" si="71"/>
        <v>0.76</v>
      </c>
      <c r="G131" s="983">
        <f t="shared" si="71"/>
        <v>0.22500000000000001</v>
      </c>
      <c r="H131" s="983">
        <f t="shared" si="71"/>
        <v>1.2E-2</v>
      </c>
      <c r="J131" s="1417" t="s">
        <v>5</v>
      </c>
      <c r="K131" s="981">
        <v>1</v>
      </c>
      <c r="L131" s="984">
        <f t="shared" ref="L131:Q131" si="72">B14</f>
        <v>9.9999999999999995E-7</v>
      </c>
      <c r="M131" s="984">
        <f t="shared" si="72"/>
        <v>9.9999999999999995E-7</v>
      </c>
      <c r="N131" s="984">
        <f t="shared" si="72"/>
        <v>9.9999999999999995E-7</v>
      </c>
      <c r="O131" s="984">
        <f t="shared" si="72"/>
        <v>9.9999999999999995E-7</v>
      </c>
      <c r="P131" s="984">
        <f t="shared" si="72"/>
        <v>0</v>
      </c>
      <c r="Q131" s="984">
        <f t="shared" si="72"/>
        <v>5.8999999999999999E-9</v>
      </c>
    </row>
    <row r="132" spans="1:17" ht="14" x14ac:dyDescent="0.25">
      <c r="A132" s="1417"/>
      <c r="B132" s="983">
        <v>2</v>
      </c>
      <c r="C132" s="983">
        <f t="shared" ref="C132:H132" si="73">I6</f>
        <v>150</v>
      </c>
      <c r="D132" s="983">
        <f t="shared" si="73"/>
        <v>0.22</v>
      </c>
      <c r="E132" s="983">
        <f t="shared" si="73"/>
        <v>0.15</v>
      </c>
      <c r="F132" s="983">
        <f t="shared" si="73"/>
        <v>0.23</v>
      </c>
      <c r="G132" s="983">
        <f t="shared" si="73"/>
        <v>4.0000000000000008E-2</v>
      </c>
      <c r="H132" s="983">
        <f t="shared" si="73"/>
        <v>1.8</v>
      </c>
      <c r="J132" s="1417"/>
      <c r="K132" s="981">
        <v>2</v>
      </c>
      <c r="L132" s="984">
        <f t="shared" ref="L132:Q132" si="74">I14</f>
        <v>9.9999999999999995E-7</v>
      </c>
      <c r="M132" s="984">
        <f t="shared" si="74"/>
        <v>9.9999999999999995E-7</v>
      </c>
      <c r="N132" s="984">
        <f t="shared" si="74"/>
        <v>9.9999999999999995E-7</v>
      </c>
      <c r="O132" s="984">
        <f t="shared" si="74"/>
        <v>9.9999999999999995E-7</v>
      </c>
      <c r="P132" s="984">
        <f t="shared" si="74"/>
        <v>0</v>
      </c>
      <c r="Q132" s="984">
        <f t="shared" si="74"/>
        <v>5.8999999999999999E-9</v>
      </c>
    </row>
    <row r="133" spans="1:17" ht="13" x14ac:dyDescent="0.25">
      <c r="A133" s="1417"/>
      <c r="B133" s="983">
        <v>3</v>
      </c>
      <c r="C133" s="983">
        <f t="shared" ref="C133:H133" si="75">P6</f>
        <v>150</v>
      </c>
      <c r="D133" s="983">
        <f t="shared" si="75"/>
        <v>-1.43</v>
      </c>
      <c r="E133" s="983">
        <f t="shared" si="75"/>
        <v>-1.6</v>
      </c>
      <c r="F133" s="983">
        <f t="shared" si="75"/>
        <v>-7.0000000000000007E-2</v>
      </c>
      <c r="G133" s="983">
        <f t="shared" si="75"/>
        <v>0.76500000000000001</v>
      </c>
      <c r="H133" s="983">
        <f t="shared" si="75"/>
        <v>1.8</v>
      </c>
      <c r="J133" s="1417"/>
      <c r="K133" s="978">
        <v>3</v>
      </c>
      <c r="L133" s="984">
        <f t="shared" ref="L133:Q133" si="76">P14</f>
        <v>9.9999999999999995E-7</v>
      </c>
      <c r="M133" s="984">
        <f t="shared" si="76"/>
        <v>9.9999999999999995E-7</v>
      </c>
      <c r="N133" s="984">
        <f t="shared" si="76"/>
        <v>9.9999999999999995E-7</v>
      </c>
      <c r="O133" s="984">
        <f t="shared" si="76"/>
        <v>9.9999999999999995E-7</v>
      </c>
      <c r="P133" s="984">
        <f t="shared" si="76"/>
        <v>0</v>
      </c>
      <c r="Q133" s="984">
        <f t="shared" si="76"/>
        <v>5.8999999999999999E-9</v>
      </c>
    </row>
    <row r="134" spans="1:17" ht="13" x14ac:dyDescent="0.25">
      <c r="A134" s="1417"/>
      <c r="B134" s="983">
        <v>4</v>
      </c>
      <c r="C134" s="983">
        <f t="shared" ref="C134:H134" si="77">B37</f>
        <v>150</v>
      </c>
      <c r="D134" s="983">
        <f t="shared" si="77"/>
        <v>0.08</v>
      </c>
      <c r="E134" s="983">
        <f t="shared" si="77"/>
        <v>-0.05</v>
      </c>
      <c r="F134" s="983">
        <f t="shared" si="77"/>
        <v>0.11</v>
      </c>
      <c r="G134" s="983">
        <f t="shared" si="77"/>
        <v>0.08</v>
      </c>
      <c r="H134" s="983">
        <f t="shared" si="77"/>
        <v>1.8</v>
      </c>
      <c r="J134" s="1417"/>
      <c r="K134" s="978">
        <v>4</v>
      </c>
      <c r="L134" s="984">
        <f t="shared" ref="L134:Q134" si="78">B45</f>
        <v>9.9999999999999995E-7</v>
      </c>
      <c r="M134" s="984">
        <f t="shared" si="78"/>
        <v>9.9999999999999995E-7</v>
      </c>
      <c r="N134" s="984">
        <f t="shared" si="78"/>
        <v>9.9999999999999995E-7</v>
      </c>
      <c r="O134" s="984">
        <f t="shared" si="78"/>
        <v>9.9999999999999995E-7</v>
      </c>
      <c r="P134" s="984">
        <f t="shared" si="78"/>
        <v>0</v>
      </c>
      <c r="Q134" s="984">
        <f t="shared" si="78"/>
        <v>5.8999999999999999E-9</v>
      </c>
    </row>
    <row r="135" spans="1:17" ht="13" x14ac:dyDescent="0.25">
      <c r="A135" s="1417"/>
      <c r="B135" s="983">
        <v>5</v>
      </c>
      <c r="C135" s="983">
        <f t="shared" ref="C135:H135" si="79">I37</f>
        <v>150</v>
      </c>
      <c r="D135" s="983">
        <f t="shared" si="79"/>
        <v>0.02</v>
      </c>
      <c r="E135" s="983">
        <f t="shared" si="79"/>
        <v>0.25</v>
      </c>
      <c r="F135" s="983">
        <f t="shared" si="79"/>
        <v>0.02</v>
      </c>
      <c r="G135" s="983">
        <f t="shared" si="79"/>
        <v>0.115</v>
      </c>
      <c r="H135" s="983">
        <f t="shared" si="79"/>
        <v>1.8</v>
      </c>
      <c r="J135" s="1417"/>
      <c r="K135" s="978">
        <v>5</v>
      </c>
      <c r="L135" s="984">
        <f t="shared" ref="L135:Q135" si="80">I45</f>
        <v>9.9999999999999995E-7</v>
      </c>
      <c r="M135" s="984">
        <f t="shared" si="80"/>
        <v>9.9999999999999995E-7</v>
      </c>
      <c r="N135" s="984">
        <f t="shared" si="80"/>
        <v>9.9999999999999995E-7</v>
      </c>
      <c r="O135" s="984">
        <f t="shared" si="80"/>
        <v>9.9999999999999995E-7</v>
      </c>
      <c r="P135" s="984">
        <f t="shared" si="80"/>
        <v>0</v>
      </c>
      <c r="Q135" s="984">
        <f t="shared" si="80"/>
        <v>5.8999999999999999E-9</v>
      </c>
    </row>
    <row r="136" spans="1:17" ht="13" x14ac:dyDescent="0.25">
      <c r="A136" s="1417"/>
      <c r="B136" s="983">
        <v>6</v>
      </c>
      <c r="C136" s="983">
        <f t="shared" ref="C136:H136" si="81">P37</f>
        <v>150</v>
      </c>
      <c r="D136" s="983">
        <f t="shared" si="81"/>
        <v>0.15</v>
      </c>
      <c r="E136" s="983">
        <f t="shared" si="81"/>
        <v>-0.15</v>
      </c>
      <c r="F136" s="983">
        <f t="shared" si="81"/>
        <v>0.03</v>
      </c>
      <c r="G136" s="983">
        <f t="shared" si="81"/>
        <v>0.15</v>
      </c>
      <c r="H136" s="983">
        <f t="shared" si="81"/>
        <v>1.8</v>
      </c>
      <c r="J136" s="1417"/>
      <c r="K136" s="978">
        <v>6</v>
      </c>
      <c r="L136" s="984">
        <f t="shared" ref="L136:Q136" si="82">P45</f>
        <v>9.9999999999999995E-7</v>
      </c>
      <c r="M136" s="984">
        <f t="shared" si="82"/>
        <v>9.9999999999999995E-7</v>
      </c>
      <c r="N136" s="984">
        <f t="shared" si="82"/>
        <v>9.9999999999999995E-7</v>
      </c>
      <c r="O136" s="984">
        <f t="shared" si="82"/>
        <v>9.9999999999999995E-7</v>
      </c>
      <c r="P136" s="984">
        <f t="shared" si="82"/>
        <v>0</v>
      </c>
      <c r="Q136" s="984">
        <f t="shared" si="82"/>
        <v>5.8999999999999999E-9</v>
      </c>
    </row>
    <row r="137" spans="1:17" ht="13" x14ac:dyDescent="0.25">
      <c r="A137" s="1417"/>
      <c r="B137" s="983">
        <v>7</v>
      </c>
      <c r="C137" s="983">
        <f t="shared" ref="C137:H137" si="83">B68</f>
        <v>150.21</v>
      </c>
      <c r="D137" s="983">
        <f t="shared" si="83"/>
        <v>0.36</v>
      </c>
      <c r="E137" s="983">
        <f t="shared" si="83"/>
        <v>0.21</v>
      </c>
      <c r="F137" s="983">
        <f t="shared" si="83"/>
        <v>0.27</v>
      </c>
      <c r="G137" s="983">
        <f t="shared" si="83"/>
        <v>7.4999999999999997E-2</v>
      </c>
      <c r="H137" s="983">
        <f t="shared" si="83"/>
        <v>1.8025200000000001</v>
      </c>
      <c r="J137" s="1417"/>
      <c r="K137" s="978">
        <v>7</v>
      </c>
      <c r="L137" s="984">
        <f t="shared" ref="L137:Q137" si="84">B76</f>
        <v>9.9999999999999995E-7</v>
      </c>
      <c r="M137" s="984">
        <f t="shared" si="84"/>
        <v>9.9999999999999995E-7</v>
      </c>
      <c r="N137" s="984">
        <f t="shared" si="84"/>
        <v>9.9999999999999995E-7</v>
      </c>
      <c r="O137" s="984">
        <f t="shared" si="84"/>
        <v>9.9999999999999995E-7</v>
      </c>
      <c r="P137" s="984">
        <f t="shared" si="84"/>
        <v>0</v>
      </c>
      <c r="Q137" s="984">
        <f t="shared" si="84"/>
        <v>5.8999999999999999E-9</v>
      </c>
    </row>
    <row r="138" spans="1:17" ht="13" x14ac:dyDescent="0.25">
      <c r="A138" s="1417"/>
      <c r="B138" s="983">
        <v>8</v>
      </c>
      <c r="C138" s="983">
        <f t="shared" ref="C138:H138" si="85">I68</f>
        <v>150</v>
      </c>
      <c r="D138" s="983">
        <f t="shared" si="85"/>
        <v>-0.17</v>
      </c>
      <c r="E138" s="983">
        <f t="shared" si="85"/>
        <v>-0.24</v>
      </c>
      <c r="F138" s="983" t="str">
        <f t="shared" si="85"/>
        <v>-</v>
      </c>
      <c r="G138" s="983">
        <f t="shared" si="85"/>
        <v>3.4999999999999989E-2</v>
      </c>
      <c r="H138" s="983">
        <f t="shared" si="85"/>
        <v>1.8</v>
      </c>
      <c r="J138" s="1417"/>
      <c r="K138" s="978">
        <v>8</v>
      </c>
      <c r="L138" s="984">
        <f t="shared" ref="L138:Q138" si="86">I76</f>
        <v>9.9999999999999995E-7</v>
      </c>
      <c r="M138" s="984">
        <f t="shared" si="86"/>
        <v>9.9999999999999995E-7</v>
      </c>
      <c r="N138" s="984">
        <f t="shared" si="86"/>
        <v>9.9999999999999995E-7</v>
      </c>
      <c r="O138" s="984" t="str">
        <f t="shared" si="86"/>
        <v>-</v>
      </c>
      <c r="P138" s="984">
        <f t="shared" si="86"/>
        <v>0</v>
      </c>
      <c r="Q138" s="984">
        <f t="shared" si="86"/>
        <v>5.8999999999999999E-9</v>
      </c>
    </row>
    <row r="139" spans="1:17" ht="13" x14ac:dyDescent="0.25">
      <c r="A139" s="1417"/>
      <c r="B139" s="983">
        <v>9</v>
      </c>
      <c r="C139" s="983">
        <f t="shared" ref="C139:H139" si="87">P68</f>
        <v>149.83000000000001</v>
      </c>
      <c r="D139" s="983">
        <f t="shared" si="87"/>
        <v>-0.08</v>
      </c>
      <c r="E139" s="983">
        <f t="shared" si="87"/>
        <v>-0.17</v>
      </c>
      <c r="F139" s="983" t="str">
        <f t="shared" si="87"/>
        <v>-</v>
      </c>
      <c r="G139" s="983">
        <f t="shared" si="87"/>
        <v>4.5000000000000005E-2</v>
      </c>
      <c r="H139" s="983">
        <f t="shared" si="87"/>
        <v>1.7979600000000002</v>
      </c>
      <c r="J139" s="1417"/>
      <c r="K139" s="978">
        <v>9</v>
      </c>
      <c r="L139" s="984">
        <f t="shared" ref="L139:Q139" si="88">P76</f>
        <v>9.9999999999999995E-7</v>
      </c>
      <c r="M139" s="984">
        <f t="shared" si="88"/>
        <v>9.9999999999999995E-7</v>
      </c>
      <c r="N139" s="984">
        <f t="shared" si="88"/>
        <v>9.9999999999999995E-7</v>
      </c>
      <c r="O139" s="984" t="str">
        <f t="shared" si="88"/>
        <v>-</v>
      </c>
      <c r="P139" s="984">
        <f t="shared" si="88"/>
        <v>0</v>
      </c>
      <c r="Q139" s="984">
        <f t="shared" si="88"/>
        <v>5.8999999999999999E-9</v>
      </c>
    </row>
    <row r="140" spans="1:17" ht="13" x14ac:dyDescent="0.25">
      <c r="A140" s="1417"/>
      <c r="B140" s="983">
        <v>10</v>
      </c>
      <c r="C140" s="983">
        <f>B99</f>
        <v>150</v>
      </c>
      <c r="D140" s="983">
        <f t="shared" ref="D140:F140" si="89">C99</f>
        <v>-0.05</v>
      </c>
      <c r="E140" s="983" t="str">
        <f t="shared" si="89"/>
        <v>-</v>
      </c>
      <c r="F140" s="983" t="str">
        <f t="shared" si="89"/>
        <v>-</v>
      </c>
      <c r="G140" s="983">
        <f>F99</f>
        <v>0</v>
      </c>
      <c r="H140" s="983" t="str">
        <f>G99</f>
        <v>-</v>
      </c>
      <c r="J140" s="1417"/>
      <c r="K140" s="978">
        <v>10</v>
      </c>
      <c r="L140" s="984">
        <f t="shared" ref="L140:Q140" si="90">B107</f>
        <v>0</v>
      </c>
      <c r="M140" s="984">
        <f t="shared" si="90"/>
        <v>9.9999999999999995E-7</v>
      </c>
      <c r="N140" s="984" t="str">
        <f t="shared" si="90"/>
        <v>-</v>
      </c>
      <c r="O140" s="984" t="str">
        <f t="shared" si="90"/>
        <v>-</v>
      </c>
      <c r="P140" s="984">
        <f t="shared" si="90"/>
        <v>0</v>
      </c>
      <c r="Q140" s="984" t="str">
        <f t="shared" si="90"/>
        <v>-</v>
      </c>
    </row>
    <row r="141" spans="1:17" ht="13" x14ac:dyDescent="0.25">
      <c r="A141" s="1417"/>
      <c r="B141" s="983">
        <v>11</v>
      </c>
      <c r="C141" s="983">
        <f>I99</f>
        <v>150</v>
      </c>
      <c r="D141" s="983">
        <f t="shared" ref="D141:F141" si="91">J99</f>
        <v>9.9999999999999995E-7</v>
      </c>
      <c r="E141" s="983" t="str">
        <f t="shared" si="91"/>
        <v>-</v>
      </c>
      <c r="F141" s="983" t="str">
        <f t="shared" si="91"/>
        <v>-</v>
      </c>
      <c r="G141" s="983">
        <f>M99</f>
        <v>0</v>
      </c>
      <c r="H141" s="983" t="str">
        <f>N99</f>
        <v>-</v>
      </c>
      <c r="J141" s="1417"/>
      <c r="K141" s="978">
        <v>11</v>
      </c>
      <c r="L141" s="984">
        <f t="shared" ref="L141:Q141" si="92">I107</f>
        <v>0</v>
      </c>
      <c r="M141" s="984">
        <f t="shared" si="92"/>
        <v>9.9999999999999995E-7</v>
      </c>
      <c r="N141" s="984" t="str">
        <f t="shared" si="92"/>
        <v>-</v>
      </c>
      <c r="O141" s="984" t="str">
        <f t="shared" si="92"/>
        <v>-</v>
      </c>
      <c r="P141" s="984">
        <f t="shared" si="92"/>
        <v>0</v>
      </c>
      <c r="Q141" s="984" t="str">
        <f t="shared" si="92"/>
        <v>-</v>
      </c>
    </row>
    <row r="142" spans="1:17" ht="13" x14ac:dyDescent="0.25">
      <c r="A142" s="1417"/>
      <c r="B142" s="983">
        <v>12</v>
      </c>
      <c r="C142" s="983">
        <f>P99</f>
        <v>150</v>
      </c>
      <c r="D142" s="983">
        <f t="shared" ref="D142:F142" si="93">Q99</f>
        <v>9.9999999999999995E-7</v>
      </c>
      <c r="E142" s="983" t="str">
        <f t="shared" si="93"/>
        <v>-</v>
      </c>
      <c r="F142" s="983" t="str">
        <f t="shared" si="93"/>
        <v>-</v>
      </c>
      <c r="G142" s="983">
        <f>T99</f>
        <v>0</v>
      </c>
      <c r="H142" s="983" t="str">
        <f>U99</f>
        <v>-</v>
      </c>
      <c r="J142" s="1417"/>
      <c r="K142" s="978">
        <v>12</v>
      </c>
      <c r="L142" s="984">
        <f t="shared" ref="L142:Q142" si="94">P107</f>
        <v>0</v>
      </c>
      <c r="M142" s="984">
        <f t="shared" si="94"/>
        <v>9.9999999999999995E-7</v>
      </c>
      <c r="N142" s="984" t="str">
        <f t="shared" si="94"/>
        <v>-</v>
      </c>
      <c r="O142" s="984" t="str">
        <f t="shared" si="94"/>
        <v>-</v>
      </c>
      <c r="P142" s="984">
        <f t="shared" si="94"/>
        <v>0</v>
      </c>
      <c r="Q142" s="984" t="str">
        <f t="shared" si="94"/>
        <v>-</v>
      </c>
    </row>
    <row r="143" spans="1:17" s="961" customFormat="1" ht="13" x14ac:dyDescent="0.25">
      <c r="A143" s="277"/>
      <c r="B143" s="277"/>
      <c r="C143" s="596"/>
      <c r="D143" s="596"/>
      <c r="E143" s="596"/>
      <c r="F143" s="985"/>
      <c r="G143" s="596"/>
      <c r="H143" s="596"/>
      <c r="J143" s="277"/>
      <c r="K143" s="277"/>
      <c r="L143" s="561"/>
      <c r="M143" s="561"/>
      <c r="N143" s="561"/>
      <c r="O143" s="985"/>
      <c r="P143" s="561"/>
      <c r="Q143" s="561"/>
    </row>
    <row r="144" spans="1:17" ht="14" x14ac:dyDescent="0.25">
      <c r="A144" s="1417" t="s">
        <v>6</v>
      </c>
      <c r="B144" s="981">
        <v>1</v>
      </c>
      <c r="C144" s="981">
        <f t="shared" ref="C144:H144" si="95">B7</f>
        <v>180</v>
      </c>
      <c r="D144" s="981">
        <f t="shared" si="95"/>
        <v>-0.1</v>
      </c>
      <c r="E144" s="981">
        <f t="shared" si="95"/>
        <v>0.1</v>
      </c>
      <c r="F144" s="981">
        <f t="shared" si="95"/>
        <v>-0.03</v>
      </c>
      <c r="G144" s="981">
        <f t="shared" si="95"/>
        <v>0.1</v>
      </c>
      <c r="H144" s="981">
        <f t="shared" si="95"/>
        <v>2.16</v>
      </c>
      <c r="J144" s="1417" t="s">
        <v>6</v>
      </c>
      <c r="K144" s="981">
        <v>1</v>
      </c>
      <c r="L144" s="978">
        <f t="shared" ref="L144:Q144" si="96">B15</f>
        <v>50</v>
      </c>
      <c r="M144" s="978">
        <f t="shared" si="96"/>
        <v>4</v>
      </c>
      <c r="N144" s="978">
        <f t="shared" si="96"/>
        <v>0.1</v>
      </c>
      <c r="O144" s="978">
        <f t="shared" si="96"/>
        <v>-0.06</v>
      </c>
      <c r="P144" s="978">
        <f t="shared" si="96"/>
        <v>2.0299999999999998</v>
      </c>
      <c r="Q144" s="978">
        <f t="shared" si="96"/>
        <v>0.29499999999999998</v>
      </c>
    </row>
    <row r="145" spans="1:17" ht="14" x14ac:dyDescent="0.25">
      <c r="A145" s="1417"/>
      <c r="B145" s="981">
        <v>2</v>
      </c>
      <c r="C145" s="981">
        <f t="shared" ref="C145:H145" si="97">I7</f>
        <v>180</v>
      </c>
      <c r="D145" s="981">
        <f t="shared" si="97"/>
        <v>0.1</v>
      </c>
      <c r="E145" s="981">
        <f t="shared" si="97"/>
        <v>0.12</v>
      </c>
      <c r="F145" s="981">
        <f t="shared" si="97"/>
        <v>-0.06</v>
      </c>
      <c r="G145" s="981">
        <f>M7</f>
        <v>0.09</v>
      </c>
      <c r="H145" s="981">
        <f t="shared" si="97"/>
        <v>2.16</v>
      </c>
      <c r="J145" s="1417"/>
      <c r="K145" s="981">
        <v>2</v>
      </c>
      <c r="L145" s="978">
        <f t="shared" ref="L145:Q145" si="98">I15</f>
        <v>50</v>
      </c>
      <c r="M145" s="978">
        <f t="shared" si="98"/>
        <v>1</v>
      </c>
      <c r="N145" s="978">
        <f t="shared" si="98"/>
        <v>-0.08</v>
      </c>
      <c r="O145" s="978">
        <f t="shared" si="98"/>
        <v>0.1</v>
      </c>
      <c r="P145" s="978">
        <f t="shared" si="98"/>
        <v>0.54</v>
      </c>
      <c r="Q145" s="978">
        <f t="shared" si="98"/>
        <v>0.29499999999999998</v>
      </c>
    </row>
    <row r="146" spans="1:17" ht="14" x14ac:dyDescent="0.25">
      <c r="A146" s="1417"/>
      <c r="B146" s="978">
        <v>3</v>
      </c>
      <c r="C146" s="981">
        <f t="shared" ref="C146:H146" si="99">P7</f>
        <v>180</v>
      </c>
      <c r="D146" s="981">
        <f t="shared" si="99"/>
        <v>-1.81</v>
      </c>
      <c r="E146" s="981">
        <f t="shared" si="99"/>
        <v>-1.9</v>
      </c>
      <c r="F146" s="981">
        <f t="shared" si="99"/>
        <v>-0.13</v>
      </c>
      <c r="G146" s="981">
        <f t="shared" si="99"/>
        <v>0.88500000000000001</v>
      </c>
      <c r="H146" s="981">
        <f t="shared" si="99"/>
        <v>2.16</v>
      </c>
      <c r="J146" s="1417"/>
      <c r="K146" s="978">
        <v>3</v>
      </c>
      <c r="L146" s="978">
        <f t="shared" ref="L146:Q146" si="100">P15</f>
        <v>50</v>
      </c>
      <c r="M146" s="978">
        <f t="shared" si="100"/>
        <v>9.1</v>
      </c>
      <c r="N146" s="978">
        <f t="shared" si="100"/>
        <v>-0.62</v>
      </c>
      <c r="O146" s="978">
        <f t="shared" si="100"/>
        <v>2</v>
      </c>
      <c r="P146" s="978">
        <f t="shared" si="100"/>
        <v>4.8599999999999994</v>
      </c>
      <c r="Q146" s="978">
        <f t="shared" si="100"/>
        <v>0.29499999999999998</v>
      </c>
    </row>
    <row r="147" spans="1:17" ht="14" x14ac:dyDescent="0.25">
      <c r="A147" s="1417"/>
      <c r="B147" s="978">
        <v>4</v>
      </c>
      <c r="C147" s="981">
        <f t="shared" ref="C147:H147" si="101">B38</f>
        <v>180</v>
      </c>
      <c r="D147" s="981">
        <f t="shared" si="101"/>
        <v>0.11</v>
      </c>
      <c r="E147" s="981">
        <f t="shared" si="101"/>
        <v>-0.04</v>
      </c>
      <c r="F147" s="981">
        <f t="shared" si="101"/>
        <v>0.03</v>
      </c>
      <c r="G147" s="981">
        <f t="shared" si="101"/>
        <v>7.4999999999999997E-2</v>
      </c>
      <c r="H147" s="981">
        <f t="shared" si="101"/>
        <v>2.16</v>
      </c>
      <c r="J147" s="1417"/>
      <c r="K147" s="978">
        <v>4</v>
      </c>
      <c r="L147" s="978">
        <f t="shared" ref="L147:Q147" si="102">B46</f>
        <v>50</v>
      </c>
      <c r="M147" s="978">
        <f t="shared" si="102"/>
        <v>9.9999999999999995E-7</v>
      </c>
      <c r="N147" s="978">
        <f t="shared" si="102"/>
        <v>-0.3</v>
      </c>
      <c r="O147" s="978">
        <f t="shared" si="102"/>
        <v>-0.28999999999999998</v>
      </c>
      <c r="P147" s="978">
        <f t="shared" si="102"/>
        <v>0.15000049999999998</v>
      </c>
      <c r="Q147" s="978">
        <f t="shared" si="102"/>
        <v>0.29499999999999998</v>
      </c>
    </row>
    <row r="148" spans="1:17" ht="14" x14ac:dyDescent="0.25">
      <c r="A148" s="1417"/>
      <c r="B148" s="978">
        <v>5</v>
      </c>
      <c r="C148" s="981">
        <f t="shared" ref="C148:H148" si="103">I38</f>
        <v>180</v>
      </c>
      <c r="D148" s="981">
        <f t="shared" si="103"/>
        <v>-0.08</v>
      </c>
      <c r="E148" s="981">
        <f t="shared" si="103"/>
        <v>0.09</v>
      </c>
      <c r="F148" s="981">
        <f t="shared" si="103"/>
        <v>0.1</v>
      </c>
      <c r="G148" s="981">
        <f t="shared" si="103"/>
        <v>0.09</v>
      </c>
      <c r="H148" s="981">
        <f t="shared" si="103"/>
        <v>2.16</v>
      </c>
      <c r="J148" s="1417"/>
      <c r="K148" s="978">
        <v>5</v>
      </c>
      <c r="L148" s="978">
        <f t="shared" ref="L148:Q148" si="104">I46</f>
        <v>50</v>
      </c>
      <c r="M148" s="978">
        <f t="shared" si="104"/>
        <v>4.0999999999999996</v>
      </c>
      <c r="N148" s="978">
        <f t="shared" si="104"/>
        <v>0.3</v>
      </c>
      <c r="O148" s="978">
        <f t="shared" si="104"/>
        <v>-0.33</v>
      </c>
      <c r="P148" s="978">
        <f t="shared" si="104"/>
        <v>2.2149999999999999</v>
      </c>
      <c r="Q148" s="978">
        <f t="shared" si="104"/>
        <v>0.29499999999999998</v>
      </c>
    </row>
    <row r="149" spans="1:17" ht="14" x14ac:dyDescent="0.25">
      <c r="A149" s="1417"/>
      <c r="B149" s="978">
        <v>6</v>
      </c>
      <c r="C149" s="981">
        <f t="shared" ref="C149:H149" si="105">P38</f>
        <v>180</v>
      </c>
      <c r="D149" s="981">
        <f t="shared" si="105"/>
        <v>0.17</v>
      </c>
      <c r="E149" s="981">
        <f t="shared" si="105"/>
        <v>-0.11</v>
      </c>
      <c r="F149" s="981">
        <f t="shared" si="105"/>
        <v>9.9999999999999995E-7</v>
      </c>
      <c r="G149" s="981">
        <f t="shared" si="105"/>
        <v>0.14000000000000001</v>
      </c>
      <c r="H149" s="981">
        <f t="shared" si="105"/>
        <v>2.16</v>
      </c>
      <c r="J149" s="1417"/>
      <c r="K149" s="978">
        <v>6</v>
      </c>
      <c r="L149" s="978">
        <f t="shared" ref="L149:Q149" si="106">P46</f>
        <v>50</v>
      </c>
      <c r="M149" s="978">
        <f t="shared" si="106"/>
        <v>19.100000000000001</v>
      </c>
      <c r="N149" s="978">
        <f t="shared" si="106"/>
        <v>0.02</v>
      </c>
      <c r="O149" s="978">
        <f t="shared" si="106"/>
        <v>-0.1</v>
      </c>
      <c r="P149" s="978">
        <f t="shared" si="106"/>
        <v>9.6000000000000014</v>
      </c>
      <c r="Q149" s="978">
        <f t="shared" si="106"/>
        <v>0.29499999999999998</v>
      </c>
    </row>
    <row r="150" spans="1:17" ht="14" x14ac:dyDescent="0.25">
      <c r="A150" s="1417"/>
      <c r="B150" s="978">
        <v>7</v>
      </c>
      <c r="C150" s="981">
        <f t="shared" ref="C150:H150" si="107">B69</f>
        <v>180.33</v>
      </c>
      <c r="D150" s="981">
        <f t="shared" si="107"/>
        <v>0.46</v>
      </c>
      <c r="E150" s="981">
        <f t="shared" si="107"/>
        <v>0.33</v>
      </c>
      <c r="F150" s="981">
        <f t="shared" si="107"/>
        <v>0.37</v>
      </c>
      <c r="G150" s="981">
        <f t="shared" si="107"/>
        <v>6.5000000000000002E-2</v>
      </c>
      <c r="H150" s="981">
        <f t="shared" si="107"/>
        <v>2.1639600000000003</v>
      </c>
      <c r="J150" s="1417"/>
      <c r="K150" s="978">
        <v>7</v>
      </c>
      <c r="L150" s="978">
        <f t="shared" ref="L150:Q150" si="108">B77</f>
        <v>50</v>
      </c>
      <c r="M150" s="978">
        <f t="shared" si="108"/>
        <v>1.9</v>
      </c>
      <c r="N150" s="978">
        <f t="shared" si="108"/>
        <v>1.7</v>
      </c>
      <c r="O150" s="978">
        <f t="shared" si="108"/>
        <v>2.1</v>
      </c>
      <c r="P150" s="978">
        <f t="shared" si="108"/>
        <v>0.20000000000000007</v>
      </c>
      <c r="Q150" s="978">
        <f t="shared" si="108"/>
        <v>0.29499999999999998</v>
      </c>
    </row>
    <row r="151" spans="1:17" ht="14" x14ac:dyDescent="0.25">
      <c r="A151" s="1417"/>
      <c r="B151" s="978">
        <v>8</v>
      </c>
      <c r="C151" s="981">
        <f t="shared" ref="C151:H151" si="109">I69</f>
        <v>180</v>
      </c>
      <c r="D151" s="981">
        <f t="shared" si="109"/>
        <v>-0.39</v>
      </c>
      <c r="E151" s="981">
        <f t="shared" si="109"/>
        <v>-0.14000000000000001</v>
      </c>
      <c r="F151" s="981" t="str">
        <f t="shared" si="109"/>
        <v>-</v>
      </c>
      <c r="G151" s="981">
        <f t="shared" si="109"/>
        <v>0.125</v>
      </c>
      <c r="H151" s="981">
        <f t="shared" si="109"/>
        <v>2.16</v>
      </c>
      <c r="J151" s="1417"/>
      <c r="K151" s="978">
        <v>8</v>
      </c>
      <c r="L151" s="978">
        <f t="shared" ref="L151:Q151" si="110">I77</f>
        <v>20</v>
      </c>
      <c r="M151" s="978">
        <f t="shared" si="110"/>
        <v>6.6</v>
      </c>
      <c r="N151" s="978">
        <f t="shared" si="110"/>
        <v>0.9</v>
      </c>
      <c r="O151" s="978" t="str">
        <f t="shared" si="110"/>
        <v>-</v>
      </c>
      <c r="P151" s="978">
        <f t="shared" si="110"/>
        <v>2.8499999999999996</v>
      </c>
      <c r="Q151" s="978">
        <f t="shared" si="110"/>
        <v>0.11799999999999999</v>
      </c>
    </row>
    <row r="152" spans="1:17" ht="14" x14ac:dyDescent="0.25">
      <c r="A152" s="1417"/>
      <c r="B152" s="978">
        <v>9</v>
      </c>
      <c r="C152" s="981">
        <f t="shared" ref="C152:H152" si="111">P69</f>
        <v>179.78</v>
      </c>
      <c r="D152" s="981">
        <f t="shared" si="111"/>
        <v>-0.2</v>
      </c>
      <c r="E152" s="981">
        <f t="shared" si="111"/>
        <v>-0.22</v>
      </c>
      <c r="F152" s="981" t="str">
        <f t="shared" si="111"/>
        <v>-</v>
      </c>
      <c r="G152" s="981">
        <f t="shared" si="111"/>
        <v>9.999999999999995E-3</v>
      </c>
      <c r="H152" s="981">
        <f t="shared" si="111"/>
        <v>2.1573600000000002</v>
      </c>
      <c r="J152" s="1417"/>
      <c r="K152" s="978">
        <v>9</v>
      </c>
      <c r="L152" s="978">
        <f t="shared" ref="L152:Q152" si="112">P77</f>
        <v>20.8</v>
      </c>
      <c r="M152" s="978">
        <f t="shared" si="112"/>
        <v>4.9000000000000004</v>
      </c>
      <c r="N152" s="978">
        <f t="shared" si="112"/>
        <v>0.8</v>
      </c>
      <c r="O152" s="978" t="str">
        <f t="shared" si="112"/>
        <v>-</v>
      </c>
      <c r="P152" s="978">
        <f t="shared" si="112"/>
        <v>2.0500000000000003</v>
      </c>
      <c r="Q152" s="978">
        <f t="shared" si="112"/>
        <v>0.12272</v>
      </c>
    </row>
    <row r="153" spans="1:17" ht="14" x14ac:dyDescent="0.25">
      <c r="A153" s="1417"/>
      <c r="B153" s="978">
        <v>10</v>
      </c>
      <c r="C153" s="981">
        <f>B100</f>
        <v>180</v>
      </c>
      <c r="D153" s="981">
        <f t="shared" ref="D153:F153" si="113">C100</f>
        <v>-0.04</v>
      </c>
      <c r="E153" s="981" t="str">
        <f t="shared" si="113"/>
        <v>-</v>
      </c>
      <c r="F153" s="981" t="str">
        <f t="shared" si="113"/>
        <v>-</v>
      </c>
      <c r="G153" s="981">
        <f>F100</f>
        <v>0</v>
      </c>
      <c r="H153" s="981" t="str">
        <f>G100</f>
        <v>-</v>
      </c>
      <c r="J153" s="1417"/>
      <c r="K153" s="978">
        <v>10</v>
      </c>
      <c r="L153" s="978">
        <f t="shared" ref="L153:Q153" si="114">B108</f>
        <v>50</v>
      </c>
      <c r="M153" s="978">
        <f t="shared" si="114"/>
        <v>0.4</v>
      </c>
      <c r="N153" s="978" t="str">
        <f t="shared" si="114"/>
        <v>-</v>
      </c>
      <c r="O153" s="978" t="str">
        <f t="shared" si="114"/>
        <v>-</v>
      </c>
      <c r="P153" s="978">
        <f t="shared" si="114"/>
        <v>0</v>
      </c>
      <c r="Q153" s="978" t="str">
        <f t="shared" si="114"/>
        <v>-</v>
      </c>
    </row>
    <row r="154" spans="1:17" ht="14" x14ac:dyDescent="0.25">
      <c r="A154" s="1417"/>
      <c r="B154" s="978">
        <v>11</v>
      </c>
      <c r="C154" s="981">
        <f>I100</f>
        <v>180</v>
      </c>
      <c r="D154" s="981">
        <f t="shared" ref="D154:F154" si="115">J100</f>
        <v>9.9999999999999995E-7</v>
      </c>
      <c r="E154" s="981" t="str">
        <f t="shared" si="115"/>
        <v>-</v>
      </c>
      <c r="F154" s="981" t="str">
        <f t="shared" si="115"/>
        <v>-</v>
      </c>
      <c r="G154" s="981">
        <f>M100</f>
        <v>0</v>
      </c>
      <c r="H154" s="981" t="str">
        <f>N100</f>
        <v>-</v>
      </c>
      <c r="J154" s="1417"/>
      <c r="K154" s="978">
        <v>11</v>
      </c>
      <c r="L154" s="978">
        <f t="shared" ref="L154:Q154" si="116">I108</f>
        <v>50</v>
      </c>
      <c r="M154" s="978">
        <f t="shared" si="116"/>
        <v>9.9999999999999995E-7</v>
      </c>
      <c r="N154" s="978" t="str">
        <f t="shared" si="116"/>
        <v>-</v>
      </c>
      <c r="O154" s="978" t="str">
        <f t="shared" si="116"/>
        <v>-</v>
      </c>
      <c r="P154" s="978">
        <f t="shared" si="116"/>
        <v>0</v>
      </c>
      <c r="Q154" s="978" t="str">
        <f t="shared" si="116"/>
        <v>-</v>
      </c>
    </row>
    <row r="155" spans="1:17" ht="14" x14ac:dyDescent="0.25">
      <c r="A155" s="1417"/>
      <c r="B155" s="978">
        <v>12</v>
      </c>
      <c r="C155" s="981">
        <f>P100</f>
        <v>180</v>
      </c>
      <c r="D155" s="981">
        <f t="shared" ref="D155:F155" si="117">Q100</f>
        <v>9.9999999999999995E-7</v>
      </c>
      <c r="E155" s="981" t="str">
        <f t="shared" si="117"/>
        <v>-</v>
      </c>
      <c r="F155" s="981" t="str">
        <f t="shared" si="117"/>
        <v>-</v>
      </c>
      <c r="G155" s="981">
        <f>T100</f>
        <v>0</v>
      </c>
      <c r="H155" s="981" t="str">
        <f>U100</f>
        <v>-</v>
      </c>
      <c r="J155" s="1417"/>
      <c r="K155" s="978">
        <v>12</v>
      </c>
      <c r="L155" s="978">
        <f t="shared" ref="L155:Q155" si="118">P108</f>
        <v>50</v>
      </c>
      <c r="M155" s="978">
        <f t="shared" si="118"/>
        <v>9.9999999999999995E-7</v>
      </c>
      <c r="N155" s="978" t="str">
        <f t="shared" si="118"/>
        <v>-</v>
      </c>
      <c r="O155" s="978" t="str">
        <f t="shared" si="118"/>
        <v>-</v>
      </c>
      <c r="P155" s="978">
        <f t="shared" si="118"/>
        <v>0</v>
      </c>
      <c r="Q155" s="978" t="str">
        <f t="shared" si="118"/>
        <v>-</v>
      </c>
    </row>
    <row r="156" spans="1:17" s="961" customFormat="1" x14ac:dyDescent="0.25">
      <c r="A156" s="277"/>
      <c r="B156" s="277"/>
      <c r="C156" s="277"/>
      <c r="D156" s="277"/>
      <c r="E156" s="277"/>
      <c r="F156" s="985"/>
      <c r="G156" s="277"/>
      <c r="H156" s="277"/>
      <c r="J156" s="277"/>
      <c r="K156" s="277"/>
      <c r="L156" s="277"/>
      <c r="M156" s="277"/>
      <c r="N156" s="277"/>
      <c r="O156" s="985"/>
      <c r="P156" s="277"/>
      <c r="Q156" s="277"/>
    </row>
    <row r="157" spans="1:17" ht="14" x14ac:dyDescent="0.25">
      <c r="A157" s="1417" t="s">
        <v>7</v>
      </c>
      <c r="B157" s="981">
        <v>1</v>
      </c>
      <c r="C157" s="981">
        <f t="shared" ref="C157:H157" si="119">B8</f>
        <v>200</v>
      </c>
      <c r="D157" s="981">
        <f t="shared" si="119"/>
        <v>-0.17</v>
      </c>
      <c r="E157" s="981">
        <f t="shared" si="119"/>
        <v>-0.04</v>
      </c>
      <c r="F157" s="981">
        <f t="shared" si="119"/>
        <v>-0.16</v>
      </c>
      <c r="G157" s="981">
        <f t="shared" si="119"/>
        <v>6.5000000000000002E-2</v>
      </c>
      <c r="H157" s="981">
        <f t="shared" si="119"/>
        <v>2.4</v>
      </c>
      <c r="J157" s="1417" t="s">
        <v>7</v>
      </c>
      <c r="K157" s="981">
        <v>1</v>
      </c>
      <c r="L157" s="978">
        <f t="shared" ref="L157:Q157" si="120">B16</f>
        <v>100</v>
      </c>
      <c r="M157" s="978">
        <f t="shared" si="120"/>
        <v>3.6</v>
      </c>
      <c r="N157" s="978">
        <f t="shared" si="120"/>
        <v>0.2</v>
      </c>
      <c r="O157" s="978">
        <f t="shared" si="120"/>
        <v>-0.06</v>
      </c>
      <c r="P157" s="978">
        <f t="shared" si="120"/>
        <v>1.83</v>
      </c>
      <c r="Q157" s="978">
        <f t="shared" si="120"/>
        <v>0.59</v>
      </c>
    </row>
    <row r="158" spans="1:17" ht="14" x14ac:dyDescent="0.25">
      <c r="A158" s="1417"/>
      <c r="B158" s="981">
        <v>2</v>
      </c>
      <c r="C158" s="981">
        <f t="shared" ref="C158:H158" si="121">I8</f>
        <v>200</v>
      </c>
      <c r="D158" s="981">
        <f t="shared" si="121"/>
        <v>0.09</v>
      </c>
      <c r="E158" s="981">
        <f t="shared" si="121"/>
        <v>0.06</v>
      </c>
      <c r="F158" s="981">
        <f t="shared" si="121"/>
        <v>-0.18</v>
      </c>
      <c r="G158" s="981">
        <f t="shared" si="121"/>
        <v>0.13500000000000001</v>
      </c>
      <c r="H158" s="981">
        <f t="shared" si="121"/>
        <v>2.4</v>
      </c>
      <c r="J158" s="1417"/>
      <c r="K158" s="981">
        <v>2</v>
      </c>
      <c r="L158" s="978">
        <f t="shared" ref="L158:Q158" si="122">I16</f>
        <v>100</v>
      </c>
      <c r="M158" s="978">
        <f t="shared" si="122"/>
        <v>-0.9</v>
      </c>
      <c r="N158" s="978">
        <f t="shared" si="122"/>
        <v>-7.0000000000000007E-2</v>
      </c>
      <c r="O158" s="978">
        <f t="shared" si="122"/>
        <v>2.2000000000000002</v>
      </c>
      <c r="P158" s="978">
        <f t="shared" si="122"/>
        <v>1.55</v>
      </c>
      <c r="Q158" s="978">
        <f t="shared" si="122"/>
        <v>0.59</v>
      </c>
    </row>
    <row r="159" spans="1:17" x14ac:dyDescent="0.25">
      <c r="A159" s="1417"/>
      <c r="B159" s="978">
        <v>3</v>
      </c>
      <c r="C159" s="978">
        <f t="shared" ref="C159:H159" si="123">P8</f>
        <v>200</v>
      </c>
      <c r="D159" s="978">
        <f t="shared" si="123"/>
        <v>-2.0499999999999998</v>
      </c>
      <c r="E159" s="978">
        <f t="shared" si="123"/>
        <v>-2.14</v>
      </c>
      <c r="F159" s="978">
        <f t="shared" si="123"/>
        <v>-0.26</v>
      </c>
      <c r="G159" s="978">
        <f t="shared" si="123"/>
        <v>0.94000000000000006</v>
      </c>
      <c r="H159" s="978">
        <f t="shared" si="123"/>
        <v>2.4</v>
      </c>
      <c r="J159" s="1417"/>
      <c r="K159" s="978">
        <v>3</v>
      </c>
      <c r="L159" s="978">
        <f t="shared" ref="L159:Q159" si="124">P16</f>
        <v>100</v>
      </c>
      <c r="M159" s="978">
        <f t="shared" si="124"/>
        <v>6</v>
      </c>
      <c r="N159" s="978">
        <f t="shared" si="124"/>
        <v>-0.22</v>
      </c>
      <c r="O159" s="978">
        <f t="shared" si="124"/>
        <v>2</v>
      </c>
      <c r="P159" s="978">
        <f t="shared" si="124"/>
        <v>3.11</v>
      </c>
      <c r="Q159" s="978">
        <f t="shared" si="124"/>
        <v>0.59</v>
      </c>
    </row>
    <row r="160" spans="1:17" x14ac:dyDescent="0.25">
      <c r="A160" s="1417"/>
      <c r="B160" s="978">
        <v>4</v>
      </c>
      <c r="C160" s="978">
        <f t="shared" ref="C160:H160" si="125">B39</f>
        <v>200</v>
      </c>
      <c r="D160" s="978">
        <f t="shared" si="125"/>
        <v>0.11</v>
      </c>
      <c r="E160" s="978">
        <f t="shared" si="125"/>
        <v>-0.67</v>
      </c>
      <c r="F160" s="978">
        <f t="shared" si="125"/>
        <v>0.05</v>
      </c>
      <c r="G160" s="978">
        <f t="shared" si="125"/>
        <v>0.39</v>
      </c>
      <c r="H160" s="978">
        <f t="shared" si="125"/>
        <v>2.4</v>
      </c>
      <c r="J160" s="1417"/>
      <c r="K160" s="978">
        <v>4</v>
      </c>
      <c r="L160" s="978">
        <f t="shared" ref="L160:Q160" si="126">B47</f>
        <v>100</v>
      </c>
      <c r="M160" s="978">
        <f t="shared" si="126"/>
        <v>4.0999999999999996</v>
      </c>
      <c r="N160" s="978">
        <f t="shared" si="126"/>
        <v>-0.4</v>
      </c>
      <c r="O160" s="978">
        <f t="shared" si="126"/>
        <v>-0.35</v>
      </c>
      <c r="P160" s="978">
        <f t="shared" si="126"/>
        <v>2.25</v>
      </c>
      <c r="Q160" s="978">
        <f t="shared" si="126"/>
        <v>0.59</v>
      </c>
    </row>
    <row r="161" spans="1:17" x14ac:dyDescent="0.25">
      <c r="A161" s="1417"/>
      <c r="B161" s="978">
        <v>5</v>
      </c>
      <c r="C161" s="978">
        <f t="shared" ref="C161:H161" si="127">I39</f>
        <v>200</v>
      </c>
      <c r="D161" s="978">
        <f t="shared" si="127"/>
        <v>-0.12</v>
      </c>
      <c r="E161" s="978">
        <f t="shared" si="127"/>
        <v>0.18</v>
      </c>
      <c r="F161" s="978">
        <f t="shared" si="127"/>
        <v>-0.03</v>
      </c>
      <c r="G161" s="978">
        <f t="shared" si="127"/>
        <v>0.15</v>
      </c>
      <c r="H161" s="978">
        <f t="shared" si="127"/>
        <v>2.4</v>
      </c>
      <c r="J161" s="1417"/>
      <c r="K161" s="978">
        <v>5</v>
      </c>
      <c r="L161" s="978">
        <f t="shared" ref="L161:Q161" si="128">I47</f>
        <v>100</v>
      </c>
      <c r="M161" s="978">
        <f t="shared" si="128"/>
        <v>5</v>
      </c>
      <c r="N161" s="978">
        <f t="shared" si="128"/>
        <v>-0.1</v>
      </c>
      <c r="O161" s="978">
        <f t="shared" si="128"/>
        <v>-0.42</v>
      </c>
      <c r="P161" s="978">
        <f t="shared" si="128"/>
        <v>2.71</v>
      </c>
      <c r="Q161" s="978">
        <f t="shared" si="128"/>
        <v>0.59</v>
      </c>
    </row>
    <row r="162" spans="1:17" x14ac:dyDescent="0.25">
      <c r="A162" s="1417"/>
      <c r="B162" s="978">
        <v>6</v>
      </c>
      <c r="C162" s="978">
        <f t="shared" ref="C162:H162" si="129">P39</f>
        <v>200</v>
      </c>
      <c r="D162" s="978">
        <f t="shared" si="129"/>
        <v>0.1</v>
      </c>
      <c r="E162" s="978">
        <f t="shared" si="129"/>
        <v>-0.1</v>
      </c>
      <c r="F162" s="978">
        <f t="shared" si="129"/>
        <v>0.05</v>
      </c>
      <c r="G162" s="978">
        <f t="shared" si="129"/>
        <v>0.1</v>
      </c>
      <c r="H162" s="978">
        <f t="shared" si="129"/>
        <v>2.4</v>
      </c>
      <c r="J162" s="1417"/>
      <c r="K162" s="978">
        <v>6</v>
      </c>
      <c r="L162" s="978">
        <f t="shared" ref="L162:Q162" si="130">P47</f>
        <v>100</v>
      </c>
      <c r="M162" s="978">
        <f t="shared" si="130"/>
        <v>18.399999999999999</v>
      </c>
      <c r="N162" s="978">
        <f t="shared" si="130"/>
        <v>0.22</v>
      </c>
      <c r="O162" s="978">
        <f t="shared" si="130"/>
        <v>-0.2</v>
      </c>
      <c r="P162" s="978">
        <f t="shared" si="130"/>
        <v>9.2999999999999989</v>
      </c>
      <c r="Q162" s="978">
        <f t="shared" si="130"/>
        <v>0.59</v>
      </c>
    </row>
    <row r="163" spans="1:17" x14ac:dyDescent="0.25">
      <c r="A163" s="1417"/>
      <c r="B163" s="978">
        <v>7</v>
      </c>
      <c r="C163" s="978">
        <f t="shared" ref="C163:H163" si="131">B70</f>
        <v>200.35</v>
      </c>
      <c r="D163" s="978">
        <f t="shared" si="131"/>
        <v>0.52</v>
      </c>
      <c r="E163" s="978">
        <f t="shared" si="131"/>
        <v>0.34</v>
      </c>
      <c r="F163" s="978">
        <f t="shared" si="131"/>
        <v>0.4</v>
      </c>
      <c r="G163" s="978">
        <f t="shared" si="131"/>
        <v>0.09</v>
      </c>
      <c r="H163" s="978">
        <f t="shared" si="131"/>
        <v>2.4041999999999999</v>
      </c>
      <c r="J163" s="1417"/>
      <c r="K163" s="978">
        <v>7</v>
      </c>
      <c r="L163" s="978">
        <f t="shared" ref="L163:Q163" si="132">B78</f>
        <v>100</v>
      </c>
      <c r="M163" s="978">
        <f t="shared" si="132"/>
        <v>1.7</v>
      </c>
      <c r="N163" s="978">
        <f t="shared" si="132"/>
        <v>1.7</v>
      </c>
      <c r="O163" s="978">
        <f t="shared" si="132"/>
        <v>2.2000000000000002</v>
      </c>
      <c r="P163" s="978">
        <f t="shared" si="132"/>
        <v>0.25000000000000011</v>
      </c>
      <c r="Q163" s="978">
        <f t="shared" si="132"/>
        <v>0.59</v>
      </c>
    </row>
    <row r="164" spans="1:17" x14ac:dyDescent="0.25">
      <c r="A164" s="1417"/>
      <c r="B164" s="978">
        <v>8</v>
      </c>
      <c r="C164" s="978">
        <f t="shared" ref="C164:H164" si="133">I70</f>
        <v>200</v>
      </c>
      <c r="D164" s="978">
        <f t="shared" si="133"/>
        <v>-0.23</v>
      </c>
      <c r="E164" s="978">
        <f t="shared" si="133"/>
        <v>-0.33</v>
      </c>
      <c r="F164" s="978" t="str">
        <f t="shared" si="133"/>
        <v>-</v>
      </c>
      <c r="G164" s="978">
        <f t="shared" si="133"/>
        <v>0.05</v>
      </c>
      <c r="H164" s="978">
        <f t="shared" si="133"/>
        <v>2.4</v>
      </c>
      <c r="J164" s="1417"/>
      <c r="K164" s="978">
        <v>8</v>
      </c>
      <c r="L164" s="978">
        <f t="shared" ref="L164:Q164" si="134">I78</f>
        <v>50</v>
      </c>
      <c r="M164" s="978">
        <f t="shared" si="134"/>
        <v>5</v>
      </c>
      <c r="N164" s="978">
        <f t="shared" si="134"/>
        <v>2.1</v>
      </c>
      <c r="O164" s="978" t="str">
        <f t="shared" si="134"/>
        <v>-</v>
      </c>
      <c r="P164" s="978">
        <f t="shared" si="134"/>
        <v>1.45</v>
      </c>
      <c r="Q164" s="978">
        <f t="shared" si="134"/>
        <v>0.29499999999999998</v>
      </c>
    </row>
    <row r="165" spans="1:17" x14ac:dyDescent="0.25">
      <c r="A165" s="1417"/>
      <c r="B165" s="978">
        <v>9</v>
      </c>
      <c r="C165" s="978">
        <f t="shared" ref="C165:H165" si="135">P70</f>
        <v>199.67</v>
      </c>
      <c r="D165" s="978">
        <f t="shared" si="135"/>
        <v>-0.25</v>
      </c>
      <c r="E165" s="978">
        <f t="shared" si="135"/>
        <v>-0.33</v>
      </c>
      <c r="F165" s="978" t="str">
        <f t="shared" si="135"/>
        <v>-</v>
      </c>
      <c r="G165" s="978">
        <f t="shared" si="135"/>
        <v>4.0000000000000008E-2</v>
      </c>
      <c r="H165" s="978">
        <f t="shared" si="135"/>
        <v>2.3960399999999997</v>
      </c>
      <c r="J165" s="1417"/>
      <c r="K165" s="978">
        <v>9</v>
      </c>
      <c r="L165" s="978">
        <f t="shared" ref="L165:Q165" si="136">P78</f>
        <v>51.7</v>
      </c>
      <c r="M165" s="978">
        <f t="shared" si="136"/>
        <v>9.1999999999999993</v>
      </c>
      <c r="N165" s="978">
        <f t="shared" si="136"/>
        <v>1.7</v>
      </c>
      <c r="O165" s="978" t="str">
        <f t="shared" si="136"/>
        <v>-</v>
      </c>
      <c r="P165" s="978">
        <f t="shared" si="136"/>
        <v>3.7499999999999996</v>
      </c>
      <c r="Q165" s="978">
        <f t="shared" si="136"/>
        <v>0.30503000000000002</v>
      </c>
    </row>
    <row r="166" spans="1:17" x14ac:dyDescent="0.25">
      <c r="A166" s="1417"/>
      <c r="B166" s="978">
        <v>10</v>
      </c>
      <c r="C166" s="978">
        <f>B101</f>
        <v>200</v>
      </c>
      <c r="D166" s="978">
        <f t="shared" ref="D166:F166" si="137">C101</f>
        <v>-0.67</v>
      </c>
      <c r="E166" s="978" t="str">
        <f t="shared" si="137"/>
        <v>-</v>
      </c>
      <c r="F166" s="978" t="str">
        <f t="shared" si="137"/>
        <v>-</v>
      </c>
      <c r="G166" s="978">
        <f>F101</f>
        <v>0</v>
      </c>
      <c r="H166" s="978" t="str">
        <f>G101</f>
        <v>-</v>
      </c>
      <c r="J166" s="1417"/>
      <c r="K166" s="978">
        <v>10</v>
      </c>
      <c r="L166" s="978">
        <f t="shared" ref="L166:Q166" si="138">B109</f>
        <v>100</v>
      </c>
      <c r="M166" s="978">
        <f t="shared" si="138"/>
        <v>0.4</v>
      </c>
      <c r="N166" s="978" t="str">
        <f t="shared" si="138"/>
        <v>-</v>
      </c>
      <c r="O166" s="978" t="str">
        <f t="shared" si="138"/>
        <v>-</v>
      </c>
      <c r="P166" s="978">
        <f t="shared" si="138"/>
        <v>0</v>
      </c>
      <c r="Q166" s="978" t="str">
        <f t="shared" si="138"/>
        <v>-</v>
      </c>
    </row>
    <row r="167" spans="1:17" x14ac:dyDescent="0.25">
      <c r="A167" s="1417"/>
      <c r="B167" s="978">
        <v>11</v>
      </c>
      <c r="C167" s="978">
        <f>I101</f>
        <v>200</v>
      </c>
      <c r="D167" s="978">
        <f t="shared" ref="D167:F167" si="139">J101</f>
        <v>9.9999999999999995E-7</v>
      </c>
      <c r="E167" s="978" t="str">
        <f t="shared" si="139"/>
        <v>-</v>
      </c>
      <c r="F167" s="978" t="str">
        <f t="shared" si="139"/>
        <v>-</v>
      </c>
      <c r="G167" s="978">
        <f>M101</f>
        <v>0</v>
      </c>
      <c r="H167" s="978" t="str">
        <f>N101</f>
        <v>-</v>
      </c>
      <c r="J167" s="1417"/>
      <c r="K167" s="978">
        <v>11</v>
      </c>
      <c r="L167" s="978">
        <f t="shared" ref="L167:Q167" si="140">I109</f>
        <v>100</v>
      </c>
      <c r="M167" s="978">
        <f t="shared" si="140"/>
        <v>9.9999999999999995E-7</v>
      </c>
      <c r="N167" s="978" t="str">
        <f t="shared" si="140"/>
        <v>-</v>
      </c>
      <c r="O167" s="978" t="str">
        <f t="shared" si="140"/>
        <v>-</v>
      </c>
      <c r="P167" s="978">
        <f t="shared" si="140"/>
        <v>0</v>
      </c>
      <c r="Q167" s="978" t="str">
        <f t="shared" si="140"/>
        <v>-</v>
      </c>
    </row>
    <row r="168" spans="1:17" x14ac:dyDescent="0.25">
      <c r="A168" s="1417"/>
      <c r="B168" s="978">
        <v>12</v>
      </c>
      <c r="C168" s="978">
        <f>P101</f>
        <v>200</v>
      </c>
      <c r="D168" s="978">
        <f t="shared" ref="D168:F168" si="141">Q101</f>
        <v>9.9999999999999995E-7</v>
      </c>
      <c r="E168" s="978" t="str">
        <f t="shared" si="141"/>
        <v>-</v>
      </c>
      <c r="F168" s="978" t="str">
        <f t="shared" si="141"/>
        <v>-</v>
      </c>
      <c r="G168" s="978">
        <f>T101</f>
        <v>0</v>
      </c>
      <c r="H168" s="978" t="str">
        <f>U101</f>
        <v>-</v>
      </c>
      <c r="J168" s="1417"/>
      <c r="K168" s="978">
        <v>12</v>
      </c>
      <c r="L168" s="978">
        <f t="shared" ref="L168:Q168" si="142">P109</f>
        <v>100</v>
      </c>
      <c r="M168" s="978">
        <f t="shared" si="142"/>
        <v>9.9999999999999995E-7</v>
      </c>
      <c r="N168" s="978" t="str">
        <f t="shared" si="142"/>
        <v>-</v>
      </c>
      <c r="O168" s="978" t="str">
        <f t="shared" si="142"/>
        <v>-</v>
      </c>
      <c r="P168" s="978">
        <f t="shared" si="142"/>
        <v>0</v>
      </c>
      <c r="Q168" s="978" t="str">
        <f t="shared" si="142"/>
        <v>-</v>
      </c>
    </row>
    <row r="169" spans="1:17" s="961" customFormat="1" x14ac:dyDescent="0.25">
      <c r="A169" s="277"/>
      <c r="B169" s="277"/>
      <c r="C169" s="277"/>
      <c r="D169" s="277"/>
      <c r="E169" s="277"/>
      <c r="F169" s="985"/>
      <c r="G169" s="277"/>
      <c r="H169" s="277"/>
      <c r="J169" s="277"/>
      <c r="K169" s="277"/>
      <c r="L169" s="277"/>
      <c r="M169" s="277"/>
      <c r="N169" s="277"/>
      <c r="O169" s="985"/>
      <c r="P169" s="277"/>
      <c r="Q169" s="277"/>
    </row>
    <row r="170" spans="1:17" ht="14" x14ac:dyDescent="0.25">
      <c r="A170" s="1417" t="s">
        <v>8</v>
      </c>
      <c r="B170" s="981">
        <v>1</v>
      </c>
      <c r="C170" s="981">
        <f t="shared" ref="C170:H170" si="143">B9</f>
        <v>220</v>
      </c>
      <c r="D170" s="981">
        <f t="shared" si="143"/>
        <v>-0.27</v>
      </c>
      <c r="E170" s="981">
        <f t="shared" si="143"/>
        <v>-0.28000000000000003</v>
      </c>
      <c r="F170" s="981">
        <f t="shared" si="143"/>
        <v>-0.18</v>
      </c>
      <c r="G170" s="981">
        <f t="shared" si="143"/>
        <v>5.0000000000000017E-2</v>
      </c>
      <c r="H170" s="981">
        <f t="shared" si="143"/>
        <v>2.64</v>
      </c>
      <c r="J170" s="1417" t="s">
        <v>8</v>
      </c>
      <c r="K170" s="981">
        <v>1</v>
      </c>
      <c r="L170" s="978">
        <f t="shared" ref="L170:Q170" si="144">B17</f>
        <v>200</v>
      </c>
      <c r="M170" s="978">
        <f t="shared" si="144"/>
        <v>2.2000000000000002</v>
      </c>
      <c r="N170" s="978">
        <f t="shared" si="144"/>
        <v>0.4</v>
      </c>
      <c r="O170" s="978">
        <f t="shared" si="144"/>
        <v>9.9999999999999995E-7</v>
      </c>
      <c r="P170" s="978">
        <f t="shared" si="144"/>
        <v>1.0999995</v>
      </c>
      <c r="Q170" s="978">
        <f t="shared" si="144"/>
        <v>1.18</v>
      </c>
    </row>
    <row r="171" spans="1:17" ht="14" x14ac:dyDescent="0.25">
      <c r="A171" s="1417"/>
      <c r="B171" s="981">
        <v>2</v>
      </c>
      <c r="C171" s="978">
        <f t="shared" ref="C171:H171" si="145">I9</f>
        <v>220</v>
      </c>
      <c r="D171" s="978">
        <f t="shared" si="145"/>
        <v>0.53</v>
      </c>
      <c r="E171" s="978">
        <f t="shared" si="145"/>
        <v>0.05</v>
      </c>
      <c r="F171" s="978">
        <f t="shared" si="145"/>
        <v>-0.03</v>
      </c>
      <c r="G171" s="978">
        <f t="shared" si="145"/>
        <v>0.28000000000000003</v>
      </c>
      <c r="H171" s="978">
        <f t="shared" si="145"/>
        <v>2.64</v>
      </c>
      <c r="J171" s="1417"/>
      <c r="K171" s="981">
        <v>2</v>
      </c>
      <c r="L171" s="978">
        <f t="shared" ref="L171:Q171" si="146">I17</f>
        <v>200</v>
      </c>
      <c r="M171" s="978">
        <f t="shared" si="146"/>
        <v>-6.4</v>
      </c>
      <c r="N171" s="978">
        <f t="shared" si="146"/>
        <v>-0.1</v>
      </c>
      <c r="O171" s="978">
        <f t="shared" si="146"/>
        <v>3.3</v>
      </c>
      <c r="P171" s="978">
        <f t="shared" si="146"/>
        <v>4.8499999999999996</v>
      </c>
      <c r="Q171" s="978">
        <f t="shared" si="146"/>
        <v>1.18</v>
      </c>
    </row>
    <row r="172" spans="1:17" x14ac:dyDescent="0.25">
      <c r="A172" s="1417"/>
      <c r="B172" s="978">
        <v>3</v>
      </c>
      <c r="C172" s="978">
        <f t="shared" ref="C172:H172" si="147">P9</f>
        <v>220</v>
      </c>
      <c r="D172" s="978">
        <f t="shared" si="147"/>
        <v>-2.29</v>
      </c>
      <c r="E172" s="978">
        <f t="shared" si="147"/>
        <v>-3.44</v>
      </c>
      <c r="F172" s="978">
        <f t="shared" si="147"/>
        <v>-0.28999999999999998</v>
      </c>
      <c r="G172" s="978">
        <f t="shared" si="147"/>
        <v>1.575</v>
      </c>
      <c r="H172" s="978">
        <f t="shared" si="147"/>
        <v>2.64</v>
      </c>
      <c r="J172" s="1417"/>
      <c r="K172" s="978">
        <v>3</v>
      </c>
      <c r="L172" s="978">
        <f t="shared" ref="L172:Q172" si="148">P17</f>
        <v>200</v>
      </c>
      <c r="M172" s="978">
        <f t="shared" si="148"/>
        <v>-3.6</v>
      </c>
      <c r="N172" s="978">
        <f t="shared" si="148"/>
        <v>-0.1</v>
      </c>
      <c r="O172" s="978">
        <f t="shared" si="148"/>
        <v>3.6</v>
      </c>
      <c r="P172" s="978">
        <f t="shared" si="148"/>
        <v>3.6</v>
      </c>
      <c r="Q172" s="978">
        <f t="shared" si="148"/>
        <v>1.18</v>
      </c>
    </row>
    <row r="173" spans="1:17" x14ac:dyDescent="0.25">
      <c r="A173" s="1417"/>
      <c r="B173" s="978">
        <v>4</v>
      </c>
      <c r="C173" s="978">
        <f t="shared" ref="C173:H173" si="149">B40</f>
        <v>220</v>
      </c>
      <c r="D173" s="978">
        <f t="shared" si="149"/>
        <v>0.13</v>
      </c>
      <c r="E173" s="978">
        <f t="shared" si="149"/>
        <v>9.9999999999999995E-7</v>
      </c>
      <c r="F173" s="978">
        <f t="shared" si="149"/>
        <v>0.1</v>
      </c>
      <c r="G173" s="978">
        <f t="shared" si="149"/>
        <v>6.4999500000000002E-2</v>
      </c>
      <c r="H173" s="978">
        <f t="shared" si="149"/>
        <v>2.64</v>
      </c>
      <c r="J173" s="1417"/>
      <c r="K173" s="978">
        <v>4</v>
      </c>
      <c r="L173" s="978">
        <f t="shared" ref="L173:Q173" si="150">B48</f>
        <v>200</v>
      </c>
      <c r="M173" s="978">
        <f t="shared" si="150"/>
        <v>5</v>
      </c>
      <c r="N173" s="978">
        <f t="shared" si="150"/>
        <v>0.3</v>
      </c>
      <c r="O173" s="978">
        <f t="shared" si="150"/>
        <v>0.8</v>
      </c>
      <c r="P173" s="978">
        <f t="shared" si="150"/>
        <v>2.35</v>
      </c>
      <c r="Q173" s="978">
        <f t="shared" si="150"/>
        <v>1.18</v>
      </c>
    </row>
    <row r="174" spans="1:17" x14ac:dyDescent="0.25">
      <c r="A174" s="1417"/>
      <c r="B174" s="978">
        <v>5</v>
      </c>
      <c r="C174" s="978">
        <f t="shared" ref="C174:H174" si="151">I40</f>
        <v>220</v>
      </c>
      <c r="D174" s="978">
        <f t="shared" si="151"/>
        <v>-0.17</v>
      </c>
      <c r="E174" s="978">
        <f t="shared" si="151"/>
        <v>0.56000000000000005</v>
      </c>
      <c r="F174" s="978">
        <f t="shared" si="151"/>
        <v>0.38</v>
      </c>
      <c r="G174" s="978">
        <f t="shared" si="151"/>
        <v>0.36500000000000005</v>
      </c>
      <c r="H174" s="978">
        <f t="shared" si="151"/>
        <v>2.64</v>
      </c>
      <c r="J174" s="1417"/>
      <c r="K174" s="978">
        <v>5</v>
      </c>
      <c r="L174" s="978">
        <f t="shared" ref="L174:Q174" si="152">I48</f>
        <v>200</v>
      </c>
      <c r="M174" s="978">
        <f t="shared" si="152"/>
        <v>7.7</v>
      </c>
      <c r="N174" s="978">
        <f t="shared" si="152"/>
        <v>1.3</v>
      </c>
      <c r="O174" s="978">
        <f t="shared" si="152"/>
        <v>1.3</v>
      </c>
      <c r="P174" s="978">
        <f t="shared" si="152"/>
        <v>3.2</v>
      </c>
      <c r="Q174" s="978">
        <f t="shared" si="152"/>
        <v>1.18</v>
      </c>
    </row>
    <row r="175" spans="1:17" x14ac:dyDescent="0.25">
      <c r="A175" s="1417"/>
      <c r="B175" s="978">
        <v>6</v>
      </c>
      <c r="C175" s="978">
        <f t="shared" ref="C175:H175" si="153">P40</f>
        <v>220</v>
      </c>
      <c r="D175" s="978">
        <f t="shared" si="153"/>
        <v>7.0000000000000007E-2</v>
      </c>
      <c r="E175" s="978">
        <f t="shared" si="153"/>
        <v>-0.13</v>
      </c>
      <c r="F175" s="978">
        <f t="shared" si="153"/>
        <v>0.05</v>
      </c>
      <c r="G175" s="978">
        <f t="shared" si="153"/>
        <v>0.1</v>
      </c>
      <c r="H175" s="978">
        <f t="shared" si="153"/>
        <v>2.64</v>
      </c>
      <c r="J175" s="1417"/>
      <c r="K175" s="978">
        <v>6</v>
      </c>
      <c r="L175" s="978">
        <f t="shared" ref="L175:Q175" si="154">P48</f>
        <v>200</v>
      </c>
      <c r="M175" s="978">
        <f t="shared" si="154"/>
        <v>14.4</v>
      </c>
      <c r="N175" s="978">
        <f t="shared" si="154"/>
        <v>0.8</v>
      </c>
      <c r="O175" s="978">
        <f t="shared" si="154"/>
        <v>0.8</v>
      </c>
      <c r="P175" s="978">
        <f t="shared" si="154"/>
        <v>6.8</v>
      </c>
      <c r="Q175" s="978">
        <f t="shared" si="154"/>
        <v>1.18</v>
      </c>
    </row>
    <row r="176" spans="1:17" x14ac:dyDescent="0.25">
      <c r="A176" s="1417"/>
      <c r="B176" s="978">
        <v>7</v>
      </c>
      <c r="C176" s="978">
        <f t="shared" ref="C176:H176" si="155">B71</f>
        <v>220.37</v>
      </c>
      <c r="D176" s="978">
        <f t="shared" si="155"/>
        <v>0.57999999999999996</v>
      </c>
      <c r="E176" s="978">
        <f t="shared" si="155"/>
        <v>0.37</v>
      </c>
      <c r="F176" s="978">
        <f t="shared" si="155"/>
        <v>0.38</v>
      </c>
      <c r="G176" s="978">
        <f t="shared" si="155"/>
        <v>0.10499999999999998</v>
      </c>
      <c r="H176" s="978">
        <f t="shared" si="155"/>
        <v>2.6444399999999999</v>
      </c>
      <c r="J176" s="1417"/>
      <c r="K176" s="978">
        <v>7</v>
      </c>
      <c r="L176" s="978">
        <f t="shared" ref="L176:Q176" si="156">B79</f>
        <v>200.4</v>
      </c>
      <c r="M176" s="978">
        <f t="shared" si="156"/>
        <v>1.5</v>
      </c>
      <c r="N176" s="978">
        <f t="shared" si="156"/>
        <v>0.4</v>
      </c>
      <c r="O176" s="978">
        <f t="shared" si="156"/>
        <v>2.4</v>
      </c>
      <c r="P176" s="978">
        <f t="shared" si="156"/>
        <v>1</v>
      </c>
      <c r="Q176" s="978">
        <f t="shared" si="156"/>
        <v>1.1823600000000001</v>
      </c>
    </row>
    <row r="177" spans="1:17" x14ac:dyDescent="0.25">
      <c r="A177" s="1417"/>
      <c r="B177" s="978">
        <v>8</v>
      </c>
      <c r="C177" s="978">
        <f t="shared" ref="C177:H177" si="157">I71</f>
        <v>220</v>
      </c>
      <c r="D177" s="978">
        <f t="shared" si="157"/>
        <v>-0.16</v>
      </c>
      <c r="E177" s="978">
        <f t="shared" si="157"/>
        <v>-0.45</v>
      </c>
      <c r="F177" s="978" t="str">
        <f t="shared" si="157"/>
        <v>-</v>
      </c>
      <c r="G177" s="978">
        <f t="shared" si="157"/>
        <v>0.14500000000000002</v>
      </c>
      <c r="H177" s="978">
        <f t="shared" si="157"/>
        <v>2.64</v>
      </c>
      <c r="J177" s="1417"/>
      <c r="K177" s="978">
        <v>8</v>
      </c>
      <c r="L177" s="978">
        <f t="shared" ref="L177:Q177" si="158">I79</f>
        <v>200</v>
      </c>
      <c r="M177" s="978">
        <f t="shared" si="158"/>
        <v>-8.1999999999999993</v>
      </c>
      <c r="N177" s="978">
        <f t="shared" si="158"/>
        <v>3.7</v>
      </c>
      <c r="O177" s="978" t="str">
        <f t="shared" si="158"/>
        <v>-</v>
      </c>
      <c r="P177" s="978">
        <f t="shared" si="158"/>
        <v>5.9499999999999993</v>
      </c>
      <c r="Q177" s="978">
        <f t="shared" si="158"/>
        <v>1.18</v>
      </c>
    </row>
    <row r="178" spans="1:17" x14ac:dyDescent="0.25">
      <c r="A178" s="1417"/>
      <c r="B178" s="978">
        <v>9</v>
      </c>
      <c r="C178" s="978">
        <f t="shared" ref="C178:H178" si="159">P71</f>
        <v>219.61</v>
      </c>
      <c r="D178" s="978">
        <f t="shared" si="159"/>
        <v>-0.28999999999999998</v>
      </c>
      <c r="E178" s="978">
        <f t="shared" si="159"/>
        <v>-0.39</v>
      </c>
      <c r="F178" s="978" t="str">
        <f t="shared" si="159"/>
        <v>-</v>
      </c>
      <c r="G178" s="978">
        <f t="shared" si="159"/>
        <v>5.0000000000000017E-2</v>
      </c>
      <c r="H178" s="978">
        <f t="shared" si="159"/>
        <v>2.6353200000000001</v>
      </c>
      <c r="J178" s="1417"/>
      <c r="K178" s="978">
        <v>9</v>
      </c>
      <c r="L178" s="978">
        <f t="shared" ref="L178:Q178" si="160">P79</f>
        <v>103.4</v>
      </c>
      <c r="M178" s="978">
        <f t="shared" si="160"/>
        <v>7.7</v>
      </c>
      <c r="N178" s="978">
        <f t="shared" si="160"/>
        <v>3.4</v>
      </c>
      <c r="O178" s="978" t="str">
        <f t="shared" si="160"/>
        <v>-</v>
      </c>
      <c r="P178" s="978">
        <f t="shared" si="160"/>
        <v>2.1500000000000004</v>
      </c>
      <c r="Q178" s="978">
        <f t="shared" si="160"/>
        <v>0.61006000000000005</v>
      </c>
    </row>
    <row r="179" spans="1:17" x14ac:dyDescent="0.25">
      <c r="A179" s="1417"/>
      <c r="B179" s="978">
        <v>10</v>
      </c>
      <c r="C179" s="978">
        <f>B102</f>
        <v>220</v>
      </c>
      <c r="D179" s="978">
        <f t="shared" ref="D179:F179" si="161">C102</f>
        <v>9.9999999999999995E-7</v>
      </c>
      <c r="E179" s="978" t="str">
        <f t="shared" si="161"/>
        <v>-</v>
      </c>
      <c r="F179" s="978" t="str">
        <f t="shared" si="161"/>
        <v>-</v>
      </c>
      <c r="G179" s="978">
        <f>F102</f>
        <v>0</v>
      </c>
      <c r="H179" s="978" t="str">
        <f>G102</f>
        <v>-</v>
      </c>
      <c r="J179" s="1417"/>
      <c r="K179" s="978">
        <v>10</v>
      </c>
      <c r="L179" s="978">
        <f t="shared" ref="L179:Q179" si="162">B110</f>
        <v>200</v>
      </c>
      <c r="M179" s="978">
        <f t="shared" si="162"/>
        <v>0.4</v>
      </c>
      <c r="N179" s="978" t="str">
        <f t="shared" si="162"/>
        <v>-</v>
      </c>
      <c r="O179" s="978" t="str">
        <f t="shared" si="162"/>
        <v>-</v>
      </c>
      <c r="P179" s="978">
        <f t="shared" si="162"/>
        <v>0</v>
      </c>
      <c r="Q179" s="978" t="str">
        <f t="shared" si="162"/>
        <v>-</v>
      </c>
    </row>
    <row r="180" spans="1:17" x14ac:dyDescent="0.25">
      <c r="A180" s="1417"/>
      <c r="B180" s="978">
        <v>11</v>
      </c>
      <c r="C180" s="978">
        <f>I102</f>
        <v>220</v>
      </c>
      <c r="D180" s="978">
        <f t="shared" ref="D180:F180" si="163">J102</f>
        <v>9.9999999999999995E-7</v>
      </c>
      <c r="E180" s="978" t="str">
        <f t="shared" si="163"/>
        <v>-</v>
      </c>
      <c r="F180" s="978" t="str">
        <f t="shared" si="163"/>
        <v>-</v>
      </c>
      <c r="G180" s="978">
        <f>M102</f>
        <v>0</v>
      </c>
      <c r="H180" s="978" t="str">
        <f>N102</f>
        <v>-</v>
      </c>
      <c r="J180" s="1417"/>
      <c r="K180" s="978">
        <v>11</v>
      </c>
      <c r="L180" s="978">
        <f t="shared" ref="L180:Q180" si="164">I110</f>
        <v>200</v>
      </c>
      <c r="M180" s="978">
        <f t="shared" si="164"/>
        <v>9.9999999999999995E-7</v>
      </c>
      <c r="N180" s="978" t="str">
        <f t="shared" si="164"/>
        <v>-</v>
      </c>
      <c r="O180" s="978" t="str">
        <f t="shared" si="164"/>
        <v>-</v>
      </c>
      <c r="P180" s="978">
        <f t="shared" si="164"/>
        <v>0</v>
      </c>
      <c r="Q180" s="978" t="str">
        <f t="shared" si="164"/>
        <v>-</v>
      </c>
    </row>
    <row r="181" spans="1:17" x14ac:dyDescent="0.25">
      <c r="A181" s="1417"/>
      <c r="B181" s="978">
        <v>12</v>
      </c>
      <c r="C181" s="978">
        <f>P102</f>
        <v>220</v>
      </c>
      <c r="D181" s="978">
        <f t="shared" ref="D181:F181" si="165">Q102</f>
        <v>9.9999999999999995E-7</v>
      </c>
      <c r="E181" s="978" t="str">
        <f t="shared" si="165"/>
        <v>-</v>
      </c>
      <c r="F181" s="978" t="str">
        <f t="shared" si="165"/>
        <v>-</v>
      </c>
      <c r="G181" s="978">
        <f>T102</f>
        <v>0</v>
      </c>
      <c r="H181" s="978" t="str">
        <f>U102</f>
        <v>-</v>
      </c>
      <c r="J181" s="1417"/>
      <c r="K181" s="978">
        <v>12</v>
      </c>
      <c r="L181" s="978">
        <f t="shared" ref="L181:Q181" si="166">P110</f>
        <v>200</v>
      </c>
      <c r="M181" s="978">
        <f t="shared" si="166"/>
        <v>9.9999999999999995E-7</v>
      </c>
      <c r="N181" s="978" t="str">
        <f t="shared" si="166"/>
        <v>-</v>
      </c>
      <c r="O181" s="978" t="str">
        <f t="shared" si="166"/>
        <v>-</v>
      </c>
      <c r="P181" s="978">
        <f t="shared" si="166"/>
        <v>0</v>
      </c>
      <c r="Q181" s="978" t="str">
        <f t="shared" si="166"/>
        <v>-</v>
      </c>
    </row>
    <row r="182" spans="1:17" s="961" customFormat="1" x14ac:dyDescent="0.25">
      <c r="A182" s="277"/>
      <c r="B182" s="277"/>
      <c r="C182" s="277"/>
      <c r="D182" s="277"/>
      <c r="E182" s="277"/>
      <c r="F182" s="985"/>
      <c r="G182" s="277"/>
      <c r="H182" s="277"/>
      <c r="J182" s="277"/>
      <c r="K182" s="277"/>
      <c r="L182" s="277"/>
      <c r="M182" s="277"/>
      <c r="N182" s="277"/>
      <c r="O182" s="985"/>
      <c r="P182" s="277"/>
      <c r="Q182" s="277"/>
    </row>
    <row r="183" spans="1:17" ht="14" x14ac:dyDescent="0.25">
      <c r="A183" s="1417" t="s">
        <v>9</v>
      </c>
      <c r="B183" s="981">
        <v>1</v>
      </c>
      <c r="C183" s="981">
        <f t="shared" ref="C183:H183" si="167">B10</f>
        <v>230</v>
      </c>
      <c r="D183" s="981">
        <f t="shared" si="167"/>
        <v>0.64</v>
      </c>
      <c r="E183" s="981">
        <f t="shared" si="167"/>
        <v>-0.2</v>
      </c>
      <c r="F183" s="981">
        <f t="shared" si="167"/>
        <v>-0.26</v>
      </c>
      <c r="G183" s="981">
        <f t="shared" si="167"/>
        <v>0.45</v>
      </c>
      <c r="H183" s="981">
        <f t="shared" si="167"/>
        <v>2.7600000000000002</v>
      </c>
      <c r="J183" s="1417" t="s">
        <v>9</v>
      </c>
      <c r="K183" s="981">
        <v>1</v>
      </c>
      <c r="L183" s="978">
        <f t="shared" ref="L183:Q183" si="168">B18</f>
        <v>500</v>
      </c>
      <c r="M183" s="978">
        <f t="shared" si="168"/>
        <v>-2</v>
      </c>
      <c r="N183" s="978">
        <f t="shared" si="168"/>
        <v>3.8</v>
      </c>
      <c r="O183" s="978">
        <f t="shared" si="168"/>
        <v>-0.9</v>
      </c>
      <c r="P183" s="978">
        <f t="shared" si="168"/>
        <v>2.9</v>
      </c>
      <c r="Q183" s="978">
        <f t="shared" si="168"/>
        <v>2.9499999999999997</v>
      </c>
    </row>
    <row r="184" spans="1:17" ht="14" x14ac:dyDescent="0.25">
      <c r="A184" s="1417"/>
      <c r="B184" s="981">
        <v>2</v>
      </c>
      <c r="C184" s="978">
        <f t="shared" ref="C184:H184" si="169">I10</f>
        <v>230</v>
      </c>
      <c r="D184" s="978">
        <f t="shared" si="169"/>
        <v>1.08</v>
      </c>
      <c r="E184" s="978">
        <f t="shared" si="169"/>
        <v>9.9999999999999995E-7</v>
      </c>
      <c r="F184" s="978">
        <f t="shared" si="169"/>
        <v>0.05</v>
      </c>
      <c r="G184" s="978">
        <f t="shared" si="169"/>
        <v>0.53999950000000008</v>
      </c>
      <c r="H184" s="978">
        <f t="shared" si="169"/>
        <v>2.7600000000000002</v>
      </c>
      <c r="J184" s="1417"/>
      <c r="K184" s="981">
        <v>2</v>
      </c>
      <c r="L184" s="978">
        <f t="shared" ref="L184:Q184" si="170">I18</f>
        <v>500</v>
      </c>
      <c r="M184" s="978">
        <f t="shared" si="170"/>
        <v>-21.7</v>
      </c>
      <c r="N184" s="978">
        <f t="shared" si="170"/>
        <v>0.8</v>
      </c>
      <c r="O184" s="978">
        <f t="shared" si="170"/>
        <v>2</v>
      </c>
      <c r="P184" s="978">
        <f t="shared" si="170"/>
        <v>11.85</v>
      </c>
      <c r="Q184" s="978">
        <f t="shared" si="170"/>
        <v>2.9499999999999997</v>
      </c>
    </row>
    <row r="185" spans="1:17" x14ac:dyDescent="0.25">
      <c r="A185" s="1417"/>
      <c r="B185" s="978">
        <v>3</v>
      </c>
      <c r="C185" s="978">
        <f t="shared" ref="C185:H185" si="171">P10</f>
        <v>230</v>
      </c>
      <c r="D185" s="978">
        <f t="shared" si="171"/>
        <v>-11.79</v>
      </c>
      <c r="E185" s="978">
        <f t="shared" si="171"/>
        <v>-2.52</v>
      </c>
      <c r="F185" s="978">
        <f t="shared" si="171"/>
        <v>-0.23</v>
      </c>
      <c r="G185" s="978">
        <f t="shared" si="171"/>
        <v>5.7799999999999994</v>
      </c>
      <c r="H185" s="978">
        <f t="shared" si="171"/>
        <v>2.7600000000000002</v>
      </c>
      <c r="J185" s="1417"/>
      <c r="K185" s="978">
        <v>3</v>
      </c>
      <c r="L185" s="978">
        <f t="shared" ref="L185:Q185" si="172">P18</f>
        <v>500</v>
      </c>
      <c r="M185" s="978">
        <f t="shared" si="172"/>
        <v>-18.8</v>
      </c>
      <c r="N185" s="978">
        <f t="shared" si="172"/>
        <v>-1.1000000000000001</v>
      </c>
      <c r="O185" s="978">
        <f t="shared" si="172"/>
        <v>2.9</v>
      </c>
      <c r="P185" s="978">
        <f t="shared" si="172"/>
        <v>10.85</v>
      </c>
      <c r="Q185" s="978">
        <f t="shared" si="172"/>
        <v>2.9499999999999997</v>
      </c>
    </row>
    <row r="186" spans="1:17" x14ac:dyDescent="0.25">
      <c r="A186" s="1417"/>
      <c r="B186" s="978">
        <v>4</v>
      </c>
      <c r="C186" s="978">
        <f t="shared" ref="C186:H186" si="173">B41</f>
        <v>230</v>
      </c>
      <c r="D186" s="978">
        <f t="shared" si="173"/>
        <v>0.11</v>
      </c>
      <c r="E186" s="978">
        <f t="shared" si="173"/>
        <v>-0.11</v>
      </c>
      <c r="F186" s="978">
        <f t="shared" si="173"/>
        <v>1.1100000000000001</v>
      </c>
      <c r="G186" s="978">
        <f t="shared" si="173"/>
        <v>0.6100000000000001</v>
      </c>
      <c r="H186" s="978">
        <f t="shared" si="173"/>
        <v>2.7600000000000002</v>
      </c>
      <c r="J186" s="1417"/>
      <c r="K186" s="978">
        <v>4</v>
      </c>
      <c r="L186" s="978">
        <f t="shared" ref="L186:Q186" si="174">B49</f>
        <v>500</v>
      </c>
      <c r="M186" s="978">
        <f t="shared" si="174"/>
        <v>3.5</v>
      </c>
      <c r="N186" s="978">
        <f t="shared" si="174"/>
        <v>0.2</v>
      </c>
      <c r="O186" s="978">
        <f t="shared" si="174"/>
        <v>1.2</v>
      </c>
      <c r="P186" s="978">
        <f t="shared" si="174"/>
        <v>1.65</v>
      </c>
      <c r="Q186" s="978">
        <f t="shared" si="174"/>
        <v>2.9499999999999997</v>
      </c>
    </row>
    <row r="187" spans="1:17" x14ac:dyDescent="0.25">
      <c r="A187" s="1417"/>
      <c r="B187" s="978">
        <v>5</v>
      </c>
      <c r="C187" s="978">
        <f t="shared" ref="C187:H187" si="175">I41</f>
        <v>230</v>
      </c>
      <c r="D187" s="978">
        <f t="shared" si="175"/>
        <v>-0.14000000000000001</v>
      </c>
      <c r="E187" s="978">
        <f t="shared" si="175"/>
        <v>0.73</v>
      </c>
      <c r="F187" s="978">
        <f t="shared" si="175"/>
        <v>-0.16</v>
      </c>
      <c r="G187" s="978">
        <f t="shared" si="175"/>
        <v>0.44500000000000001</v>
      </c>
      <c r="H187" s="978">
        <f t="shared" si="175"/>
        <v>2.7600000000000002</v>
      </c>
      <c r="J187" s="1417"/>
      <c r="K187" s="978">
        <v>5</v>
      </c>
      <c r="L187" s="978">
        <f t="shared" ref="L187:Q187" si="176">I49</f>
        <v>500</v>
      </c>
      <c r="M187" s="978">
        <f t="shared" si="176"/>
        <v>5.7</v>
      </c>
      <c r="N187" s="978">
        <f t="shared" si="176"/>
        <v>0.7</v>
      </c>
      <c r="O187" s="978">
        <f t="shared" si="176"/>
        <v>0.7</v>
      </c>
      <c r="P187" s="978">
        <f t="shared" si="176"/>
        <v>2.5</v>
      </c>
      <c r="Q187" s="978">
        <f t="shared" si="176"/>
        <v>2.9499999999999997</v>
      </c>
    </row>
    <row r="188" spans="1:17" x14ac:dyDescent="0.25">
      <c r="A188" s="1417"/>
      <c r="B188" s="978">
        <v>6</v>
      </c>
      <c r="C188" s="978">
        <f t="shared" ref="C188:H188" si="177">P41</f>
        <v>230</v>
      </c>
      <c r="D188" s="978">
        <f t="shared" si="177"/>
        <v>0.08</v>
      </c>
      <c r="E188" s="978">
        <f t="shared" si="177"/>
        <v>-0.15</v>
      </c>
      <c r="F188" s="978">
        <f t="shared" si="177"/>
        <v>-0.05</v>
      </c>
      <c r="G188" s="978">
        <f t="shared" si="177"/>
        <v>0.11499999999999999</v>
      </c>
      <c r="H188" s="978">
        <f t="shared" si="177"/>
        <v>2.7600000000000002</v>
      </c>
      <c r="J188" s="1417"/>
      <c r="K188" s="978">
        <v>6</v>
      </c>
      <c r="L188" s="978">
        <f t="shared" ref="L188:Q188" si="178">P49</f>
        <v>500</v>
      </c>
      <c r="M188" s="978">
        <f t="shared" si="178"/>
        <v>6.2</v>
      </c>
      <c r="N188" s="978">
        <f t="shared" si="178"/>
        <v>1.1000000000000001</v>
      </c>
      <c r="O188" s="978">
        <f t="shared" si="178"/>
        <v>0.6</v>
      </c>
      <c r="P188" s="978">
        <f t="shared" si="178"/>
        <v>2.8000000000000003</v>
      </c>
      <c r="Q188" s="978">
        <f t="shared" si="178"/>
        <v>2.9499999999999997</v>
      </c>
    </row>
    <row r="189" spans="1:17" x14ac:dyDescent="0.25">
      <c r="A189" s="1417"/>
      <c r="B189" s="978">
        <v>7</v>
      </c>
      <c r="C189" s="978">
        <f t="shared" ref="C189:H189" si="179">B72</f>
        <v>230.47</v>
      </c>
      <c r="D189" s="978">
        <f t="shared" si="179"/>
        <v>0.47</v>
      </c>
      <c r="E189" s="978">
        <f t="shared" si="179"/>
        <v>0.47</v>
      </c>
      <c r="F189" s="978">
        <f t="shared" si="179"/>
        <v>0.4</v>
      </c>
      <c r="G189" s="978">
        <f t="shared" si="179"/>
        <v>3.4999999999999976E-2</v>
      </c>
      <c r="H189" s="978">
        <f t="shared" si="179"/>
        <v>2.7656399999999999</v>
      </c>
      <c r="J189" s="1417"/>
      <c r="K189" s="978">
        <v>7</v>
      </c>
      <c r="L189" s="978">
        <f t="shared" ref="L189:Q189" si="180">B80</f>
        <v>500</v>
      </c>
      <c r="M189" s="978">
        <f t="shared" si="180"/>
        <v>0.9</v>
      </c>
      <c r="N189" s="978">
        <f t="shared" si="180"/>
        <v>3</v>
      </c>
      <c r="O189" s="978">
        <f t="shared" si="180"/>
        <v>3.3</v>
      </c>
      <c r="P189" s="978">
        <f t="shared" si="180"/>
        <v>1.2</v>
      </c>
      <c r="Q189" s="978">
        <f t="shared" si="180"/>
        <v>2.9499999999999997</v>
      </c>
    </row>
    <row r="190" spans="1:17" x14ac:dyDescent="0.25">
      <c r="A190" s="1417"/>
      <c r="B190" s="978">
        <v>8</v>
      </c>
      <c r="C190" s="978">
        <f t="shared" ref="C190:H190" si="181">I72</f>
        <v>230</v>
      </c>
      <c r="D190" s="978">
        <f t="shared" si="181"/>
        <v>-0.15</v>
      </c>
      <c r="E190" s="978">
        <f t="shared" si="181"/>
        <v>-0.54</v>
      </c>
      <c r="F190" s="978" t="str">
        <f t="shared" si="181"/>
        <v>-</v>
      </c>
      <c r="G190" s="978">
        <f t="shared" si="181"/>
        <v>0.19500000000000001</v>
      </c>
      <c r="H190" s="978">
        <f t="shared" si="181"/>
        <v>2.7600000000000002</v>
      </c>
      <c r="J190" s="1417"/>
      <c r="K190" s="978">
        <v>8</v>
      </c>
      <c r="L190" s="978">
        <f t="shared" ref="L190:Q190" si="182">I80</f>
        <v>500</v>
      </c>
      <c r="M190" s="978">
        <f t="shared" si="182"/>
        <v>-31.8</v>
      </c>
      <c r="N190" s="978">
        <f t="shared" si="182"/>
        <v>8.3000000000000007</v>
      </c>
      <c r="O190" s="978" t="str">
        <f t="shared" si="182"/>
        <v>-</v>
      </c>
      <c r="P190" s="978">
        <f t="shared" si="182"/>
        <v>20.05</v>
      </c>
      <c r="Q190" s="978">
        <f t="shared" si="182"/>
        <v>2.9499999999999997</v>
      </c>
    </row>
    <row r="191" spans="1:17" x14ac:dyDescent="0.25">
      <c r="A191" s="1417"/>
      <c r="B191" s="978">
        <v>9</v>
      </c>
      <c r="C191" s="978">
        <f t="shared" ref="C191:H191" si="183">P72</f>
        <v>229.61</v>
      </c>
      <c r="D191" s="978">
        <f t="shared" si="183"/>
        <v>-0.34</v>
      </c>
      <c r="E191" s="978">
        <f t="shared" si="183"/>
        <v>-0.39</v>
      </c>
      <c r="F191" s="978" t="str">
        <f t="shared" si="183"/>
        <v>-</v>
      </c>
      <c r="G191" s="978">
        <f t="shared" si="183"/>
        <v>2.4999999999999994E-2</v>
      </c>
      <c r="H191" s="978">
        <f t="shared" si="183"/>
        <v>2.7553200000000002</v>
      </c>
      <c r="J191" s="1417"/>
      <c r="K191" s="978">
        <v>9</v>
      </c>
      <c r="L191" s="978">
        <f t="shared" ref="L191:Q191" si="184">P80</f>
        <v>507.2</v>
      </c>
      <c r="M191" s="978">
        <f t="shared" si="184"/>
        <v>-0.2</v>
      </c>
      <c r="N191" s="978">
        <f t="shared" si="184"/>
        <v>7.2</v>
      </c>
      <c r="O191" s="978" t="str">
        <f t="shared" si="184"/>
        <v>-</v>
      </c>
      <c r="P191" s="978">
        <f t="shared" si="184"/>
        <v>3.7</v>
      </c>
      <c r="Q191" s="978">
        <f t="shared" si="184"/>
        <v>2.99248</v>
      </c>
    </row>
    <row r="192" spans="1:17" x14ac:dyDescent="0.25">
      <c r="A192" s="1417"/>
      <c r="B192" s="978">
        <v>10</v>
      </c>
      <c r="C192" s="978">
        <f>B103</f>
        <v>230</v>
      </c>
      <c r="D192" s="978">
        <f t="shared" ref="D192:F192" si="185">C103</f>
        <v>-0.11</v>
      </c>
      <c r="E192" s="978" t="str">
        <f t="shared" si="185"/>
        <v>-</v>
      </c>
      <c r="F192" s="978" t="str">
        <f t="shared" si="185"/>
        <v>-</v>
      </c>
      <c r="G192" s="978">
        <f>F103</f>
        <v>0</v>
      </c>
      <c r="H192" s="978" t="str">
        <f>G103</f>
        <v>-</v>
      </c>
      <c r="J192" s="1417"/>
      <c r="K192" s="978">
        <v>10</v>
      </c>
      <c r="L192" s="978">
        <f t="shared" ref="L192:Q192" si="186">B111</f>
        <v>500</v>
      </c>
      <c r="M192" s="978">
        <f t="shared" si="186"/>
        <v>1.5</v>
      </c>
      <c r="N192" s="978" t="str">
        <f t="shared" si="186"/>
        <v>-</v>
      </c>
      <c r="O192" s="978" t="str">
        <f t="shared" si="186"/>
        <v>-</v>
      </c>
      <c r="P192" s="978">
        <f t="shared" si="186"/>
        <v>0</v>
      </c>
      <c r="Q192" s="978" t="str">
        <f t="shared" si="186"/>
        <v>-</v>
      </c>
    </row>
    <row r="193" spans="1:17" x14ac:dyDescent="0.25">
      <c r="A193" s="1417"/>
      <c r="B193" s="978">
        <v>11</v>
      </c>
      <c r="C193" s="978">
        <f>I103</f>
        <v>230</v>
      </c>
      <c r="D193" s="978">
        <f t="shared" ref="D193:F193" si="187">J103</f>
        <v>9.9999999999999995E-7</v>
      </c>
      <c r="E193" s="978" t="str">
        <f t="shared" si="187"/>
        <v>-</v>
      </c>
      <c r="F193" s="978" t="str">
        <f t="shared" si="187"/>
        <v>-</v>
      </c>
      <c r="G193" s="978">
        <f>M103</f>
        <v>0</v>
      </c>
      <c r="H193" s="978" t="str">
        <f>N103</f>
        <v>-</v>
      </c>
      <c r="J193" s="1417"/>
      <c r="K193" s="978">
        <v>11</v>
      </c>
      <c r="L193" s="978">
        <f t="shared" ref="L193:Q193" si="188">I111</f>
        <v>500</v>
      </c>
      <c r="M193" s="978">
        <f t="shared" si="188"/>
        <v>9.9999999999999995E-7</v>
      </c>
      <c r="N193" s="978" t="str">
        <f t="shared" si="188"/>
        <v>-</v>
      </c>
      <c r="O193" s="978" t="str">
        <f t="shared" si="188"/>
        <v>-</v>
      </c>
      <c r="P193" s="978">
        <f t="shared" si="188"/>
        <v>0</v>
      </c>
      <c r="Q193" s="978" t="str">
        <f t="shared" si="188"/>
        <v>-</v>
      </c>
    </row>
    <row r="194" spans="1:17" x14ac:dyDescent="0.25">
      <c r="A194" s="1417"/>
      <c r="B194" s="978">
        <v>12</v>
      </c>
      <c r="C194" s="978">
        <f>P103</f>
        <v>230</v>
      </c>
      <c r="D194" s="978">
        <f t="shared" ref="D194:F194" si="189">Q103</f>
        <v>9.9999999999999995E-7</v>
      </c>
      <c r="E194" s="978" t="str">
        <f t="shared" si="189"/>
        <v>-</v>
      </c>
      <c r="F194" s="978" t="str">
        <f t="shared" si="189"/>
        <v>-</v>
      </c>
      <c r="G194" s="978">
        <f>T103</f>
        <v>0</v>
      </c>
      <c r="H194" s="978" t="str">
        <f>U103</f>
        <v>-</v>
      </c>
      <c r="J194" s="1417"/>
      <c r="K194" s="978">
        <v>12</v>
      </c>
      <c r="L194" s="978">
        <f t="shared" ref="L194:Q194" si="190">P111</f>
        <v>500</v>
      </c>
      <c r="M194" s="978">
        <f t="shared" si="190"/>
        <v>9.9999999999999995E-7</v>
      </c>
      <c r="N194" s="978" t="str">
        <f t="shared" si="190"/>
        <v>-</v>
      </c>
      <c r="O194" s="978" t="str">
        <f t="shared" si="190"/>
        <v>-</v>
      </c>
      <c r="P194" s="978">
        <f t="shared" si="190"/>
        <v>0</v>
      </c>
      <c r="Q194" s="978" t="str">
        <f t="shared" si="190"/>
        <v>-</v>
      </c>
    </row>
    <row r="195" spans="1:17" s="961" customFormat="1" x14ac:dyDescent="0.25">
      <c r="A195" s="277"/>
      <c r="B195" s="277"/>
      <c r="C195" s="277"/>
      <c r="D195" s="277"/>
      <c r="E195" s="277"/>
      <c r="F195" s="985"/>
      <c r="G195" s="277"/>
      <c r="H195" s="277"/>
      <c r="J195" s="277"/>
      <c r="K195" s="277"/>
      <c r="L195" s="277"/>
      <c r="M195" s="277"/>
      <c r="N195" s="277"/>
      <c r="O195" s="985"/>
      <c r="P195" s="277"/>
      <c r="Q195" s="277"/>
    </row>
    <row r="196" spans="1:17" ht="14" x14ac:dyDescent="0.25">
      <c r="A196" s="1417" t="s">
        <v>10</v>
      </c>
      <c r="B196" s="981">
        <v>1</v>
      </c>
      <c r="C196" s="981">
        <f t="shared" ref="C196:H196" si="191">B11</f>
        <v>250</v>
      </c>
      <c r="D196" s="981">
        <f t="shared" si="191"/>
        <v>-0.36</v>
      </c>
      <c r="E196" s="981">
        <f t="shared" si="191"/>
        <v>-0.32</v>
      </c>
      <c r="F196" s="981">
        <f t="shared" si="191"/>
        <v>9.9999999999999995E-7</v>
      </c>
      <c r="G196" s="981">
        <f t="shared" si="191"/>
        <v>0.18000049999999998</v>
      </c>
      <c r="H196" s="981">
        <f t="shared" si="191"/>
        <v>3</v>
      </c>
      <c r="J196" s="1417" t="s">
        <v>10</v>
      </c>
      <c r="K196" s="981">
        <v>1</v>
      </c>
      <c r="L196" s="978">
        <f t="shared" ref="L196:Q196" si="192">B19</f>
        <v>1000</v>
      </c>
      <c r="M196" s="978">
        <f t="shared" si="192"/>
        <v>-26</v>
      </c>
      <c r="N196" s="978">
        <f t="shared" si="192"/>
        <v>9.9999999999999995E-7</v>
      </c>
      <c r="O196" s="978">
        <f t="shared" si="192"/>
        <v>9.9999999999999995E-7</v>
      </c>
      <c r="P196" s="978">
        <f t="shared" si="192"/>
        <v>13.000000500000001</v>
      </c>
      <c r="Q196" s="978">
        <f t="shared" si="192"/>
        <v>5.8999999999999995</v>
      </c>
    </row>
    <row r="197" spans="1:17" ht="14" x14ac:dyDescent="0.25">
      <c r="A197" s="1417"/>
      <c r="B197" s="981">
        <v>2</v>
      </c>
      <c r="C197" s="978">
        <f t="shared" ref="C197:H197" si="193">I11</f>
        <v>250</v>
      </c>
      <c r="D197" s="978">
        <f t="shared" si="193"/>
        <v>9.9999999999999995E-7</v>
      </c>
      <c r="E197" s="978">
        <f t="shared" si="193"/>
        <v>9.9999999999999995E-7</v>
      </c>
      <c r="F197" s="978">
        <f t="shared" si="193"/>
        <v>9.9999999999999995E-7</v>
      </c>
      <c r="G197" s="978">
        <f t="shared" si="193"/>
        <v>0</v>
      </c>
      <c r="H197" s="978">
        <f t="shared" si="193"/>
        <v>3</v>
      </c>
      <c r="J197" s="1417"/>
      <c r="K197" s="981">
        <v>2</v>
      </c>
      <c r="L197" s="978">
        <f t="shared" ref="L197:Q197" si="194">I19</f>
        <v>1000</v>
      </c>
      <c r="M197" s="978">
        <f t="shared" si="194"/>
        <v>-67</v>
      </c>
      <c r="N197" s="978">
        <f t="shared" si="194"/>
        <v>9.9999999999999995E-7</v>
      </c>
      <c r="O197" s="978">
        <f t="shared" si="194"/>
        <v>9.9999999999999995E-7</v>
      </c>
      <c r="P197" s="978">
        <f t="shared" si="194"/>
        <v>33.500000499999999</v>
      </c>
      <c r="Q197" s="978">
        <f t="shared" si="194"/>
        <v>5.8999999999999995</v>
      </c>
    </row>
    <row r="198" spans="1:17" x14ac:dyDescent="0.25">
      <c r="A198" s="1417"/>
      <c r="B198" s="978">
        <v>3</v>
      </c>
      <c r="C198" s="978">
        <f t="shared" ref="C198:H198" si="195">P11</f>
        <v>250</v>
      </c>
      <c r="D198" s="978">
        <f t="shared" si="195"/>
        <v>9.9999999999999995E-7</v>
      </c>
      <c r="E198" s="978">
        <f t="shared" si="195"/>
        <v>9.9999999999999995E-7</v>
      </c>
      <c r="F198" s="978">
        <f t="shared" si="195"/>
        <v>9.9999999999999995E-7</v>
      </c>
      <c r="G198" s="978">
        <f t="shared" si="195"/>
        <v>0</v>
      </c>
      <c r="H198" s="978">
        <f t="shared" si="195"/>
        <v>3</v>
      </c>
      <c r="J198" s="1417"/>
      <c r="K198" s="978">
        <v>3</v>
      </c>
      <c r="L198" s="978">
        <f t="shared" ref="L198:Q198" si="196">P19</f>
        <v>1000</v>
      </c>
      <c r="M198" s="978">
        <f t="shared" si="196"/>
        <v>-47</v>
      </c>
      <c r="N198" s="978">
        <f t="shared" si="196"/>
        <v>3</v>
      </c>
      <c r="O198" s="978">
        <f t="shared" si="196"/>
        <v>3</v>
      </c>
      <c r="P198" s="978">
        <f t="shared" si="196"/>
        <v>25</v>
      </c>
      <c r="Q198" s="978">
        <f t="shared" si="196"/>
        <v>5.8999999999999995</v>
      </c>
    </row>
    <row r="199" spans="1:17" x14ac:dyDescent="0.25">
      <c r="A199" s="1417"/>
      <c r="B199" s="978">
        <v>4</v>
      </c>
      <c r="C199" s="978">
        <f t="shared" ref="C199:H199" si="197">B42</f>
        <v>250</v>
      </c>
      <c r="D199" s="978">
        <f t="shared" si="197"/>
        <v>9.9999999999999995E-7</v>
      </c>
      <c r="E199" s="978">
        <f t="shared" si="197"/>
        <v>9.9999999999999995E-7</v>
      </c>
      <c r="F199" s="978">
        <f t="shared" si="197"/>
        <v>9.9999999999999995E-7</v>
      </c>
      <c r="G199" s="978">
        <f t="shared" si="197"/>
        <v>0</v>
      </c>
      <c r="H199" s="978">
        <f t="shared" si="197"/>
        <v>3</v>
      </c>
      <c r="J199" s="1417"/>
      <c r="K199" s="978">
        <v>4</v>
      </c>
      <c r="L199" s="978">
        <f t="shared" ref="L199:Q199" si="198">B50</f>
        <v>1000</v>
      </c>
      <c r="M199" s="978">
        <f t="shared" si="198"/>
        <v>-100</v>
      </c>
      <c r="N199" s="978">
        <f t="shared" si="198"/>
        <v>2</v>
      </c>
      <c r="O199" s="978">
        <f t="shared" si="198"/>
        <v>2</v>
      </c>
      <c r="P199" s="978">
        <f t="shared" si="198"/>
        <v>51</v>
      </c>
      <c r="Q199" s="978">
        <f t="shared" si="198"/>
        <v>5.8999999999999995</v>
      </c>
    </row>
    <row r="200" spans="1:17" x14ac:dyDescent="0.25">
      <c r="A200" s="1417"/>
      <c r="B200" s="978">
        <v>5</v>
      </c>
      <c r="C200" s="978">
        <f t="shared" ref="C200:H200" si="199">I42</f>
        <v>250</v>
      </c>
      <c r="D200" s="978">
        <f t="shared" si="199"/>
        <v>9.9999999999999995E-7</v>
      </c>
      <c r="E200" s="978">
        <f t="shared" si="199"/>
        <v>9.9999999999999995E-7</v>
      </c>
      <c r="F200" s="978">
        <f t="shared" si="199"/>
        <v>9.9999999999999995E-7</v>
      </c>
      <c r="G200" s="978">
        <f t="shared" si="199"/>
        <v>0</v>
      </c>
      <c r="H200" s="978">
        <f t="shared" si="199"/>
        <v>3</v>
      </c>
      <c r="J200" s="1417"/>
      <c r="K200" s="978">
        <v>5</v>
      </c>
      <c r="L200" s="978">
        <f t="shared" ref="L200:Q200" si="200">I50</f>
        <v>850</v>
      </c>
      <c r="M200" s="978">
        <f t="shared" si="200"/>
        <v>-88</v>
      </c>
      <c r="N200" s="978">
        <f t="shared" si="200"/>
        <v>9.9999999999999995E-7</v>
      </c>
      <c r="O200" s="978">
        <f t="shared" si="200"/>
        <v>9.9999999999999995E-7</v>
      </c>
      <c r="P200" s="978">
        <f t="shared" si="200"/>
        <v>44.000000499999999</v>
      </c>
      <c r="Q200" s="978">
        <f t="shared" si="200"/>
        <v>5.0149999999999997</v>
      </c>
    </row>
    <row r="201" spans="1:17" x14ac:dyDescent="0.25">
      <c r="A201" s="1417"/>
      <c r="B201" s="978">
        <v>6</v>
      </c>
      <c r="C201" s="978">
        <f t="shared" ref="C201:H201" si="201">P42</f>
        <v>250</v>
      </c>
      <c r="D201" s="978">
        <f t="shared" si="201"/>
        <v>9.9999999999999995E-7</v>
      </c>
      <c r="E201" s="978">
        <f t="shared" si="201"/>
        <v>9.9999999999999995E-7</v>
      </c>
      <c r="F201" s="978">
        <f t="shared" si="201"/>
        <v>9.9999999999999995E-7</v>
      </c>
      <c r="G201" s="978">
        <f t="shared" si="201"/>
        <v>0</v>
      </c>
      <c r="H201" s="978">
        <f t="shared" si="201"/>
        <v>3</v>
      </c>
      <c r="J201" s="1417"/>
      <c r="K201" s="978">
        <v>6</v>
      </c>
      <c r="L201" s="978">
        <f t="shared" ref="L201:Q201" si="202">P50</f>
        <v>1000</v>
      </c>
      <c r="M201" s="978">
        <f t="shared" si="202"/>
        <v>-11</v>
      </c>
      <c r="N201" s="978">
        <f t="shared" si="202"/>
        <v>9.9999999999999995E-7</v>
      </c>
      <c r="O201" s="978">
        <f t="shared" si="202"/>
        <v>9.9999999999999995E-7</v>
      </c>
      <c r="P201" s="978">
        <f t="shared" si="202"/>
        <v>5.5000004999999996</v>
      </c>
      <c r="Q201" s="978">
        <f t="shared" si="202"/>
        <v>5.8999999999999995</v>
      </c>
    </row>
    <row r="202" spans="1:17" x14ac:dyDescent="0.25">
      <c r="A202" s="1417"/>
      <c r="B202" s="978">
        <v>7</v>
      </c>
      <c r="C202" s="978">
        <f t="shared" ref="C202:H202" si="203">B73</f>
        <v>240.38</v>
      </c>
      <c r="D202" s="978">
        <f t="shared" si="203"/>
        <v>9.9999999999999995E-7</v>
      </c>
      <c r="E202" s="978">
        <f t="shared" si="203"/>
        <v>0.38</v>
      </c>
      <c r="F202" s="978">
        <f t="shared" si="203"/>
        <v>9.9999999999999995E-7</v>
      </c>
      <c r="G202" s="978">
        <f t="shared" si="203"/>
        <v>0.18999950000000002</v>
      </c>
      <c r="H202" s="978">
        <f t="shared" si="203"/>
        <v>2.88456</v>
      </c>
      <c r="J202" s="1417"/>
      <c r="K202" s="978">
        <v>7</v>
      </c>
      <c r="L202" s="978">
        <f t="shared" ref="L202:Q202" si="204">B81</f>
        <v>1000</v>
      </c>
      <c r="M202" s="978">
        <f t="shared" si="204"/>
        <v>-10</v>
      </c>
      <c r="N202" s="978">
        <f t="shared" si="204"/>
        <v>9.9999999999999995E-7</v>
      </c>
      <c r="O202" s="978">
        <f t="shared" si="204"/>
        <v>9.9999999999999995E-7</v>
      </c>
      <c r="P202" s="978">
        <f t="shared" si="204"/>
        <v>5.0000004999999996</v>
      </c>
      <c r="Q202" s="978">
        <f t="shared" si="204"/>
        <v>5.8999999999999995</v>
      </c>
    </row>
    <row r="203" spans="1:17" x14ac:dyDescent="0.25">
      <c r="A203" s="1417"/>
      <c r="B203" s="978">
        <v>8</v>
      </c>
      <c r="C203" s="978">
        <f t="shared" ref="C203:H203" si="205">I73</f>
        <v>250</v>
      </c>
      <c r="D203" s="978">
        <f t="shared" si="205"/>
        <v>9.9999999999999995E-7</v>
      </c>
      <c r="E203" s="978">
        <f t="shared" si="205"/>
        <v>-0.49</v>
      </c>
      <c r="F203" s="978" t="str">
        <f t="shared" si="205"/>
        <v>-</v>
      </c>
      <c r="G203" s="978">
        <f t="shared" si="205"/>
        <v>0.24500049999999998</v>
      </c>
      <c r="H203" s="978">
        <f t="shared" si="205"/>
        <v>3</v>
      </c>
      <c r="J203" s="1417"/>
      <c r="K203" s="978">
        <v>8</v>
      </c>
      <c r="L203" s="978">
        <f t="shared" ref="L203:Q203" si="206">I81</f>
        <v>1000</v>
      </c>
      <c r="M203" s="978">
        <f t="shared" si="206"/>
        <v>-74</v>
      </c>
      <c r="N203" s="978">
        <f t="shared" si="206"/>
        <v>9.9999999999999995E-7</v>
      </c>
      <c r="O203" s="978" t="str">
        <f t="shared" si="206"/>
        <v>-</v>
      </c>
      <c r="P203" s="978">
        <f t="shared" si="206"/>
        <v>37.000000499999999</v>
      </c>
      <c r="Q203" s="978">
        <f t="shared" si="206"/>
        <v>5.8999999999999995</v>
      </c>
    </row>
    <row r="204" spans="1:17" x14ac:dyDescent="0.25">
      <c r="A204" s="1417"/>
      <c r="B204" s="978">
        <v>9</v>
      </c>
      <c r="C204" s="978">
        <f t="shared" ref="C204:H204" si="207">P73</f>
        <v>239.61</v>
      </c>
      <c r="D204" s="978">
        <f t="shared" si="207"/>
        <v>9.9999999999999995E-7</v>
      </c>
      <c r="E204" s="978">
        <f t="shared" si="207"/>
        <v>-0.39</v>
      </c>
      <c r="F204" s="978" t="str">
        <f t="shared" si="207"/>
        <v>-</v>
      </c>
      <c r="G204" s="978">
        <f t="shared" si="207"/>
        <v>0.19500049999999999</v>
      </c>
      <c r="H204" s="978">
        <f t="shared" si="207"/>
        <v>2.8753200000000003</v>
      </c>
      <c r="J204" s="1417"/>
      <c r="K204" s="978">
        <v>9</v>
      </c>
      <c r="L204" s="978">
        <f t="shared" ref="L204:Q204" si="208">P81</f>
        <v>920</v>
      </c>
      <c r="M204" s="978">
        <f t="shared" si="208"/>
        <v>-66</v>
      </c>
      <c r="N204" s="978">
        <f t="shared" si="208"/>
        <v>9.9999999999999995E-7</v>
      </c>
      <c r="O204" s="978" t="str">
        <f t="shared" si="208"/>
        <v>-</v>
      </c>
      <c r="P204" s="978">
        <f t="shared" si="208"/>
        <v>33.000000499999999</v>
      </c>
      <c r="Q204" s="978">
        <f t="shared" si="208"/>
        <v>5.4279999999999999</v>
      </c>
    </row>
    <row r="205" spans="1:17" x14ac:dyDescent="0.25">
      <c r="A205" s="1417"/>
      <c r="B205" s="978">
        <v>10</v>
      </c>
      <c r="C205" s="978">
        <f>B104</f>
        <v>250</v>
      </c>
      <c r="D205" s="978">
        <f t="shared" ref="D205:F205" si="209">C104</f>
        <v>-0.11</v>
      </c>
      <c r="E205" s="978" t="str">
        <f t="shared" si="209"/>
        <v>-</v>
      </c>
      <c r="F205" s="978" t="str">
        <f t="shared" si="209"/>
        <v>-</v>
      </c>
      <c r="G205" s="978">
        <f>F104</f>
        <v>0</v>
      </c>
      <c r="H205" s="978" t="str">
        <f>G104</f>
        <v>-</v>
      </c>
      <c r="J205" s="1417"/>
      <c r="K205" s="978">
        <v>10</v>
      </c>
      <c r="L205" s="978">
        <f t="shared" ref="L205:Q205" si="210">B112</f>
        <v>1000</v>
      </c>
      <c r="M205" s="978">
        <f t="shared" si="210"/>
        <v>2</v>
      </c>
      <c r="N205" s="978" t="str">
        <f t="shared" si="210"/>
        <v>-</v>
      </c>
      <c r="O205" s="978" t="str">
        <f t="shared" si="210"/>
        <v>-</v>
      </c>
      <c r="P205" s="978">
        <f t="shared" si="210"/>
        <v>0</v>
      </c>
      <c r="Q205" s="978" t="str">
        <f t="shared" si="210"/>
        <v>-</v>
      </c>
    </row>
    <row r="206" spans="1:17" x14ac:dyDescent="0.25">
      <c r="A206" s="1417"/>
      <c r="B206" s="978">
        <v>11</v>
      </c>
      <c r="C206" s="978">
        <f>I104</f>
        <v>250</v>
      </c>
      <c r="D206" s="978">
        <f t="shared" ref="D206:F206" si="211">J104</f>
        <v>9.9999999999999995E-7</v>
      </c>
      <c r="E206" s="978" t="str">
        <f t="shared" si="211"/>
        <v>-</v>
      </c>
      <c r="F206" s="978" t="str">
        <f t="shared" si="211"/>
        <v>-</v>
      </c>
      <c r="G206" s="978">
        <f>M104</f>
        <v>0</v>
      </c>
      <c r="H206" s="978" t="str">
        <f>N104</f>
        <v>-</v>
      </c>
      <c r="J206" s="1417"/>
      <c r="K206" s="978">
        <v>11</v>
      </c>
      <c r="L206" s="978">
        <f t="shared" ref="L206:Q206" si="212">I112</f>
        <v>1000</v>
      </c>
      <c r="M206" s="978">
        <f t="shared" si="212"/>
        <v>9.9999999999999995E-7</v>
      </c>
      <c r="N206" s="978" t="str">
        <f t="shared" si="212"/>
        <v>-</v>
      </c>
      <c r="O206" s="978" t="str">
        <f t="shared" si="212"/>
        <v>-</v>
      </c>
      <c r="P206" s="978">
        <f t="shared" si="212"/>
        <v>0</v>
      </c>
      <c r="Q206" s="978" t="str">
        <f t="shared" si="212"/>
        <v>-</v>
      </c>
    </row>
    <row r="207" spans="1:17" x14ac:dyDescent="0.25">
      <c r="A207" s="1417"/>
      <c r="B207" s="978">
        <v>12</v>
      </c>
      <c r="C207" s="978">
        <f>P104</f>
        <v>250</v>
      </c>
      <c r="D207" s="978">
        <f t="shared" ref="D207:F207" si="213">Q104</f>
        <v>9.9999999999999995E-7</v>
      </c>
      <c r="E207" s="978" t="str">
        <f t="shared" si="213"/>
        <v>-</v>
      </c>
      <c r="F207" s="978" t="str">
        <f t="shared" si="213"/>
        <v>-</v>
      </c>
      <c r="G207" s="978">
        <f>T104</f>
        <v>0</v>
      </c>
      <c r="H207" s="978" t="str">
        <f>U104</f>
        <v>-</v>
      </c>
      <c r="J207" s="1417"/>
      <c r="K207" s="978">
        <v>12</v>
      </c>
      <c r="L207" s="978">
        <f t="shared" ref="L207:Q207" si="214">P112</f>
        <v>1000</v>
      </c>
      <c r="M207" s="978">
        <f t="shared" si="214"/>
        <v>9.9999999999999995E-7</v>
      </c>
      <c r="N207" s="978" t="str">
        <f t="shared" si="214"/>
        <v>-</v>
      </c>
      <c r="O207" s="978" t="str">
        <f t="shared" si="214"/>
        <v>-</v>
      </c>
      <c r="P207" s="978">
        <f t="shared" si="214"/>
        <v>0</v>
      </c>
      <c r="Q207" s="978" t="str">
        <f t="shared" si="214"/>
        <v>-</v>
      </c>
    </row>
    <row r="208" spans="1:17" x14ac:dyDescent="0.25">
      <c r="A208" s="982"/>
      <c r="B208" s="660"/>
      <c r="C208" s="660"/>
      <c r="D208" s="982"/>
      <c r="E208" s="982"/>
      <c r="F208" s="982"/>
      <c r="G208" s="982"/>
      <c r="H208" s="982"/>
      <c r="J208" s="982"/>
      <c r="K208" s="982"/>
      <c r="L208" s="982"/>
      <c r="M208" s="982"/>
      <c r="N208" s="982"/>
      <c r="O208" s="982"/>
      <c r="P208" s="982"/>
      <c r="Q208" s="982"/>
    </row>
    <row r="209" spans="1:17" ht="14" x14ac:dyDescent="0.3">
      <c r="A209" s="1417" t="s">
        <v>475</v>
      </c>
      <c r="B209" s="1418"/>
      <c r="C209" s="1419" t="s">
        <v>106</v>
      </c>
      <c r="D209" s="1419"/>
      <c r="E209" s="1419"/>
      <c r="F209" s="1419"/>
      <c r="G209" s="1419"/>
      <c r="H209" s="1419"/>
      <c r="J209" s="1417" t="s">
        <v>475</v>
      </c>
      <c r="K209" s="1418"/>
      <c r="L209" s="1420" t="s">
        <v>106</v>
      </c>
      <c r="M209" s="1420"/>
      <c r="N209" s="1420"/>
      <c r="O209" s="1420"/>
      <c r="P209" s="1420"/>
      <c r="Q209" s="1420"/>
    </row>
    <row r="210" spans="1:17" ht="13" customHeight="1" x14ac:dyDescent="0.25">
      <c r="A210" s="1417"/>
      <c r="B210" s="1418"/>
      <c r="C210" s="1421" t="str">
        <f>B20</f>
        <v>Main-PE</v>
      </c>
      <c r="D210" s="1421"/>
      <c r="E210" s="1421"/>
      <c r="F210" s="1421"/>
      <c r="G210" s="986" t="s">
        <v>150</v>
      </c>
      <c r="H210" s="986" t="s">
        <v>80</v>
      </c>
      <c r="J210" s="1417"/>
      <c r="K210" s="1418"/>
      <c r="L210" s="1421" t="str">
        <f>B26</f>
        <v>Resistance</v>
      </c>
      <c r="M210" s="1421"/>
      <c r="N210" s="1421"/>
      <c r="O210" s="1421"/>
      <c r="P210" s="986" t="s">
        <v>150</v>
      </c>
      <c r="Q210" s="986" t="s">
        <v>80</v>
      </c>
    </row>
    <row r="211" spans="1:17" ht="14.5" x14ac:dyDescent="0.25">
      <c r="A211" s="1417"/>
      <c r="B211" s="1418"/>
      <c r="C211" s="987" t="s">
        <v>469</v>
      </c>
      <c r="D211" s="986"/>
      <c r="E211" s="986"/>
      <c r="F211" s="982"/>
      <c r="G211" s="986"/>
      <c r="H211" s="986"/>
      <c r="J211" s="1417"/>
      <c r="K211" s="1418"/>
      <c r="L211" s="987" t="s">
        <v>470</v>
      </c>
      <c r="M211" s="986"/>
      <c r="N211" s="986"/>
      <c r="O211" s="982"/>
      <c r="P211" s="986"/>
      <c r="Q211" s="986"/>
    </row>
    <row r="212" spans="1:17" ht="14" x14ac:dyDescent="0.25">
      <c r="A212" s="1406" t="s">
        <v>5</v>
      </c>
      <c r="B212" s="978">
        <v>1</v>
      </c>
      <c r="C212" s="978">
        <f t="shared" ref="C212:H212" si="215">B22</f>
        <v>10</v>
      </c>
      <c r="D212" s="978">
        <f t="shared" si="215"/>
        <v>9.9999999999999995E-7</v>
      </c>
      <c r="E212" s="978">
        <f t="shared" si="215"/>
        <v>-1E-3</v>
      </c>
      <c r="F212" s="978">
        <f t="shared" si="215"/>
        <v>9.9999999999999995E-7</v>
      </c>
      <c r="G212" s="978">
        <f t="shared" si="215"/>
        <v>5.0049999999999997E-4</v>
      </c>
      <c r="H212" s="978">
        <f t="shared" si="215"/>
        <v>0.17</v>
      </c>
      <c r="J212" s="1406" t="s">
        <v>5</v>
      </c>
      <c r="K212" s="978">
        <v>1</v>
      </c>
      <c r="L212" s="981">
        <f t="shared" ref="L212:Q212" si="216">B28</f>
        <v>9.9999999999999995E-7</v>
      </c>
      <c r="M212" s="981">
        <f t="shared" si="216"/>
        <v>-2E-3</v>
      </c>
      <c r="N212" s="981">
        <f t="shared" si="216"/>
        <v>9.9999999999999995E-7</v>
      </c>
      <c r="O212" s="981">
        <f t="shared" si="216"/>
        <v>9.9999999999999995E-7</v>
      </c>
      <c r="P212" s="981">
        <f t="shared" si="216"/>
        <v>1.0005000000000001E-3</v>
      </c>
      <c r="Q212" s="981">
        <f t="shared" si="216"/>
        <v>1.2E-8</v>
      </c>
    </row>
    <row r="213" spans="1:17" ht="14" x14ac:dyDescent="0.25">
      <c r="A213" s="1406"/>
      <c r="B213" s="978">
        <v>2</v>
      </c>
      <c r="C213" s="978">
        <f t="shared" ref="C213:H213" si="217">I22</f>
        <v>10</v>
      </c>
      <c r="D213" s="978">
        <f t="shared" si="217"/>
        <v>9.9999999999999995E-7</v>
      </c>
      <c r="E213" s="978">
        <f t="shared" si="217"/>
        <v>0.1</v>
      </c>
      <c r="F213" s="978">
        <f t="shared" si="217"/>
        <v>9.9999999999999995E-7</v>
      </c>
      <c r="G213" s="978">
        <f t="shared" si="217"/>
        <v>4.9999500000000002E-2</v>
      </c>
      <c r="H213" s="978">
        <f t="shared" si="217"/>
        <v>0.17</v>
      </c>
      <c r="J213" s="1406"/>
      <c r="K213" s="978">
        <v>2</v>
      </c>
      <c r="L213" s="978">
        <f t="shared" ref="L213:Q213" si="218">I28</f>
        <v>0.01</v>
      </c>
      <c r="M213" s="978">
        <f t="shared" si="218"/>
        <v>9.9999999999999995E-7</v>
      </c>
      <c r="N213" s="978">
        <f t="shared" si="218"/>
        <v>9.9999999999999995E-7</v>
      </c>
      <c r="O213" s="978">
        <f t="shared" si="218"/>
        <v>9.9999999999999995E-7</v>
      </c>
      <c r="P213" s="978">
        <f t="shared" si="218"/>
        <v>0</v>
      </c>
      <c r="Q213" s="981">
        <f t="shared" si="218"/>
        <v>1.2E-4</v>
      </c>
    </row>
    <row r="214" spans="1:17" ht="14" x14ac:dyDescent="0.25">
      <c r="A214" s="1406"/>
      <c r="B214" s="978">
        <v>3</v>
      </c>
      <c r="C214" s="978">
        <f t="shared" ref="C214:H214" si="219">P22</f>
        <v>5</v>
      </c>
      <c r="D214" s="978">
        <f t="shared" si="219"/>
        <v>9.9999999999999995E-7</v>
      </c>
      <c r="E214" s="978">
        <f t="shared" si="219"/>
        <v>9.9999999999999995E-7</v>
      </c>
      <c r="F214" s="978">
        <f t="shared" si="219"/>
        <v>9.9999999999999995E-7</v>
      </c>
      <c r="G214" s="978">
        <f t="shared" si="219"/>
        <v>0</v>
      </c>
      <c r="H214" s="978">
        <f t="shared" si="219"/>
        <v>8.5000000000000006E-2</v>
      </c>
      <c r="J214" s="1406"/>
      <c r="K214" s="978">
        <v>3</v>
      </c>
      <c r="L214" s="978">
        <f t="shared" ref="L214:Q214" si="220">P28</f>
        <v>9.9999999999999995E-7</v>
      </c>
      <c r="M214" s="978">
        <f t="shared" si="220"/>
        <v>-1E-3</v>
      </c>
      <c r="N214" s="978">
        <f t="shared" si="220"/>
        <v>9.9999999999999995E-7</v>
      </c>
      <c r="O214" s="978">
        <f t="shared" si="220"/>
        <v>9.9999999999999995E-7</v>
      </c>
      <c r="P214" s="978">
        <f t="shared" si="220"/>
        <v>5.0049999999999997E-4</v>
      </c>
      <c r="Q214" s="981">
        <f t="shared" si="220"/>
        <v>1.2E-8</v>
      </c>
    </row>
    <row r="215" spans="1:17" ht="14" x14ac:dyDescent="0.25">
      <c r="A215" s="1406"/>
      <c r="B215" s="978">
        <v>4</v>
      </c>
      <c r="C215" s="978">
        <f t="shared" ref="C215:H215" si="221">B53</f>
        <v>10</v>
      </c>
      <c r="D215" s="978">
        <f t="shared" si="221"/>
        <v>9.9999999999999995E-7</v>
      </c>
      <c r="E215" s="978">
        <f t="shared" si="221"/>
        <v>9.9999999999999995E-7</v>
      </c>
      <c r="F215" s="978">
        <f t="shared" si="221"/>
        <v>0.1</v>
      </c>
      <c r="G215" s="978">
        <f t="shared" si="221"/>
        <v>4.9999500000000002E-2</v>
      </c>
      <c r="H215" s="978">
        <f t="shared" si="221"/>
        <v>0.17</v>
      </c>
      <c r="J215" s="1406"/>
      <c r="K215" s="978">
        <v>4</v>
      </c>
      <c r="L215" s="978">
        <f t="shared" ref="L215:Q215" si="222">B59</f>
        <v>0.01</v>
      </c>
      <c r="M215" s="978">
        <f t="shared" si="222"/>
        <v>9.9999999999999995E-7</v>
      </c>
      <c r="N215" s="978">
        <f t="shared" si="222"/>
        <v>9.9999999999999995E-7</v>
      </c>
      <c r="O215" s="978">
        <f t="shared" si="222"/>
        <v>9.9999999999999995E-7</v>
      </c>
      <c r="P215" s="978">
        <f t="shared" si="222"/>
        <v>0</v>
      </c>
      <c r="Q215" s="981">
        <f t="shared" si="222"/>
        <v>1.2E-4</v>
      </c>
    </row>
    <row r="216" spans="1:17" ht="14" x14ac:dyDescent="0.25">
      <c r="A216" s="1406"/>
      <c r="B216" s="978">
        <v>5</v>
      </c>
      <c r="C216" s="978">
        <f t="shared" ref="C216:H216" si="223">I53</f>
        <v>10</v>
      </c>
      <c r="D216" s="978">
        <f t="shared" si="223"/>
        <v>9.9999999999999995E-7</v>
      </c>
      <c r="E216" s="978">
        <f t="shared" si="223"/>
        <v>9.9999999999999995E-7</v>
      </c>
      <c r="F216" s="978">
        <f t="shared" si="223"/>
        <v>0.1</v>
      </c>
      <c r="G216" s="978">
        <f t="shared" si="223"/>
        <v>4.9999500000000002E-2</v>
      </c>
      <c r="H216" s="978">
        <f t="shared" si="223"/>
        <v>0.17</v>
      </c>
      <c r="J216" s="1406"/>
      <c r="K216" s="978">
        <v>5</v>
      </c>
      <c r="L216" s="978">
        <f t="shared" ref="L216:Q216" si="224">I59</f>
        <v>0.01</v>
      </c>
      <c r="M216" s="978">
        <f t="shared" si="224"/>
        <v>9.9999999999999995E-7</v>
      </c>
      <c r="N216" s="978">
        <f t="shared" si="224"/>
        <v>9.9999999999999995E-7</v>
      </c>
      <c r="O216" s="978">
        <f t="shared" si="224"/>
        <v>9.9999999999999995E-7</v>
      </c>
      <c r="P216" s="978">
        <f t="shared" si="224"/>
        <v>0</v>
      </c>
      <c r="Q216" s="981">
        <f t="shared" si="224"/>
        <v>1.2E-4</v>
      </c>
    </row>
    <row r="217" spans="1:17" ht="14" x14ac:dyDescent="0.25">
      <c r="A217" s="1406"/>
      <c r="B217" s="978">
        <v>6</v>
      </c>
      <c r="C217" s="978">
        <f t="shared" ref="C217:H217" si="225">P53</f>
        <v>10</v>
      </c>
      <c r="D217" s="978">
        <f t="shared" si="225"/>
        <v>0.1</v>
      </c>
      <c r="E217" s="978">
        <f t="shared" si="225"/>
        <v>0.1</v>
      </c>
      <c r="F217" s="978">
        <f t="shared" si="225"/>
        <v>9.9999999999999995E-7</v>
      </c>
      <c r="G217" s="978">
        <f t="shared" si="225"/>
        <v>4.9999500000000002E-2</v>
      </c>
      <c r="H217" s="978">
        <f t="shared" si="225"/>
        <v>0.17</v>
      </c>
      <c r="J217" s="1406"/>
      <c r="K217" s="978">
        <v>6</v>
      </c>
      <c r="L217" s="978">
        <f t="shared" ref="L217:Q217" si="226">P59</f>
        <v>0.01</v>
      </c>
      <c r="M217" s="978">
        <f t="shared" si="226"/>
        <v>9.9999999999999995E-7</v>
      </c>
      <c r="N217" s="978">
        <f t="shared" si="226"/>
        <v>9.9999999999999995E-7</v>
      </c>
      <c r="O217" s="978">
        <f t="shared" si="226"/>
        <v>9.9999999999999995E-7</v>
      </c>
      <c r="P217" s="978">
        <f t="shared" si="226"/>
        <v>0</v>
      </c>
      <c r="Q217" s="981">
        <f t="shared" si="226"/>
        <v>1.2E-4</v>
      </c>
    </row>
    <row r="218" spans="1:17" ht="14" x14ac:dyDescent="0.25">
      <c r="A218" s="1406"/>
      <c r="B218" s="978">
        <v>7</v>
      </c>
      <c r="C218" s="978">
        <f t="shared" ref="C218:H218" si="227">B84</f>
        <v>10</v>
      </c>
      <c r="D218" s="978">
        <f t="shared" si="227"/>
        <v>9.9999999999999995E-7</v>
      </c>
      <c r="E218" s="978">
        <f t="shared" si="227"/>
        <v>9.9999999999999995E-7</v>
      </c>
      <c r="F218" s="978">
        <f t="shared" si="227"/>
        <v>9.9999999999999995E-7</v>
      </c>
      <c r="G218" s="978">
        <f t="shared" si="227"/>
        <v>0</v>
      </c>
      <c r="H218" s="978">
        <f t="shared" si="227"/>
        <v>0.17</v>
      </c>
      <c r="J218" s="1406"/>
      <c r="K218" s="978">
        <v>7</v>
      </c>
      <c r="L218" s="978">
        <f t="shared" ref="L218:Q218" si="228">B90</f>
        <v>0.01</v>
      </c>
      <c r="M218" s="978">
        <f t="shared" si="228"/>
        <v>9.9999999999999995E-7</v>
      </c>
      <c r="N218" s="978">
        <f t="shared" si="228"/>
        <v>9.9999999999999995E-7</v>
      </c>
      <c r="O218" s="978">
        <f t="shared" si="228"/>
        <v>9.9999999999999995E-7</v>
      </c>
      <c r="P218" s="978">
        <f t="shared" si="228"/>
        <v>0</v>
      </c>
      <c r="Q218" s="981">
        <f t="shared" si="228"/>
        <v>1.2E-4</v>
      </c>
    </row>
    <row r="219" spans="1:17" ht="14" x14ac:dyDescent="0.25">
      <c r="A219" s="1406"/>
      <c r="B219" s="978">
        <v>8</v>
      </c>
      <c r="C219" s="978">
        <f t="shared" ref="C219:H219" si="229">I84</f>
        <v>10</v>
      </c>
      <c r="D219" s="978">
        <f t="shared" si="229"/>
        <v>9.9999999999999995E-7</v>
      </c>
      <c r="E219" s="978">
        <f t="shared" si="229"/>
        <v>9.9999999999999995E-7</v>
      </c>
      <c r="F219" s="978" t="str">
        <f t="shared" si="229"/>
        <v>-</v>
      </c>
      <c r="G219" s="978">
        <f t="shared" si="229"/>
        <v>0</v>
      </c>
      <c r="H219" s="978">
        <f t="shared" si="229"/>
        <v>0.17</v>
      </c>
      <c r="J219" s="1406"/>
      <c r="K219" s="978">
        <v>8</v>
      </c>
      <c r="L219" s="978">
        <f t="shared" ref="L219:Q219" si="230">I90</f>
        <v>0.1</v>
      </c>
      <c r="M219" s="978">
        <f t="shared" si="230"/>
        <v>-1E-3</v>
      </c>
      <c r="N219" s="978">
        <f t="shared" si="230"/>
        <v>-1E-3</v>
      </c>
      <c r="O219" s="978" t="str">
        <f t="shared" si="230"/>
        <v>-</v>
      </c>
      <c r="P219" s="978">
        <f t="shared" si="230"/>
        <v>0</v>
      </c>
      <c r="Q219" s="981">
        <f t="shared" si="230"/>
        <v>1.2000000000000001E-3</v>
      </c>
    </row>
    <row r="220" spans="1:17" ht="14" x14ac:dyDescent="0.25">
      <c r="A220" s="1406"/>
      <c r="B220" s="978">
        <v>9</v>
      </c>
      <c r="C220" s="978">
        <f t="shared" ref="C220:H220" si="231">P84</f>
        <v>10</v>
      </c>
      <c r="D220" s="978">
        <f t="shared" si="231"/>
        <v>9.9999999999999995E-7</v>
      </c>
      <c r="E220" s="978">
        <f t="shared" si="231"/>
        <v>9.9999999999999995E-7</v>
      </c>
      <c r="F220" s="978" t="str">
        <f t="shared" si="231"/>
        <v>-</v>
      </c>
      <c r="G220" s="978">
        <f t="shared" si="231"/>
        <v>0</v>
      </c>
      <c r="H220" s="978">
        <f t="shared" si="231"/>
        <v>0.17</v>
      </c>
      <c r="J220" s="1406"/>
      <c r="K220" s="978">
        <v>9</v>
      </c>
      <c r="L220" s="978">
        <f t="shared" ref="L220:Q220" si="232">P90</f>
        <v>1E-3</v>
      </c>
      <c r="M220" s="978">
        <f t="shared" si="232"/>
        <v>-2E-3</v>
      </c>
      <c r="N220" s="978">
        <f t="shared" si="232"/>
        <v>-1E-3</v>
      </c>
      <c r="O220" s="978" t="str">
        <f t="shared" si="232"/>
        <v>-</v>
      </c>
      <c r="P220" s="978">
        <f t="shared" si="232"/>
        <v>5.0000000000000001E-4</v>
      </c>
      <c r="Q220" s="981">
        <f t="shared" si="232"/>
        <v>1.2E-5</v>
      </c>
    </row>
    <row r="221" spans="1:17" ht="14" x14ac:dyDescent="0.25">
      <c r="A221" s="1406"/>
      <c r="B221" s="978">
        <v>10</v>
      </c>
      <c r="C221" s="978">
        <f>B115</f>
        <v>10</v>
      </c>
      <c r="D221" s="978">
        <f t="shared" ref="D221:F221" si="233">C115</f>
        <v>9.9999999999999995E-7</v>
      </c>
      <c r="E221" s="978" t="str">
        <f t="shared" si="233"/>
        <v>-</v>
      </c>
      <c r="F221" s="978" t="str">
        <f t="shared" si="233"/>
        <v>-</v>
      </c>
      <c r="G221" s="978">
        <f>F115</f>
        <v>0</v>
      </c>
      <c r="H221" s="978" t="str">
        <f>G115</f>
        <v>-</v>
      </c>
      <c r="J221" s="1406"/>
      <c r="K221" s="978">
        <v>10</v>
      </c>
      <c r="L221" s="978">
        <f t="shared" ref="L221:Q221" si="234">B121</f>
        <v>0</v>
      </c>
      <c r="M221" s="978">
        <f t="shared" si="234"/>
        <v>9.9999999999999995E-7</v>
      </c>
      <c r="N221" s="978" t="str">
        <f t="shared" si="234"/>
        <v>-</v>
      </c>
      <c r="O221" s="978" t="str">
        <f t="shared" si="234"/>
        <v>-</v>
      </c>
      <c r="P221" s="978">
        <f t="shared" si="234"/>
        <v>0</v>
      </c>
      <c r="Q221" s="981" t="str">
        <f t="shared" si="234"/>
        <v>-</v>
      </c>
    </row>
    <row r="222" spans="1:17" ht="14" x14ac:dyDescent="0.25">
      <c r="A222" s="1406"/>
      <c r="B222" s="978">
        <v>11</v>
      </c>
      <c r="C222" s="978">
        <f>I115</f>
        <v>10</v>
      </c>
      <c r="D222" s="978">
        <f t="shared" ref="D222:F222" si="235">J115</f>
        <v>9.9999999999999995E-7</v>
      </c>
      <c r="E222" s="978" t="str">
        <f t="shared" si="235"/>
        <v>-</v>
      </c>
      <c r="F222" s="978" t="str">
        <f t="shared" si="235"/>
        <v>-</v>
      </c>
      <c r="G222" s="978">
        <f>M115</f>
        <v>0</v>
      </c>
      <c r="H222" s="978" t="str">
        <f>N115</f>
        <v>-</v>
      </c>
      <c r="J222" s="1406"/>
      <c r="K222" s="978">
        <v>11</v>
      </c>
      <c r="L222" s="978">
        <f t="shared" ref="L222:Q222" si="236">I121</f>
        <v>0.01</v>
      </c>
      <c r="M222" s="978">
        <f t="shared" si="236"/>
        <v>9.9999999999999995E-7</v>
      </c>
      <c r="N222" s="978" t="str">
        <f t="shared" si="236"/>
        <v>-</v>
      </c>
      <c r="O222" s="978" t="str">
        <f t="shared" si="236"/>
        <v>-</v>
      </c>
      <c r="P222" s="978">
        <f t="shared" si="236"/>
        <v>0</v>
      </c>
      <c r="Q222" s="981" t="str">
        <f t="shared" si="236"/>
        <v>-</v>
      </c>
    </row>
    <row r="223" spans="1:17" ht="14" x14ac:dyDescent="0.25">
      <c r="A223" s="1406"/>
      <c r="B223" s="978">
        <v>12</v>
      </c>
      <c r="C223" s="978">
        <f>P115</f>
        <v>10</v>
      </c>
      <c r="D223" s="978">
        <f t="shared" ref="D223:F223" si="237">Q115</f>
        <v>9.9999999999999995E-7</v>
      </c>
      <c r="E223" s="978" t="str">
        <f t="shared" si="237"/>
        <v>-</v>
      </c>
      <c r="F223" s="978" t="str">
        <f t="shared" si="237"/>
        <v>-</v>
      </c>
      <c r="G223" s="978">
        <f>T115</f>
        <v>0</v>
      </c>
      <c r="H223" s="978" t="str">
        <f>U115</f>
        <v>-</v>
      </c>
      <c r="J223" s="1406"/>
      <c r="K223" s="978">
        <v>12</v>
      </c>
      <c r="L223" s="978">
        <f t="shared" ref="L223:Q223" si="238">P121</f>
        <v>0.01</v>
      </c>
      <c r="M223" s="978">
        <f t="shared" si="238"/>
        <v>9.9999999999999995E-7</v>
      </c>
      <c r="N223" s="978" t="str">
        <f t="shared" si="238"/>
        <v>-</v>
      </c>
      <c r="O223" s="978" t="str">
        <f t="shared" si="238"/>
        <v>-</v>
      </c>
      <c r="P223" s="978">
        <f t="shared" si="238"/>
        <v>0</v>
      </c>
      <c r="Q223" s="981" t="str">
        <f t="shared" si="238"/>
        <v>-</v>
      </c>
    </row>
    <row r="224" spans="1:17" s="961" customFormat="1" x14ac:dyDescent="0.25">
      <c r="A224" s="980"/>
      <c r="B224" s="277"/>
      <c r="C224" s="277"/>
      <c r="D224" s="277"/>
      <c r="E224" s="277"/>
      <c r="F224" s="985"/>
      <c r="G224" s="277"/>
      <c r="H224" s="277"/>
      <c r="J224" s="980"/>
      <c r="K224" s="277"/>
      <c r="L224" s="277"/>
      <c r="M224" s="277"/>
      <c r="N224" s="277"/>
      <c r="O224" s="985"/>
      <c r="P224" s="277"/>
      <c r="Q224" s="277"/>
    </row>
    <row r="225" spans="1:17" x14ac:dyDescent="0.25">
      <c r="A225" s="1406" t="s">
        <v>6</v>
      </c>
      <c r="B225" s="978">
        <v>1</v>
      </c>
      <c r="C225" s="978">
        <f t="shared" ref="C225:H225" si="239">B23</f>
        <v>20</v>
      </c>
      <c r="D225" s="978">
        <f t="shared" si="239"/>
        <v>0.1</v>
      </c>
      <c r="E225" s="978">
        <f t="shared" si="239"/>
        <v>9.9999999999999995E-7</v>
      </c>
      <c r="F225" s="978">
        <f t="shared" si="239"/>
        <v>9.9999999999999995E-7</v>
      </c>
      <c r="G225" s="978">
        <f t="shared" si="239"/>
        <v>4.9999500000000002E-2</v>
      </c>
      <c r="H225" s="978">
        <f t="shared" si="239"/>
        <v>0.34</v>
      </c>
      <c r="J225" s="1406" t="s">
        <v>6</v>
      </c>
      <c r="K225" s="978">
        <v>1</v>
      </c>
      <c r="L225" s="978">
        <f t="shared" ref="L225:Q225" si="240">B29</f>
        <v>0.1</v>
      </c>
      <c r="M225" s="978">
        <f t="shared" si="240"/>
        <v>1E-3</v>
      </c>
      <c r="N225" s="978">
        <f t="shared" si="240"/>
        <v>-1E-3</v>
      </c>
      <c r="O225" s="978">
        <f t="shared" si="240"/>
        <v>2E-3</v>
      </c>
      <c r="P225" s="978">
        <f t="shared" si="240"/>
        <v>1.5E-3</v>
      </c>
      <c r="Q225" s="978">
        <f t="shared" si="240"/>
        <v>1.2000000000000001E-3</v>
      </c>
    </row>
    <row r="226" spans="1:17" x14ac:dyDescent="0.25">
      <c r="A226" s="1406"/>
      <c r="B226" s="978">
        <v>2</v>
      </c>
      <c r="C226" s="978">
        <f t="shared" ref="C226:H226" si="241">I23</f>
        <v>20</v>
      </c>
      <c r="D226" s="978">
        <f t="shared" si="241"/>
        <v>0.1</v>
      </c>
      <c r="E226" s="978">
        <f t="shared" si="241"/>
        <v>0.2</v>
      </c>
      <c r="F226" s="978">
        <f t="shared" si="241"/>
        <v>0.1</v>
      </c>
      <c r="G226" s="978">
        <f t="shared" si="241"/>
        <v>0.05</v>
      </c>
      <c r="H226" s="978">
        <f t="shared" si="241"/>
        <v>0.34</v>
      </c>
      <c r="J226" s="1406"/>
      <c r="K226" s="978">
        <v>2</v>
      </c>
      <c r="L226" s="978">
        <f t="shared" ref="L226:Q226" si="242">I29</f>
        <v>0.1</v>
      </c>
      <c r="M226" s="978">
        <f t="shared" si="242"/>
        <v>5.0000000000000001E-3</v>
      </c>
      <c r="N226" s="978">
        <f t="shared" si="242"/>
        <v>6.0000000000000001E-3</v>
      </c>
      <c r="O226" s="978">
        <f t="shared" si="242"/>
        <v>5.0000000000000001E-3</v>
      </c>
      <c r="P226" s="978">
        <f t="shared" si="242"/>
        <v>5.0000000000000001E-4</v>
      </c>
      <c r="Q226" s="978">
        <f t="shared" si="242"/>
        <v>1.2000000000000001E-3</v>
      </c>
    </row>
    <row r="227" spans="1:17" x14ac:dyDescent="0.25">
      <c r="A227" s="1406"/>
      <c r="B227" s="978">
        <v>3</v>
      </c>
      <c r="C227" s="978">
        <f t="shared" ref="C227:H227" si="243">P23</f>
        <v>10</v>
      </c>
      <c r="D227" s="978">
        <f t="shared" si="243"/>
        <v>9.9999999999999995E-7</v>
      </c>
      <c r="E227" s="978">
        <f t="shared" si="243"/>
        <v>9.9999999999999995E-7</v>
      </c>
      <c r="F227" s="978">
        <f t="shared" si="243"/>
        <v>9.9999999999999995E-7</v>
      </c>
      <c r="G227" s="978">
        <f t="shared" si="243"/>
        <v>0</v>
      </c>
      <c r="H227" s="978">
        <f t="shared" si="243"/>
        <v>0.17</v>
      </c>
      <c r="J227" s="1406"/>
      <c r="K227" s="978">
        <v>3</v>
      </c>
      <c r="L227" s="978">
        <f t="shared" ref="L227:Q227" si="244">P29</f>
        <v>0.5</v>
      </c>
      <c r="M227" s="978">
        <f t="shared" si="244"/>
        <v>-2E-3</v>
      </c>
      <c r="N227" s="978">
        <f t="shared" si="244"/>
        <v>-1E-3</v>
      </c>
      <c r="O227" s="978">
        <f t="shared" si="244"/>
        <v>9.9999999999999995E-7</v>
      </c>
      <c r="P227" s="978">
        <f t="shared" si="244"/>
        <v>1.0005000000000001E-3</v>
      </c>
      <c r="Q227" s="978">
        <f t="shared" si="244"/>
        <v>6.0000000000000001E-3</v>
      </c>
    </row>
    <row r="228" spans="1:17" x14ac:dyDescent="0.25">
      <c r="A228" s="1406"/>
      <c r="B228" s="978">
        <v>4</v>
      </c>
      <c r="C228" s="978">
        <f t="shared" ref="C228:H228" si="245">B54</f>
        <v>20</v>
      </c>
      <c r="D228" s="978">
        <f t="shared" si="245"/>
        <v>0.1</v>
      </c>
      <c r="E228" s="978">
        <f t="shared" si="245"/>
        <v>0.1</v>
      </c>
      <c r="F228" s="978">
        <f t="shared" si="245"/>
        <v>0.2</v>
      </c>
      <c r="G228" s="978">
        <f t="shared" si="245"/>
        <v>0.05</v>
      </c>
      <c r="H228" s="978">
        <f t="shared" si="245"/>
        <v>0.34</v>
      </c>
      <c r="J228" s="1406"/>
      <c r="K228" s="978">
        <v>4</v>
      </c>
      <c r="L228" s="978">
        <f t="shared" ref="L228:Q228" si="246">B60</f>
        <v>0.1</v>
      </c>
      <c r="M228" s="978">
        <f t="shared" si="246"/>
        <v>9.9999999999999995E-7</v>
      </c>
      <c r="N228" s="978">
        <f t="shared" si="246"/>
        <v>-2E-3</v>
      </c>
      <c r="O228" s="978">
        <f t="shared" si="246"/>
        <v>9.9999999999999995E-7</v>
      </c>
      <c r="P228" s="978">
        <f t="shared" si="246"/>
        <v>1.0005000000000001E-3</v>
      </c>
      <c r="Q228" s="978">
        <f t="shared" si="246"/>
        <v>1.2000000000000001E-3</v>
      </c>
    </row>
    <row r="229" spans="1:17" x14ac:dyDescent="0.25">
      <c r="A229" s="1406"/>
      <c r="B229" s="978">
        <v>5</v>
      </c>
      <c r="C229" s="978">
        <f t="shared" ref="C229:H229" si="247">I54</f>
        <v>20</v>
      </c>
      <c r="D229" s="978">
        <f t="shared" si="247"/>
        <v>0.1</v>
      </c>
      <c r="E229" s="978">
        <f t="shared" si="247"/>
        <v>0.1</v>
      </c>
      <c r="F229" s="978">
        <f t="shared" si="247"/>
        <v>0.1</v>
      </c>
      <c r="G229" s="978">
        <f t="shared" si="247"/>
        <v>0</v>
      </c>
      <c r="H229" s="978">
        <f t="shared" si="247"/>
        <v>0.34</v>
      </c>
      <c r="J229" s="1406"/>
      <c r="K229" s="978">
        <v>5</v>
      </c>
      <c r="L229" s="978">
        <f t="shared" ref="L229:Q229" si="248">I60</f>
        <v>0.1</v>
      </c>
      <c r="M229" s="978">
        <f t="shared" si="248"/>
        <v>-6.0000000000000001E-3</v>
      </c>
      <c r="N229" s="978">
        <f t="shared" si="248"/>
        <v>5.0000000000000001E-3</v>
      </c>
      <c r="O229" s="978">
        <f t="shared" si="248"/>
        <v>2E-3</v>
      </c>
      <c r="P229" s="978">
        <f t="shared" si="248"/>
        <v>5.4999999999999997E-3</v>
      </c>
      <c r="Q229" s="978">
        <f t="shared" si="248"/>
        <v>1.2000000000000001E-3</v>
      </c>
    </row>
    <row r="230" spans="1:17" x14ac:dyDescent="0.25">
      <c r="A230" s="1406"/>
      <c r="B230" s="978">
        <v>6</v>
      </c>
      <c r="C230" s="978">
        <f t="shared" ref="C230:H230" si="249">P54</f>
        <v>20</v>
      </c>
      <c r="D230" s="978">
        <f t="shared" si="249"/>
        <v>0.1</v>
      </c>
      <c r="E230" s="978">
        <f t="shared" si="249"/>
        <v>0.1</v>
      </c>
      <c r="F230" s="978">
        <f t="shared" si="249"/>
        <v>9.9999999999999995E-7</v>
      </c>
      <c r="G230" s="978">
        <f t="shared" si="249"/>
        <v>4.9999500000000002E-2</v>
      </c>
      <c r="H230" s="978">
        <f t="shared" si="249"/>
        <v>0.34</v>
      </c>
      <c r="J230" s="1406"/>
      <c r="K230" s="978">
        <v>6</v>
      </c>
      <c r="L230" s="978">
        <f t="shared" ref="L230:Q230" si="250">P60</f>
        <v>0.1</v>
      </c>
      <c r="M230" s="978">
        <f t="shared" si="250"/>
        <v>-3.0000000000000001E-3</v>
      </c>
      <c r="N230" s="978">
        <f t="shared" si="250"/>
        <v>-2E-3</v>
      </c>
      <c r="O230" s="978">
        <f t="shared" si="250"/>
        <v>6.0000000000000001E-3</v>
      </c>
      <c r="P230" s="978">
        <f t="shared" si="250"/>
        <v>4.5000000000000005E-3</v>
      </c>
      <c r="Q230" s="978">
        <f t="shared" si="250"/>
        <v>1.2000000000000001E-3</v>
      </c>
    </row>
    <row r="231" spans="1:17" x14ac:dyDescent="0.25">
      <c r="A231" s="1406"/>
      <c r="B231" s="978">
        <v>7</v>
      </c>
      <c r="C231" s="978">
        <f t="shared" ref="C231:H231" si="251">B85</f>
        <v>20</v>
      </c>
      <c r="D231" s="978">
        <f t="shared" si="251"/>
        <v>0.1</v>
      </c>
      <c r="E231" s="978">
        <f t="shared" si="251"/>
        <v>9.9999999999999995E-7</v>
      </c>
      <c r="F231" s="978">
        <f t="shared" si="251"/>
        <v>0.1</v>
      </c>
      <c r="G231" s="978">
        <f t="shared" si="251"/>
        <v>4.9999500000000002E-2</v>
      </c>
      <c r="H231" s="978">
        <f t="shared" si="251"/>
        <v>0.34</v>
      </c>
      <c r="J231" s="1406"/>
      <c r="K231" s="978">
        <v>7</v>
      </c>
      <c r="L231" s="978">
        <f t="shared" ref="L231:Q231" si="252">B91</f>
        <v>0.5</v>
      </c>
      <c r="M231" s="978">
        <f t="shared" si="252"/>
        <v>3.0000000000000001E-3</v>
      </c>
      <c r="N231" s="978">
        <f t="shared" si="252"/>
        <v>9.9999999999999995E-7</v>
      </c>
      <c r="O231" s="978">
        <f t="shared" si="252"/>
        <v>1E-3</v>
      </c>
      <c r="P231" s="978">
        <f t="shared" si="252"/>
        <v>1.4995E-3</v>
      </c>
      <c r="Q231" s="978">
        <f t="shared" si="252"/>
        <v>6.0000000000000001E-3</v>
      </c>
    </row>
    <row r="232" spans="1:17" x14ac:dyDescent="0.25">
      <c r="A232" s="1406"/>
      <c r="B232" s="978">
        <v>8</v>
      </c>
      <c r="C232" s="978">
        <f t="shared" ref="C232:H232" si="253">I85</f>
        <v>20</v>
      </c>
      <c r="D232" s="978">
        <f t="shared" si="253"/>
        <v>9.9999999999999995E-7</v>
      </c>
      <c r="E232" s="978">
        <f t="shared" si="253"/>
        <v>9.9999999999999995E-7</v>
      </c>
      <c r="F232" s="978" t="str">
        <f t="shared" si="253"/>
        <v>-</v>
      </c>
      <c r="G232" s="978">
        <f t="shared" si="253"/>
        <v>0</v>
      </c>
      <c r="H232" s="978">
        <f t="shared" si="253"/>
        <v>0.34</v>
      </c>
      <c r="J232" s="1406"/>
      <c r="K232" s="978">
        <v>8</v>
      </c>
      <c r="L232" s="978">
        <f t="shared" ref="L232:Q232" si="254">I91</f>
        <v>0.5</v>
      </c>
      <c r="M232" s="978">
        <f t="shared" si="254"/>
        <v>4.0000000000000001E-3</v>
      </c>
      <c r="N232" s="978">
        <f t="shared" si="254"/>
        <v>-3.0000000000000001E-3</v>
      </c>
      <c r="O232" s="978" t="str">
        <f t="shared" si="254"/>
        <v>-</v>
      </c>
      <c r="P232" s="978">
        <f t="shared" si="254"/>
        <v>3.5000000000000001E-3</v>
      </c>
      <c r="Q232" s="978">
        <f t="shared" si="254"/>
        <v>6.0000000000000001E-3</v>
      </c>
    </row>
    <row r="233" spans="1:17" x14ac:dyDescent="0.25">
      <c r="A233" s="1406"/>
      <c r="B233" s="978">
        <v>9</v>
      </c>
      <c r="C233" s="978">
        <f t="shared" ref="C233:H233" si="255">P85</f>
        <v>20</v>
      </c>
      <c r="D233" s="978">
        <f t="shared" si="255"/>
        <v>9.9999999999999995E-7</v>
      </c>
      <c r="E233" s="978">
        <f t="shared" si="255"/>
        <v>9.9999999999999995E-7</v>
      </c>
      <c r="F233" s="978" t="str">
        <f t="shared" si="255"/>
        <v>-</v>
      </c>
      <c r="G233" s="978">
        <f t="shared" si="255"/>
        <v>0</v>
      </c>
      <c r="H233" s="978">
        <f t="shared" si="255"/>
        <v>0.34</v>
      </c>
      <c r="J233" s="1406"/>
      <c r="K233" s="978">
        <v>9</v>
      </c>
      <c r="L233" s="978">
        <f t="shared" ref="L233:Q233" si="256">P91</f>
        <v>0.10199999999999999</v>
      </c>
      <c r="M233" s="978">
        <f t="shared" si="256"/>
        <v>1E-3</v>
      </c>
      <c r="N233" s="978">
        <f t="shared" si="256"/>
        <v>-2E-3</v>
      </c>
      <c r="O233" s="978" t="str">
        <f t="shared" si="256"/>
        <v>-</v>
      </c>
      <c r="P233" s="978">
        <f t="shared" si="256"/>
        <v>1.5E-3</v>
      </c>
      <c r="Q233" s="978">
        <f t="shared" si="256"/>
        <v>1.224E-3</v>
      </c>
    </row>
    <row r="234" spans="1:17" x14ac:dyDescent="0.25">
      <c r="A234" s="1406"/>
      <c r="B234" s="978">
        <v>10</v>
      </c>
      <c r="C234" s="978">
        <f>B116</f>
        <v>20</v>
      </c>
      <c r="D234" s="978">
        <f t="shared" ref="D234:F234" si="257">C116</f>
        <v>0.1</v>
      </c>
      <c r="E234" s="978" t="str">
        <f t="shared" si="257"/>
        <v>-</v>
      </c>
      <c r="F234" s="978" t="str">
        <f t="shared" si="257"/>
        <v>-</v>
      </c>
      <c r="G234" s="978">
        <f>F116</f>
        <v>0</v>
      </c>
      <c r="H234" s="978" t="str">
        <f>G116</f>
        <v>-</v>
      </c>
      <c r="J234" s="1406"/>
      <c r="K234" s="978">
        <v>10</v>
      </c>
      <c r="L234" s="978">
        <f t="shared" ref="L234:Q234" si="258">B122</f>
        <v>0.1</v>
      </c>
      <c r="M234" s="978">
        <f t="shared" si="258"/>
        <v>-2E-3</v>
      </c>
      <c r="N234" s="978" t="str">
        <f t="shared" si="258"/>
        <v>-</v>
      </c>
      <c r="O234" s="978" t="str">
        <f t="shared" si="258"/>
        <v>-</v>
      </c>
      <c r="P234" s="978">
        <f t="shared" si="258"/>
        <v>0</v>
      </c>
      <c r="Q234" s="978" t="str">
        <f t="shared" si="258"/>
        <v>-</v>
      </c>
    </row>
    <row r="235" spans="1:17" x14ac:dyDescent="0.25">
      <c r="A235" s="1406"/>
      <c r="B235" s="978">
        <v>11</v>
      </c>
      <c r="C235" s="978">
        <f>I116</f>
        <v>20</v>
      </c>
      <c r="D235" s="978">
        <f t="shared" ref="D235:F235" si="259">J116</f>
        <v>9.9999999999999995E-7</v>
      </c>
      <c r="E235" s="978" t="str">
        <f t="shared" si="259"/>
        <v>-</v>
      </c>
      <c r="F235" s="978" t="str">
        <f t="shared" si="259"/>
        <v>-</v>
      </c>
      <c r="G235" s="978">
        <f>M116</f>
        <v>0</v>
      </c>
      <c r="H235" s="978" t="str">
        <f>N116</f>
        <v>-</v>
      </c>
      <c r="J235" s="1406"/>
      <c r="K235" s="978">
        <v>11</v>
      </c>
      <c r="L235" s="978">
        <f t="shared" ref="L235:Q235" si="260">I122</f>
        <v>0.1</v>
      </c>
      <c r="M235" s="978">
        <f t="shared" si="260"/>
        <v>9.9999999999999995E-7</v>
      </c>
      <c r="N235" s="978" t="str">
        <f t="shared" si="260"/>
        <v>-</v>
      </c>
      <c r="O235" s="978" t="str">
        <f t="shared" si="260"/>
        <v>-</v>
      </c>
      <c r="P235" s="978">
        <f t="shared" si="260"/>
        <v>0</v>
      </c>
      <c r="Q235" s="978" t="str">
        <f t="shared" si="260"/>
        <v>-</v>
      </c>
    </row>
    <row r="236" spans="1:17" x14ac:dyDescent="0.25">
      <c r="A236" s="1406"/>
      <c r="B236" s="978">
        <v>12</v>
      </c>
      <c r="C236" s="978">
        <f>P116</f>
        <v>20</v>
      </c>
      <c r="D236" s="978">
        <f t="shared" ref="D236:F236" si="261">Q116</f>
        <v>9.9999999999999995E-7</v>
      </c>
      <c r="E236" s="978" t="str">
        <f t="shared" si="261"/>
        <v>-</v>
      </c>
      <c r="F236" s="978" t="str">
        <f t="shared" si="261"/>
        <v>-</v>
      </c>
      <c r="G236" s="978">
        <f>T116</f>
        <v>0</v>
      </c>
      <c r="H236" s="978" t="str">
        <f>U116</f>
        <v>-</v>
      </c>
      <c r="J236" s="1406"/>
      <c r="K236" s="978">
        <v>12</v>
      </c>
      <c r="L236" s="978">
        <f t="shared" ref="L236:Q236" si="262">P122</f>
        <v>0.1</v>
      </c>
      <c r="M236" s="978">
        <f t="shared" si="262"/>
        <v>9.9999999999999995E-7</v>
      </c>
      <c r="N236" s="978" t="str">
        <f t="shared" si="262"/>
        <v>-</v>
      </c>
      <c r="O236" s="978" t="str">
        <f t="shared" si="262"/>
        <v>-</v>
      </c>
      <c r="P236" s="978">
        <f t="shared" si="262"/>
        <v>0</v>
      </c>
      <c r="Q236" s="978" t="str">
        <f t="shared" si="262"/>
        <v>-</v>
      </c>
    </row>
    <row r="237" spans="1:17" s="961" customFormat="1" x14ac:dyDescent="0.25">
      <c r="A237" s="980"/>
      <c r="B237" s="277"/>
      <c r="C237" s="277"/>
      <c r="D237" s="277"/>
      <c r="E237" s="277"/>
      <c r="F237" s="985"/>
      <c r="G237" s="277"/>
      <c r="H237" s="277"/>
      <c r="J237" s="980"/>
      <c r="K237" s="277"/>
      <c r="L237" s="277"/>
      <c r="M237" s="277"/>
      <c r="N237" s="277"/>
      <c r="O237" s="985"/>
      <c r="P237" s="277"/>
      <c r="Q237" s="277"/>
    </row>
    <row r="238" spans="1:17" x14ac:dyDescent="0.25">
      <c r="A238" s="1406" t="s">
        <v>7</v>
      </c>
      <c r="B238" s="978">
        <v>1</v>
      </c>
      <c r="C238" s="978">
        <f t="shared" ref="C238:H238" si="263">B24</f>
        <v>50</v>
      </c>
      <c r="D238" s="978">
        <f t="shared" si="263"/>
        <v>0.3</v>
      </c>
      <c r="E238" s="978">
        <f t="shared" si="263"/>
        <v>9.9999999999999995E-7</v>
      </c>
      <c r="F238" s="978">
        <f t="shared" si="263"/>
        <v>9.9999999999999995E-7</v>
      </c>
      <c r="G238" s="978">
        <f t="shared" si="263"/>
        <v>0.14999950000000001</v>
      </c>
      <c r="H238" s="978">
        <f t="shared" si="263"/>
        <v>0.85000000000000009</v>
      </c>
      <c r="J238" s="1406" t="s">
        <v>7</v>
      </c>
      <c r="K238" s="978">
        <v>1</v>
      </c>
      <c r="L238" s="978">
        <f t="shared" ref="L238:Q238" si="264">B30</f>
        <v>1</v>
      </c>
      <c r="M238" s="978">
        <f t="shared" si="264"/>
        <v>4.0000000000000001E-3</v>
      </c>
      <c r="N238" s="978">
        <f t="shared" si="264"/>
        <v>4.0000000000000001E-3</v>
      </c>
      <c r="O238" s="978">
        <f t="shared" si="264"/>
        <v>1.2E-2</v>
      </c>
      <c r="P238" s="978">
        <f t="shared" si="264"/>
        <v>4.0000000000000001E-3</v>
      </c>
      <c r="Q238" s="978">
        <f t="shared" si="264"/>
        <v>1.2E-2</v>
      </c>
    </row>
    <row r="239" spans="1:17" x14ac:dyDescent="0.25">
      <c r="A239" s="1406"/>
      <c r="B239" s="978">
        <v>2</v>
      </c>
      <c r="C239" s="978">
        <f t="shared" ref="C239:H239" si="265">I24</f>
        <v>50</v>
      </c>
      <c r="D239" s="978">
        <f t="shared" si="265"/>
        <v>0.2</v>
      </c>
      <c r="E239" s="978">
        <f t="shared" si="265"/>
        <v>0.3</v>
      </c>
      <c r="F239" s="978">
        <f t="shared" si="265"/>
        <v>0.1</v>
      </c>
      <c r="G239" s="978">
        <f t="shared" si="265"/>
        <v>9.9999999999999992E-2</v>
      </c>
      <c r="H239" s="978">
        <f t="shared" si="265"/>
        <v>0.85000000000000009</v>
      </c>
      <c r="J239" s="1406"/>
      <c r="K239" s="978">
        <v>2</v>
      </c>
      <c r="L239" s="978">
        <f t="shared" ref="L239:Q239" si="266">I30</f>
        <v>1</v>
      </c>
      <c r="M239" s="978">
        <f t="shared" si="266"/>
        <v>5.8000000000000003E-2</v>
      </c>
      <c r="N239" s="978">
        <f t="shared" si="266"/>
        <v>4.4999999999999998E-2</v>
      </c>
      <c r="O239" s="978">
        <f t="shared" si="266"/>
        <v>5.5E-2</v>
      </c>
      <c r="P239" s="978">
        <f t="shared" si="266"/>
        <v>6.5000000000000023E-3</v>
      </c>
      <c r="Q239" s="978">
        <f t="shared" si="266"/>
        <v>1.2E-2</v>
      </c>
    </row>
    <row r="240" spans="1:17" x14ac:dyDescent="0.25">
      <c r="A240" s="1406"/>
      <c r="B240" s="978">
        <v>3</v>
      </c>
      <c r="C240" s="978">
        <f t="shared" ref="C240:H240" si="267">P24</f>
        <v>20</v>
      </c>
      <c r="D240" s="978">
        <f t="shared" si="267"/>
        <v>9.9999999999999995E-7</v>
      </c>
      <c r="E240" s="978">
        <f t="shared" si="267"/>
        <v>0.4</v>
      </c>
      <c r="F240" s="978">
        <f t="shared" si="267"/>
        <v>0.3</v>
      </c>
      <c r="G240" s="978">
        <f t="shared" si="267"/>
        <v>0.19999950000000002</v>
      </c>
      <c r="H240" s="978">
        <f t="shared" si="267"/>
        <v>0.34</v>
      </c>
      <c r="J240" s="1406"/>
      <c r="K240" s="978">
        <v>3</v>
      </c>
      <c r="L240" s="978">
        <f t="shared" ref="L240:Q240" si="268">P30</f>
        <v>1</v>
      </c>
      <c r="M240" s="978">
        <f t="shared" si="268"/>
        <v>-1.2E-2</v>
      </c>
      <c r="N240" s="978">
        <f t="shared" si="268"/>
        <v>5.0000000000000001E-3</v>
      </c>
      <c r="O240" s="978">
        <f t="shared" si="268"/>
        <v>9.9999999999999995E-7</v>
      </c>
      <c r="P240" s="978">
        <f t="shared" si="268"/>
        <v>8.5000000000000006E-3</v>
      </c>
      <c r="Q240" s="978">
        <f t="shared" si="268"/>
        <v>1.2E-2</v>
      </c>
    </row>
    <row r="241" spans="1:17" x14ac:dyDescent="0.25">
      <c r="A241" s="1406"/>
      <c r="B241" s="978">
        <v>4</v>
      </c>
      <c r="C241" s="978">
        <f t="shared" ref="C241:H241" si="269">B55</f>
        <v>50</v>
      </c>
      <c r="D241" s="978">
        <f t="shared" si="269"/>
        <v>0.4</v>
      </c>
      <c r="E241" s="978">
        <f t="shared" si="269"/>
        <v>0.4</v>
      </c>
      <c r="F241" s="978">
        <f t="shared" si="269"/>
        <v>0.5</v>
      </c>
      <c r="G241" s="978">
        <f t="shared" si="269"/>
        <v>4.9999999999999989E-2</v>
      </c>
      <c r="H241" s="978">
        <f t="shared" si="269"/>
        <v>0.85000000000000009</v>
      </c>
      <c r="J241" s="1406"/>
      <c r="K241" s="978">
        <v>4</v>
      </c>
      <c r="L241" s="978">
        <f t="shared" ref="L241:Q241" si="270">B61</f>
        <v>1</v>
      </c>
      <c r="M241" s="978">
        <f t="shared" si="270"/>
        <v>-2E-3</v>
      </c>
      <c r="N241" s="978">
        <f t="shared" si="270"/>
        <v>-8.0000000000000002E-3</v>
      </c>
      <c r="O241" s="978">
        <f t="shared" si="270"/>
        <v>-1E-3</v>
      </c>
      <c r="P241" s="978">
        <f t="shared" si="270"/>
        <v>3.5000000000000001E-3</v>
      </c>
      <c r="Q241" s="978">
        <f t="shared" si="270"/>
        <v>1.2E-2</v>
      </c>
    </row>
    <row r="242" spans="1:17" x14ac:dyDescent="0.25">
      <c r="A242" s="1406"/>
      <c r="B242" s="978">
        <v>5</v>
      </c>
      <c r="C242" s="978">
        <f t="shared" ref="C242:H242" si="271">I55</f>
        <v>50</v>
      </c>
      <c r="D242" s="978">
        <f t="shared" si="271"/>
        <v>0.3</v>
      </c>
      <c r="E242" s="978">
        <f t="shared" si="271"/>
        <v>0.6</v>
      </c>
      <c r="F242" s="978">
        <f t="shared" si="271"/>
        <v>0.4</v>
      </c>
      <c r="G242" s="978">
        <f t="shared" si="271"/>
        <v>0.15</v>
      </c>
      <c r="H242" s="978">
        <f t="shared" si="271"/>
        <v>0.85000000000000009</v>
      </c>
      <c r="J242" s="1406"/>
      <c r="K242" s="978">
        <v>5</v>
      </c>
      <c r="L242" s="978">
        <f t="shared" ref="L242:Q242" si="272">I61</f>
        <v>1</v>
      </c>
      <c r="M242" s="978">
        <f t="shared" si="272"/>
        <v>-2E-3</v>
      </c>
      <c r="N242" s="978">
        <f t="shared" si="272"/>
        <v>1.7999999999999999E-2</v>
      </c>
      <c r="O242" s="978">
        <f t="shared" si="272"/>
        <v>1.2E-2</v>
      </c>
      <c r="P242" s="978">
        <f t="shared" si="272"/>
        <v>9.9999999999999985E-3</v>
      </c>
      <c r="Q242" s="978">
        <f t="shared" si="272"/>
        <v>1.2E-2</v>
      </c>
    </row>
    <row r="243" spans="1:17" x14ac:dyDescent="0.25">
      <c r="A243" s="1406"/>
      <c r="B243" s="978">
        <v>6</v>
      </c>
      <c r="C243" s="978">
        <f t="shared" ref="C243:H243" si="273">P55</f>
        <v>50</v>
      </c>
      <c r="D243" s="978">
        <f t="shared" si="273"/>
        <v>0.3</v>
      </c>
      <c r="E243" s="978">
        <f t="shared" si="273"/>
        <v>0.3</v>
      </c>
      <c r="F243" s="978">
        <f t="shared" si="273"/>
        <v>0.2</v>
      </c>
      <c r="G243" s="978">
        <f t="shared" si="273"/>
        <v>4.9999999999999989E-2</v>
      </c>
      <c r="H243" s="978">
        <f t="shared" si="273"/>
        <v>0.85000000000000009</v>
      </c>
      <c r="J243" s="1406"/>
      <c r="K243" s="978">
        <v>6</v>
      </c>
      <c r="L243" s="978">
        <f t="shared" ref="L243:Q243" si="274">P61</f>
        <v>1</v>
      </c>
      <c r="M243" s="978">
        <f t="shared" si="274"/>
        <v>-7.0000000000000001E-3</v>
      </c>
      <c r="N243" s="978">
        <f t="shared" si="274"/>
        <v>-1E-3</v>
      </c>
      <c r="O243" s="978">
        <f t="shared" si="274"/>
        <v>8.0000000000000002E-3</v>
      </c>
      <c r="P243" s="978">
        <f t="shared" si="274"/>
        <v>7.4999999999999997E-3</v>
      </c>
      <c r="Q243" s="978">
        <f t="shared" si="274"/>
        <v>1.2E-2</v>
      </c>
    </row>
    <row r="244" spans="1:17" x14ac:dyDescent="0.25">
      <c r="A244" s="1406"/>
      <c r="B244" s="978">
        <v>7</v>
      </c>
      <c r="C244" s="978">
        <f t="shared" ref="C244:H244" si="275">B86</f>
        <v>50</v>
      </c>
      <c r="D244" s="978">
        <f t="shared" si="275"/>
        <v>0.5</v>
      </c>
      <c r="E244" s="978">
        <f t="shared" si="275"/>
        <v>9.9999999999999995E-7</v>
      </c>
      <c r="F244" s="978">
        <f t="shared" si="275"/>
        <v>0.4</v>
      </c>
      <c r="G244" s="978">
        <f t="shared" si="275"/>
        <v>0.24999950000000001</v>
      </c>
      <c r="H244" s="978">
        <f t="shared" si="275"/>
        <v>0.85000000000000009</v>
      </c>
      <c r="J244" s="1406"/>
      <c r="K244" s="978">
        <v>7</v>
      </c>
      <c r="L244" s="978">
        <f t="shared" ref="L244:Q244" si="276">B92</f>
        <v>1</v>
      </c>
      <c r="M244" s="978">
        <f t="shared" si="276"/>
        <v>2E-3</v>
      </c>
      <c r="N244" s="978">
        <f t="shared" si="276"/>
        <v>-2E-3</v>
      </c>
      <c r="O244" s="978">
        <f t="shared" si="276"/>
        <v>1E-3</v>
      </c>
      <c r="P244" s="978">
        <f t="shared" si="276"/>
        <v>2E-3</v>
      </c>
      <c r="Q244" s="978">
        <f t="shared" si="276"/>
        <v>1.2E-2</v>
      </c>
    </row>
    <row r="245" spans="1:17" x14ac:dyDescent="0.25">
      <c r="A245" s="1406"/>
      <c r="B245" s="978">
        <v>8</v>
      </c>
      <c r="C245" s="978">
        <f t="shared" ref="C245:H245" si="277">I86</f>
        <v>50</v>
      </c>
      <c r="D245" s="978">
        <f t="shared" si="277"/>
        <v>0.2</v>
      </c>
      <c r="E245" s="978">
        <f t="shared" si="277"/>
        <v>9.9999999999999995E-7</v>
      </c>
      <c r="F245" s="978" t="str">
        <f t="shared" si="277"/>
        <v>-</v>
      </c>
      <c r="G245" s="978">
        <f t="shared" si="277"/>
        <v>9.9999500000000005E-2</v>
      </c>
      <c r="H245" s="978">
        <f t="shared" si="277"/>
        <v>0.85000000000000009</v>
      </c>
      <c r="J245" s="1406"/>
      <c r="K245" s="978">
        <v>8</v>
      </c>
      <c r="L245" s="978">
        <f t="shared" ref="L245:Q245" si="278">I92</f>
        <v>1</v>
      </c>
      <c r="M245" s="978">
        <f t="shared" si="278"/>
        <v>5.0000000000000001E-3</v>
      </c>
      <c r="N245" s="978">
        <f t="shared" si="278"/>
        <v>1E-3</v>
      </c>
      <c r="O245" s="978" t="str">
        <f t="shared" si="278"/>
        <v>-</v>
      </c>
      <c r="P245" s="978">
        <f t="shared" si="278"/>
        <v>2E-3</v>
      </c>
      <c r="Q245" s="978">
        <f t="shared" si="278"/>
        <v>1.2E-2</v>
      </c>
    </row>
    <row r="246" spans="1:17" x14ac:dyDescent="0.25">
      <c r="A246" s="1406"/>
      <c r="B246" s="978">
        <v>9</v>
      </c>
      <c r="C246" s="978">
        <f t="shared" ref="C246:H246" si="279">P86</f>
        <v>50</v>
      </c>
      <c r="D246" s="978">
        <f t="shared" si="279"/>
        <v>0.2</v>
      </c>
      <c r="E246" s="978">
        <f t="shared" si="279"/>
        <v>9.9999999999999995E-7</v>
      </c>
      <c r="F246" s="978" t="str">
        <f t="shared" si="279"/>
        <v>-</v>
      </c>
      <c r="G246" s="978">
        <f t="shared" si="279"/>
        <v>9.9999500000000005E-2</v>
      </c>
      <c r="H246" s="978">
        <f t="shared" si="279"/>
        <v>0.85000000000000009</v>
      </c>
      <c r="J246" s="1406"/>
      <c r="K246" s="978">
        <v>9</v>
      </c>
      <c r="L246" s="978">
        <f t="shared" ref="L246:Q246" si="280">P92</f>
        <v>0.5</v>
      </c>
      <c r="M246" s="978">
        <f t="shared" si="280"/>
        <v>4.0000000000000001E-3</v>
      </c>
      <c r="N246" s="978">
        <f t="shared" si="280"/>
        <v>9.9999999999999995E-7</v>
      </c>
      <c r="O246" s="978" t="str">
        <f t="shared" si="280"/>
        <v>-</v>
      </c>
      <c r="P246" s="978">
        <f t="shared" si="280"/>
        <v>1.9995E-3</v>
      </c>
      <c r="Q246" s="978">
        <f t="shared" si="280"/>
        <v>6.0000000000000001E-3</v>
      </c>
    </row>
    <row r="247" spans="1:17" x14ac:dyDescent="0.25">
      <c r="A247" s="1406"/>
      <c r="B247" s="978">
        <v>10</v>
      </c>
      <c r="C247" s="978">
        <f>B117</f>
        <v>50</v>
      </c>
      <c r="D247" s="978">
        <f t="shared" ref="D247:F247" si="281">C117</f>
        <v>0.4</v>
      </c>
      <c r="E247" s="978" t="str">
        <f t="shared" si="281"/>
        <v>-</v>
      </c>
      <c r="F247" s="978" t="str">
        <f t="shared" si="281"/>
        <v>-</v>
      </c>
      <c r="G247" s="978">
        <f>F117</f>
        <v>0</v>
      </c>
      <c r="H247" s="978" t="str">
        <f>G117</f>
        <v>-</v>
      </c>
      <c r="J247" s="1406"/>
      <c r="K247" s="978">
        <v>10</v>
      </c>
      <c r="L247" s="978">
        <f t="shared" ref="L247:Q247" si="282">B123</f>
        <v>1</v>
      </c>
      <c r="M247" s="978">
        <f t="shared" si="282"/>
        <v>-8.0000000000000002E-3</v>
      </c>
      <c r="N247" s="978" t="str">
        <f t="shared" si="282"/>
        <v>-</v>
      </c>
      <c r="O247" s="978" t="str">
        <f t="shared" si="282"/>
        <v>-</v>
      </c>
      <c r="P247" s="978">
        <f t="shared" si="282"/>
        <v>0</v>
      </c>
      <c r="Q247" s="978" t="str">
        <f t="shared" si="282"/>
        <v>-</v>
      </c>
    </row>
    <row r="248" spans="1:17" x14ac:dyDescent="0.25">
      <c r="A248" s="1406"/>
      <c r="B248" s="978">
        <v>11</v>
      </c>
      <c r="C248" s="978">
        <f>I117</f>
        <v>50</v>
      </c>
      <c r="D248" s="978">
        <f t="shared" ref="D248:F248" si="283">J117</f>
        <v>9.9999999999999995E-7</v>
      </c>
      <c r="E248" s="978" t="str">
        <f t="shared" si="283"/>
        <v>-</v>
      </c>
      <c r="F248" s="978" t="str">
        <f t="shared" si="283"/>
        <v>-</v>
      </c>
      <c r="G248" s="978">
        <f>M117</f>
        <v>0</v>
      </c>
      <c r="H248" s="978" t="str">
        <f>N117</f>
        <v>-</v>
      </c>
      <c r="J248" s="1406"/>
      <c r="K248" s="978">
        <v>11</v>
      </c>
      <c r="L248" s="978">
        <f t="shared" ref="L248:Q248" si="284">I123</f>
        <v>1</v>
      </c>
      <c r="M248" s="978">
        <f t="shared" si="284"/>
        <v>9.9999999999999995E-7</v>
      </c>
      <c r="N248" s="978" t="str">
        <f t="shared" si="284"/>
        <v>-</v>
      </c>
      <c r="O248" s="978" t="str">
        <f t="shared" si="284"/>
        <v>-</v>
      </c>
      <c r="P248" s="978">
        <f t="shared" si="284"/>
        <v>0</v>
      </c>
      <c r="Q248" s="978" t="str">
        <f t="shared" si="284"/>
        <v>-</v>
      </c>
    </row>
    <row r="249" spans="1:17" x14ac:dyDescent="0.25">
      <c r="A249" s="1406"/>
      <c r="B249" s="978">
        <v>12</v>
      </c>
      <c r="C249" s="978">
        <f>P117</f>
        <v>50</v>
      </c>
      <c r="D249" s="978">
        <f t="shared" ref="D249:F249" si="285">Q117</f>
        <v>9.9999999999999995E-7</v>
      </c>
      <c r="E249" s="978" t="str">
        <f t="shared" si="285"/>
        <v>-</v>
      </c>
      <c r="F249" s="978" t="str">
        <f t="shared" si="285"/>
        <v>-</v>
      </c>
      <c r="G249" s="978">
        <f>T117</f>
        <v>0</v>
      </c>
      <c r="H249" s="978" t="str">
        <f>U117</f>
        <v>-</v>
      </c>
      <c r="J249" s="1406"/>
      <c r="K249" s="978">
        <v>12</v>
      </c>
      <c r="L249" s="978">
        <f t="shared" ref="L249:Q249" si="286">P123</f>
        <v>1</v>
      </c>
      <c r="M249" s="978">
        <f t="shared" si="286"/>
        <v>9.9999999999999995E-7</v>
      </c>
      <c r="N249" s="978" t="str">
        <f t="shared" si="286"/>
        <v>-</v>
      </c>
      <c r="O249" s="978" t="str">
        <f t="shared" si="286"/>
        <v>-</v>
      </c>
      <c r="P249" s="978">
        <f t="shared" si="286"/>
        <v>0</v>
      </c>
      <c r="Q249" s="978" t="str">
        <f t="shared" si="286"/>
        <v>-</v>
      </c>
    </row>
    <row r="250" spans="1:17" s="961" customFormat="1" x14ac:dyDescent="0.25">
      <c r="A250" s="980"/>
      <c r="B250" s="277"/>
      <c r="C250" s="277"/>
      <c r="D250" s="277"/>
      <c r="E250" s="277"/>
      <c r="F250" s="985"/>
      <c r="G250" s="277"/>
      <c r="H250" s="277"/>
      <c r="J250" s="980"/>
      <c r="K250" s="277"/>
      <c r="L250" s="277"/>
      <c r="M250" s="277"/>
      <c r="N250" s="277"/>
      <c r="O250" s="985"/>
      <c r="P250" s="277"/>
      <c r="Q250" s="277"/>
    </row>
    <row r="251" spans="1:17" x14ac:dyDescent="0.25">
      <c r="A251" s="1406" t="s">
        <v>8</v>
      </c>
      <c r="B251" s="978">
        <v>1</v>
      </c>
      <c r="C251" s="978">
        <f t="shared" ref="C251:H251" si="287">B25</f>
        <v>100</v>
      </c>
      <c r="D251" s="978">
        <f t="shared" si="287"/>
        <v>0.4</v>
      </c>
      <c r="E251" s="978">
        <f t="shared" si="287"/>
        <v>9.9999999999999995E-7</v>
      </c>
      <c r="F251" s="978">
        <f t="shared" si="287"/>
        <v>9.9999999999999995E-7</v>
      </c>
      <c r="G251" s="978">
        <f t="shared" si="287"/>
        <v>0.19999950000000002</v>
      </c>
      <c r="H251" s="978">
        <f t="shared" si="287"/>
        <v>1.7000000000000002</v>
      </c>
      <c r="J251" s="1406" t="s">
        <v>8</v>
      </c>
      <c r="K251" s="978">
        <v>1</v>
      </c>
      <c r="L251" s="978">
        <f t="shared" ref="L251:Q251" si="288">B31</f>
        <v>2</v>
      </c>
      <c r="M251" s="978">
        <f t="shared" si="288"/>
        <v>1.2E-2</v>
      </c>
      <c r="N251" s="978">
        <f t="shared" si="288"/>
        <v>7.0000000000000001E-3</v>
      </c>
      <c r="O251" s="978">
        <f t="shared" si="288"/>
        <v>9.9999999999999995E-7</v>
      </c>
      <c r="P251" s="978">
        <f t="shared" si="288"/>
        <v>5.9995000000000005E-3</v>
      </c>
      <c r="Q251" s="978">
        <f t="shared" si="288"/>
        <v>2.4E-2</v>
      </c>
    </row>
    <row r="252" spans="1:17" x14ac:dyDescent="0.25">
      <c r="A252" s="1406"/>
      <c r="B252" s="978">
        <v>2</v>
      </c>
      <c r="C252" s="978">
        <f t="shared" ref="C252:H252" si="289">I25</f>
        <v>100</v>
      </c>
      <c r="D252" s="978">
        <f t="shared" si="289"/>
        <v>0.2</v>
      </c>
      <c r="E252" s="978">
        <f t="shared" si="289"/>
        <v>0.3</v>
      </c>
      <c r="F252" s="978">
        <f t="shared" si="289"/>
        <v>9.9999999999999995E-7</v>
      </c>
      <c r="G252" s="978">
        <f t="shared" si="289"/>
        <v>0.14999950000000001</v>
      </c>
      <c r="H252" s="978">
        <f t="shared" si="289"/>
        <v>1.7000000000000002</v>
      </c>
      <c r="J252" s="1406"/>
      <c r="K252" s="978">
        <v>2</v>
      </c>
      <c r="L252" s="978">
        <f t="shared" ref="L252:Q252" si="290">I31</f>
        <v>2</v>
      </c>
      <c r="M252" s="978">
        <f t="shared" si="290"/>
        <v>0.113</v>
      </c>
      <c r="N252" s="978">
        <f t="shared" si="290"/>
        <v>9.9999999999999995E-7</v>
      </c>
      <c r="O252" s="978">
        <f t="shared" si="290"/>
        <v>9.9999999999999995E-7</v>
      </c>
      <c r="P252" s="978">
        <f t="shared" si="290"/>
        <v>5.6499500000000001E-2</v>
      </c>
      <c r="Q252" s="978">
        <f t="shared" si="290"/>
        <v>2.4E-2</v>
      </c>
    </row>
    <row r="253" spans="1:17" x14ac:dyDescent="0.25">
      <c r="A253" s="1406"/>
      <c r="B253" s="978">
        <v>3</v>
      </c>
      <c r="C253" s="978">
        <f t="shared" ref="C253:H253" si="291">P25</f>
        <v>50</v>
      </c>
      <c r="D253" s="978">
        <f t="shared" si="291"/>
        <v>0.1</v>
      </c>
      <c r="E253" s="978">
        <f t="shared" si="291"/>
        <v>1.1000000000000001</v>
      </c>
      <c r="F253" s="978">
        <f t="shared" si="291"/>
        <v>0.6</v>
      </c>
      <c r="G253" s="978">
        <f t="shared" si="291"/>
        <v>0.5</v>
      </c>
      <c r="H253" s="978">
        <f t="shared" si="291"/>
        <v>0.85000000000000009</v>
      </c>
      <c r="J253" s="1406"/>
      <c r="K253" s="978">
        <v>3</v>
      </c>
      <c r="L253" s="978">
        <f t="shared" ref="L253:Q253" si="292">P31</f>
        <v>2</v>
      </c>
      <c r="M253" s="978">
        <f t="shared" si="292"/>
        <v>-8.0000000000000002E-3</v>
      </c>
      <c r="N253" s="978">
        <f t="shared" si="292"/>
        <v>1.4E-2</v>
      </c>
      <c r="O253" s="978">
        <f t="shared" si="292"/>
        <v>9.9999999999999995E-7</v>
      </c>
      <c r="P253" s="978">
        <f t="shared" si="292"/>
        <v>1.0999999999999999E-2</v>
      </c>
      <c r="Q253" s="978">
        <f t="shared" si="292"/>
        <v>2.4E-2</v>
      </c>
    </row>
    <row r="254" spans="1:17" x14ac:dyDescent="0.25">
      <c r="A254" s="1406"/>
      <c r="B254" s="978">
        <v>4</v>
      </c>
      <c r="C254" s="978">
        <f t="shared" ref="C254:H254" si="293">B56</f>
        <v>100</v>
      </c>
      <c r="D254" s="978">
        <f t="shared" si="293"/>
        <v>0.8</v>
      </c>
      <c r="E254" s="978">
        <f t="shared" si="293"/>
        <v>1.4</v>
      </c>
      <c r="F254" s="978">
        <f t="shared" si="293"/>
        <v>1</v>
      </c>
      <c r="G254" s="978">
        <f t="shared" si="293"/>
        <v>0.29999999999999993</v>
      </c>
      <c r="H254" s="978">
        <f t="shared" si="293"/>
        <v>1.7000000000000002</v>
      </c>
      <c r="J254" s="1406"/>
      <c r="K254" s="978">
        <v>4</v>
      </c>
      <c r="L254" s="978">
        <f t="shared" ref="L254:Q254" si="294">B62</f>
        <v>2</v>
      </c>
      <c r="M254" s="978">
        <f t="shared" si="294"/>
        <v>-6.0000000000000001E-3</v>
      </c>
      <c r="N254" s="978">
        <f t="shared" si="294"/>
        <v>-7.0000000000000001E-3</v>
      </c>
      <c r="O254" s="978">
        <f t="shared" si="294"/>
        <v>9.9999999999999995E-7</v>
      </c>
      <c r="P254" s="978">
        <f t="shared" si="294"/>
        <v>3.5005000000000001E-3</v>
      </c>
      <c r="Q254" s="978">
        <f t="shared" si="294"/>
        <v>2.4E-2</v>
      </c>
    </row>
    <row r="255" spans="1:17" x14ac:dyDescent="0.25">
      <c r="A255" s="1406"/>
      <c r="B255" s="978">
        <v>5</v>
      </c>
      <c r="C255" s="978">
        <f t="shared" ref="C255:H255" si="295">I56</f>
        <v>100</v>
      </c>
      <c r="D255" s="978">
        <f t="shared" si="295"/>
        <v>0.4</v>
      </c>
      <c r="E255" s="978">
        <f t="shared" si="295"/>
        <v>1.5</v>
      </c>
      <c r="F255" s="978">
        <f t="shared" si="295"/>
        <v>0.8</v>
      </c>
      <c r="G255" s="978">
        <f t="shared" si="295"/>
        <v>0.55000000000000004</v>
      </c>
      <c r="H255" s="978">
        <f t="shared" si="295"/>
        <v>1.7000000000000002</v>
      </c>
      <c r="J255" s="1406"/>
      <c r="K255" s="978">
        <v>5</v>
      </c>
      <c r="L255" s="978">
        <f t="shared" ref="L255:Q255" si="296">I62</f>
        <v>2</v>
      </c>
      <c r="M255" s="978">
        <f t="shared" si="296"/>
        <v>-4.0000000000000001E-3</v>
      </c>
      <c r="N255" s="978">
        <f t="shared" si="296"/>
        <v>0.113</v>
      </c>
      <c r="O255" s="978">
        <f t="shared" si="296"/>
        <v>9.9999999999999995E-7</v>
      </c>
      <c r="P255" s="978">
        <f t="shared" si="296"/>
        <v>5.8500000000000003E-2</v>
      </c>
      <c r="Q255" s="978">
        <f t="shared" si="296"/>
        <v>2.4E-2</v>
      </c>
    </row>
    <row r="256" spans="1:17" x14ac:dyDescent="0.25">
      <c r="A256" s="1406"/>
      <c r="B256" s="978">
        <v>6</v>
      </c>
      <c r="C256" s="978">
        <f t="shared" ref="C256:H256" si="297">P56</f>
        <v>100</v>
      </c>
      <c r="D256" s="978">
        <f t="shared" si="297"/>
        <v>0.6</v>
      </c>
      <c r="E256" s="978">
        <f t="shared" si="297"/>
        <v>0.6</v>
      </c>
      <c r="F256" s="978">
        <f t="shared" si="297"/>
        <v>0.7</v>
      </c>
      <c r="G256" s="978">
        <f t="shared" si="297"/>
        <v>4.9999999999999989E-2</v>
      </c>
      <c r="H256" s="978">
        <f t="shared" si="297"/>
        <v>1.7000000000000002</v>
      </c>
      <c r="J256" s="1406"/>
      <c r="K256" s="978">
        <v>6</v>
      </c>
      <c r="L256" s="978">
        <f t="shared" ref="L256:Q256" si="298">P62</f>
        <v>2</v>
      </c>
      <c r="M256" s="978">
        <f t="shared" si="298"/>
        <v>-7.0000000000000001E-3</v>
      </c>
      <c r="N256" s="978">
        <f t="shared" si="298"/>
        <v>9.9999999999999995E-7</v>
      </c>
      <c r="O256" s="978">
        <f t="shared" si="298"/>
        <v>9.9999999999999995E-7</v>
      </c>
      <c r="P256" s="978">
        <f t="shared" si="298"/>
        <v>3.5005000000000001E-3</v>
      </c>
      <c r="Q256" s="978">
        <f t="shared" si="298"/>
        <v>2.4E-2</v>
      </c>
    </row>
    <row r="257" spans="1:20" x14ac:dyDescent="0.25">
      <c r="A257" s="1406"/>
      <c r="B257" s="978">
        <v>7</v>
      </c>
      <c r="C257" s="978">
        <f t="shared" ref="C257:H257" si="299">B87</f>
        <v>100</v>
      </c>
      <c r="D257" s="978">
        <f t="shared" si="299"/>
        <v>0.9</v>
      </c>
      <c r="E257" s="978">
        <f t="shared" si="299"/>
        <v>9.9999999999999995E-7</v>
      </c>
      <c r="F257" s="978">
        <f t="shared" si="299"/>
        <v>1.4</v>
      </c>
      <c r="G257" s="978">
        <f t="shared" si="299"/>
        <v>0.6999995</v>
      </c>
      <c r="H257" s="978">
        <f t="shared" si="299"/>
        <v>1.7000000000000002</v>
      </c>
      <c r="J257" s="1406"/>
      <c r="K257" s="978">
        <v>7</v>
      </c>
      <c r="L257" s="978">
        <f t="shared" ref="L257:Q257" si="300">B93</f>
        <v>2</v>
      </c>
      <c r="M257" s="978">
        <f t="shared" si="300"/>
        <v>-1E-3</v>
      </c>
      <c r="N257" s="978">
        <f t="shared" si="300"/>
        <v>9.9999999999999995E-7</v>
      </c>
      <c r="O257" s="978">
        <f t="shared" si="300"/>
        <v>9.9999999999999995E-7</v>
      </c>
      <c r="P257" s="978">
        <f t="shared" si="300"/>
        <v>5.0049999999999997E-4</v>
      </c>
      <c r="Q257" s="978">
        <f t="shared" si="300"/>
        <v>2.4E-2</v>
      </c>
    </row>
    <row r="258" spans="1:20" x14ac:dyDescent="0.25">
      <c r="A258" s="1406"/>
      <c r="B258" s="978">
        <v>8</v>
      </c>
      <c r="C258" s="978">
        <f t="shared" ref="C258:H258" si="301">I87</f>
        <v>100</v>
      </c>
      <c r="D258" s="978">
        <f t="shared" si="301"/>
        <v>0.4</v>
      </c>
      <c r="E258" s="978">
        <f t="shared" si="301"/>
        <v>9.9999999999999995E-7</v>
      </c>
      <c r="F258" s="978" t="str">
        <f t="shared" si="301"/>
        <v>-</v>
      </c>
      <c r="G258" s="978">
        <f t="shared" si="301"/>
        <v>0.19999950000000002</v>
      </c>
      <c r="H258" s="978">
        <f t="shared" si="301"/>
        <v>1.7000000000000002</v>
      </c>
      <c r="J258" s="1406"/>
      <c r="K258" s="978">
        <v>8</v>
      </c>
      <c r="L258" s="978">
        <f t="shared" ref="L258:Q258" si="302">I93</f>
        <v>2</v>
      </c>
      <c r="M258" s="978">
        <f t="shared" si="302"/>
        <v>5.0000000000000001E-3</v>
      </c>
      <c r="N258" s="978">
        <f t="shared" si="302"/>
        <v>-1E-3</v>
      </c>
      <c r="O258" s="978" t="str">
        <f t="shared" si="302"/>
        <v>-</v>
      </c>
      <c r="P258" s="978">
        <f t="shared" si="302"/>
        <v>3.0000000000000001E-3</v>
      </c>
      <c r="Q258" s="978">
        <f t="shared" si="302"/>
        <v>2.4E-2</v>
      </c>
    </row>
    <row r="259" spans="1:20" x14ac:dyDescent="0.25">
      <c r="A259" s="1406"/>
      <c r="B259" s="978">
        <v>9</v>
      </c>
      <c r="C259" s="978">
        <f t="shared" ref="C259:H259" si="303">P87</f>
        <v>100</v>
      </c>
      <c r="D259" s="978">
        <f t="shared" si="303"/>
        <v>0.6</v>
      </c>
      <c r="E259" s="978">
        <f t="shared" si="303"/>
        <v>9.9999999999999995E-7</v>
      </c>
      <c r="F259" s="978" t="str">
        <f t="shared" si="303"/>
        <v>-</v>
      </c>
      <c r="G259" s="978">
        <f t="shared" si="303"/>
        <v>0.29999949999999997</v>
      </c>
      <c r="H259" s="978">
        <f t="shared" si="303"/>
        <v>1.7000000000000002</v>
      </c>
      <c r="J259" s="1406"/>
      <c r="K259" s="978">
        <v>9</v>
      </c>
      <c r="L259" s="978">
        <f t="shared" ref="L259:Q259" si="304">P93</f>
        <v>1</v>
      </c>
      <c r="M259" s="978">
        <f t="shared" si="304"/>
        <v>9.9999999999999995E-7</v>
      </c>
      <c r="N259" s="978">
        <f t="shared" si="304"/>
        <v>-1E-3</v>
      </c>
      <c r="O259" s="978" t="str">
        <f t="shared" si="304"/>
        <v>-</v>
      </c>
      <c r="P259" s="978">
        <f t="shared" si="304"/>
        <v>5.0049999999999997E-4</v>
      </c>
      <c r="Q259" s="978">
        <f t="shared" si="304"/>
        <v>1.2E-2</v>
      </c>
    </row>
    <row r="260" spans="1:20" x14ac:dyDescent="0.25">
      <c r="A260" s="1406"/>
      <c r="B260" s="978">
        <v>10</v>
      </c>
      <c r="C260" s="978">
        <f>B118</f>
        <v>100</v>
      </c>
      <c r="D260" s="978">
        <f t="shared" ref="D260:F260" si="305">C118</f>
        <v>1.4</v>
      </c>
      <c r="E260" s="978" t="str">
        <f t="shared" si="305"/>
        <v>-</v>
      </c>
      <c r="F260" s="978" t="str">
        <f t="shared" si="305"/>
        <v>-</v>
      </c>
      <c r="G260" s="978">
        <f>F118</f>
        <v>0</v>
      </c>
      <c r="H260" s="978" t="str">
        <f>G118</f>
        <v>-</v>
      </c>
      <c r="J260" s="1406"/>
      <c r="K260" s="978">
        <v>10</v>
      </c>
      <c r="L260" s="978">
        <f t="shared" ref="L260:Q260" si="306">B124</f>
        <v>2</v>
      </c>
      <c r="M260" s="978">
        <f t="shared" si="306"/>
        <v>-7.0000000000000001E-3</v>
      </c>
      <c r="N260" s="978" t="str">
        <f t="shared" si="306"/>
        <v>-</v>
      </c>
      <c r="O260" s="978" t="str">
        <f t="shared" si="306"/>
        <v>-</v>
      </c>
      <c r="P260" s="978">
        <f t="shared" si="306"/>
        <v>0</v>
      </c>
      <c r="Q260" s="978" t="str">
        <f t="shared" si="306"/>
        <v>-</v>
      </c>
    </row>
    <row r="261" spans="1:20" x14ac:dyDescent="0.25">
      <c r="A261" s="1406"/>
      <c r="B261" s="978">
        <v>11</v>
      </c>
      <c r="C261" s="978">
        <f>I118</f>
        <v>100</v>
      </c>
      <c r="D261" s="978">
        <f t="shared" ref="D261:F261" si="307">J118</f>
        <v>9.9999999999999995E-7</v>
      </c>
      <c r="E261" s="978" t="str">
        <f t="shared" si="307"/>
        <v>-</v>
      </c>
      <c r="F261" s="978" t="str">
        <f t="shared" si="307"/>
        <v>-</v>
      </c>
      <c r="G261" s="978">
        <f>M118</f>
        <v>0</v>
      </c>
      <c r="H261" s="978" t="str">
        <f>N118</f>
        <v>-</v>
      </c>
      <c r="J261" s="1406"/>
      <c r="K261" s="978">
        <v>11</v>
      </c>
      <c r="L261" s="978">
        <f t="shared" ref="L261:Q261" si="308">I124</f>
        <v>2</v>
      </c>
      <c r="M261" s="978">
        <f t="shared" si="308"/>
        <v>9.9999999999999995E-7</v>
      </c>
      <c r="N261" s="978" t="str">
        <f t="shared" si="308"/>
        <v>-</v>
      </c>
      <c r="O261" s="978" t="str">
        <f t="shared" si="308"/>
        <v>-</v>
      </c>
      <c r="P261" s="978">
        <f t="shared" si="308"/>
        <v>0</v>
      </c>
      <c r="Q261" s="978" t="str">
        <f t="shared" si="308"/>
        <v>-</v>
      </c>
    </row>
    <row r="262" spans="1:20" x14ac:dyDescent="0.25">
      <c r="A262" s="1406"/>
      <c r="B262" s="978">
        <v>12</v>
      </c>
      <c r="C262" s="978">
        <f>P118</f>
        <v>100</v>
      </c>
      <c r="D262" s="978">
        <f t="shared" ref="D262:F262" si="309">Q118</f>
        <v>9.9999999999999995E-7</v>
      </c>
      <c r="E262" s="978" t="str">
        <f t="shared" si="309"/>
        <v>-</v>
      </c>
      <c r="F262" s="978" t="str">
        <f t="shared" si="309"/>
        <v>-</v>
      </c>
      <c r="G262" s="978">
        <f>T118</f>
        <v>0</v>
      </c>
      <c r="H262" s="978" t="str">
        <f>U118</f>
        <v>-</v>
      </c>
      <c r="J262" s="1406"/>
      <c r="K262" s="978">
        <v>12</v>
      </c>
      <c r="L262" s="978">
        <f t="shared" ref="L262:Q262" si="310">P124</f>
        <v>2</v>
      </c>
      <c r="M262" s="978">
        <f t="shared" si="310"/>
        <v>9.9999999999999995E-7</v>
      </c>
      <c r="N262" s="978" t="str">
        <f t="shared" si="310"/>
        <v>-</v>
      </c>
      <c r="O262" s="978" t="str">
        <f t="shared" si="310"/>
        <v>-</v>
      </c>
      <c r="P262" s="978">
        <f t="shared" si="310"/>
        <v>0</v>
      </c>
      <c r="Q262" s="978" t="str">
        <f t="shared" si="310"/>
        <v>-</v>
      </c>
    </row>
    <row r="263" spans="1:20" s="961" customFormat="1" x14ac:dyDescent="0.25">
      <c r="A263" s="988"/>
      <c r="B263" s="563"/>
      <c r="C263" s="563"/>
      <c r="D263" s="563"/>
      <c r="E263" s="563"/>
      <c r="F263" s="563"/>
      <c r="G263" s="563"/>
      <c r="I263" s="988"/>
      <c r="J263" s="563"/>
      <c r="K263" s="563"/>
      <c r="L263" s="563"/>
      <c r="M263" s="563"/>
      <c r="N263" s="563"/>
      <c r="O263" s="563"/>
    </row>
    <row r="264" spans="1:20" ht="13" thickBot="1" x14ac:dyDescent="0.3">
      <c r="A264" s="977"/>
      <c r="B264" s="968"/>
      <c r="C264" s="968"/>
    </row>
    <row r="265" spans="1:20" ht="43.5" customHeight="1" x14ac:dyDescent="0.25">
      <c r="A265" s="989">
        <f>A311</f>
        <v>2</v>
      </c>
      <c r="B265" s="1390" t="str">
        <f>A298</f>
        <v>Electrical Safety Analyzer, Merek : Fluke, Model : ESA 620, SN : 1834020</v>
      </c>
      <c r="C265" s="1391"/>
      <c r="D265" s="1391"/>
      <c r="E265" s="1391"/>
      <c r="F265" s="1392"/>
      <c r="H265" s="990" t="s">
        <v>476</v>
      </c>
      <c r="I265" s="990" t="s">
        <v>477</v>
      </c>
      <c r="J265" s="990" t="s">
        <v>478</v>
      </c>
      <c r="K265" s="990" t="s">
        <v>479</v>
      </c>
      <c r="L265" s="991"/>
      <c r="M265" s="1407" t="s">
        <v>120</v>
      </c>
      <c r="N265" s="1410" t="s">
        <v>157</v>
      </c>
      <c r="O265" s="1413" t="s">
        <v>158</v>
      </c>
      <c r="Q265" s="992"/>
      <c r="R265" s="992"/>
      <c r="S265" s="992"/>
      <c r="T265" s="992"/>
    </row>
    <row r="266" spans="1:20" ht="14.5" customHeight="1" x14ac:dyDescent="0.3">
      <c r="A266" s="1416" t="s">
        <v>106</v>
      </c>
      <c r="B266" s="1416"/>
      <c r="C266" s="1416"/>
      <c r="D266" s="1416"/>
      <c r="E266" s="1416"/>
      <c r="F266" s="1416"/>
      <c r="H266" s="993">
        <f>_xlfn.FORECAST.LINEAR(M268,B269:B274,A269:A274)</f>
        <v>0.3211721418066158</v>
      </c>
      <c r="I266" s="993">
        <f>_xlfn.FORECAST.LINEAR(M269,B285:B288,A285:A288)</f>
        <v>4.7449515306122458E-2</v>
      </c>
      <c r="J266" s="993">
        <f>_xlfn.FORECAST.LINEAR(M270,B291:B294,A291:A294)</f>
        <v>5.4060233596635752E-3</v>
      </c>
      <c r="K266" s="993">
        <f>_xlfn.FORECAST.LINEAR(M271,B277:B282,A277:A282)</f>
        <v>3.8114061151217289</v>
      </c>
      <c r="L266" s="961"/>
      <c r="M266" s="1408"/>
      <c r="N266" s="1411"/>
      <c r="O266" s="1414"/>
      <c r="Q266" s="992"/>
      <c r="R266" s="992"/>
      <c r="S266" s="992"/>
      <c r="T266" s="992"/>
    </row>
    <row r="267" spans="1:20" ht="13.5" thickBot="1" x14ac:dyDescent="0.3">
      <c r="A267" s="1398" t="str">
        <f>B4</f>
        <v>Setting VAC</v>
      </c>
      <c r="B267" s="1398"/>
      <c r="C267" s="1398"/>
      <c r="D267" s="1398"/>
      <c r="E267" s="1398" t="s">
        <v>150</v>
      </c>
      <c r="F267" s="1398" t="s">
        <v>80</v>
      </c>
      <c r="H267" s="992"/>
      <c r="I267" s="992"/>
      <c r="J267" s="992"/>
      <c r="K267" s="992"/>
      <c r="L267" s="961"/>
      <c r="M267" s="1409"/>
      <c r="N267" s="1412"/>
      <c r="O267" s="1415"/>
      <c r="Q267" s="992"/>
      <c r="R267" s="992"/>
      <c r="S267" s="992"/>
      <c r="T267" s="992"/>
    </row>
    <row r="268" spans="1:20" ht="21" x14ac:dyDescent="0.25">
      <c r="A268" s="958" t="s">
        <v>108</v>
      </c>
      <c r="B268" s="959">
        <f>VLOOKUP(B265,A299:L310,9,FALSE)</f>
        <v>2022</v>
      </c>
      <c r="C268" s="959">
        <f>VLOOKUP(B265,A299:L310,10,FALSE)</f>
        <v>2019</v>
      </c>
      <c r="D268" s="959">
        <f>VLOOKUP(B265,A299:L310,11,FALSE)</f>
        <v>2017</v>
      </c>
      <c r="E268" s="1398"/>
      <c r="F268" s="1398"/>
      <c r="H268" s="990" t="s">
        <v>480</v>
      </c>
      <c r="I268" s="990" t="s">
        <v>481</v>
      </c>
      <c r="J268" s="992"/>
      <c r="K268" s="992"/>
      <c r="L268" s="961"/>
      <c r="M268" s="994">
        <f>ID!E17</f>
        <v>199.9</v>
      </c>
      <c r="N268" s="995">
        <f>M268+J278</f>
        <v>199.99005</v>
      </c>
      <c r="O268" s="964">
        <f>IF(M268="-","-",IF(M268=M268,N268,))</f>
        <v>199.99005</v>
      </c>
      <c r="Q268" s="992"/>
      <c r="R268" s="992"/>
      <c r="S268" s="992"/>
      <c r="T268" s="992"/>
    </row>
    <row r="269" spans="1:20" ht="15.5" x14ac:dyDescent="0.25">
      <c r="A269" s="962">
        <f>VLOOKUP($A265,$B131:$H142,2,(FALSE))</f>
        <v>150</v>
      </c>
      <c r="B269" s="963">
        <f>VLOOKUP($A$265,$B$131:$H$142,3,(FALSE))</f>
        <v>0.22</v>
      </c>
      <c r="C269" s="963">
        <f>VLOOKUP($A$265,$B$131:$H$142,4,(FALSE))</f>
        <v>0.15</v>
      </c>
      <c r="D269" s="963">
        <f>VLOOKUP($A$265,$B$131:$H$142,5,(FALSE))</f>
        <v>0.23</v>
      </c>
      <c r="E269" s="964">
        <f>VLOOKUP($A$265,$B$131:$H$142,6,(FALSE))</f>
        <v>4.0000000000000008E-2</v>
      </c>
      <c r="F269" s="964">
        <v>1</v>
      </c>
      <c r="H269" s="996">
        <f>_xlfn.FORECAST.LINEAR(M272,B277:B282,A277:A282)</f>
        <v>3.8114061151217289</v>
      </c>
      <c r="I269" s="997">
        <f>FORECAST(N268,F269:F274,A269:A274)</f>
        <v>2.2328926407124681</v>
      </c>
      <c r="J269" s="998"/>
      <c r="K269" s="998"/>
      <c r="L269" s="961"/>
      <c r="M269" s="999">
        <f>ID!I25</f>
        <v>5</v>
      </c>
      <c r="N269" s="1000">
        <f>M269+I266</f>
        <v>5.0474495153061225</v>
      </c>
      <c r="O269" s="964">
        <f>IF(M269="OL","OL",IF(M269="NC","NC",IF(M269="OR","OR",IFERROR(N269,"-"))))</f>
        <v>5.0474495153061225</v>
      </c>
      <c r="R269" s="1001"/>
    </row>
    <row r="270" spans="1:20" ht="13.5" thickBot="1" x14ac:dyDescent="0.3">
      <c r="A270" s="962">
        <f>VLOOKUP($A$265,$B$144:$H$155,2,(FALSE))</f>
        <v>180</v>
      </c>
      <c r="B270" s="963">
        <f>VLOOKUP($A$265,$B$144:$H$155,3,(FALSE))</f>
        <v>0.1</v>
      </c>
      <c r="C270" s="963">
        <f>VLOOKUP($A$265,$B$144:$H$155,4,(FALSE))</f>
        <v>0.12</v>
      </c>
      <c r="D270" s="963">
        <f>VLOOKUP($A$265,$B$144:$H$155,5,(FALSE))</f>
        <v>-0.06</v>
      </c>
      <c r="E270" s="964">
        <f>VLOOKUP($A$265,$B$144:$H$155,6,(FALSE))</f>
        <v>0.09</v>
      </c>
      <c r="F270" s="964">
        <f>VLOOKUP($A$265,$B$144:$H$155,7,(FALSE))</f>
        <v>2.16</v>
      </c>
      <c r="H270" s="992"/>
      <c r="I270" s="992"/>
      <c r="J270" s="992"/>
      <c r="K270" s="992"/>
      <c r="L270" s="961"/>
      <c r="M270" s="1002">
        <f>ID!I26</f>
        <v>0.1</v>
      </c>
      <c r="N270" s="1000">
        <f>M270+J266</f>
        <v>0.10540602335966358</v>
      </c>
      <c r="O270" s="964">
        <f>IF(M270="OL","OL",IF(M270="NC","NC",IF(M270="OR","OR",IFERROR(N270,"-"))))</f>
        <v>0.10540602335966358</v>
      </c>
    </row>
    <row r="271" spans="1:20" ht="13" x14ac:dyDescent="0.25">
      <c r="A271" s="962">
        <f>VLOOKUP($A$265,$B$157:$H$168,2,(FALSE))</f>
        <v>200</v>
      </c>
      <c r="B271" s="963">
        <f>VLOOKUP($A$265,$B$157:$H$168,3,(FALSE))</f>
        <v>0.09</v>
      </c>
      <c r="C271" s="963">
        <f>VLOOKUP($A$265,$B$157:$H$168,4,(FALSE))</f>
        <v>0.06</v>
      </c>
      <c r="D271" s="963">
        <f>VLOOKUP($A$265,$B$157:$H$168,5,(FALSE))</f>
        <v>-0.18</v>
      </c>
      <c r="E271" s="964">
        <f>VLOOKUP($A$265,$B$157:$H$168,6,(FALSE))</f>
        <v>0.13500000000000001</v>
      </c>
      <c r="F271" s="964">
        <f>VLOOKUP($A$265,$B$157:$H$168,7,(FALSE))</f>
        <v>2.4</v>
      </c>
      <c r="H271" s="1399" t="s">
        <v>195</v>
      </c>
      <c r="I271" s="1400"/>
      <c r="J271" s="1401"/>
      <c r="K271" s="992"/>
      <c r="L271" s="1003" t="s">
        <v>482</v>
      </c>
      <c r="M271" s="1004">
        <f>ID!I27</f>
        <v>20</v>
      </c>
      <c r="N271" s="1000">
        <f>M271+J282</f>
        <v>20.400000588000012</v>
      </c>
      <c r="O271" s="964">
        <f>IFERROR(N271,"-")</f>
        <v>20.400000588000012</v>
      </c>
    </row>
    <row r="272" spans="1:20" ht="16" thickBot="1" x14ac:dyDescent="0.3">
      <c r="A272" s="962">
        <f>VLOOKUP($A$265,$B$170:$H$181,2,(FALSE))</f>
        <v>220</v>
      </c>
      <c r="B272" s="963">
        <f>VLOOKUP($A$265,$B$170:$H$181,3,(FALSE))</f>
        <v>0.53</v>
      </c>
      <c r="C272" s="963">
        <f>VLOOKUP($A$265,$B$170:$H$181,4,(FALSE))</f>
        <v>0.05</v>
      </c>
      <c r="D272" s="963">
        <f>VLOOKUP($A$265,$B$170:$H$181,5,(FALSE))</f>
        <v>-0.03</v>
      </c>
      <c r="E272" s="964">
        <f>VLOOKUP($A$265,$B$170:$H$181,6,(FALSE))</f>
        <v>0.28000000000000003</v>
      </c>
      <c r="F272" s="964">
        <f>VLOOKUP($A$265,$B$170:$H$181,7,(FALSE))</f>
        <v>2.64</v>
      </c>
      <c r="H272" s="1005" t="str">
        <f>TEXT(O268,"0.0")</f>
        <v>200.0</v>
      </c>
      <c r="I272" s="278" t="str">
        <f>TEXT(I269,"0.0")</f>
        <v>2.2</v>
      </c>
      <c r="J272" s="1006" t="s">
        <v>483</v>
      </c>
      <c r="K272" s="992"/>
      <c r="L272" s="1003" t="s">
        <v>484</v>
      </c>
      <c r="M272" s="1007">
        <f>ID!S26</f>
        <v>20</v>
      </c>
      <c r="N272" s="1008">
        <f>M272+H269</f>
        <v>23.811406115121727</v>
      </c>
      <c r="O272" s="964">
        <f>IFERROR(N272,"-")</f>
        <v>23.811406115121727</v>
      </c>
    </row>
    <row r="273" spans="1:16" ht="15.75" customHeight="1" thickBot="1" x14ac:dyDescent="0.35">
      <c r="A273" s="962">
        <f>VLOOKUP($A$265,$B$183:$H$194,2,(FALSE))</f>
        <v>230</v>
      </c>
      <c r="B273" s="963">
        <f>VLOOKUP($A$265,$B$183:$H$194,3,(FALSE))</f>
        <v>1.08</v>
      </c>
      <c r="C273" s="963">
        <f>VLOOKUP($A$265,$B$183:$H$194,4,(FALSE))</f>
        <v>9.9999999999999995E-7</v>
      </c>
      <c r="D273" s="963">
        <f>VLOOKUP($A$265,$B$183:$H$194,5,(FALSE))</f>
        <v>0.05</v>
      </c>
      <c r="E273" s="964">
        <f>VLOOKUP($A$265,$B$183:$H$194,6,(FALSE))</f>
        <v>0.53999950000000008</v>
      </c>
      <c r="F273" s="964">
        <f>VLOOKUP($A$265,$B$183:$H$194,7,(FALSE))</f>
        <v>2.7600000000000002</v>
      </c>
      <c r="H273" s="1009" t="s">
        <v>201</v>
      </c>
      <c r="I273" s="1010" t="s">
        <v>202</v>
      </c>
      <c r="J273" s="1011" t="s">
        <v>203</v>
      </c>
      <c r="K273" s="998"/>
      <c r="L273" s="961"/>
      <c r="M273" s="1012"/>
      <c r="N273" s="1013"/>
      <c r="O273" s="964"/>
    </row>
    <row r="274" spans="1:16" ht="18" x14ac:dyDescent="0.25">
      <c r="A274" s="962">
        <f>VLOOKUP($A$265,$B$196:$H$207,2,(FALSE))</f>
        <v>250</v>
      </c>
      <c r="B274" s="963">
        <f>VLOOKUP($A$265,$B$196:$H$207,3,(FALSE))</f>
        <v>9.9999999999999995E-7</v>
      </c>
      <c r="C274" s="963">
        <f>VLOOKUP($A$265,$B$196:$H$207,4,(FALSE))</f>
        <v>9.9999999999999995E-7</v>
      </c>
      <c r="D274" s="963">
        <f>VLOOKUP($A$265,$B$196:$H$207,5,(FALSE))</f>
        <v>9.9999999999999995E-7</v>
      </c>
      <c r="E274" s="964">
        <f>VLOOKUP($A$265,$B$196:$H$207,6,(FALSE))</f>
        <v>0</v>
      </c>
      <c r="F274" s="964">
        <f>VLOOKUP($A$265,$B$196:$H$207,7,(FALSE))</f>
        <v>3</v>
      </c>
      <c r="H274" s="1402" t="str">
        <f>H273&amp;H272&amp;I273&amp;I272&amp;J273&amp;J272</f>
        <v>( 200.0 ± 2.2 ) Volt</v>
      </c>
      <c r="I274" s="1403"/>
      <c r="J274" s="1404"/>
      <c r="K274" s="992"/>
      <c r="L274" s="961"/>
      <c r="M274" s="1012"/>
      <c r="N274" s="1013"/>
      <c r="O274" s="1014"/>
    </row>
    <row r="275" spans="1:16" ht="13" customHeight="1" x14ac:dyDescent="0.25">
      <c r="A275" s="1397" t="str">
        <f>B12</f>
        <v>Current Leakage</v>
      </c>
      <c r="B275" s="1397"/>
      <c r="C275" s="1397"/>
      <c r="D275" s="1397"/>
      <c r="E275" s="1398" t="s">
        <v>150</v>
      </c>
      <c r="F275" s="1398" t="s">
        <v>80</v>
      </c>
      <c r="H275" s="992"/>
      <c r="I275" s="992"/>
      <c r="J275" s="992"/>
      <c r="K275" s="992"/>
      <c r="L275" s="961"/>
      <c r="M275" s="1012"/>
      <c r="N275" s="1013"/>
      <c r="O275" s="1014"/>
    </row>
    <row r="276" spans="1:16" ht="14" x14ac:dyDescent="0.25">
      <c r="A276" s="958" t="s">
        <v>109</v>
      </c>
      <c r="B276" s="959">
        <f>B268</f>
        <v>2022</v>
      </c>
      <c r="C276" s="959">
        <f>C268</f>
        <v>2019</v>
      </c>
      <c r="D276" s="959">
        <f>D268</f>
        <v>2017</v>
      </c>
      <c r="E276" s="1398"/>
      <c r="F276" s="1398"/>
      <c r="H276" s="1405" t="s">
        <v>485</v>
      </c>
      <c r="I276" s="1405"/>
      <c r="J276" s="1405"/>
      <c r="K276" s="1405"/>
      <c r="L276" s="992"/>
      <c r="M276" s="992"/>
      <c r="N276" s="992"/>
      <c r="O276" s="1015"/>
    </row>
    <row r="277" spans="1:16" ht="15.75" customHeight="1" x14ac:dyDescent="0.25">
      <c r="A277" s="962">
        <f>VLOOKUP($A$265,$K$131:$Q$142,2,(FALSE))</f>
        <v>9.9999999999999995E-7</v>
      </c>
      <c r="B277" s="963">
        <f>VLOOKUP($A$265,$K$131:$Q$142,3,(FALSE))</f>
        <v>9.9999999999999995E-7</v>
      </c>
      <c r="C277" s="963">
        <f>VLOOKUP($A$265,$K$131:$Q$142,4,(FALSE))</f>
        <v>9.9999999999999995E-7</v>
      </c>
      <c r="D277" s="963">
        <f>VLOOKUP($A$265,$K$131:$Q$142,5,(FALSE))</f>
        <v>9.9999999999999995E-7</v>
      </c>
      <c r="E277" s="964">
        <f>VLOOKUP($A$265,$K$131:$Q$142,6,(FALSE))</f>
        <v>0</v>
      </c>
      <c r="F277" s="964">
        <f>VLOOKUP($A$265,$K$131:$Q$142,7,(FALSE))</f>
        <v>5.8999999999999999E-9</v>
      </c>
      <c r="H277" s="816"/>
      <c r="I277" s="1016">
        <f>IF(H278&lt;=A270,A269,IF(H278&lt;=A271,A270,IF(H278&lt;=A272,A271,IF(H278&lt;=A273,A272,IF(H278&lt;=A274,A273,A274)))))</f>
        <v>180</v>
      </c>
      <c r="J277" s="1016"/>
      <c r="K277" s="1016">
        <f>IF(H278&lt;=A270,B269,IF(H278&lt;=A271,B270,IF(H278&lt;=A272,B271,IF(H278&lt;=A273,B272,IF(H278&lt;=A274,B273,B274)))))</f>
        <v>0.1</v>
      </c>
      <c r="L277" s="992"/>
      <c r="M277" s="992"/>
      <c r="N277" s="992"/>
      <c r="O277" s="1015"/>
    </row>
    <row r="278" spans="1:16" x14ac:dyDescent="0.25">
      <c r="A278" s="962">
        <f>VLOOKUP($A$265,$K$144:$Q$155,2,(FALSE))</f>
        <v>50</v>
      </c>
      <c r="B278" s="963">
        <f>VLOOKUP($A$265,$K$144:$Q$155,3,(FALSE))</f>
        <v>1</v>
      </c>
      <c r="C278" s="963">
        <f>VLOOKUP($A$265,$K$144:$Q$155,4,(FALSE))</f>
        <v>-0.08</v>
      </c>
      <c r="D278" s="963">
        <f>VLOOKUP($A$265,$K$144:$Q$155,5,(FALSE))</f>
        <v>0.1</v>
      </c>
      <c r="E278" s="964">
        <f>VLOOKUP($A$265,$K$144:$Q$155,6,(FALSE))</f>
        <v>0.54</v>
      </c>
      <c r="F278" s="964">
        <f>VLOOKUP($A$265,$K$144:$Q$155,7,(FALSE))</f>
        <v>0.29499999999999998</v>
      </c>
      <c r="H278" s="1017">
        <f>M268</f>
        <v>199.9</v>
      </c>
      <c r="I278" s="1016"/>
      <c r="J278" s="1016">
        <f>((H278-I277)/(I279-I277)*(K279-K277)+K277)</f>
        <v>9.0049999999999991E-2</v>
      </c>
      <c r="K278" s="1016"/>
      <c r="L278" s="992"/>
      <c r="M278" s="992"/>
      <c r="N278" s="992"/>
      <c r="O278" s="1015"/>
    </row>
    <row r="279" spans="1:16" x14ac:dyDescent="0.25">
      <c r="A279" s="962">
        <f>VLOOKUP($A$265,$K$157:$Q$168,2,(FALSE))</f>
        <v>100</v>
      </c>
      <c r="B279" s="963">
        <f>VLOOKUP($A$265,$K$157:$Q$168,3,(FALSE))</f>
        <v>-0.9</v>
      </c>
      <c r="C279" s="963">
        <f>VLOOKUP($A$265,$K$157:$Q$168,4,(FALSE))</f>
        <v>-7.0000000000000007E-2</v>
      </c>
      <c r="D279" s="963">
        <f>VLOOKUP($A$265,$K$157:$Q$168,5,(FALSE))</f>
        <v>2.2000000000000002</v>
      </c>
      <c r="E279" s="964">
        <f>VLOOKUP($A$265,$K$157:$Q$168,6,(FALSE))</f>
        <v>1.55</v>
      </c>
      <c r="F279" s="964">
        <f>VLOOKUP($A$265,$K$157:$Q$168,7,(FALSE))</f>
        <v>0.59</v>
      </c>
      <c r="H279" s="816"/>
      <c r="I279" s="1016">
        <f>IF(H278&lt;=A270,A270,IF(H278&lt;=A271,A271,IF(H278&lt;=A272,A272,IF(H278&lt;=A273,A273,IF(H278&lt;=A274,A274,250)))))</f>
        <v>200</v>
      </c>
      <c r="J279" s="1016"/>
      <c r="K279" s="1016">
        <f>IF(H278&lt;=A270,B270,IF(H278&lt;=A271,B271,IF(H278&lt;=A272,B272,IF(H278&lt;=A273,B273,IF(H278&lt;=A274,B274,250)))))</f>
        <v>0.09</v>
      </c>
      <c r="L279" s="992"/>
      <c r="M279" s="992"/>
      <c r="N279" s="992"/>
      <c r="O279" s="1015"/>
    </row>
    <row r="280" spans="1:16" ht="13" x14ac:dyDescent="0.25">
      <c r="A280" s="962">
        <f>VLOOKUP($A$265,$K$170:$Q$181,2,(FALSE))</f>
        <v>200</v>
      </c>
      <c r="B280" s="963">
        <f>VLOOKUP($A$265,$K$170:$Q$181,3,(FALSE))</f>
        <v>-6.4</v>
      </c>
      <c r="C280" s="963">
        <f>VLOOKUP($A$265,$K$170:$Q$181,4,(FALSE))</f>
        <v>-0.1</v>
      </c>
      <c r="D280" s="963">
        <f>VLOOKUP($A$265,$K$170:$Q$181,5,(FALSE))</f>
        <v>3.3</v>
      </c>
      <c r="E280" s="964">
        <f>VLOOKUP($A$265,$K$170:$Q$181,6,(FALSE))</f>
        <v>4.8499999999999996</v>
      </c>
      <c r="F280" s="964">
        <f>VLOOKUP($A$265,$K$170:$Q$181,7,(FALSE))</f>
        <v>1.18</v>
      </c>
      <c r="H280" s="1396" t="s">
        <v>486</v>
      </c>
      <c r="I280" s="1396"/>
      <c r="J280" s="1396"/>
      <c r="K280" s="1396"/>
      <c r="L280" s="992"/>
      <c r="M280" s="992"/>
      <c r="N280" s="992"/>
      <c r="O280" s="1015"/>
    </row>
    <row r="281" spans="1:16" ht="16.5" customHeight="1" x14ac:dyDescent="0.3">
      <c r="A281" s="962">
        <f>VLOOKUP($A$265,$K$183:$Q$194,2,(FALSE))</f>
        <v>500</v>
      </c>
      <c r="B281" s="963">
        <f>VLOOKUP($A$265,$K$183:$Q$194,3,(FALSE))</f>
        <v>-21.7</v>
      </c>
      <c r="C281" s="963">
        <f>VLOOKUP($A$265,$K$183:$Q$194,4,(FALSE))</f>
        <v>0.8</v>
      </c>
      <c r="D281" s="963">
        <f>VLOOKUP($A$265,$K$183:$Q$194,5,(FALSE))</f>
        <v>2</v>
      </c>
      <c r="E281" s="964">
        <f>VLOOKUP($A$265,$K$183:$Q$194,6,(FALSE))</f>
        <v>11.85</v>
      </c>
      <c r="F281" s="964">
        <f>VLOOKUP($A$265,$K$183:$Q$194,7,(FALSE))</f>
        <v>2.9499999999999997</v>
      </c>
      <c r="H281" s="816"/>
      <c r="I281" s="1016">
        <f>IF(H282&lt;=A278,A277,IF(H282&lt;=A279,A278,IF(H282&lt;=A280,A279,IF(H282&lt;=A281,A280,IF(H282&lt;=A282,A281,A282)))))</f>
        <v>9.9999999999999995E-7</v>
      </c>
      <c r="J281" s="1016"/>
      <c r="K281" s="1016">
        <f>IF(H282&lt;=A278,B277,IF(H282&lt;=A279,B278,IF(H282&lt;=A280,B279,IF(H282&lt;=A281,B280,IF(H282&lt;=A282,B281,B282)))))</f>
        <v>9.9999999999999995E-7</v>
      </c>
      <c r="L281" s="992"/>
      <c r="M281" s="992"/>
      <c r="N281" s="992"/>
      <c r="O281" s="1015"/>
      <c r="P281" s="1018"/>
    </row>
    <row r="282" spans="1:16" x14ac:dyDescent="0.25">
      <c r="A282" s="962">
        <f>VLOOKUP($A$265,$K$196:$Q$207,2,(FALSE))</f>
        <v>1000</v>
      </c>
      <c r="B282" s="963">
        <f>VLOOKUP($A$265,$K$196:$Q$207,3,(FALSE))</f>
        <v>-67</v>
      </c>
      <c r="C282" s="963">
        <f>VLOOKUP($A$265,$K$196:$Q$207,4,(FALSE))</f>
        <v>9.9999999999999995E-7</v>
      </c>
      <c r="D282" s="963">
        <f>VLOOKUP($A$265,$K$196:$Q$207,5,(FALSE))</f>
        <v>9.9999999999999995E-7</v>
      </c>
      <c r="E282" s="964">
        <f>VLOOKUP($A$265,$K$196:$Q$207,6,(FALSE))</f>
        <v>33.500000499999999</v>
      </c>
      <c r="F282" s="964">
        <f>VLOOKUP($A$265,$K$196:$Q$207,7,(FALSE))</f>
        <v>5.8999999999999995</v>
      </c>
      <c r="H282" s="1017">
        <f>M271</f>
        <v>20</v>
      </c>
      <c r="I282" s="1016"/>
      <c r="J282" s="1016">
        <f>((H282-I281)/(I283-I281)*(K283-K281)+K281)</f>
        <v>0.40000058800001165</v>
      </c>
      <c r="K282" s="1016"/>
      <c r="L282" s="992"/>
      <c r="M282" s="992"/>
      <c r="N282" s="992"/>
      <c r="O282" s="1015"/>
      <c r="P282" s="1019"/>
    </row>
    <row r="283" spans="1:16" ht="13" x14ac:dyDescent="0.25">
      <c r="A283" s="1397" t="str">
        <f>B20</f>
        <v>Main-PE</v>
      </c>
      <c r="B283" s="1397"/>
      <c r="C283" s="1397"/>
      <c r="D283" s="1397"/>
      <c r="E283" s="1398" t="s">
        <v>150</v>
      </c>
      <c r="F283" s="1398" t="s">
        <v>80</v>
      </c>
      <c r="H283" s="816"/>
      <c r="I283" s="1016">
        <f>IF(H282&lt;=A278,A278,IF(H282&lt;=A279,A279,IF(H282&lt;=A280,A280,IF(H282&lt;=A281,A281,IF(H282&lt;=A282,A282,A250)))))</f>
        <v>50</v>
      </c>
      <c r="J283" s="1016"/>
      <c r="K283" s="1016">
        <f>IF(H282&lt;=A278,B278,IF(H282&lt;=A279,B279,IF(H282&lt;=A280,B280,IF(H282&lt;=A281,B281,IF(H282&lt;=A282,B282,A250)))))</f>
        <v>1</v>
      </c>
      <c r="L283" s="992"/>
      <c r="M283" s="992"/>
      <c r="N283" s="992"/>
      <c r="O283" s="1015"/>
      <c r="P283" s="1019"/>
    </row>
    <row r="284" spans="1:16" ht="14.5" x14ac:dyDescent="0.25">
      <c r="A284" s="958" t="s">
        <v>469</v>
      </c>
      <c r="B284" s="959">
        <f>B276</f>
        <v>2022</v>
      </c>
      <c r="C284" s="959">
        <f>C276</f>
        <v>2019</v>
      </c>
      <c r="D284" s="959">
        <f>D276</f>
        <v>2017</v>
      </c>
      <c r="E284" s="1398"/>
      <c r="F284" s="1398"/>
      <c r="H284" s="992"/>
      <c r="I284" s="992"/>
      <c r="J284" s="992"/>
      <c r="K284" s="992"/>
      <c r="L284" s="992"/>
      <c r="M284" s="992"/>
      <c r="N284" s="992"/>
      <c r="O284" s="1015"/>
      <c r="P284" s="1019"/>
    </row>
    <row r="285" spans="1:16" ht="15.75" customHeight="1" x14ac:dyDescent="0.25">
      <c r="A285" s="962">
        <f>VLOOKUP($A$265,$B$212:$H$223,2,(FALSE))</f>
        <v>10</v>
      </c>
      <c r="B285" s="963">
        <f>VLOOKUP($A$265,$B$212:$H$223,3,(FALSE))</f>
        <v>9.9999999999999995E-7</v>
      </c>
      <c r="C285" s="963">
        <f>VLOOKUP($A$265,$B$212:$H$223,4,(FALSE))</f>
        <v>0.1</v>
      </c>
      <c r="D285" s="963">
        <f>VLOOKUP($A$265,$B$212:$H$223,5,(FALSE))</f>
        <v>9.9999999999999995E-7</v>
      </c>
      <c r="E285" s="964">
        <f>VLOOKUP($A$265,$B$212:$H$223,6,(FALSE))</f>
        <v>4.9999500000000002E-2</v>
      </c>
      <c r="F285" s="964">
        <f>VLOOKUP($A$265,$B$212:$H$223,7,(FALSE))</f>
        <v>0.17</v>
      </c>
      <c r="H285" s="816"/>
      <c r="I285" s="964">
        <f>IF(H286&lt;=A270,A269,IF(H286&lt;=A271,A270,IF(H286&lt;=A272,A271,IF(H286&lt;=A273,A272,IF(H286&lt;=A274,A273,A274)))))</f>
        <v>180</v>
      </c>
      <c r="J285" s="1016"/>
      <c r="K285" s="964">
        <f>IF(H286&lt;=A270,F269,IF(H286&lt;=A271,F270,IF(H286&lt;=A272,F271,IF(H286&lt;=A273,F272,IF(H286&lt;=A274,F273,F274)))))</f>
        <v>2.16</v>
      </c>
      <c r="L285" s="992"/>
      <c r="M285" s="992"/>
      <c r="N285" s="992"/>
      <c r="O285" s="1015"/>
    </row>
    <row r="286" spans="1:16" ht="14" x14ac:dyDescent="0.25">
      <c r="A286" s="962">
        <f>VLOOKUP($A$265,$B$225:$H$236,2,(FALSE))</f>
        <v>20</v>
      </c>
      <c r="B286" s="963">
        <f>VLOOKUP($A$265,$B$225:$H$236,3,(FALSE))</f>
        <v>0.1</v>
      </c>
      <c r="C286" s="963">
        <f>VLOOKUP($A$265,$B$225:$H$236,4,(FALSE))</f>
        <v>0.2</v>
      </c>
      <c r="D286" s="963">
        <f>VLOOKUP($A$265,$B$225:$H$236,5,(FALSE))</f>
        <v>0.1</v>
      </c>
      <c r="E286" s="964">
        <f>VLOOKUP($A$265,$B$225:$H$236,6,(FALSE))</f>
        <v>0.05</v>
      </c>
      <c r="F286" s="964">
        <f>VLOOKUP($A$265,$B$225:$H$236,7,(FALSE))</f>
        <v>0.34</v>
      </c>
      <c r="H286" s="964">
        <f>O268</f>
        <v>199.99005</v>
      </c>
      <c r="I286" s="1016"/>
      <c r="J286" s="964">
        <f>((H286-I285)/(I287-I285)*(K287-K285)+K285)</f>
        <v>2.3998805999999999</v>
      </c>
      <c r="K286" s="1016"/>
      <c r="L286" s="992"/>
      <c r="M286" s="1020"/>
      <c r="N286" s="992"/>
      <c r="O286" s="1015"/>
    </row>
    <row r="287" spans="1:16" x14ac:dyDescent="0.25">
      <c r="A287" s="962">
        <f>VLOOKUP($A$265,$B$238:$H$249,2,(FALSE))</f>
        <v>50</v>
      </c>
      <c r="B287" s="963">
        <f>VLOOKUP($A$265,$B$238:$H$249,3,(FALSE))</f>
        <v>0.2</v>
      </c>
      <c r="C287" s="963">
        <f>VLOOKUP($A$265,$B$238:$H$249,4,(FALSE))</f>
        <v>0.3</v>
      </c>
      <c r="D287" s="963">
        <f>VLOOKUP($A$265,$B$238:$H$249,5,(FALSE))</f>
        <v>0.1</v>
      </c>
      <c r="E287" s="964">
        <f>VLOOKUP($A$265,$B$238:$H$249,6,(FALSE))</f>
        <v>9.9999999999999992E-2</v>
      </c>
      <c r="F287" s="964">
        <f>VLOOKUP($A$265,$B$238:$H$249,7,(FALSE))</f>
        <v>0.85000000000000009</v>
      </c>
      <c r="H287" s="816"/>
      <c r="I287" s="964">
        <f>IF(H286&lt;=A270,A270,IF(H286&lt;=A271,A271,IF(H286&lt;=A272,A272,IF(H286&lt;=A273,A273,IF(H286&lt;=A274,A274,250)))))</f>
        <v>200</v>
      </c>
      <c r="J287" s="1016"/>
      <c r="K287" s="964">
        <f>IF(H286&lt;=A270,F270,IF(H286&lt;=A271,F271,IF(H286&lt;=A272,F272,IF(H286&lt;=A273,F273,IF(H286&lt;=A274,F274,250)))))</f>
        <v>2.4</v>
      </c>
      <c r="L287" s="992"/>
      <c r="M287" s="992"/>
      <c r="N287" s="992"/>
      <c r="O287" s="1015"/>
    </row>
    <row r="288" spans="1:16" x14ac:dyDescent="0.25">
      <c r="A288" s="962">
        <f>VLOOKUP($A$265,$B$251:$H$262,2,(FALSE))</f>
        <v>100</v>
      </c>
      <c r="B288" s="963">
        <f>VLOOKUP($A$265,$B$251:$H$262,3,(FALSE))</f>
        <v>0.2</v>
      </c>
      <c r="C288" s="963">
        <f>VLOOKUP($A$265,$B$251:$H$262,4,(FALSE))</f>
        <v>0.3</v>
      </c>
      <c r="D288" s="963">
        <f>VLOOKUP($A$265,$B$251:$H$262,5,(FALSE))</f>
        <v>9.9999999999999995E-7</v>
      </c>
      <c r="E288" s="964">
        <f>VLOOKUP($A$265,$B$251:$H$262,6,(FALSE))</f>
        <v>0.14999950000000001</v>
      </c>
      <c r="F288" s="964">
        <f>VLOOKUP($A$265,$B$251:$H$262,7,(FALSE))</f>
        <v>1.7000000000000002</v>
      </c>
      <c r="H288" s="992"/>
      <c r="I288" s="992"/>
      <c r="J288" s="992"/>
      <c r="K288" s="992"/>
      <c r="L288" s="992"/>
      <c r="M288" s="992"/>
      <c r="N288" s="992"/>
      <c r="O288" s="1015"/>
    </row>
    <row r="289" spans="1:25" ht="15.75" customHeight="1" x14ac:dyDescent="0.25">
      <c r="A289" s="1397" t="str">
        <f>B26</f>
        <v>Resistance</v>
      </c>
      <c r="B289" s="1397"/>
      <c r="C289" s="1397"/>
      <c r="D289" s="1397"/>
      <c r="E289" s="1398" t="s">
        <v>150</v>
      </c>
      <c r="F289" s="1398" t="s">
        <v>80</v>
      </c>
      <c r="H289" s="992"/>
      <c r="I289" s="992"/>
      <c r="J289" s="992"/>
      <c r="K289" s="992"/>
      <c r="L289" s="992"/>
      <c r="M289" s="992"/>
      <c r="N289" s="992"/>
      <c r="O289" s="1015"/>
    </row>
    <row r="290" spans="1:25" ht="14.5" x14ac:dyDescent="0.25">
      <c r="A290" s="958" t="s">
        <v>470</v>
      </c>
      <c r="B290" s="959">
        <f>B284</f>
        <v>2022</v>
      </c>
      <c r="C290" s="959">
        <f>C284</f>
        <v>2019</v>
      </c>
      <c r="D290" s="959">
        <f>D284</f>
        <v>2017</v>
      </c>
      <c r="E290" s="1398"/>
      <c r="F290" s="1398"/>
      <c r="H290" s="992"/>
      <c r="I290" s="992"/>
      <c r="J290" s="992"/>
      <c r="K290" s="992"/>
      <c r="L290" s="992"/>
      <c r="M290" s="992"/>
      <c r="N290" s="992"/>
      <c r="O290" s="1015"/>
    </row>
    <row r="291" spans="1:25" x14ac:dyDescent="0.25">
      <c r="A291" s="660">
        <f>VLOOKUP($A$265,$K$212:$Q$223,2,(FALSE))</f>
        <v>0.01</v>
      </c>
      <c r="B291" s="963">
        <f>VLOOKUP($A$265,$K$212:$Q$223,3,(FALSE))</f>
        <v>9.9999999999999995E-7</v>
      </c>
      <c r="C291" s="963">
        <f>VLOOKUP($A$265,$K$212:$Q$223,4,(FALSE))</f>
        <v>9.9999999999999995E-7</v>
      </c>
      <c r="D291" s="963">
        <f>VLOOKUP($A$265,$K$212:$Q$223,5,(FALSE))</f>
        <v>9.9999999999999995E-7</v>
      </c>
      <c r="E291" s="964">
        <f>VLOOKUP($A$265,$K$212:$Q$223,6,(FALSE))</f>
        <v>0</v>
      </c>
      <c r="F291" s="964">
        <f>VLOOKUP($A$265,$K$212:$Q$223,7,(FALSE))</f>
        <v>1.2E-4</v>
      </c>
      <c r="H291" s="992"/>
      <c r="I291" s="992"/>
      <c r="J291" s="992"/>
      <c r="K291" s="992"/>
      <c r="L291" s="992"/>
      <c r="M291" s="992"/>
      <c r="N291" s="992"/>
      <c r="O291" s="1015"/>
    </row>
    <row r="292" spans="1:25" x14ac:dyDescent="0.25">
      <c r="A292" s="660">
        <f>VLOOKUP($A$265,$K$225:$Q$236,2,(FALSE))</f>
        <v>0.1</v>
      </c>
      <c r="B292" s="963">
        <f>VLOOKUP($A$265,$K$225:$Q$236,3,(FALSE))</f>
        <v>5.0000000000000001E-3</v>
      </c>
      <c r="C292" s="963">
        <f>VLOOKUP($A$265,$K$225:$Q$236,4,(FALSE))</f>
        <v>6.0000000000000001E-3</v>
      </c>
      <c r="D292" s="963">
        <f>VLOOKUP($A$265,$K$225:$Q$236,5,(FALSE))</f>
        <v>5.0000000000000001E-3</v>
      </c>
      <c r="E292" s="964">
        <f>VLOOKUP($A$265,$K$225:$Q$236,6,(FALSE))</f>
        <v>5.0000000000000001E-4</v>
      </c>
      <c r="F292" s="964">
        <f>VLOOKUP($A$265,$K$225:$Q$236,7,(FALSE))</f>
        <v>1.2000000000000001E-3</v>
      </c>
      <c r="H292" s="992"/>
      <c r="I292" s="992"/>
      <c r="J292" s="992"/>
      <c r="K292" s="992"/>
      <c r="L292" s="992"/>
      <c r="M292" s="992"/>
      <c r="N292" s="992"/>
      <c r="O292" s="1015"/>
    </row>
    <row r="293" spans="1:25" ht="15.75" customHeight="1" x14ac:dyDescent="0.25">
      <c r="A293" s="660">
        <f>VLOOKUP($A$265,$K$238:$Q$249,2,(FALSE))</f>
        <v>1</v>
      </c>
      <c r="B293" s="963">
        <f>VLOOKUP($A$265,$K$238:$Q$249,3,(FALSE))</f>
        <v>5.8000000000000003E-2</v>
      </c>
      <c r="C293" s="963">
        <f>VLOOKUP($A$265,$K$238:$Q$249,4,(FALSE))</f>
        <v>4.4999999999999998E-2</v>
      </c>
      <c r="D293" s="963">
        <f>VLOOKUP($A$265,$K$238:$Q$249,5,(FALSE))</f>
        <v>5.5E-2</v>
      </c>
      <c r="E293" s="964">
        <f>VLOOKUP($A$265,$K$238:$Q$249,6,(FALSE))</f>
        <v>6.5000000000000023E-3</v>
      </c>
      <c r="F293" s="964">
        <f>VLOOKUP($A$265,$K$238:$Q$249,7,(FALSE))</f>
        <v>1.2E-2</v>
      </c>
      <c r="H293" s="992"/>
      <c r="I293" s="992"/>
      <c r="J293" s="992"/>
      <c r="K293" s="992"/>
      <c r="L293" s="992"/>
      <c r="M293" s="992"/>
      <c r="N293" s="992"/>
      <c r="O293" s="1015"/>
    </row>
    <row r="294" spans="1:25" x14ac:dyDescent="0.25">
      <c r="A294" s="660">
        <f>VLOOKUP($A$265,$K$251:$Q$262,2,(FALSE))</f>
        <v>2</v>
      </c>
      <c r="B294" s="963">
        <f>VLOOKUP($A$265,$K$251:$Q$262,3,(FALSE))</f>
        <v>0.113</v>
      </c>
      <c r="C294" s="963">
        <f>VLOOKUP($A$265,$K$251:$Q$262,4,(FALSE))</f>
        <v>9.9999999999999995E-7</v>
      </c>
      <c r="D294" s="963">
        <f>VLOOKUP($A$265,$K$251:$Q$262,5,(FALSE))</f>
        <v>9.9999999999999995E-7</v>
      </c>
      <c r="E294" s="964">
        <f>VLOOKUP($A$265,$K$251:$Q$262,6,(FALSE))</f>
        <v>5.6499500000000001E-2</v>
      </c>
      <c r="F294" s="964">
        <f>VLOOKUP($A$265,$K$251:$Q$262,7,(FALSE))</f>
        <v>2.4E-2</v>
      </c>
      <c r="H294" s="992"/>
      <c r="I294" s="992"/>
      <c r="J294" s="992"/>
      <c r="K294" s="992"/>
      <c r="L294" s="992"/>
      <c r="M294" s="992"/>
      <c r="N294" s="992"/>
      <c r="O294" s="1015"/>
    </row>
    <row r="297" spans="1:25" ht="13" thickBot="1" x14ac:dyDescent="0.3"/>
    <row r="298" spans="1:25" ht="13" customHeight="1" x14ac:dyDescent="0.3">
      <c r="A298" s="1390" t="str">
        <f>ID!B54</f>
        <v>Electrical Safety Analyzer, Merek : Fluke, Model : ESA 620, SN : 1834020</v>
      </c>
      <c r="B298" s="1391"/>
      <c r="C298" s="1391"/>
      <c r="D298" s="1391"/>
      <c r="E298" s="1391"/>
      <c r="F298" s="1391"/>
      <c r="G298" s="1391"/>
      <c r="H298" s="1391"/>
      <c r="I298" s="1391"/>
      <c r="J298" s="1392"/>
      <c r="K298" s="1390"/>
      <c r="L298" s="1391"/>
      <c r="N298" s="1393">
        <f>A311</f>
        <v>2</v>
      </c>
      <c r="O298" s="1394"/>
      <c r="P298" s="1394"/>
      <c r="Q298" s="1394"/>
      <c r="R298" s="1394"/>
      <c r="S298" s="1394"/>
      <c r="T298" s="1394"/>
      <c r="U298" s="1394"/>
      <c r="V298" s="1394"/>
      <c r="W298" s="1394"/>
      <c r="X298" s="1394"/>
      <c r="Y298" s="1395"/>
    </row>
    <row r="299" spans="1:25" ht="14" x14ac:dyDescent="0.3">
      <c r="A299" s="1021" t="s">
        <v>487</v>
      </c>
      <c r="B299" s="1022"/>
      <c r="C299" s="1023"/>
      <c r="D299" s="1024"/>
      <c r="E299" s="1024"/>
      <c r="F299" s="1024"/>
      <c r="G299" s="1024"/>
      <c r="H299" s="1024"/>
      <c r="I299" s="1025">
        <f>C5</f>
        <v>2022</v>
      </c>
      <c r="J299" s="1026">
        <f>D5</f>
        <v>2020</v>
      </c>
      <c r="K299" s="1026">
        <f>E5</f>
        <v>2019</v>
      </c>
      <c r="L299" s="1027">
        <v>1</v>
      </c>
      <c r="N299" s="1028">
        <v>1</v>
      </c>
      <c r="O299" s="1029" t="s">
        <v>488</v>
      </c>
      <c r="P299" s="1030"/>
      <c r="Q299" s="1030"/>
      <c r="R299" s="1030"/>
      <c r="S299" s="1030"/>
      <c r="T299" s="1030"/>
      <c r="U299" s="1030"/>
      <c r="V299" s="1030"/>
      <c r="W299" s="1030"/>
      <c r="X299" s="1030"/>
      <c r="Y299" s="1031"/>
    </row>
    <row r="300" spans="1:25" ht="14" x14ac:dyDescent="0.3">
      <c r="A300" s="1021" t="s">
        <v>489</v>
      </c>
      <c r="B300" s="1022"/>
      <c r="C300" s="1023"/>
      <c r="D300" s="1024"/>
      <c r="E300" s="1024"/>
      <c r="F300" s="1024"/>
      <c r="G300" s="1024"/>
      <c r="H300" s="1024"/>
      <c r="I300" s="1025">
        <f>J5</f>
        <v>2022</v>
      </c>
      <c r="J300" s="1026">
        <f>K5</f>
        <v>2019</v>
      </c>
      <c r="K300" s="1026">
        <f>L5</f>
        <v>2017</v>
      </c>
      <c r="L300" s="1027">
        <v>2</v>
      </c>
      <c r="N300" s="1028">
        <v>2</v>
      </c>
      <c r="O300" s="1029" t="s">
        <v>488</v>
      </c>
      <c r="P300" s="1030"/>
      <c r="Q300" s="1030"/>
      <c r="R300" s="1030"/>
      <c r="S300" s="1030"/>
      <c r="T300" s="1030"/>
      <c r="U300" s="1030"/>
      <c r="V300" s="1030"/>
      <c r="W300" s="1030"/>
      <c r="X300" s="1030"/>
      <c r="Y300" s="1031"/>
    </row>
    <row r="301" spans="1:25" ht="14" x14ac:dyDescent="0.3">
      <c r="A301" s="1021" t="s">
        <v>224</v>
      </c>
      <c r="B301" s="1022"/>
      <c r="C301" s="1023"/>
      <c r="D301" s="1024"/>
      <c r="E301" s="1024"/>
      <c r="F301" s="1024"/>
      <c r="G301" s="1024"/>
      <c r="H301" s="1024"/>
      <c r="I301" s="1025">
        <f>Q5</f>
        <v>2022</v>
      </c>
      <c r="J301" s="1026">
        <f>R5</f>
        <v>2021</v>
      </c>
      <c r="K301" s="1026">
        <f>S5</f>
        <v>2018</v>
      </c>
      <c r="L301" s="1027">
        <v>3</v>
      </c>
      <c r="N301" s="1028">
        <v>3</v>
      </c>
      <c r="O301" s="1029" t="s">
        <v>488</v>
      </c>
      <c r="P301" s="1030"/>
      <c r="Q301" s="1030"/>
      <c r="R301" s="1030"/>
      <c r="S301" s="1030"/>
      <c r="T301" s="1030"/>
      <c r="U301" s="1030"/>
      <c r="V301" s="1030"/>
      <c r="W301" s="1030"/>
      <c r="X301" s="1030"/>
      <c r="Y301" s="1031"/>
    </row>
    <row r="302" spans="1:25" ht="14" x14ac:dyDescent="0.3">
      <c r="A302" s="1021" t="s">
        <v>490</v>
      </c>
      <c r="B302" s="1022"/>
      <c r="C302" s="1023"/>
      <c r="D302" s="1024"/>
      <c r="E302" s="1024"/>
      <c r="F302" s="1024"/>
      <c r="G302" s="1024"/>
      <c r="H302" s="1024"/>
      <c r="I302" s="1025">
        <f>C36</f>
        <v>2022</v>
      </c>
      <c r="J302" s="1026">
        <f>D36</f>
        <v>2021</v>
      </c>
      <c r="K302" s="1026">
        <f>E36</f>
        <v>2019</v>
      </c>
      <c r="L302" s="1027">
        <v>4</v>
      </c>
      <c r="N302" s="1028">
        <v>4</v>
      </c>
      <c r="O302" s="1029" t="s">
        <v>488</v>
      </c>
      <c r="P302" s="1030"/>
      <c r="Q302" s="1030"/>
      <c r="R302" s="1030"/>
      <c r="S302" s="1030"/>
      <c r="T302" s="1030"/>
      <c r="U302" s="1030"/>
      <c r="V302" s="1030"/>
      <c r="W302" s="1030"/>
      <c r="X302" s="1030"/>
      <c r="Y302" s="1031"/>
    </row>
    <row r="303" spans="1:25" ht="14" x14ac:dyDescent="0.3">
      <c r="A303" s="1021" t="s">
        <v>491</v>
      </c>
      <c r="B303" s="1023"/>
      <c r="C303" s="1023"/>
      <c r="D303" s="1024"/>
      <c r="E303" s="1024"/>
      <c r="F303" s="1024"/>
      <c r="G303" s="1024"/>
      <c r="H303" s="1024"/>
      <c r="I303" s="1025">
        <f>J36</f>
        <v>2022</v>
      </c>
      <c r="J303" s="1026">
        <f>K36</f>
        <v>2021</v>
      </c>
      <c r="K303" s="1026">
        <f>L36</f>
        <v>2019</v>
      </c>
      <c r="L303" s="1027">
        <v>5</v>
      </c>
      <c r="N303" s="1028">
        <v>5</v>
      </c>
      <c r="O303" s="1029" t="s">
        <v>488</v>
      </c>
      <c r="P303" s="1030"/>
      <c r="Q303" s="1030"/>
      <c r="R303" s="1030"/>
      <c r="S303" s="1030"/>
      <c r="T303" s="1030"/>
      <c r="U303" s="1030"/>
      <c r="V303" s="1030"/>
      <c r="W303" s="1030"/>
      <c r="X303" s="1030"/>
      <c r="Y303" s="1031"/>
    </row>
    <row r="304" spans="1:25" ht="14" x14ac:dyDescent="0.3">
      <c r="A304" s="1021" t="s">
        <v>225</v>
      </c>
      <c r="B304" s="1023"/>
      <c r="C304" s="1023"/>
      <c r="D304" s="1024"/>
      <c r="E304" s="1024"/>
      <c r="F304" s="1024"/>
      <c r="G304" s="1024"/>
      <c r="H304" s="1024"/>
      <c r="I304" s="1025">
        <f>Q36</f>
        <v>2022</v>
      </c>
      <c r="J304" s="1026">
        <f>R36</f>
        <v>2019</v>
      </c>
      <c r="K304" s="1026">
        <f>S36</f>
        <v>2018</v>
      </c>
      <c r="L304" s="1027">
        <v>6</v>
      </c>
      <c r="N304" s="1028">
        <v>6</v>
      </c>
      <c r="O304" s="1029" t="s">
        <v>488</v>
      </c>
      <c r="P304" s="1030"/>
      <c r="Q304" s="1030"/>
      <c r="R304" s="1030"/>
      <c r="S304" s="1030"/>
      <c r="T304" s="1030"/>
      <c r="U304" s="1030"/>
      <c r="V304" s="1030"/>
      <c r="W304" s="1030"/>
      <c r="X304" s="1030"/>
      <c r="Y304" s="1031"/>
    </row>
    <row r="305" spans="1:25" ht="14" x14ac:dyDescent="0.3">
      <c r="A305" s="1021" t="s">
        <v>226</v>
      </c>
      <c r="B305" s="1023"/>
      <c r="C305" s="1023"/>
      <c r="D305" s="1024"/>
      <c r="E305" s="1024"/>
      <c r="F305" s="1024"/>
      <c r="G305" s="1024"/>
      <c r="H305" s="1024"/>
      <c r="I305" s="1025">
        <f>C67</f>
        <v>2022</v>
      </c>
      <c r="J305" s="1026">
        <f>D67</f>
        <v>2020</v>
      </c>
      <c r="K305" s="1026">
        <f>E67</f>
        <v>2018</v>
      </c>
      <c r="L305" s="1027">
        <v>7</v>
      </c>
      <c r="N305" s="1028">
        <v>7</v>
      </c>
      <c r="O305" s="1029" t="s">
        <v>488</v>
      </c>
      <c r="P305" s="1030"/>
      <c r="Q305" s="1030"/>
      <c r="R305" s="1030"/>
      <c r="S305" s="1030"/>
      <c r="T305" s="1030"/>
      <c r="U305" s="1030"/>
      <c r="V305" s="1030"/>
      <c r="W305" s="1030"/>
      <c r="X305" s="1030"/>
      <c r="Y305" s="1031"/>
    </row>
    <row r="306" spans="1:25" ht="14" x14ac:dyDescent="0.3">
      <c r="A306" s="1021" t="s">
        <v>384</v>
      </c>
      <c r="B306" s="1023"/>
      <c r="C306" s="1023"/>
      <c r="D306" s="1024"/>
      <c r="E306" s="1024"/>
      <c r="F306" s="1024"/>
      <c r="G306" s="1024"/>
      <c r="H306" s="1024"/>
      <c r="I306" s="1032">
        <f>J67</f>
        <v>2022</v>
      </c>
      <c r="J306" s="1026">
        <f>K67</f>
        <v>2020</v>
      </c>
      <c r="K306" s="1026" t="str">
        <f>L67</f>
        <v>-</v>
      </c>
      <c r="L306" s="1027">
        <v>8</v>
      </c>
      <c r="N306" s="1028">
        <v>8</v>
      </c>
      <c r="O306" s="1029" t="s">
        <v>488</v>
      </c>
      <c r="P306" s="1030"/>
      <c r="Q306" s="1030"/>
      <c r="R306" s="1030"/>
      <c r="S306" s="1030"/>
      <c r="T306" s="1030"/>
      <c r="U306" s="1030"/>
      <c r="V306" s="1030"/>
      <c r="W306" s="1030"/>
      <c r="X306" s="1030"/>
      <c r="Y306" s="1031"/>
    </row>
    <row r="307" spans="1:25" ht="14" x14ac:dyDescent="0.3">
      <c r="A307" s="1021" t="s">
        <v>383</v>
      </c>
      <c r="B307" s="1023"/>
      <c r="C307" s="1023"/>
      <c r="D307" s="1024"/>
      <c r="E307" s="1024"/>
      <c r="F307" s="1024"/>
      <c r="G307" s="1024"/>
      <c r="H307" s="1024"/>
      <c r="I307" s="1032">
        <f>Q67</f>
        <v>2022</v>
      </c>
      <c r="J307" s="1026">
        <f>R67</f>
        <v>2020</v>
      </c>
      <c r="K307" s="1026" t="str">
        <f>S67</f>
        <v>-</v>
      </c>
      <c r="L307" s="1027">
        <v>9</v>
      </c>
      <c r="N307" s="1028">
        <v>9</v>
      </c>
      <c r="O307" s="1029" t="s">
        <v>488</v>
      </c>
      <c r="P307" s="1030"/>
      <c r="Q307" s="1030"/>
      <c r="R307" s="1030"/>
      <c r="S307" s="1030"/>
      <c r="T307" s="1030"/>
      <c r="U307" s="1030"/>
      <c r="V307" s="1030"/>
      <c r="W307" s="1030"/>
      <c r="X307" s="1030"/>
      <c r="Y307" s="1031"/>
    </row>
    <row r="308" spans="1:25" ht="14" x14ac:dyDescent="0.3">
      <c r="A308" s="1021" t="s">
        <v>492</v>
      </c>
      <c r="B308" s="1033"/>
      <c r="C308" s="1033"/>
      <c r="D308" s="1034"/>
      <c r="E308" s="1034"/>
      <c r="F308" s="1034"/>
      <c r="G308" s="1034"/>
      <c r="H308" s="1034"/>
      <c r="I308" s="1032">
        <f>C98</f>
        <v>2021</v>
      </c>
      <c r="J308" s="1026" t="str">
        <f>D98</f>
        <v>-</v>
      </c>
      <c r="K308" s="1026" t="str">
        <f>E98</f>
        <v>-</v>
      </c>
      <c r="L308" s="1027">
        <v>10</v>
      </c>
      <c r="N308" s="1028">
        <v>10</v>
      </c>
      <c r="O308" s="1029" t="s">
        <v>488</v>
      </c>
      <c r="P308" s="1035"/>
      <c r="Q308" s="1035"/>
      <c r="R308" s="1035"/>
      <c r="S308" s="1035"/>
      <c r="T308" s="1035"/>
      <c r="U308" s="1035"/>
      <c r="V308" s="1035"/>
      <c r="W308" s="1035"/>
      <c r="X308" s="1035"/>
      <c r="Y308" s="1036"/>
    </row>
    <row r="309" spans="1:25" ht="14" x14ac:dyDescent="0.3">
      <c r="A309" s="1021" t="s">
        <v>493</v>
      </c>
      <c r="B309" s="1033"/>
      <c r="C309" s="1033"/>
      <c r="D309" s="1034"/>
      <c r="E309" s="1034"/>
      <c r="F309" s="1034"/>
      <c r="G309" s="1034"/>
      <c r="H309" s="1034"/>
      <c r="I309" s="1032" t="str">
        <f>J98</f>
        <v>-</v>
      </c>
      <c r="J309" s="1026" t="str">
        <f>K98</f>
        <v>-</v>
      </c>
      <c r="K309" s="1026" t="str">
        <f>L98</f>
        <v>-</v>
      </c>
      <c r="L309" s="1027">
        <v>11</v>
      </c>
      <c r="N309" s="1028">
        <v>11</v>
      </c>
      <c r="O309" s="1029" t="s">
        <v>488</v>
      </c>
      <c r="P309" s="1035"/>
      <c r="Q309" s="1035"/>
      <c r="R309" s="1035"/>
      <c r="S309" s="1035"/>
      <c r="T309" s="1035"/>
      <c r="U309" s="1035"/>
      <c r="V309" s="1035"/>
      <c r="W309" s="1035"/>
      <c r="X309" s="1035"/>
      <c r="Y309" s="1036"/>
    </row>
    <row r="310" spans="1:25" ht="14" x14ac:dyDescent="0.3">
      <c r="A310" s="1021" t="s">
        <v>494</v>
      </c>
      <c r="B310" s="1033"/>
      <c r="C310" s="1033"/>
      <c r="D310" s="1034"/>
      <c r="E310" s="1034"/>
      <c r="F310" s="1034"/>
      <c r="G310" s="1034"/>
      <c r="H310" s="1034"/>
      <c r="I310" s="1032" t="str">
        <f>Q98</f>
        <v>-</v>
      </c>
      <c r="J310" s="1026" t="str">
        <f>R98</f>
        <v>-</v>
      </c>
      <c r="K310" s="1026" t="str">
        <f>S98</f>
        <v>-</v>
      </c>
      <c r="L310" s="1027">
        <v>12</v>
      </c>
      <c r="N310" s="1028">
        <v>12</v>
      </c>
      <c r="O310" s="1029" t="s">
        <v>488</v>
      </c>
      <c r="P310" s="1035"/>
      <c r="Q310" s="1035"/>
      <c r="R310" s="1035"/>
      <c r="S310" s="1035"/>
      <c r="T310" s="1035"/>
      <c r="U310" s="1035"/>
      <c r="V310" s="1035"/>
      <c r="W310" s="1035"/>
      <c r="X310" s="1035"/>
      <c r="Y310" s="1036"/>
    </row>
    <row r="311" spans="1:25" ht="13.5" thickBot="1" x14ac:dyDescent="0.35">
      <c r="A311" s="1170">
        <f>VLOOKUP(A298,A299:L310,12,(FALSE))</f>
        <v>2</v>
      </c>
      <c r="B311" s="1171"/>
      <c r="C311" s="1171"/>
      <c r="D311" s="1171"/>
      <c r="E311" s="1171"/>
      <c r="F311" s="1171"/>
      <c r="G311" s="1171"/>
      <c r="H311" s="1171"/>
      <c r="I311" s="1171"/>
      <c r="J311" s="1171"/>
      <c r="K311" s="1171"/>
      <c r="L311" s="1171"/>
      <c r="N311" s="1037" t="str">
        <f>VLOOKUP(N298,N299:Y310,2,FALSE)</f>
        <v>Hasil pengukuran keselamatan listrik tertelusur ke Satuan Internasional ( SI ) melalui PT. Kaliman (LK-032-IDN)</v>
      </c>
      <c r="O311" s="1038"/>
      <c r="P311" s="1038"/>
      <c r="Q311" s="1039"/>
      <c r="R311" s="1039"/>
      <c r="S311" s="1039"/>
      <c r="T311" s="1039"/>
      <c r="U311" s="1039"/>
      <c r="V311" s="1039"/>
      <c r="W311" s="1039"/>
      <c r="X311" s="1039"/>
      <c r="Y311" s="1040"/>
    </row>
  </sheetData>
  <mergeCells count="244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H271:J271"/>
    <mergeCell ref="H274:J274"/>
    <mergeCell ref="A275:D275"/>
    <mergeCell ref="E275:E276"/>
    <mergeCell ref="F275:F276"/>
    <mergeCell ref="H276:K276"/>
    <mergeCell ref="A251:A262"/>
    <mergeCell ref="J251:J262"/>
    <mergeCell ref="B265:F265"/>
    <mergeCell ref="A298:J298"/>
    <mergeCell ref="K298:L298"/>
    <mergeCell ref="N298:Y298"/>
    <mergeCell ref="A311:L311"/>
    <mergeCell ref="H280:K280"/>
    <mergeCell ref="A283:D283"/>
    <mergeCell ref="E283:E284"/>
    <mergeCell ref="F283:F284"/>
    <mergeCell ref="A289:D289"/>
    <mergeCell ref="E289:E290"/>
    <mergeCell ref="F289:F29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F897-C205-405B-93BB-1CBA56232402}">
  <sheetPr>
    <tabColor rgb="FF00B0F0"/>
  </sheetPr>
  <dimension ref="A1:P375"/>
  <sheetViews>
    <sheetView view="pageBreakPreview" topLeftCell="A336" zoomScaleNormal="100" zoomScaleSheetLayoutView="100" workbookViewId="0">
      <selection activeCell="K336" sqref="K1:K1048576"/>
    </sheetView>
  </sheetViews>
  <sheetFormatPr defaultColWidth="8.7265625" defaultRowHeight="12.5" x14ac:dyDescent="0.25"/>
  <cols>
    <col min="1" max="5" width="8.7265625" style="683"/>
    <col min="6" max="6" width="11.54296875" style="683" customWidth="1"/>
    <col min="7" max="16384" width="8.7265625" style="683"/>
  </cols>
  <sheetData>
    <row r="1" spans="1:16" ht="18" thickBot="1" x14ac:dyDescent="0.35">
      <c r="A1" s="1509" t="s">
        <v>175</v>
      </c>
      <c r="B1" s="1510"/>
      <c r="C1" s="1510"/>
      <c r="D1" s="1510"/>
      <c r="E1" s="1510"/>
      <c r="F1" s="1510"/>
      <c r="G1" s="1511"/>
      <c r="H1" s="1510"/>
      <c r="I1" s="1510"/>
      <c r="J1" s="1510"/>
      <c r="K1" s="1510"/>
      <c r="L1" s="1510"/>
      <c r="M1" s="1511"/>
      <c r="N1" s="1510"/>
      <c r="O1" s="1512"/>
      <c r="P1" s="682"/>
    </row>
    <row r="2" spans="1:16" ht="13" x14ac:dyDescent="0.3">
      <c r="A2" s="1503">
        <v>1</v>
      </c>
      <c r="B2" s="1506" t="s">
        <v>176</v>
      </c>
      <c r="C2" s="1506"/>
      <c r="D2" s="1506"/>
      <c r="E2" s="1506"/>
      <c r="F2" s="1506"/>
      <c r="G2" s="684"/>
      <c r="H2" s="1506" t="str">
        <f>B2</f>
        <v>KOREKSI KIMO THERMOHYGROMETER 15062873</v>
      </c>
      <c r="I2" s="1506"/>
      <c r="J2" s="1506"/>
      <c r="K2" s="1506"/>
      <c r="L2" s="1506"/>
      <c r="M2" s="684"/>
      <c r="N2" s="1507" t="s">
        <v>80</v>
      </c>
      <c r="O2" s="1507"/>
      <c r="P2" s="682"/>
    </row>
    <row r="3" spans="1:16" ht="13" x14ac:dyDescent="0.3">
      <c r="A3" s="1504"/>
      <c r="B3" s="1508" t="s">
        <v>74</v>
      </c>
      <c r="C3" s="1508"/>
      <c r="D3" s="1508" t="s">
        <v>62</v>
      </c>
      <c r="E3" s="1508"/>
      <c r="F3" s="1508" t="s">
        <v>63</v>
      </c>
      <c r="H3" s="1508" t="s">
        <v>73</v>
      </c>
      <c r="I3" s="1508"/>
      <c r="J3" s="1508" t="s">
        <v>62</v>
      </c>
      <c r="K3" s="1508"/>
      <c r="L3" s="1508" t="s">
        <v>63</v>
      </c>
      <c r="N3" s="685" t="s">
        <v>74</v>
      </c>
      <c r="O3" s="686">
        <v>0.6</v>
      </c>
      <c r="P3" s="682"/>
    </row>
    <row r="4" spans="1:16" ht="14.5" x14ac:dyDescent="0.3">
      <c r="A4" s="1504"/>
      <c r="B4" s="1501" t="s">
        <v>177</v>
      </c>
      <c r="C4" s="1501"/>
      <c r="D4" s="687">
        <v>2020</v>
      </c>
      <c r="E4" s="687">
        <v>2017</v>
      </c>
      <c r="F4" s="1508"/>
      <c r="H4" s="1502" t="s">
        <v>133</v>
      </c>
      <c r="I4" s="1501"/>
      <c r="J4" s="688">
        <f>D4</f>
        <v>2020</v>
      </c>
      <c r="K4" s="688">
        <f>E4</f>
        <v>2017</v>
      </c>
      <c r="L4" s="1508"/>
      <c r="N4" s="685" t="s">
        <v>133</v>
      </c>
      <c r="O4" s="686">
        <v>3.1</v>
      </c>
      <c r="P4" s="682"/>
    </row>
    <row r="5" spans="1:16" ht="13" x14ac:dyDescent="0.3">
      <c r="A5" s="1504"/>
      <c r="B5" s="689"/>
      <c r="C5" s="690">
        <v>15</v>
      </c>
      <c r="D5" s="690">
        <v>-0.5</v>
      </c>
      <c r="E5" s="690">
        <v>0.3</v>
      </c>
      <c r="F5" s="691">
        <f t="shared" ref="F5:F11" si="0">0.5*(MAX(D5:E5)-MIN(D5:E5))</f>
        <v>0.4</v>
      </c>
      <c r="H5" s="689"/>
      <c r="I5" s="690">
        <v>35</v>
      </c>
      <c r="J5" s="690">
        <v>-6</v>
      </c>
      <c r="K5" s="690">
        <v>-9.4</v>
      </c>
      <c r="L5" s="691">
        <f t="shared" ref="L5:L11" si="1">0.5*(MAX(J5:K5)-MIN(J5:K5))</f>
        <v>1.7000000000000002</v>
      </c>
      <c r="O5" s="692"/>
      <c r="P5" s="682"/>
    </row>
    <row r="6" spans="1:16" ht="13" x14ac:dyDescent="0.3">
      <c r="A6" s="1504"/>
      <c r="B6" s="689"/>
      <c r="C6" s="690">
        <v>20</v>
      </c>
      <c r="D6" s="690">
        <v>-0.2</v>
      </c>
      <c r="E6" s="690">
        <v>0.2</v>
      </c>
      <c r="F6" s="691">
        <f>0.5*(MAX(D6:E6)-MIN(D6:E6))</f>
        <v>0.2</v>
      </c>
      <c r="H6" s="689"/>
      <c r="I6" s="690">
        <v>40</v>
      </c>
      <c r="J6" s="690">
        <v>-5.8</v>
      </c>
      <c r="K6" s="690">
        <v>-8.6</v>
      </c>
      <c r="L6" s="691">
        <f t="shared" si="1"/>
        <v>1.4</v>
      </c>
      <c r="O6" s="692"/>
      <c r="P6" s="682"/>
    </row>
    <row r="7" spans="1:16" ht="13" x14ac:dyDescent="0.3">
      <c r="A7" s="1504"/>
      <c r="B7" s="689"/>
      <c r="C7" s="690">
        <v>25</v>
      </c>
      <c r="D7" s="690">
        <v>0</v>
      </c>
      <c r="E7" s="690">
        <v>0.1</v>
      </c>
      <c r="F7" s="691">
        <f t="shared" si="0"/>
        <v>0.05</v>
      </c>
      <c r="H7" s="689"/>
      <c r="I7" s="690">
        <v>50</v>
      </c>
      <c r="J7" s="690">
        <v>-5.3</v>
      </c>
      <c r="K7" s="690">
        <v>-7.2</v>
      </c>
      <c r="L7" s="691">
        <f t="shared" si="1"/>
        <v>0.95000000000000018</v>
      </c>
      <c r="O7" s="692"/>
      <c r="P7" s="682"/>
    </row>
    <row r="8" spans="1:16" ht="13" x14ac:dyDescent="0.3">
      <c r="A8" s="1504"/>
      <c r="B8" s="689"/>
      <c r="C8" s="693">
        <v>30</v>
      </c>
      <c r="D8" s="694">
        <v>0</v>
      </c>
      <c r="E8" s="694">
        <v>-0.2</v>
      </c>
      <c r="F8" s="691">
        <f t="shared" si="0"/>
        <v>0.1</v>
      </c>
      <c r="H8" s="689"/>
      <c r="I8" s="693">
        <v>60</v>
      </c>
      <c r="J8" s="694">
        <v>-4.4000000000000004</v>
      </c>
      <c r="K8" s="694">
        <v>-5.2</v>
      </c>
      <c r="L8" s="691">
        <f t="shared" si="1"/>
        <v>0.39999999999999991</v>
      </c>
      <c r="O8" s="692"/>
      <c r="P8" s="682"/>
    </row>
    <row r="9" spans="1:16" ht="13" x14ac:dyDescent="0.3">
      <c r="A9" s="1504"/>
      <c r="B9" s="689"/>
      <c r="C9" s="693">
        <v>35</v>
      </c>
      <c r="D9" s="694">
        <v>-0.1</v>
      </c>
      <c r="E9" s="694">
        <v>-0.5</v>
      </c>
      <c r="F9" s="691">
        <f t="shared" si="0"/>
        <v>0.2</v>
      </c>
      <c r="H9" s="689"/>
      <c r="I9" s="693">
        <v>70</v>
      </c>
      <c r="J9" s="694">
        <v>-3.2</v>
      </c>
      <c r="K9" s="694">
        <v>-2.6</v>
      </c>
      <c r="L9" s="691">
        <f t="shared" si="1"/>
        <v>0.30000000000000004</v>
      </c>
      <c r="O9" s="692"/>
      <c r="P9" s="682"/>
    </row>
    <row r="10" spans="1:16" ht="13" x14ac:dyDescent="0.3">
      <c r="A10" s="1504"/>
      <c r="B10" s="689"/>
      <c r="C10" s="693">
        <v>37</v>
      </c>
      <c r="D10" s="694">
        <v>-0.2</v>
      </c>
      <c r="E10" s="694">
        <v>-0.6</v>
      </c>
      <c r="F10" s="691">
        <f t="shared" si="0"/>
        <v>0.19999999999999998</v>
      </c>
      <c r="H10" s="689"/>
      <c r="I10" s="693">
        <v>80</v>
      </c>
      <c r="J10" s="694">
        <v>-1.6</v>
      </c>
      <c r="K10" s="694">
        <v>0.7</v>
      </c>
      <c r="L10" s="691">
        <f t="shared" si="1"/>
        <v>1.1499999999999999</v>
      </c>
      <c r="O10" s="692"/>
      <c r="P10" s="682"/>
    </row>
    <row r="11" spans="1:16" ht="13.5" thickBot="1" x14ac:dyDescent="0.35">
      <c r="A11" s="1505"/>
      <c r="B11" s="689"/>
      <c r="C11" s="693">
        <v>40</v>
      </c>
      <c r="D11" s="694">
        <v>-0.3</v>
      </c>
      <c r="E11" s="694">
        <v>-0.8</v>
      </c>
      <c r="F11" s="691">
        <f t="shared" si="0"/>
        <v>0.25</v>
      </c>
      <c r="G11" s="695"/>
      <c r="H11" s="689"/>
      <c r="I11" s="693">
        <v>90</v>
      </c>
      <c r="J11" s="694">
        <v>0.3</v>
      </c>
      <c r="K11" s="694">
        <v>4.5</v>
      </c>
      <c r="L11" s="691">
        <f t="shared" si="1"/>
        <v>2.1</v>
      </c>
      <c r="M11" s="695"/>
      <c r="N11" s="695"/>
      <c r="O11" s="696"/>
      <c r="P11" s="682"/>
    </row>
    <row r="12" spans="1:16" ht="13.5" thickBot="1" x14ac:dyDescent="0.35">
      <c r="A12" s="697"/>
      <c r="B12" s="697"/>
      <c r="O12" s="692"/>
      <c r="P12" s="682"/>
    </row>
    <row r="13" spans="1:16" ht="13" x14ac:dyDescent="0.3">
      <c r="A13" s="1503">
        <v>2</v>
      </c>
      <c r="B13" s="1506" t="s">
        <v>178</v>
      </c>
      <c r="C13" s="1506"/>
      <c r="D13" s="1506"/>
      <c r="E13" s="1506"/>
      <c r="F13" s="1506"/>
      <c r="G13" s="684"/>
      <c r="H13" s="1506" t="str">
        <f>B13</f>
        <v>KOREKSI KIMO THERMOHYGROMETER 15062874</v>
      </c>
      <c r="I13" s="1506"/>
      <c r="J13" s="1506"/>
      <c r="K13" s="1506"/>
      <c r="L13" s="1506"/>
      <c r="M13" s="684"/>
      <c r="N13" s="1507" t="s">
        <v>80</v>
      </c>
      <c r="O13" s="1507"/>
      <c r="P13" s="682"/>
    </row>
    <row r="14" spans="1:16" ht="13" x14ac:dyDescent="0.3">
      <c r="A14" s="1504"/>
      <c r="B14" s="1508" t="s">
        <v>74</v>
      </c>
      <c r="C14" s="1508"/>
      <c r="D14" s="1508" t="s">
        <v>62</v>
      </c>
      <c r="E14" s="1508"/>
      <c r="F14" s="1508" t="s">
        <v>63</v>
      </c>
      <c r="H14" s="1508" t="s">
        <v>73</v>
      </c>
      <c r="I14" s="1508"/>
      <c r="J14" s="1508" t="s">
        <v>62</v>
      </c>
      <c r="K14" s="1508"/>
      <c r="L14" s="1508" t="s">
        <v>63</v>
      </c>
      <c r="N14" s="685" t="s">
        <v>74</v>
      </c>
      <c r="O14" s="698">
        <v>0.3</v>
      </c>
      <c r="P14" s="682"/>
    </row>
    <row r="15" spans="1:16" ht="14.5" x14ac:dyDescent="0.3">
      <c r="A15" s="1504"/>
      <c r="B15" s="1501" t="s">
        <v>177</v>
      </c>
      <c r="C15" s="1501"/>
      <c r="D15" s="687">
        <v>2018</v>
      </c>
      <c r="E15" s="687">
        <v>2017</v>
      </c>
      <c r="F15" s="1508"/>
      <c r="H15" s="1502" t="s">
        <v>133</v>
      </c>
      <c r="I15" s="1501"/>
      <c r="J15" s="688">
        <f>D15</f>
        <v>2018</v>
      </c>
      <c r="K15" s="688">
        <f>E15</f>
        <v>2017</v>
      </c>
      <c r="L15" s="1508"/>
      <c r="N15" s="685" t="s">
        <v>133</v>
      </c>
      <c r="O15" s="698">
        <v>3.3</v>
      </c>
      <c r="P15" s="682"/>
    </row>
    <row r="16" spans="1:16" ht="13" x14ac:dyDescent="0.3">
      <c r="A16" s="1504"/>
      <c r="B16" s="689"/>
      <c r="C16" s="690">
        <v>15</v>
      </c>
      <c r="D16" s="690">
        <v>0</v>
      </c>
      <c r="E16" s="690">
        <v>0.5</v>
      </c>
      <c r="F16" s="691">
        <f t="shared" ref="F16:F22" si="2">0.5*(MAX(D16:E16)-MIN(D16:E16))</f>
        <v>0.25</v>
      </c>
      <c r="H16" s="689"/>
      <c r="I16" s="690">
        <v>35</v>
      </c>
      <c r="J16" s="690">
        <v>-1.6</v>
      </c>
      <c r="K16" s="690">
        <v>-0.9</v>
      </c>
      <c r="L16" s="691">
        <f t="shared" ref="L16:L22" si="3">0.5*(MAX(J16:K16)-MIN(J16:K16))</f>
        <v>0.35000000000000003</v>
      </c>
      <c r="O16" s="692"/>
      <c r="P16" s="682"/>
    </row>
    <row r="17" spans="1:16" ht="13" x14ac:dyDescent="0.3">
      <c r="A17" s="1504"/>
      <c r="B17" s="689"/>
      <c r="C17" s="690">
        <v>20</v>
      </c>
      <c r="D17" s="690">
        <v>-0.1</v>
      </c>
      <c r="E17" s="690">
        <v>0</v>
      </c>
      <c r="F17" s="691">
        <f t="shared" si="2"/>
        <v>0.05</v>
      </c>
      <c r="H17" s="689"/>
      <c r="I17" s="690">
        <v>40</v>
      </c>
      <c r="J17" s="690">
        <v>-1.6</v>
      </c>
      <c r="K17" s="690">
        <v>-1.1000000000000001</v>
      </c>
      <c r="L17" s="691">
        <f t="shared" si="3"/>
        <v>0.25</v>
      </c>
      <c r="O17" s="692"/>
      <c r="P17" s="682"/>
    </row>
    <row r="18" spans="1:16" ht="13" x14ac:dyDescent="0.3">
      <c r="A18" s="1504"/>
      <c r="B18" s="689"/>
      <c r="C18" s="690">
        <v>25</v>
      </c>
      <c r="D18" s="690">
        <v>-0.2</v>
      </c>
      <c r="E18" s="690">
        <v>-0.5</v>
      </c>
      <c r="F18" s="691">
        <f t="shared" si="2"/>
        <v>0.15</v>
      </c>
      <c r="H18" s="689"/>
      <c r="I18" s="690">
        <v>50</v>
      </c>
      <c r="J18" s="690">
        <v>-1.5</v>
      </c>
      <c r="K18" s="690">
        <v>-1.4</v>
      </c>
      <c r="L18" s="691">
        <f t="shared" si="3"/>
        <v>5.0000000000000044E-2</v>
      </c>
      <c r="O18" s="692"/>
      <c r="P18" s="682"/>
    </row>
    <row r="19" spans="1:16" ht="13" x14ac:dyDescent="0.3">
      <c r="A19" s="1504"/>
      <c r="B19" s="689"/>
      <c r="C19" s="693">
        <v>30</v>
      </c>
      <c r="D19" s="699">
        <v>-0.3</v>
      </c>
      <c r="E19" s="693">
        <v>-1</v>
      </c>
      <c r="F19" s="691">
        <f t="shared" si="2"/>
        <v>0.35</v>
      </c>
      <c r="H19" s="689"/>
      <c r="I19" s="693">
        <v>60</v>
      </c>
      <c r="J19" s="699">
        <v>-1.3</v>
      </c>
      <c r="K19" s="693">
        <v>-1.3</v>
      </c>
      <c r="L19" s="691">
        <f t="shared" si="3"/>
        <v>0</v>
      </c>
      <c r="O19" s="692"/>
      <c r="P19" s="682"/>
    </row>
    <row r="20" spans="1:16" ht="13" x14ac:dyDescent="0.3">
      <c r="A20" s="1504"/>
      <c r="B20" s="689"/>
      <c r="C20" s="693">
        <v>35</v>
      </c>
      <c r="D20" s="699">
        <v>-0.3</v>
      </c>
      <c r="E20" s="693">
        <v>-1.6</v>
      </c>
      <c r="F20" s="691">
        <f t="shared" si="2"/>
        <v>0.65</v>
      </c>
      <c r="H20" s="689"/>
      <c r="I20" s="693">
        <v>70</v>
      </c>
      <c r="J20" s="699">
        <v>-1.1000000000000001</v>
      </c>
      <c r="K20" s="693">
        <v>-1</v>
      </c>
      <c r="L20" s="691">
        <f t="shared" si="3"/>
        <v>5.0000000000000044E-2</v>
      </c>
      <c r="O20" s="692"/>
      <c r="P20" s="682"/>
    </row>
    <row r="21" spans="1:16" ht="13" x14ac:dyDescent="0.3">
      <c r="A21" s="1504"/>
      <c r="B21" s="689"/>
      <c r="C21" s="693">
        <v>37</v>
      </c>
      <c r="D21" s="699">
        <v>-0.3</v>
      </c>
      <c r="E21" s="693">
        <v>-1.8</v>
      </c>
      <c r="F21" s="691">
        <f t="shared" si="2"/>
        <v>0.75</v>
      </c>
      <c r="H21" s="689"/>
      <c r="I21" s="693">
        <v>80</v>
      </c>
      <c r="J21" s="699">
        <v>-0.7</v>
      </c>
      <c r="K21" s="693">
        <v>-0.4</v>
      </c>
      <c r="L21" s="691">
        <f t="shared" si="3"/>
        <v>0.14999999999999997</v>
      </c>
      <c r="O21" s="692"/>
      <c r="P21" s="682"/>
    </row>
    <row r="22" spans="1:16" ht="13.5" thickBot="1" x14ac:dyDescent="0.35">
      <c r="A22" s="1505"/>
      <c r="B22" s="689"/>
      <c r="C22" s="693">
        <v>40</v>
      </c>
      <c r="D22" s="699">
        <v>-0.3</v>
      </c>
      <c r="E22" s="693">
        <v>-2.1</v>
      </c>
      <c r="F22" s="691">
        <f t="shared" si="2"/>
        <v>0.9</v>
      </c>
      <c r="G22" s="695"/>
      <c r="H22" s="689"/>
      <c r="I22" s="693">
        <v>90</v>
      </c>
      <c r="J22" s="699">
        <v>-0.3</v>
      </c>
      <c r="K22" s="693">
        <v>0.6</v>
      </c>
      <c r="L22" s="691">
        <f t="shared" si="3"/>
        <v>0.44999999999999996</v>
      </c>
      <c r="M22" s="695"/>
      <c r="N22" s="695"/>
      <c r="O22" s="696"/>
      <c r="P22" s="682"/>
    </row>
    <row r="23" spans="1:16" ht="13.5" thickBot="1" x14ac:dyDescent="0.35">
      <c r="A23" s="697"/>
      <c r="B23" s="697"/>
      <c r="O23" s="692"/>
      <c r="P23" s="682"/>
    </row>
    <row r="24" spans="1:16" ht="13" x14ac:dyDescent="0.3">
      <c r="A24" s="1503">
        <v>3</v>
      </c>
      <c r="B24" s="1506" t="s">
        <v>179</v>
      </c>
      <c r="C24" s="1506"/>
      <c r="D24" s="1506"/>
      <c r="E24" s="1506"/>
      <c r="F24" s="1506"/>
      <c r="G24" s="684"/>
      <c r="H24" s="1506" t="str">
        <f>B24</f>
        <v>KOREKSI KIMO THERMOHYGROMETER 14082463</v>
      </c>
      <c r="I24" s="1506"/>
      <c r="J24" s="1506"/>
      <c r="K24" s="1506"/>
      <c r="L24" s="1506"/>
      <c r="M24" s="684"/>
      <c r="N24" s="1507" t="s">
        <v>80</v>
      </c>
      <c r="O24" s="1507"/>
      <c r="P24" s="682"/>
    </row>
    <row r="25" spans="1:16" ht="13" x14ac:dyDescent="0.3">
      <c r="A25" s="1504"/>
      <c r="B25" s="1508" t="s">
        <v>74</v>
      </c>
      <c r="C25" s="1508"/>
      <c r="D25" s="1508" t="s">
        <v>62</v>
      </c>
      <c r="E25" s="1508"/>
      <c r="F25" s="1508" t="s">
        <v>63</v>
      </c>
      <c r="H25" s="1508" t="s">
        <v>73</v>
      </c>
      <c r="I25" s="1508"/>
      <c r="J25" s="1508" t="s">
        <v>62</v>
      </c>
      <c r="K25" s="1508"/>
      <c r="L25" s="1508" t="s">
        <v>63</v>
      </c>
      <c r="N25" s="685" t="s">
        <v>74</v>
      </c>
      <c r="O25" s="698">
        <v>0.3</v>
      </c>
      <c r="P25" s="682"/>
    </row>
    <row r="26" spans="1:16" ht="14.5" x14ac:dyDescent="0.3">
      <c r="A26" s="1504"/>
      <c r="B26" s="1501" t="s">
        <v>177</v>
      </c>
      <c r="C26" s="1501"/>
      <c r="D26" s="687">
        <v>2018</v>
      </c>
      <c r="E26" s="687">
        <v>2017</v>
      </c>
      <c r="F26" s="1508"/>
      <c r="H26" s="1502" t="s">
        <v>133</v>
      </c>
      <c r="I26" s="1501"/>
      <c r="J26" s="688">
        <f>D26</f>
        <v>2018</v>
      </c>
      <c r="K26" s="688">
        <f>E26</f>
        <v>2017</v>
      </c>
      <c r="L26" s="1508"/>
      <c r="N26" s="685" t="s">
        <v>133</v>
      </c>
      <c r="O26" s="698">
        <v>3.1</v>
      </c>
      <c r="P26" s="682"/>
    </row>
    <row r="27" spans="1:16" ht="13" x14ac:dyDescent="0.3">
      <c r="A27" s="1504"/>
      <c r="B27" s="689"/>
      <c r="C27" s="690">
        <v>15</v>
      </c>
      <c r="D27" s="690">
        <v>0</v>
      </c>
      <c r="E27" s="690">
        <v>0.2</v>
      </c>
      <c r="F27" s="691">
        <f t="shared" ref="F27:F33" si="4">0.5*(MAX(D27:E27)-MIN(D27:E27))</f>
        <v>0.1</v>
      </c>
      <c r="H27" s="689"/>
      <c r="I27" s="690">
        <v>30</v>
      </c>
      <c r="J27" s="690">
        <v>-5.7</v>
      </c>
      <c r="K27" s="690">
        <v>-1.1000000000000001</v>
      </c>
      <c r="L27" s="691">
        <f t="shared" ref="L27:L33" si="5">0.5*(MAX(J27:K27)-MIN(J27:K27))</f>
        <v>2.2999999999999998</v>
      </c>
      <c r="O27" s="692"/>
      <c r="P27" s="682"/>
    </row>
    <row r="28" spans="1:16" ht="13" x14ac:dyDescent="0.3">
      <c r="A28" s="1504"/>
      <c r="B28" s="689"/>
      <c r="C28" s="690">
        <v>20</v>
      </c>
      <c r="D28" s="690">
        <v>0</v>
      </c>
      <c r="E28" s="690">
        <v>0</v>
      </c>
      <c r="F28" s="691">
        <f t="shared" si="4"/>
        <v>0</v>
      </c>
      <c r="H28" s="689"/>
      <c r="I28" s="690">
        <v>40</v>
      </c>
      <c r="J28" s="690">
        <v>-5.3</v>
      </c>
      <c r="K28" s="690">
        <v>-1.9</v>
      </c>
      <c r="L28" s="691">
        <f t="shared" si="5"/>
        <v>1.7</v>
      </c>
      <c r="O28" s="692"/>
      <c r="P28" s="682"/>
    </row>
    <row r="29" spans="1:16" ht="13" x14ac:dyDescent="0.3">
      <c r="A29" s="1504"/>
      <c r="B29" s="689"/>
      <c r="C29" s="690">
        <v>25</v>
      </c>
      <c r="D29" s="690">
        <v>-0.1</v>
      </c>
      <c r="E29" s="690">
        <v>-0.2</v>
      </c>
      <c r="F29" s="691">
        <f t="shared" si="4"/>
        <v>0.05</v>
      </c>
      <c r="H29" s="689"/>
      <c r="I29" s="690">
        <v>50</v>
      </c>
      <c r="J29" s="690">
        <v>-4.9000000000000004</v>
      </c>
      <c r="K29" s="690">
        <v>-2.2999999999999998</v>
      </c>
      <c r="L29" s="691">
        <f t="shared" si="5"/>
        <v>1.3000000000000003</v>
      </c>
      <c r="O29" s="692"/>
      <c r="P29" s="682"/>
    </row>
    <row r="30" spans="1:16" ht="13" x14ac:dyDescent="0.3">
      <c r="A30" s="1504"/>
      <c r="B30" s="689"/>
      <c r="C30" s="693">
        <v>30</v>
      </c>
      <c r="D30" s="699">
        <v>-0.3</v>
      </c>
      <c r="E30" s="693">
        <v>-0.3</v>
      </c>
      <c r="F30" s="691">
        <f t="shared" si="4"/>
        <v>0</v>
      </c>
      <c r="H30" s="689"/>
      <c r="I30" s="693">
        <v>60</v>
      </c>
      <c r="J30" s="699">
        <v>-4.3</v>
      </c>
      <c r="K30" s="693">
        <v>-2.2000000000000002</v>
      </c>
      <c r="L30" s="691">
        <f t="shared" si="5"/>
        <v>1.0499999999999998</v>
      </c>
      <c r="O30" s="692"/>
      <c r="P30" s="682"/>
    </row>
    <row r="31" spans="1:16" ht="13" x14ac:dyDescent="0.3">
      <c r="A31" s="1504"/>
      <c r="B31" s="689"/>
      <c r="C31" s="693">
        <v>35</v>
      </c>
      <c r="D31" s="699">
        <v>-0.5</v>
      </c>
      <c r="E31" s="693">
        <v>-0.4</v>
      </c>
      <c r="F31" s="691">
        <f t="shared" si="4"/>
        <v>4.9999999999999989E-2</v>
      </c>
      <c r="H31" s="689"/>
      <c r="I31" s="693">
        <v>70</v>
      </c>
      <c r="J31" s="699">
        <v>-3.6</v>
      </c>
      <c r="K31" s="693">
        <v>-1.6</v>
      </c>
      <c r="L31" s="691">
        <f t="shared" si="5"/>
        <v>1</v>
      </c>
      <c r="O31" s="692"/>
      <c r="P31" s="682"/>
    </row>
    <row r="32" spans="1:16" ht="13" x14ac:dyDescent="0.3">
      <c r="A32" s="1504"/>
      <c r="B32" s="689"/>
      <c r="C32" s="693">
        <v>37</v>
      </c>
      <c r="D32" s="699">
        <v>-0.6</v>
      </c>
      <c r="E32" s="693">
        <v>-0.5</v>
      </c>
      <c r="F32" s="691">
        <f t="shared" si="4"/>
        <v>4.9999999999999989E-2</v>
      </c>
      <c r="H32" s="689"/>
      <c r="I32" s="693">
        <v>80</v>
      </c>
      <c r="J32" s="699">
        <v>-2.9</v>
      </c>
      <c r="K32" s="693">
        <v>-0.6</v>
      </c>
      <c r="L32" s="691">
        <f t="shared" si="5"/>
        <v>1.1499999999999999</v>
      </c>
      <c r="O32" s="692"/>
      <c r="P32" s="682"/>
    </row>
    <row r="33" spans="1:16" ht="13.5" thickBot="1" x14ac:dyDescent="0.35">
      <c r="A33" s="1505"/>
      <c r="B33" s="689"/>
      <c r="C33" s="693">
        <v>40</v>
      </c>
      <c r="D33" s="699">
        <v>-0.7</v>
      </c>
      <c r="E33" s="693">
        <v>-0.5</v>
      </c>
      <c r="F33" s="691">
        <f t="shared" si="4"/>
        <v>9.9999999999999978E-2</v>
      </c>
      <c r="G33" s="695"/>
      <c r="H33" s="689"/>
      <c r="I33" s="693">
        <v>90</v>
      </c>
      <c r="J33" s="699">
        <v>-2</v>
      </c>
      <c r="K33" s="693">
        <v>0.9</v>
      </c>
      <c r="L33" s="691">
        <f t="shared" si="5"/>
        <v>1.45</v>
      </c>
      <c r="M33" s="695"/>
      <c r="N33" s="695"/>
      <c r="O33" s="696"/>
      <c r="P33" s="682"/>
    </row>
    <row r="34" spans="1:16" ht="13.5" thickBot="1" x14ac:dyDescent="0.35">
      <c r="A34" s="697"/>
      <c r="B34" s="697"/>
      <c r="H34" s="700"/>
      <c r="O34" s="692"/>
      <c r="P34" s="682"/>
    </row>
    <row r="35" spans="1:16" ht="13.5" thickBot="1" x14ac:dyDescent="0.35">
      <c r="A35" s="1480">
        <v>4</v>
      </c>
      <c r="B35" s="1483" t="s">
        <v>180</v>
      </c>
      <c r="C35" s="1484"/>
      <c r="D35" s="1484"/>
      <c r="E35" s="1484"/>
      <c r="F35" s="1485"/>
      <c r="G35" s="684"/>
      <c r="H35" s="1483" t="str">
        <f>B35</f>
        <v>KOREKSI KIMO THERMOHYGROMETER 15062872</v>
      </c>
      <c r="I35" s="1484"/>
      <c r="J35" s="1484"/>
      <c r="K35" s="1484"/>
      <c r="L35" s="1485"/>
      <c r="M35" s="684"/>
      <c r="N35" s="1496" t="s">
        <v>80</v>
      </c>
      <c r="O35" s="1497"/>
      <c r="P35" s="682"/>
    </row>
    <row r="36" spans="1:16" ht="13.5" thickBot="1" x14ac:dyDescent="0.35">
      <c r="A36" s="1481"/>
      <c r="B36" s="1486" t="s">
        <v>74</v>
      </c>
      <c r="C36" s="1487"/>
      <c r="D36" s="1488" t="s">
        <v>62</v>
      </c>
      <c r="E36" s="1489"/>
      <c r="F36" s="1490" t="s">
        <v>63</v>
      </c>
      <c r="H36" s="1486" t="s">
        <v>73</v>
      </c>
      <c r="I36" s="1487"/>
      <c r="J36" s="1488" t="s">
        <v>62</v>
      </c>
      <c r="K36" s="1489"/>
      <c r="L36" s="1490" t="s">
        <v>63</v>
      </c>
      <c r="N36" s="701" t="s">
        <v>74</v>
      </c>
      <c r="O36" s="702">
        <v>0.6</v>
      </c>
      <c r="P36" s="682"/>
    </row>
    <row r="37" spans="1:16" ht="15" thickBot="1" x14ac:dyDescent="0.35">
      <c r="A37" s="1481"/>
      <c r="B37" s="1492" t="s">
        <v>177</v>
      </c>
      <c r="C37" s="1493"/>
      <c r="D37" s="703">
        <v>2017</v>
      </c>
      <c r="E37" s="703">
        <v>2015</v>
      </c>
      <c r="F37" s="1491"/>
      <c r="H37" s="1494" t="s">
        <v>133</v>
      </c>
      <c r="I37" s="1495"/>
      <c r="J37" s="704">
        <f>D37</f>
        <v>2017</v>
      </c>
      <c r="K37" s="704">
        <f>E37</f>
        <v>2015</v>
      </c>
      <c r="L37" s="1491"/>
      <c r="N37" s="705" t="s">
        <v>133</v>
      </c>
      <c r="O37" s="706">
        <v>2.6</v>
      </c>
      <c r="P37" s="682"/>
    </row>
    <row r="38" spans="1:16" ht="13" x14ac:dyDescent="0.3">
      <c r="A38" s="1481"/>
      <c r="C38" s="707">
        <v>15</v>
      </c>
      <c r="D38" s="708">
        <v>-0.1</v>
      </c>
      <c r="E38" s="708">
        <v>0.4</v>
      </c>
      <c r="F38" s="709">
        <f t="shared" ref="F38:F44" si="6">0.5*(MAX(D38:E38)-MIN(D38:E38))</f>
        <v>0.25</v>
      </c>
      <c r="H38" s="697"/>
      <c r="I38" s="707">
        <v>35</v>
      </c>
      <c r="J38" s="708">
        <v>-1.7</v>
      </c>
      <c r="K38" s="708">
        <v>-0.8</v>
      </c>
      <c r="L38" s="709">
        <f t="shared" ref="L38:L44" si="7">0.5*(MAX(J38:K38)-MIN(J38:K38))</f>
        <v>0.44999999999999996</v>
      </c>
      <c r="O38" s="692"/>
      <c r="P38" s="682"/>
    </row>
    <row r="39" spans="1:16" ht="13" x14ac:dyDescent="0.3">
      <c r="A39" s="1481"/>
      <c r="C39" s="710">
        <v>20</v>
      </c>
      <c r="D39" s="690">
        <v>-0.3</v>
      </c>
      <c r="E39" s="690">
        <v>0</v>
      </c>
      <c r="F39" s="711">
        <f>0.5*(MAX(D39:E39)-MIN(D39:E39))</f>
        <v>0.15</v>
      </c>
      <c r="H39" s="697"/>
      <c r="I39" s="710">
        <v>40</v>
      </c>
      <c r="J39" s="690">
        <v>-1.5</v>
      </c>
      <c r="K39" s="690">
        <v>-0.9</v>
      </c>
      <c r="L39" s="711">
        <f t="shared" si="7"/>
        <v>0.3</v>
      </c>
      <c r="O39" s="692"/>
      <c r="P39" s="682"/>
    </row>
    <row r="40" spans="1:16" ht="13" x14ac:dyDescent="0.3">
      <c r="A40" s="1481"/>
      <c r="C40" s="710">
        <v>25</v>
      </c>
      <c r="D40" s="690">
        <v>-0.5</v>
      </c>
      <c r="E40" s="690">
        <v>-0.5</v>
      </c>
      <c r="F40" s="711">
        <f t="shared" si="6"/>
        <v>0</v>
      </c>
      <c r="H40" s="697"/>
      <c r="I40" s="710">
        <v>50</v>
      </c>
      <c r="J40" s="690">
        <v>-1</v>
      </c>
      <c r="K40" s="690">
        <v>-1</v>
      </c>
      <c r="L40" s="711">
        <f t="shared" si="7"/>
        <v>0</v>
      </c>
      <c r="O40" s="692"/>
      <c r="P40" s="682"/>
    </row>
    <row r="41" spans="1:16" ht="13" x14ac:dyDescent="0.3">
      <c r="A41" s="1481"/>
      <c r="C41" s="712">
        <v>30</v>
      </c>
      <c r="D41" s="694">
        <v>-0.6</v>
      </c>
      <c r="E41" s="693">
        <v>-1</v>
      </c>
      <c r="F41" s="711">
        <f t="shared" si="6"/>
        <v>0.2</v>
      </c>
      <c r="H41" s="697"/>
      <c r="I41" s="712">
        <v>60</v>
      </c>
      <c r="J41" s="694">
        <v>-0.3</v>
      </c>
      <c r="K41" s="693">
        <v>-0.9</v>
      </c>
      <c r="L41" s="711">
        <f t="shared" si="7"/>
        <v>0.30000000000000004</v>
      </c>
      <c r="O41" s="692"/>
      <c r="P41" s="682"/>
    </row>
    <row r="42" spans="1:16" ht="13" x14ac:dyDescent="0.3">
      <c r="A42" s="1481"/>
      <c r="C42" s="712">
        <v>35</v>
      </c>
      <c r="D42" s="694">
        <v>-0.6</v>
      </c>
      <c r="E42" s="693">
        <v>-1.5</v>
      </c>
      <c r="F42" s="711">
        <f t="shared" si="6"/>
        <v>0.45</v>
      </c>
      <c r="H42" s="697"/>
      <c r="I42" s="712">
        <v>70</v>
      </c>
      <c r="J42" s="694">
        <v>0.7</v>
      </c>
      <c r="K42" s="693">
        <v>-0.7</v>
      </c>
      <c r="L42" s="711">
        <f t="shared" si="7"/>
        <v>0.7</v>
      </c>
      <c r="O42" s="692"/>
      <c r="P42" s="682"/>
    </row>
    <row r="43" spans="1:16" ht="13" x14ac:dyDescent="0.3">
      <c r="A43" s="1481"/>
      <c r="C43" s="712">
        <v>37</v>
      </c>
      <c r="D43" s="694">
        <v>-0.6</v>
      </c>
      <c r="E43" s="693">
        <v>-1.8</v>
      </c>
      <c r="F43" s="711">
        <f t="shared" si="6"/>
        <v>0.60000000000000009</v>
      </c>
      <c r="H43" s="697"/>
      <c r="I43" s="712">
        <v>80</v>
      </c>
      <c r="J43" s="694">
        <v>1.9</v>
      </c>
      <c r="K43" s="693">
        <v>-0.4</v>
      </c>
      <c r="L43" s="711">
        <f t="shared" si="7"/>
        <v>1.1499999999999999</v>
      </c>
      <c r="O43" s="692"/>
      <c r="P43" s="682"/>
    </row>
    <row r="44" spans="1:16" ht="13.5" thickBot="1" x14ac:dyDescent="0.35">
      <c r="A44" s="1482"/>
      <c r="B44" s="695"/>
      <c r="C44" s="713">
        <v>40</v>
      </c>
      <c r="D44" s="694">
        <v>-0.6</v>
      </c>
      <c r="E44" s="714">
        <v>-2.1</v>
      </c>
      <c r="F44" s="715">
        <f t="shared" si="6"/>
        <v>0.75</v>
      </c>
      <c r="G44" s="695"/>
      <c r="H44" s="716"/>
      <c r="I44" s="713">
        <v>90</v>
      </c>
      <c r="J44" s="717">
        <v>3.3</v>
      </c>
      <c r="K44" s="714">
        <v>0.2</v>
      </c>
      <c r="L44" s="715">
        <f t="shared" si="7"/>
        <v>1.5499999999999998</v>
      </c>
      <c r="M44" s="695"/>
      <c r="N44" s="695"/>
      <c r="O44" s="696"/>
      <c r="P44" s="682"/>
    </row>
    <row r="45" spans="1:16" ht="13.5" thickBot="1" x14ac:dyDescent="0.35">
      <c r="A45" s="697"/>
      <c r="B45" s="697"/>
      <c r="O45" s="692"/>
      <c r="P45" s="682"/>
    </row>
    <row r="46" spans="1:16" ht="13.5" thickBot="1" x14ac:dyDescent="0.35">
      <c r="A46" s="1480">
        <v>5</v>
      </c>
      <c r="B46" s="1483" t="s">
        <v>181</v>
      </c>
      <c r="C46" s="1484"/>
      <c r="D46" s="1484"/>
      <c r="E46" s="1484"/>
      <c r="F46" s="1485"/>
      <c r="G46" s="684"/>
      <c r="H46" s="1483" t="str">
        <f>B46</f>
        <v>KOREKSI KIMO THERMOHYGROMETER 15062875</v>
      </c>
      <c r="I46" s="1484"/>
      <c r="J46" s="1484"/>
      <c r="K46" s="1484"/>
      <c r="L46" s="1485"/>
      <c r="M46" s="684"/>
      <c r="N46" s="1496" t="s">
        <v>80</v>
      </c>
      <c r="O46" s="1497"/>
      <c r="P46" s="682"/>
    </row>
    <row r="47" spans="1:16" ht="13.5" thickBot="1" x14ac:dyDescent="0.35">
      <c r="A47" s="1481"/>
      <c r="B47" s="1486" t="s">
        <v>74</v>
      </c>
      <c r="C47" s="1487"/>
      <c r="D47" s="1488" t="s">
        <v>62</v>
      </c>
      <c r="E47" s="1489"/>
      <c r="F47" s="1490" t="s">
        <v>63</v>
      </c>
      <c r="H47" s="1486" t="s">
        <v>73</v>
      </c>
      <c r="I47" s="1487"/>
      <c r="J47" s="1488" t="s">
        <v>62</v>
      </c>
      <c r="K47" s="1489"/>
      <c r="L47" s="1490" t="s">
        <v>63</v>
      </c>
      <c r="N47" s="701" t="s">
        <v>74</v>
      </c>
      <c r="O47" s="702">
        <v>0.4</v>
      </c>
      <c r="P47" s="682"/>
    </row>
    <row r="48" spans="1:16" ht="15" thickBot="1" x14ac:dyDescent="0.35">
      <c r="A48" s="1481"/>
      <c r="B48" s="1492" t="s">
        <v>177</v>
      </c>
      <c r="C48" s="1493"/>
      <c r="D48" s="703">
        <v>2020</v>
      </c>
      <c r="E48" s="703">
        <v>2017</v>
      </c>
      <c r="F48" s="1491"/>
      <c r="H48" s="1494" t="s">
        <v>133</v>
      </c>
      <c r="I48" s="1495"/>
      <c r="J48" s="704">
        <f>D48</f>
        <v>2020</v>
      </c>
      <c r="K48" s="704">
        <f>E48</f>
        <v>2017</v>
      </c>
      <c r="L48" s="1491"/>
      <c r="N48" s="705" t="s">
        <v>133</v>
      </c>
      <c r="O48" s="706">
        <v>2.8</v>
      </c>
      <c r="P48" s="682"/>
    </row>
    <row r="49" spans="1:16" ht="13" x14ac:dyDescent="0.3">
      <c r="A49" s="1481"/>
      <c r="C49" s="707">
        <v>15</v>
      </c>
      <c r="D49" s="708">
        <v>-0.3</v>
      </c>
      <c r="E49" s="708">
        <v>0.3</v>
      </c>
      <c r="F49" s="709">
        <f t="shared" ref="F49:F55" si="8">0.5*(MAX(D49:E49)-MIN(D49:E49))</f>
        <v>0.3</v>
      </c>
      <c r="H49" s="697"/>
      <c r="I49" s="707">
        <v>35</v>
      </c>
      <c r="J49" s="708">
        <v>-7.7</v>
      </c>
      <c r="K49" s="708">
        <v>-9.6</v>
      </c>
      <c r="L49" s="709">
        <f t="shared" ref="L49:L55" si="9">0.5*(MAX(J49:K49)-MIN(J49:K49))</f>
        <v>0.94999999999999973</v>
      </c>
      <c r="O49" s="692"/>
      <c r="P49" s="682"/>
    </row>
    <row r="50" spans="1:16" ht="13" x14ac:dyDescent="0.3">
      <c r="A50" s="1481"/>
      <c r="C50" s="710">
        <v>20</v>
      </c>
      <c r="D50" s="690">
        <v>0.1</v>
      </c>
      <c r="E50" s="690">
        <v>0.3</v>
      </c>
      <c r="F50" s="711">
        <f t="shared" si="8"/>
        <v>9.9999999999999992E-2</v>
      </c>
      <c r="H50" s="697"/>
      <c r="I50" s="710">
        <v>40</v>
      </c>
      <c r="J50" s="690">
        <v>-7.2</v>
      </c>
      <c r="K50" s="690">
        <v>-8</v>
      </c>
      <c r="L50" s="711">
        <f t="shared" si="9"/>
        <v>0.39999999999999991</v>
      </c>
      <c r="O50" s="692"/>
      <c r="P50" s="682"/>
    </row>
    <row r="51" spans="1:16" ht="13" x14ac:dyDescent="0.3">
      <c r="A51" s="1481"/>
      <c r="C51" s="710">
        <v>25</v>
      </c>
      <c r="D51" s="690">
        <v>0.4</v>
      </c>
      <c r="E51" s="690">
        <v>0.2</v>
      </c>
      <c r="F51" s="711">
        <f t="shared" si="8"/>
        <v>0.1</v>
      </c>
      <c r="H51" s="697"/>
      <c r="I51" s="710">
        <v>50</v>
      </c>
      <c r="J51" s="690">
        <v>-6.2</v>
      </c>
      <c r="K51" s="690">
        <v>-6.2</v>
      </c>
      <c r="L51" s="711">
        <f t="shared" si="9"/>
        <v>0</v>
      </c>
      <c r="O51" s="692"/>
      <c r="P51" s="682"/>
    </row>
    <row r="52" spans="1:16" ht="13" x14ac:dyDescent="0.3">
      <c r="A52" s="1481"/>
      <c r="C52" s="712">
        <v>30</v>
      </c>
      <c r="D52" s="694">
        <v>0.6</v>
      </c>
      <c r="E52" s="694">
        <v>0.1</v>
      </c>
      <c r="F52" s="711">
        <f t="shared" si="8"/>
        <v>0.25</v>
      </c>
      <c r="H52" s="697"/>
      <c r="I52" s="712">
        <v>60</v>
      </c>
      <c r="J52" s="694">
        <v>-5.2</v>
      </c>
      <c r="K52" s="694">
        <v>-4.2</v>
      </c>
      <c r="L52" s="711">
        <f t="shared" si="9"/>
        <v>0.5</v>
      </c>
      <c r="O52" s="692"/>
      <c r="P52" s="682"/>
    </row>
    <row r="53" spans="1:16" ht="13" x14ac:dyDescent="0.3">
      <c r="A53" s="1481"/>
      <c r="C53" s="712">
        <v>35</v>
      </c>
      <c r="D53" s="694">
        <v>0.7</v>
      </c>
      <c r="E53" s="694">
        <v>0</v>
      </c>
      <c r="F53" s="711">
        <f t="shared" si="8"/>
        <v>0.35</v>
      </c>
      <c r="H53" s="697"/>
      <c r="I53" s="712">
        <v>70</v>
      </c>
      <c r="J53" s="694">
        <v>-4.0999999999999996</v>
      </c>
      <c r="K53" s="694">
        <v>-2.1</v>
      </c>
      <c r="L53" s="711">
        <f t="shared" si="9"/>
        <v>0.99999999999999978</v>
      </c>
      <c r="O53" s="692"/>
      <c r="P53" s="682"/>
    </row>
    <row r="54" spans="1:16" ht="13" x14ac:dyDescent="0.3">
      <c r="A54" s="1481"/>
      <c r="C54" s="712">
        <v>37</v>
      </c>
      <c r="D54" s="694">
        <v>0.7</v>
      </c>
      <c r="E54" s="694">
        <v>0</v>
      </c>
      <c r="F54" s="711">
        <f t="shared" si="8"/>
        <v>0.35</v>
      </c>
      <c r="H54" s="697"/>
      <c r="I54" s="712">
        <v>80</v>
      </c>
      <c r="J54" s="694">
        <v>-3</v>
      </c>
      <c r="K54" s="694">
        <v>0.2</v>
      </c>
      <c r="L54" s="711">
        <f t="shared" si="9"/>
        <v>1.6</v>
      </c>
      <c r="O54" s="692"/>
      <c r="P54" s="682"/>
    </row>
    <row r="55" spans="1:16" ht="13.5" thickBot="1" x14ac:dyDescent="0.35">
      <c r="A55" s="1482"/>
      <c r="B55" s="695"/>
      <c r="C55" s="713">
        <v>40</v>
      </c>
      <c r="D55" s="717">
        <v>0.7</v>
      </c>
      <c r="E55" s="717">
        <v>-0.1</v>
      </c>
      <c r="F55" s="715">
        <f t="shared" si="8"/>
        <v>0.39999999999999997</v>
      </c>
      <c r="G55" s="695"/>
      <c r="H55" s="716"/>
      <c r="I55" s="713">
        <v>90</v>
      </c>
      <c r="J55" s="717">
        <v>-1.8</v>
      </c>
      <c r="K55" s="717">
        <v>2.7</v>
      </c>
      <c r="L55" s="715">
        <f t="shared" si="9"/>
        <v>2.25</v>
      </c>
      <c r="M55" s="695"/>
      <c r="N55" s="695"/>
      <c r="O55" s="696"/>
      <c r="P55" s="682"/>
    </row>
    <row r="56" spans="1:16" ht="13.5" thickBot="1" x14ac:dyDescent="0.35">
      <c r="A56" s="718"/>
      <c r="B56" s="719"/>
      <c r="C56" s="719"/>
      <c r="D56" s="719"/>
      <c r="E56" s="720"/>
      <c r="F56" s="721"/>
      <c r="G56" s="722"/>
      <c r="H56" s="719"/>
      <c r="I56" s="719"/>
      <c r="J56" s="719"/>
      <c r="K56" s="720"/>
      <c r="L56" s="721"/>
      <c r="O56" s="692"/>
      <c r="P56" s="682"/>
    </row>
    <row r="57" spans="1:16" ht="13.5" thickBot="1" x14ac:dyDescent="0.35">
      <c r="A57" s="1480">
        <v>6</v>
      </c>
      <c r="B57" s="1483" t="s">
        <v>182</v>
      </c>
      <c r="C57" s="1484"/>
      <c r="D57" s="1484"/>
      <c r="E57" s="1484"/>
      <c r="F57" s="1485"/>
      <c r="G57" s="684"/>
      <c r="H57" s="1483" t="str">
        <f>B57</f>
        <v>KOREKSI GREISINGER 34903046</v>
      </c>
      <c r="I57" s="1484"/>
      <c r="J57" s="1484"/>
      <c r="K57" s="1484"/>
      <c r="L57" s="1485"/>
      <c r="M57" s="684"/>
      <c r="N57" s="1496" t="s">
        <v>80</v>
      </c>
      <c r="O57" s="1497"/>
      <c r="P57" s="682"/>
    </row>
    <row r="58" spans="1:16" ht="13.5" thickBot="1" x14ac:dyDescent="0.35">
      <c r="A58" s="1481"/>
      <c r="B58" s="1486" t="s">
        <v>74</v>
      </c>
      <c r="C58" s="1487"/>
      <c r="D58" s="1488" t="s">
        <v>62</v>
      </c>
      <c r="E58" s="1489"/>
      <c r="F58" s="1490" t="s">
        <v>63</v>
      </c>
      <c r="H58" s="1486" t="s">
        <v>73</v>
      </c>
      <c r="I58" s="1487"/>
      <c r="J58" s="1488" t="s">
        <v>62</v>
      </c>
      <c r="K58" s="1489"/>
      <c r="L58" s="1490" t="s">
        <v>63</v>
      </c>
      <c r="N58" s="701" t="s">
        <v>74</v>
      </c>
      <c r="O58" s="702">
        <v>0.8</v>
      </c>
      <c r="P58" s="682"/>
    </row>
    <row r="59" spans="1:16" ht="15" thickBot="1" x14ac:dyDescent="0.35">
      <c r="A59" s="1481"/>
      <c r="B59" s="1492" t="s">
        <v>177</v>
      </c>
      <c r="C59" s="1493"/>
      <c r="D59" s="703">
        <v>2019</v>
      </c>
      <c r="E59" s="703">
        <v>2018</v>
      </c>
      <c r="F59" s="1491"/>
      <c r="H59" s="1494" t="s">
        <v>133</v>
      </c>
      <c r="I59" s="1495"/>
      <c r="J59" s="704">
        <f>D59</f>
        <v>2019</v>
      </c>
      <c r="K59" s="704">
        <f>E59</f>
        <v>2018</v>
      </c>
      <c r="L59" s="1491"/>
      <c r="N59" s="705" t="s">
        <v>133</v>
      </c>
      <c r="O59" s="723">
        <v>2.6</v>
      </c>
      <c r="P59" s="682"/>
    </row>
    <row r="60" spans="1:16" ht="13" x14ac:dyDescent="0.3">
      <c r="A60" s="1481"/>
      <c r="C60" s="707">
        <v>15</v>
      </c>
      <c r="D60" s="708">
        <v>0.4</v>
      </c>
      <c r="E60" s="708">
        <v>0.4</v>
      </c>
      <c r="F60" s="709">
        <f t="shared" ref="F60:F66" si="10">0.5*(MAX(D60:E60)-MIN(D60:E60))</f>
        <v>0</v>
      </c>
      <c r="H60" s="697"/>
      <c r="I60" s="707">
        <v>30</v>
      </c>
      <c r="J60" s="708">
        <v>-1.5</v>
      </c>
      <c r="K60" s="708">
        <v>-4.9000000000000004</v>
      </c>
      <c r="L60" s="709">
        <f t="shared" ref="L60:L66" si="11">0.5*(MAX(J60:K60)-MIN(J60:K60))</f>
        <v>1.7000000000000002</v>
      </c>
      <c r="O60" s="692"/>
      <c r="P60" s="682"/>
    </row>
    <row r="61" spans="1:16" ht="13" x14ac:dyDescent="0.3">
      <c r="A61" s="1481"/>
      <c r="C61" s="710">
        <v>20</v>
      </c>
      <c r="D61" s="690">
        <v>0.3</v>
      </c>
      <c r="E61" s="690">
        <v>0.2</v>
      </c>
      <c r="F61" s="711">
        <f t="shared" si="10"/>
        <v>4.9999999999999989E-2</v>
      </c>
      <c r="H61" s="697"/>
      <c r="I61" s="710">
        <v>40</v>
      </c>
      <c r="J61" s="690">
        <v>-3.8</v>
      </c>
      <c r="K61" s="690">
        <v>-3.4</v>
      </c>
      <c r="L61" s="711">
        <f t="shared" si="11"/>
        <v>0.19999999999999996</v>
      </c>
      <c r="O61" s="692"/>
      <c r="P61" s="682"/>
    </row>
    <row r="62" spans="1:16" ht="13" x14ac:dyDescent="0.3">
      <c r="A62" s="1481"/>
      <c r="C62" s="710">
        <v>25</v>
      </c>
      <c r="D62" s="690">
        <v>0.2</v>
      </c>
      <c r="E62" s="690">
        <v>-0.1</v>
      </c>
      <c r="F62" s="711">
        <f t="shared" si="10"/>
        <v>0.15000000000000002</v>
      </c>
      <c r="H62" s="697"/>
      <c r="I62" s="710">
        <v>50</v>
      </c>
      <c r="J62" s="690">
        <v>-5.4</v>
      </c>
      <c r="K62" s="690">
        <v>-2.5</v>
      </c>
      <c r="L62" s="711">
        <f t="shared" si="11"/>
        <v>1.4500000000000002</v>
      </c>
      <c r="O62" s="692"/>
      <c r="P62" s="682"/>
    </row>
    <row r="63" spans="1:16" ht="13" x14ac:dyDescent="0.3">
      <c r="A63" s="1481"/>
      <c r="C63" s="712">
        <v>30</v>
      </c>
      <c r="D63" s="693">
        <v>0.1</v>
      </c>
      <c r="E63" s="693">
        <v>-0.5</v>
      </c>
      <c r="F63" s="711">
        <f t="shared" si="10"/>
        <v>0.3</v>
      </c>
      <c r="H63" s="697"/>
      <c r="I63" s="712">
        <v>60</v>
      </c>
      <c r="J63" s="693">
        <v>-6.4</v>
      </c>
      <c r="K63" s="693">
        <v>-2</v>
      </c>
      <c r="L63" s="711">
        <f t="shared" si="11"/>
        <v>2.2000000000000002</v>
      </c>
      <c r="O63" s="692"/>
      <c r="P63" s="682"/>
    </row>
    <row r="64" spans="1:16" ht="13" x14ac:dyDescent="0.3">
      <c r="A64" s="1481"/>
      <c r="C64" s="712">
        <v>35</v>
      </c>
      <c r="D64" s="693">
        <v>0.1</v>
      </c>
      <c r="E64" s="693">
        <v>-0.9</v>
      </c>
      <c r="F64" s="711">
        <f t="shared" si="10"/>
        <v>0.5</v>
      </c>
      <c r="H64" s="697"/>
      <c r="I64" s="712">
        <v>70</v>
      </c>
      <c r="J64" s="693">
        <v>-6.7</v>
      </c>
      <c r="K64" s="693">
        <v>-2.1</v>
      </c>
      <c r="L64" s="711">
        <f t="shared" si="11"/>
        <v>2.2999999999999998</v>
      </c>
      <c r="O64" s="692"/>
      <c r="P64" s="682"/>
    </row>
    <row r="65" spans="1:16" ht="13" x14ac:dyDescent="0.3">
      <c r="A65" s="1481"/>
      <c r="C65" s="712">
        <v>37</v>
      </c>
      <c r="D65" s="693">
        <v>0.1</v>
      </c>
      <c r="E65" s="693">
        <v>-1.1000000000000001</v>
      </c>
      <c r="F65" s="711">
        <f t="shared" si="10"/>
        <v>0.60000000000000009</v>
      </c>
      <c r="H65" s="697"/>
      <c r="I65" s="712">
        <v>80</v>
      </c>
      <c r="J65" s="693">
        <v>-6.3</v>
      </c>
      <c r="K65" s="693">
        <v>-2.6</v>
      </c>
      <c r="L65" s="711">
        <f t="shared" si="11"/>
        <v>1.8499999999999999</v>
      </c>
      <c r="O65" s="692"/>
      <c r="P65" s="682"/>
    </row>
    <row r="66" spans="1:16" ht="13.5" thickBot="1" x14ac:dyDescent="0.35">
      <c r="A66" s="1482"/>
      <c r="B66" s="695"/>
      <c r="C66" s="713">
        <v>40</v>
      </c>
      <c r="D66" s="714">
        <v>0.1</v>
      </c>
      <c r="E66" s="714">
        <v>-1.4</v>
      </c>
      <c r="F66" s="715">
        <f t="shared" si="10"/>
        <v>0.75</v>
      </c>
      <c r="G66" s="695"/>
      <c r="H66" s="716"/>
      <c r="I66" s="713">
        <v>90</v>
      </c>
      <c r="J66" s="714">
        <v>-5.2</v>
      </c>
      <c r="K66" s="714">
        <v>-2.6</v>
      </c>
      <c r="L66" s="715">
        <f t="shared" si="11"/>
        <v>1.3</v>
      </c>
      <c r="M66" s="695"/>
      <c r="N66" s="695"/>
      <c r="O66" s="696"/>
      <c r="P66" s="682"/>
    </row>
    <row r="67" spans="1:16" ht="13.5" thickBot="1" x14ac:dyDescent="0.35">
      <c r="A67" s="718"/>
      <c r="B67" s="719"/>
      <c r="C67" s="719"/>
      <c r="D67" s="719"/>
      <c r="E67" s="720"/>
      <c r="F67" s="721"/>
      <c r="G67" s="722"/>
      <c r="H67" s="719"/>
      <c r="I67" s="719"/>
      <c r="J67" s="719"/>
      <c r="K67" s="720"/>
      <c r="L67" s="721"/>
      <c r="O67" s="692"/>
      <c r="P67" s="682"/>
    </row>
    <row r="68" spans="1:16" ht="13.5" thickBot="1" x14ac:dyDescent="0.35">
      <c r="A68" s="1480">
        <v>7</v>
      </c>
      <c r="B68" s="1483" t="s">
        <v>183</v>
      </c>
      <c r="C68" s="1484"/>
      <c r="D68" s="1484"/>
      <c r="E68" s="1484"/>
      <c r="F68" s="1485"/>
      <c r="G68" s="684"/>
      <c r="H68" s="1483" t="str">
        <f>B68</f>
        <v>KOREKSI GREISINGER 34903053</v>
      </c>
      <c r="I68" s="1484"/>
      <c r="J68" s="1484"/>
      <c r="K68" s="1484"/>
      <c r="L68" s="1485"/>
      <c r="M68" s="684"/>
      <c r="N68" s="1496" t="s">
        <v>80</v>
      </c>
      <c r="O68" s="1497"/>
      <c r="P68" s="682"/>
    </row>
    <row r="69" spans="1:16" ht="13.5" thickBot="1" x14ac:dyDescent="0.35">
      <c r="A69" s="1481"/>
      <c r="B69" s="1486" t="s">
        <v>74</v>
      </c>
      <c r="C69" s="1487"/>
      <c r="D69" s="1488" t="s">
        <v>62</v>
      </c>
      <c r="E69" s="1489"/>
      <c r="F69" s="1490" t="s">
        <v>63</v>
      </c>
      <c r="H69" s="1486" t="s">
        <v>73</v>
      </c>
      <c r="I69" s="1487"/>
      <c r="J69" s="1488" t="s">
        <v>62</v>
      </c>
      <c r="K69" s="1489"/>
      <c r="L69" s="1490" t="s">
        <v>63</v>
      </c>
      <c r="N69" s="701" t="s">
        <v>74</v>
      </c>
      <c r="O69" s="702">
        <v>0.3</v>
      </c>
      <c r="P69" s="682"/>
    </row>
    <row r="70" spans="1:16" ht="15" thickBot="1" x14ac:dyDescent="0.35">
      <c r="A70" s="1481"/>
      <c r="B70" s="1492" t="s">
        <v>177</v>
      </c>
      <c r="C70" s="1493"/>
      <c r="D70" s="703">
        <v>2018</v>
      </c>
      <c r="E70" s="703">
        <v>2017</v>
      </c>
      <c r="F70" s="1491"/>
      <c r="H70" s="1494" t="s">
        <v>133</v>
      </c>
      <c r="I70" s="1495"/>
      <c r="J70" s="704">
        <f>D70</f>
        <v>2018</v>
      </c>
      <c r="K70" s="704">
        <f>E70</f>
        <v>2017</v>
      </c>
      <c r="L70" s="1491"/>
      <c r="N70" s="705" t="s">
        <v>133</v>
      </c>
      <c r="O70" s="706">
        <v>2.2999999999999998</v>
      </c>
      <c r="P70" s="682"/>
    </row>
    <row r="71" spans="1:16" ht="13" x14ac:dyDescent="0.3">
      <c r="A71" s="1481"/>
      <c r="C71" s="707">
        <v>15</v>
      </c>
      <c r="D71" s="708">
        <v>0.3</v>
      </c>
      <c r="E71" s="708">
        <v>0.2</v>
      </c>
      <c r="F71" s="709">
        <f t="shared" ref="F71:F77" si="12">0.5*(MAX(D71:E71)-MIN(D71:E71))</f>
        <v>4.9999999999999989E-2</v>
      </c>
      <c r="H71" s="697"/>
      <c r="I71" s="707">
        <v>30</v>
      </c>
      <c r="J71" s="708">
        <v>1.8</v>
      </c>
      <c r="K71" s="708">
        <v>-0.1</v>
      </c>
      <c r="L71" s="709">
        <f t="shared" ref="L71:L77" si="13">0.5*(MAX(J71:K71)-MIN(J71:K71))</f>
        <v>0.95000000000000007</v>
      </c>
      <c r="O71" s="692"/>
      <c r="P71" s="682"/>
    </row>
    <row r="72" spans="1:16" ht="13" x14ac:dyDescent="0.3">
      <c r="A72" s="1481"/>
      <c r="C72" s="710">
        <v>20</v>
      </c>
      <c r="D72" s="690">
        <v>0.1</v>
      </c>
      <c r="E72" s="690">
        <v>0.1</v>
      </c>
      <c r="F72" s="711">
        <f t="shared" si="12"/>
        <v>0</v>
      </c>
      <c r="H72" s="697"/>
      <c r="I72" s="710">
        <v>40</v>
      </c>
      <c r="J72" s="690">
        <v>1.2</v>
      </c>
      <c r="K72" s="690">
        <v>0</v>
      </c>
      <c r="L72" s="711">
        <f t="shared" si="13"/>
        <v>0.6</v>
      </c>
      <c r="O72" s="692"/>
      <c r="P72" s="682"/>
    </row>
    <row r="73" spans="1:16" ht="13" x14ac:dyDescent="0.3">
      <c r="A73" s="1481"/>
      <c r="C73" s="710">
        <v>25</v>
      </c>
      <c r="D73" s="690">
        <v>-0.2</v>
      </c>
      <c r="E73" s="690">
        <v>0</v>
      </c>
      <c r="F73" s="711">
        <f t="shared" si="12"/>
        <v>0.1</v>
      </c>
      <c r="H73" s="697"/>
      <c r="I73" s="710">
        <v>50</v>
      </c>
      <c r="J73" s="690">
        <v>0.8</v>
      </c>
      <c r="K73" s="690">
        <v>0.6</v>
      </c>
      <c r="L73" s="711">
        <f t="shared" si="13"/>
        <v>0.10000000000000003</v>
      </c>
      <c r="O73" s="692"/>
      <c r="P73" s="682"/>
    </row>
    <row r="74" spans="1:16" ht="13" x14ac:dyDescent="0.3">
      <c r="A74" s="1481"/>
      <c r="C74" s="712">
        <v>30</v>
      </c>
      <c r="D74" s="693">
        <v>-0.6</v>
      </c>
      <c r="E74" s="693">
        <v>-0.1</v>
      </c>
      <c r="F74" s="711">
        <f t="shared" si="12"/>
        <v>0.25</v>
      </c>
      <c r="H74" s="697"/>
      <c r="I74" s="712">
        <v>60</v>
      </c>
      <c r="J74" s="693">
        <v>0.7</v>
      </c>
      <c r="K74" s="693">
        <v>1.5</v>
      </c>
      <c r="L74" s="711">
        <f t="shared" si="13"/>
        <v>0.4</v>
      </c>
      <c r="O74" s="692"/>
      <c r="P74" s="682"/>
    </row>
    <row r="75" spans="1:16" ht="13" x14ac:dyDescent="0.3">
      <c r="A75" s="1481"/>
      <c r="C75" s="712">
        <v>35</v>
      </c>
      <c r="D75" s="693">
        <v>-1.1000000000000001</v>
      </c>
      <c r="E75" s="693">
        <v>-0.1</v>
      </c>
      <c r="F75" s="711">
        <f t="shared" si="12"/>
        <v>0.5</v>
      </c>
      <c r="H75" s="697"/>
      <c r="I75" s="712">
        <v>70</v>
      </c>
      <c r="J75" s="693">
        <v>0.9</v>
      </c>
      <c r="K75" s="693">
        <v>2.8</v>
      </c>
      <c r="L75" s="711">
        <f t="shared" si="13"/>
        <v>0.95</v>
      </c>
      <c r="O75" s="692"/>
      <c r="P75" s="682"/>
    </row>
    <row r="76" spans="1:16" ht="13" x14ac:dyDescent="0.3">
      <c r="A76" s="1481"/>
      <c r="C76" s="712">
        <v>37</v>
      </c>
      <c r="D76" s="693">
        <v>-1.4</v>
      </c>
      <c r="E76" s="693">
        <v>-0.1</v>
      </c>
      <c r="F76" s="711">
        <f t="shared" si="12"/>
        <v>0.64999999999999991</v>
      </c>
      <c r="H76" s="697"/>
      <c r="I76" s="712">
        <v>80</v>
      </c>
      <c r="J76" s="693">
        <v>1.2</v>
      </c>
      <c r="K76" s="693">
        <v>4.4000000000000004</v>
      </c>
      <c r="L76" s="711">
        <f t="shared" si="13"/>
        <v>1.6</v>
      </c>
      <c r="O76" s="692"/>
      <c r="P76" s="682"/>
    </row>
    <row r="77" spans="1:16" ht="13.5" thickBot="1" x14ac:dyDescent="0.35">
      <c r="A77" s="1482"/>
      <c r="B77" s="695"/>
      <c r="C77" s="713">
        <v>40</v>
      </c>
      <c r="D77" s="714">
        <v>-1.7</v>
      </c>
      <c r="E77" s="714">
        <v>-0.1</v>
      </c>
      <c r="F77" s="715">
        <f t="shared" si="12"/>
        <v>0.79999999999999993</v>
      </c>
      <c r="G77" s="695"/>
      <c r="H77" s="716"/>
      <c r="I77" s="713">
        <v>90</v>
      </c>
      <c r="J77" s="714">
        <v>1.8</v>
      </c>
      <c r="K77" s="714">
        <v>4.4000000000000004</v>
      </c>
      <c r="L77" s="715">
        <f t="shared" si="13"/>
        <v>1.3000000000000003</v>
      </c>
      <c r="M77" s="695"/>
      <c r="N77" s="695"/>
      <c r="O77" s="696"/>
      <c r="P77" s="682"/>
    </row>
    <row r="78" spans="1:16" ht="13.5" thickBot="1" x14ac:dyDescent="0.35">
      <c r="A78" s="718"/>
      <c r="B78" s="719"/>
      <c r="C78" s="719"/>
      <c r="D78" s="719"/>
      <c r="E78" s="720"/>
      <c r="F78" s="721"/>
      <c r="G78" s="722"/>
      <c r="H78" s="719"/>
      <c r="I78" s="719"/>
      <c r="J78" s="719"/>
      <c r="K78" s="720"/>
      <c r="L78" s="721"/>
      <c r="O78" s="692"/>
      <c r="P78" s="682"/>
    </row>
    <row r="79" spans="1:16" ht="13.5" thickBot="1" x14ac:dyDescent="0.35">
      <c r="A79" s="1480">
        <v>8</v>
      </c>
      <c r="B79" s="1483" t="s">
        <v>184</v>
      </c>
      <c r="C79" s="1484"/>
      <c r="D79" s="1484"/>
      <c r="E79" s="1484"/>
      <c r="F79" s="1485"/>
      <c r="G79" s="684"/>
      <c r="H79" s="1483" t="str">
        <f>B79</f>
        <v>KOREKSI GREISINGER 34903051</v>
      </c>
      <c r="I79" s="1484"/>
      <c r="J79" s="1484"/>
      <c r="K79" s="1484"/>
      <c r="L79" s="1485"/>
      <c r="M79" s="684"/>
      <c r="N79" s="1496" t="s">
        <v>80</v>
      </c>
      <c r="O79" s="1497"/>
      <c r="P79" s="682"/>
    </row>
    <row r="80" spans="1:16" ht="13.5" thickBot="1" x14ac:dyDescent="0.35">
      <c r="A80" s="1481"/>
      <c r="B80" s="1486" t="s">
        <v>74</v>
      </c>
      <c r="C80" s="1487"/>
      <c r="D80" s="1488" t="s">
        <v>62</v>
      </c>
      <c r="E80" s="1489"/>
      <c r="F80" s="1490" t="s">
        <v>63</v>
      </c>
      <c r="H80" s="1486" t="s">
        <v>73</v>
      </c>
      <c r="I80" s="1487"/>
      <c r="J80" s="1488" t="s">
        <v>62</v>
      </c>
      <c r="K80" s="1489"/>
      <c r="L80" s="1490" t="s">
        <v>63</v>
      </c>
      <c r="N80" s="701" t="s">
        <v>74</v>
      </c>
      <c r="O80" s="724">
        <v>0.3</v>
      </c>
      <c r="P80" s="682"/>
    </row>
    <row r="81" spans="1:16" ht="15" thickBot="1" x14ac:dyDescent="0.35">
      <c r="A81" s="1481"/>
      <c r="B81" s="1492" t="s">
        <v>177</v>
      </c>
      <c r="C81" s="1493"/>
      <c r="D81" s="703">
        <v>2019</v>
      </c>
      <c r="E81" s="703">
        <v>2017</v>
      </c>
      <c r="F81" s="1491"/>
      <c r="H81" s="1494" t="s">
        <v>133</v>
      </c>
      <c r="I81" s="1495"/>
      <c r="J81" s="704">
        <f>D81</f>
        <v>2019</v>
      </c>
      <c r="K81" s="704">
        <f>E81</f>
        <v>2017</v>
      </c>
      <c r="L81" s="1491"/>
      <c r="N81" s="705" t="s">
        <v>133</v>
      </c>
      <c r="O81" s="723">
        <v>2.6</v>
      </c>
      <c r="P81" s="682"/>
    </row>
    <row r="82" spans="1:16" ht="13" x14ac:dyDescent="0.3">
      <c r="A82" s="1481"/>
      <c r="C82" s="725">
        <v>15</v>
      </c>
      <c r="D82" s="708">
        <v>0</v>
      </c>
      <c r="E82" s="708">
        <v>-0.2</v>
      </c>
      <c r="F82" s="709">
        <f t="shared" ref="F82:F88" si="14">0.5*(MAX(D82:E82)-MIN(D82:E82))</f>
        <v>0.1</v>
      </c>
      <c r="H82" s="697"/>
      <c r="I82" s="725">
        <v>30</v>
      </c>
      <c r="J82" s="708">
        <v>-1.4</v>
      </c>
      <c r="K82" s="708">
        <v>1</v>
      </c>
      <c r="L82" s="709">
        <f t="shared" ref="L82:L88" si="15">0.5*(MAX(J82:K82)-MIN(J82:K82))</f>
        <v>1.2</v>
      </c>
      <c r="O82" s="692"/>
      <c r="P82" s="682"/>
    </row>
    <row r="83" spans="1:16" ht="13" x14ac:dyDescent="0.3">
      <c r="A83" s="1481"/>
      <c r="C83" s="726">
        <v>20</v>
      </c>
      <c r="D83" s="708">
        <v>-0.2</v>
      </c>
      <c r="E83" s="708">
        <v>-0.2</v>
      </c>
      <c r="F83" s="711">
        <f>0.5*(MAX(D83:E83)-MIN(D83:E83))</f>
        <v>0</v>
      </c>
      <c r="H83" s="697"/>
      <c r="I83" s="726">
        <v>40</v>
      </c>
      <c r="J83" s="690">
        <v>-1.2</v>
      </c>
      <c r="K83" s="690">
        <v>1.1000000000000001</v>
      </c>
      <c r="L83" s="711">
        <f t="shared" si="15"/>
        <v>1.1499999999999999</v>
      </c>
      <c r="O83" s="692"/>
      <c r="P83" s="682"/>
    </row>
    <row r="84" spans="1:16" ht="13" x14ac:dyDescent="0.3">
      <c r="A84" s="1481"/>
      <c r="C84" s="726">
        <v>25</v>
      </c>
      <c r="D84" s="708">
        <v>-0.4</v>
      </c>
      <c r="E84" s="708">
        <v>-0.2</v>
      </c>
      <c r="F84" s="711">
        <f t="shared" si="14"/>
        <v>0.1</v>
      </c>
      <c r="H84" s="697"/>
      <c r="I84" s="726">
        <v>50</v>
      </c>
      <c r="J84" s="690">
        <v>-1.2</v>
      </c>
      <c r="K84" s="690">
        <v>1.3</v>
      </c>
      <c r="L84" s="711">
        <f t="shared" si="15"/>
        <v>1.25</v>
      </c>
      <c r="O84" s="692"/>
      <c r="P84" s="682"/>
    </row>
    <row r="85" spans="1:16" ht="13" x14ac:dyDescent="0.3">
      <c r="A85" s="1481"/>
      <c r="C85" s="727">
        <v>30</v>
      </c>
      <c r="D85" s="708">
        <v>-0.4</v>
      </c>
      <c r="E85" s="708">
        <v>-0.2</v>
      </c>
      <c r="F85" s="711">
        <f t="shared" si="14"/>
        <v>0.1</v>
      </c>
      <c r="H85" s="697"/>
      <c r="I85" s="727">
        <v>60</v>
      </c>
      <c r="J85" s="693">
        <v>-1.1000000000000001</v>
      </c>
      <c r="K85" s="693">
        <v>1.7</v>
      </c>
      <c r="L85" s="711">
        <f t="shared" si="15"/>
        <v>1.4</v>
      </c>
      <c r="O85" s="692"/>
      <c r="P85" s="682"/>
    </row>
    <row r="86" spans="1:16" ht="13" x14ac:dyDescent="0.3">
      <c r="A86" s="1481"/>
      <c r="C86" s="727">
        <v>35</v>
      </c>
      <c r="D86" s="693">
        <v>-0.5</v>
      </c>
      <c r="E86" s="693">
        <v>-0.3</v>
      </c>
      <c r="F86" s="711">
        <f t="shared" si="14"/>
        <v>0.1</v>
      </c>
      <c r="H86" s="697"/>
      <c r="I86" s="727">
        <v>70</v>
      </c>
      <c r="J86" s="693">
        <v>-1.2</v>
      </c>
      <c r="K86" s="693">
        <v>2.1</v>
      </c>
      <c r="L86" s="711">
        <f t="shared" si="15"/>
        <v>1.65</v>
      </c>
      <c r="O86" s="692"/>
      <c r="P86" s="682"/>
    </row>
    <row r="87" spans="1:16" ht="13" x14ac:dyDescent="0.3">
      <c r="A87" s="1481"/>
      <c r="C87" s="727">
        <v>37</v>
      </c>
      <c r="D87" s="693">
        <v>-0.5</v>
      </c>
      <c r="E87" s="693">
        <v>-0.3</v>
      </c>
      <c r="F87" s="711">
        <f t="shared" si="14"/>
        <v>0.1</v>
      </c>
      <c r="H87" s="697"/>
      <c r="I87" s="727">
        <v>80</v>
      </c>
      <c r="J87" s="693">
        <v>-1.2</v>
      </c>
      <c r="K87" s="693">
        <v>2.6</v>
      </c>
      <c r="L87" s="711">
        <f t="shared" si="15"/>
        <v>1.9</v>
      </c>
      <c r="O87" s="692"/>
      <c r="P87" s="682"/>
    </row>
    <row r="88" spans="1:16" ht="13.5" thickBot="1" x14ac:dyDescent="0.35">
      <c r="A88" s="1482"/>
      <c r="B88" s="695"/>
      <c r="C88" s="728">
        <v>40</v>
      </c>
      <c r="D88" s="714">
        <v>-0.4</v>
      </c>
      <c r="E88" s="714">
        <v>-0.4</v>
      </c>
      <c r="F88" s="715">
        <f t="shared" si="14"/>
        <v>0</v>
      </c>
      <c r="G88" s="695"/>
      <c r="H88" s="716"/>
      <c r="I88" s="728">
        <v>90</v>
      </c>
      <c r="J88" s="714">
        <v>-1.3</v>
      </c>
      <c r="K88" s="714">
        <v>2.6</v>
      </c>
      <c r="L88" s="715">
        <f t="shared" si="15"/>
        <v>1.9500000000000002</v>
      </c>
      <c r="M88" s="695"/>
      <c r="N88" s="695"/>
      <c r="O88" s="696"/>
      <c r="P88" s="682"/>
    </row>
    <row r="89" spans="1:16" ht="13.5" thickBot="1" x14ac:dyDescent="0.35">
      <c r="A89" s="718"/>
      <c r="B89" s="719"/>
      <c r="C89" s="719"/>
      <c r="D89" s="719"/>
      <c r="E89" s="720"/>
      <c r="F89" s="729"/>
      <c r="G89" s="722"/>
      <c r="H89" s="719"/>
      <c r="I89" s="719"/>
      <c r="J89" s="719"/>
      <c r="K89" s="720"/>
      <c r="L89" s="729"/>
      <c r="O89" s="692"/>
      <c r="P89" s="682"/>
    </row>
    <row r="90" spans="1:16" ht="13.5" thickBot="1" x14ac:dyDescent="0.35">
      <c r="A90" s="1480">
        <v>9</v>
      </c>
      <c r="B90" s="1483" t="s">
        <v>185</v>
      </c>
      <c r="C90" s="1484"/>
      <c r="D90" s="1484"/>
      <c r="E90" s="1484"/>
      <c r="F90" s="1485"/>
      <c r="G90" s="684"/>
      <c r="H90" s="1483" t="str">
        <f>B90</f>
        <v>KOREKSI GREISINGER 34904091</v>
      </c>
      <c r="I90" s="1484"/>
      <c r="J90" s="1484"/>
      <c r="K90" s="1484"/>
      <c r="L90" s="1485"/>
      <c r="M90" s="684"/>
      <c r="N90" s="1496" t="s">
        <v>80</v>
      </c>
      <c r="O90" s="1497"/>
      <c r="P90" s="682"/>
    </row>
    <row r="91" spans="1:16" ht="13.5" thickBot="1" x14ac:dyDescent="0.35">
      <c r="A91" s="1481"/>
      <c r="B91" s="1486" t="s">
        <v>74</v>
      </c>
      <c r="C91" s="1487"/>
      <c r="D91" s="1488" t="s">
        <v>62</v>
      </c>
      <c r="E91" s="1489"/>
      <c r="F91" s="1490" t="s">
        <v>63</v>
      </c>
      <c r="H91" s="1486" t="s">
        <v>73</v>
      </c>
      <c r="I91" s="1487"/>
      <c r="J91" s="1488" t="s">
        <v>62</v>
      </c>
      <c r="K91" s="1489"/>
      <c r="L91" s="1490" t="s">
        <v>63</v>
      </c>
      <c r="N91" s="701" t="s">
        <v>74</v>
      </c>
      <c r="O91" s="724">
        <v>0.3</v>
      </c>
      <c r="P91" s="682"/>
    </row>
    <row r="92" spans="1:16" ht="15" thickBot="1" x14ac:dyDescent="0.35">
      <c r="A92" s="1481"/>
      <c r="B92" s="1492" t="s">
        <v>177</v>
      </c>
      <c r="C92" s="1493"/>
      <c r="D92" s="703">
        <v>2019</v>
      </c>
      <c r="E92" s="730" t="s">
        <v>65</v>
      </c>
      <c r="F92" s="1491"/>
      <c r="H92" s="1494" t="s">
        <v>133</v>
      </c>
      <c r="I92" s="1495"/>
      <c r="J92" s="704">
        <f>D92</f>
        <v>2019</v>
      </c>
      <c r="K92" s="704" t="str">
        <f>E92</f>
        <v>-</v>
      </c>
      <c r="L92" s="1491"/>
      <c r="N92" s="705" t="s">
        <v>133</v>
      </c>
      <c r="O92" s="723">
        <v>2.4</v>
      </c>
      <c r="P92" s="682"/>
    </row>
    <row r="93" spans="1:16" ht="13" x14ac:dyDescent="0.3">
      <c r="A93" s="1481"/>
      <c r="B93" s="697"/>
      <c r="C93" s="725">
        <v>15</v>
      </c>
      <c r="D93" s="708">
        <v>0</v>
      </c>
      <c r="E93" s="731" t="s">
        <v>65</v>
      </c>
      <c r="F93" s="709">
        <f t="shared" ref="F93" si="16">0.5*(MAX(D93:E93)-MIN(D93:E93))</f>
        <v>0</v>
      </c>
      <c r="H93" s="697"/>
      <c r="I93" s="725">
        <v>30</v>
      </c>
      <c r="J93" s="708">
        <v>-1.2</v>
      </c>
      <c r="K93" s="731" t="s">
        <v>65</v>
      </c>
      <c r="L93" s="709">
        <f t="shared" ref="L93:L99" si="17">0.5*(MAX(J93:K93)-MIN(J93:K93))</f>
        <v>0</v>
      </c>
      <c r="O93" s="692"/>
      <c r="P93" s="682"/>
    </row>
    <row r="94" spans="1:16" ht="13" x14ac:dyDescent="0.3">
      <c r="A94" s="1481"/>
      <c r="B94" s="697"/>
      <c r="C94" s="726">
        <v>20</v>
      </c>
      <c r="D94" s="708">
        <v>-0.2</v>
      </c>
      <c r="E94" s="732" t="s">
        <v>65</v>
      </c>
      <c r="F94" s="711">
        <f>0.5*(MAX(D94:E94)-MIN(D94:E94))</f>
        <v>0</v>
      </c>
      <c r="H94" s="697"/>
      <c r="I94" s="726">
        <v>40</v>
      </c>
      <c r="J94" s="708">
        <v>-1</v>
      </c>
      <c r="K94" s="732" t="s">
        <v>65</v>
      </c>
      <c r="L94" s="711">
        <f t="shared" si="17"/>
        <v>0</v>
      </c>
      <c r="O94" s="692"/>
      <c r="P94" s="682"/>
    </row>
    <row r="95" spans="1:16" ht="13" x14ac:dyDescent="0.3">
      <c r="A95" s="1481"/>
      <c r="B95" s="697"/>
      <c r="C95" s="726">
        <v>25</v>
      </c>
      <c r="D95" s="708">
        <v>-0.4</v>
      </c>
      <c r="E95" s="732" t="s">
        <v>65</v>
      </c>
      <c r="F95" s="711">
        <f t="shared" ref="F95:F99" si="18">0.5*(MAX(D95:E95)-MIN(D95:E95))</f>
        <v>0</v>
      </c>
      <c r="H95" s="697"/>
      <c r="I95" s="726">
        <v>50</v>
      </c>
      <c r="J95" s="708">
        <v>-0.9</v>
      </c>
      <c r="K95" s="732" t="s">
        <v>65</v>
      </c>
      <c r="L95" s="711">
        <f t="shared" si="17"/>
        <v>0</v>
      </c>
      <c r="O95" s="692"/>
      <c r="P95" s="682"/>
    </row>
    <row r="96" spans="1:16" ht="13" x14ac:dyDescent="0.3">
      <c r="A96" s="1481"/>
      <c r="B96" s="697"/>
      <c r="C96" s="727">
        <v>30</v>
      </c>
      <c r="D96" s="708">
        <v>-0.5</v>
      </c>
      <c r="E96" s="694" t="s">
        <v>65</v>
      </c>
      <c r="F96" s="711">
        <f t="shared" si="18"/>
        <v>0</v>
      </c>
      <c r="H96" s="697"/>
      <c r="I96" s="727">
        <v>60</v>
      </c>
      <c r="J96" s="708">
        <v>-0.8</v>
      </c>
      <c r="K96" s="694" t="s">
        <v>65</v>
      </c>
      <c r="L96" s="711">
        <f t="shared" si="17"/>
        <v>0</v>
      </c>
      <c r="O96" s="692"/>
      <c r="P96" s="682"/>
    </row>
    <row r="97" spans="1:16" ht="13" x14ac:dyDescent="0.3">
      <c r="A97" s="1481"/>
      <c r="B97" s="697"/>
      <c r="C97" s="727">
        <v>35</v>
      </c>
      <c r="D97" s="708">
        <v>-0.5</v>
      </c>
      <c r="E97" s="694" t="s">
        <v>65</v>
      </c>
      <c r="F97" s="711">
        <f t="shared" si="18"/>
        <v>0</v>
      </c>
      <c r="H97" s="697"/>
      <c r="I97" s="727">
        <v>70</v>
      </c>
      <c r="J97" s="708">
        <v>-0.6</v>
      </c>
      <c r="K97" s="694" t="s">
        <v>65</v>
      </c>
      <c r="L97" s="711">
        <f t="shared" si="17"/>
        <v>0</v>
      </c>
      <c r="O97" s="692"/>
      <c r="P97" s="682"/>
    </row>
    <row r="98" spans="1:16" ht="13" x14ac:dyDescent="0.3">
      <c r="A98" s="1481"/>
      <c r="B98" s="697"/>
      <c r="C98" s="727">
        <v>37</v>
      </c>
      <c r="D98" s="708">
        <v>-0.5</v>
      </c>
      <c r="E98" s="694" t="s">
        <v>65</v>
      </c>
      <c r="F98" s="711">
        <f t="shared" si="18"/>
        <v>0</v>
      </c>
      <c r="H98" s="697"/>
      <c r="I98" s="727">
        <v>80</v>
      </c>
      <c r="J98" s="708">
        <v>-0.5</v>
      </c>
      <c r="K98" s="694" t="s">
        <v>65</v>
      </c>
      <c r="L98" s="711">
        <f t="shared" si="17"/>
        <v>0</v>
      </c>
      <c r="O98" s="692"/>
      <c r="P98" s="682"/>
    </row>
    <row r="99" spans="1:16" ht="13.5" thickBot="1" x14ac:dyDescent="0.35">
      <c r="A99" s="1482"/>
      <c r="B99" s="716"/>
      <c r="C99" s="728">
        <v>40</v>
      </c>
      <c r="D99" s="733">
        <v>-0.4</v>
      </c>
      <c r="E99" s="717" t="s">
        <v>65</v>
      </c>
      <c r="F99" s="715">
        <f t="shared" si="18"/>
        <v>0</v>
      </c>
      <c r="G99" s="695"/>
      <c r="H99" s="716"/>
      <c r="I99" s="728">
        <v>90</v>
      </c>
      <c r="J99" s="733">
        <v>-0.2</v>
      </c>
      <c r="K99" s="717" t="s">
        <v>65</v>
      </c>
      <c r="L99" s="715">
        <f t="shared" si="17"/>
        <v>0</v>
      </c>
      <c r="M99" s="695"/>
      <c r="N99" s="695"/>
      <c r="O99" s="696"/>
      <c r="P99" s="682"/>
    </row>
    <row r="100" spans="1:16" ht="13.5" thickBot="1" x14ac:dyDescent="0.35">
      <c r="A100" s="718"/>
      <c r="B100" s="719"/>
      <c r="C100" s="719"/>
      <c r="D100" s="719"/>
      <c r="E100" s="720"/>
      <c r="F100" s="729"/>
      <c r="G100" s="722"/>
      <c r="H100" s="719"/>
      <c r="I100" s="719"/>
      <c r="J100" s="719"/>
      <c r="K100" s="720"/>
      <c r="L100" s="729"/>
      <c r="M100" s="722"/>
      <c r="O100" s="692"/>
      <c r="P100" s="682"/>
    </row>
    <row r="101" spans="1:16" ht="13.5" thickBot="1" x14ac:dyDescent="0.35">
      <c r="A101" s="1480">
        <v>10</v>
      </c>
      <c r="B101" s="1483" t="s">
        <v>186</v>
      </c>
      <c r="C101" s="1484"/>
      <c r="D101" s="1484"/>
      <c r="E101" s="1484"/>
      <c r="F101" s="1485"/>
      <c r="G101" s="684"/>
      <c r="H101" s="1498" t="str">
        <f>B101</f>
        <v>KOREKSI Sekonic HE-21.000669</v>
      </c>
      <c r="I101" s="1499"/>
      <c r="J101" s="1499"/>
      <c r="K101" s="1499"/>
      <c r="L101" s="1500"/>
      <c r="M101" s="684"/>
      <c r="N101" s="1496" t="s">
        <v>80</v>
      </c>
      <c r="O101" s="1497"/>
      <c r="P101" s="682"/>
    </row>
    <row r="102" spans="1:16" ht="13.5" thickBot="1" x14ac:dyDescent="0.35">
      <c r="A102" s="1481"/>
      <c r="B102" s="1486" t="s">
        <v>74</v>
      </c>
      <c r="C102" s="1487"/>
      <c r="D102" s="1488" t="s">
        <v>62</v>
      </c>
      <c r="E102" s="1489"/>
      <c r="F102" s="1490" t="s">
        <v>63</v>
      </c>
      <c r="H102" s="1486" t="s">
        <v>73</v>
      </c>
      <c r="I102" s="1487"/>
      <c r="J102" s="1488" t="s">
        <v>62</v>
      </c>
      <c r="K102" s="1489"/>
      <c r="L102" s="1490" t="s">
        <v>63</v>
      </c>
      <c r="N102" s="701" t="s">
        <v>74</v>
      </c>
      <c r="O102" s="724">
        <v>0.3</v>
      </c>
      <c r="P102" s="682"/>
    </row>
    <row r="103" spans="1:16" ht="15" thickBot="1" x14ac:dyDescent="0.35">
      <c r="A103" s="1481"/>
      <c r="B103" s="1492" t="s">
        <v>177</v>
      </c>
      <c r="C103" s="1493"/>
      <c r="D103" s="703">
        <v>2019</v>
      </c>
      <c r="E103" s="703">
        <v>2016</v>
      </c>
      <c r="F103" s="1491"/>
      <c r="H103" s="1494" t="s">
        <v>133</v>
      </c>
      <c r="I103" s="1495"/>
      <c r="J103" s="704">
        <f>D103</f>
        <v>2019</v>
      </c>
      <c r="K103" s="704">
        <f>E103</f>
        <v>2016</v>
      </c>
      <c r="L103" s="1491"/>
      <c r="N103" s="705" t="s">
        <v>133</v>
      </c>
      <c r="O103" s="723">
        <v>1.5</v>
      </c>
      <c r="P103" s="682"/>
    </row>
    <row r="104" spans="1:16" ht="13" x14ac:dyDescent="0.3">
      <c r="A104" s="1481"/>
      <c r="C104" s="725">
        <v>15</v>
      </c>
      <c r="D104" s="708">
        <v>0.2</v>
      </c>
      <c r="E104" s="708">
        <v>0.2</v>
      </c>
      <c r="F104" s="709">
        <f t="shared" ref="F104:F110" si="19">0.5*(MAX(D104:E104)-MIN(D104:E104))</f>
        <v>0</v>
      </c>
      <c r="H104" s="697"/>
      <c r="I104" s="725">
        <v>30</v>
      </c>
      <c r="J104" s="708">
        <v>-2.9</v>
      </c>
      <c r="K104" s="708">
        <v>-5.8</v>
      </c>
      <c r="L104" s="709">
        <f t="shared" ref="L104:L107" si="20">0.5*(MAX(J104:K104)-MIN(J104:K104))</f>
        <v>1.45</v>
      </c>
      <c r="O104" s="692"/>
      <c r="P104" s="682"/>
    </row>
    <row r="105" spans="1:16" ht="13" x14ac:dyDescent="0.3">
      <c r="A105" s="1481"/>
      <c r="C105" s="726">
        <v>20</v>
      </c>
      <c r="D105" s="690">
        <v>0.2</v>
      </c>
      <c r="E105" s="690">
        <v>-0.7</v>
      </c>
      <c r="F105" s="711">
        <f t="shared" si="19"/>
        <v>0.44999999999999996</v>
      </c>
      <c r="H105" s="697"/>
      <c r="I105" s="726">
        <v>40</v>
      </c>
      <c r="J105" s="690">
        <v>-3.3</v>
      </c>
      <c r="K105" s="690">
        <v>-6.4</v>
      </c>
      <c r="L105" s="711">
        <f t="shared" si="20"/>
        <v>1.5500000000000003</v>
      </c>
      <c r="O105" s="692"/>
      <c r="P105" s="682"/>
    </row>
    <row r="106" spans="1:16" ht="13" x14ac:dyDescent="0.3">
      <c r="A106" s="1481"/>
      <c r="C106" s="726">
        <v>25</v>
      </c>
      <c r="D106" s="690">
        <v>0.1</v>
      </c>
      <c r="E106" s="690">
        <v>-0.5</v>
      </c>
      <c r="F106" s="711">
        <f t="shared" si="19"/>
        <v>0.3</v>
      </c>
      <c r="H106" s="697"/>
      <c r="I106" s="726">
        <v>50</v>
      </c>
      <c r="J106" s="690">
        <v>-3.1</v>
      </c>
      <c r="K106" s="690">
        <v>-6.1</v>
      </c>
      <c r="L106" s="711">
        <f t="shared" si="20"/>
        <v>1.4999999999999998</v>
      </c>
      <c r="O106" s="692"/>
      <c r="P106" s="682"/>
    </row>
    <row r="107" spans="1:16" ht="13" x14ac:dyDescent="0.3">
      <c r="A107" s="1481"/>
      <c r="C107" s="727">
        <v>30</v>
      </c>
      <c r="D107" s="693">
        <v>0.1</v>
      </c>
      <c r="E107" s="693">
        <v>0.2</v>
      </c>
      <c r="F107" s="711">
        <f t="shared" si="19"/>
        <v>0.05</v>
      </c>
      <c r="H107" s="697"/>
      <c r="I107" s="727">
        <v>60</v>
      </c>
      <c r="J107" s="693">
        <v>-2.1</v>
      </c>
      <c r="K107" s="693">
        <v>-5.6</v>
      </c>
      <c r="L107" s="711">
        <f t="shared" si="20"/>
        <v>1.7499999999999998</v>
      </c>
      <c r="O107" s="692"/>
      <c r="P107" s="682"/>
    </row>
    <row r="108" spans="1:16" ht="13" x14ac:dyDescent="0.3">
      <c r="A108" s="1481"/>
      <c r="C108" s="727">
        <v>35</v>
      </c>
      <c r="D108" s="693">
        <v>0.2</v>
      </c>
      <c r="E108" s="693">
        <v>0.8</v>
      </c>
      <c r="F108" s="711">
        <f t="shared" si="19"/>
        <v>0.30000000000000004</v>
      </c>
      <c r="H108" s="697"/>
      <c r="I108" s="727">
        <v>70</v>
      </c>
      <c r="J108" s="693">
        <v>-0.3</v>
      </c>
      <c r="K108" s="693">
        <v>-5.0999999999999996</v>
      </c>
      <c r="L108" s="711">
        <f>0.5*(MAX(J108:K108)-MIN(J108:K108))</f>
        <v>2.4</v>
      </c>
      <c r="O108" s="692"/>
      <c r="P108" s="682"/>
    </row>
    <row r="109" spans="1:16" ht="13" x14ac:dyDescent="0.3">
      <c r="A109" s="1481"/>
      <c r="C109" s="727">
        <v>37</v>
      </c>
      <c r="D109" s="693">
        <v>0.2</v>
      </c>
      <c r="E109" s="693">
        <v>0.4</v>
      </c>
      <c r="F109" s="711">
        <f t="shared" si="19"/>
        <v>0.1</v>
      </c>
      <c r="H109" s="697"/>
      <c r="I109" s="727">
        <v>80</v>
      </c>
      <c r="J109" s="693">
        <v>2.2000000000000002</v>
      </c>
      <c r="K109" s="693">
        <v>-4.7</v>
      </c>
      <c r="L109" s="711">
        <f t="shared" ref="L109:L110" si="21">0.5*(MAX(J109:K109)-MIN(J109:K109))</f>
        <v>3.45</v>
      </c>
      <c r="O109" s="692"/>
      <c r="P109" s="682"/>
    </row>
    <row r="110" spans="1:16" ht="13.5" thickBot="1" x14ac:dyDescent="0.35">
      <c r="A110" s="1482"/>
      <c r="B110" s="695"/>
      <c r="C110" s="728">
        <v>40</v>
      </c>
      <c r="D110" s="734">
        <v>0.2</v>
      </c>
      <c r="E110" s="734">
        <v>0</v>
      </c>
      <c r="F110" s="715">
        <f t="shared" si="19"/>
        <v>0.1</v>
      </c>
      <c r="G110" s="695"/>
      <c r="H110" s="716"/>
      <c r="I110" s="728">
        <v>90</v>
      </c>
      <c r="J110" s="713">
        <v>5.4</v>
      </c>
      <c r="K110" s="713">
        <v>0</v>
      </c>
      <c r="L110" s="715">
        <f t="shared" si="21"/>
        <v>2.7</v>
      </c>
      <c r="M110" s="695"/>
      <c r="N110" s="695"/>
      <c r="O110" s="696"/>
      <c r="P110" s="682"/>
    </row>
    <row r="111" spans="1:16" ht="13.5" thickBot="1" x14ac:dyDescent="0.35">
      <c r="A111" s="718"/>
      <c r="B111" s="719"/>
      <c r="C111" s="719"/>
      <c r="D111" s="719"/>
      <c r="E111" s="720"/>
      <c r="F111" s="729"/>
      <c r="G111" s="722"/>
      <c r="H111" s="719"/>
      <c r="I111" s="719"/>
      <c r="J111" s="719"/>
      <c r="K111" s="720"/>
      <c r="L111" s="729"/>
      <c r="M111" s="722"/>
      <c r="O111" s="692"/>
      <c r="P111" s="682"/>
    </row>
    <row r="112" spans="1:16" ht="13.5" thickBot="1" x14ac:dyDescent="0.35">
      <c r="A112" s="1480">
        <v>11</v>
      </c>
      <c r="B112" s="1483" t="s">
        <v>187</v>
      </c>
      <c r="C112" s="1484"/>
      <c r="D112" s="1484"/>
      <c r="E112" s="1484"/>
      <c r="F112" s="1485"/>
      <c r="G112" s="684"/>
      <c r="H112" s="1498" t="str">
        <f>B112</f>
        <v>KOREKSI Sekonic HE-21.000670</v>
      </c>
      <c r="I112" s="1499"/>
      <c r="J112" s="1499"/>
      <c r="K112" s="1499"/>
      <c r="L112" s="1500"/>
      <c r="M112" s="684"/>
      <c r="N112" s="1496" t="s">
        <v>80</v>
      </c>
      <c r="O112" s="1497"/>
      <c r="P112" s="682"/>
    </row>
    <row r="113" spans="1:16" ht="13.5" thickBot="1" x14ac:dyDescent="0.35">
      <c r="A113" s="1481"/>
      <c r="B113" s="1486" t="s">
        <v>74</v>
      </c>
      <c r="C113" s="1487"/>
      <c r="D113" s="1488" t="s">
        <v>62</v>
      </c>
      <c r="E113" s="1489"/>
      <c r="F113" s="1490" t="s">
        <v>63</v>
      </c>
      <c r="H113" s="1486" t="s">
        <v>73</v>
      </c>
      <c r="I113" s="1487"/>
      <c r="J113" s="1488" t="s">
        <v>62</v>
      </c>
      <c r="K113" s="1489"/>
      <c r="L113" s="1490" t="s">
        <v>63</v>
      </c>
      <c r="N113" s="701" t="s">
        <v>74</v>
      </c>
      <c r="O113" s="724">
        <v>0.3</v>
      </c>
      <c r="P113" s="682"/>
    </row>
    <row r="114" spans="1:16" ht="15" thickBot="1" x14ac:dyDescent="0.35">
      <c r="A114" s="1481"/>
      <c r="B114" s="1492" t="s">
        <v>177</v>
      </c>
      <c r="C114" s="1493"/>
      <c r="D114" s="703">
        <v>2020</v>
      </c>
      <c r="E114" s="730" t="s">
        <v>65</v>
      </c>
      <c r="F114" s="1491"/>
      <c r="H114" s="1494" t="s">
        <v>133</v>
      </c>
      <c r="I114" s="1495"/>
      <c r="J114" s="704">
        <f>D114</f>
        <v>2020</v>
      </c>
      <c r="K114" s="704" t="str">
        <f>E114</f>
        <v>-</v>
      </c>
      <c r="L114" s="1491"/>
      <c r="N114" s="705" t="s">
        <v>133</v>
      </c>
      <c r="O114" s="723">
        <v>1.8</v>
      </c>
      <c r="P114" s="682"/>
    </row>
    <row r="115" spans="1:16" ht="13" x14ac:dyDescent="0.3">
      <c r="A115" s="1481"/>
      <c r="C115" s="707">
        <v>15</v>
      </c>
      <c r="D115" s="708">
        <v>0.3</v>
      </c>
      <c r="E115" s="731" t="s">
        <v>65</v>
      </c>
      <c r="F115" s="709">
        <f t="shared" ref="F115:F121" si="22">0.5*(MAX(D115:E115)-MIN(D115:E115))</f>
        <v>0</v>
      </c>
      <c r="H115" s="697"/>
      <c r="I115" s="707">
        <v>35</v>
      </c>
      <c r="J115" s="708">
        <v>-5.2</v>
      </c>
      <c r="K115" s="731" t="s">
        <v>65</v>
      </c>
      <c r="L115" s="709">
        <f t="shared" ref="L115:L121" si="23">0.5*(MAX(J115:K115)-MIN(J115:K115))</f>
        <v>0</v>
      </c>
      <c r="O115" s="692"/>
      <c r="P115" s="682"/>
    </row>
    <row r="116" spans="1:16" ht="13" x14ac:dyDescent="0.3">
      <c r="A116" s="1481"/>
      <c r="C116" s="710">
        <v>20</v>
      </c>
      <c r="D116" s="690">
        <v>0.4</v>
      </c>
      <c r="E116" s="732" t="s">
        <v>65</v>
      </c>
      <c r="F116" s="711">
        <f t="shared" si="22"/>
        <v>0</v>
      </c>
      <c r="H116" s="697"/>
      <c r="I116" s="710">
        <v>40</v>
      </c>
      <c r="J116" s="690">
        <v>-5.5</v>
      </c>
      <c r="K116" s="732" t="s">
        <v>65</v>
      </c>
      <c r="L116" s="711">
        <f t="shared" si="23"/>
        <v>0</v>
      </c>
      <c r="O116" s="692"/>
      <c r="P116" s="682"/>
    </row>
    <row r="117" spans="1:16" ht="13" x14ac:dyDescent="0.3">
      <c r="A117" s="1481"/>
      <c r="C117" s="710">
        <v>25</v>
      </c>
      <c r="D117" s="690">
        <v>0.4</v>
      </c>
      <c r="E117" s="732" t="s">
        <v>65</v>
      </c>
      <c r="F117" s="711">
        <f t="shared" si="22"/>
        <v>0</v>
      </c>
      <c r="H117" s="697"/>
      <c r="I117" s="710">
        <v>50</v>
      </c>
      <c r="J117" s="690">
        <v>-5.5</v>
      </c>
      <c r="K117" s="732" t="s">
        <v>65</v>
      </c>
      <c r="L117" s="711">
        <f t="shared" si="23"/>
        <v>0</v>
      </c>
      <c r="O117" s="692"/>
      <c r="P117" s="682"/>
    </row>
    <row r="118" spans="1:16" ht="13" x14ac:dyDescent="0.3">
      <c r="A118" s="1481"/>
      <c r="C118" s="712">
        <v>30</v>
      </c>
      <c r="D118" s="693">
        <v>0.5</v>
      </c>
      <c r="E118" s="694" t="s">
        <v>65</v>
      </c>
      <c r="F118" s="711">
        <f t="shared" si="22"/>
        <v>0</v>
      </c>
      <c r="H118" s="697"/>
      <c r="I118" s="712">
        <v>60</v>
      </c>
      <c r="J118" s="693">
        <v>-4.8</v>
      </c>
      <c r="K118" s="694" t="s">
        <v>65</v>
      </c>
      <c r="L118" s="711">
        <f t="shared" si="23"/>
        <v>0</v>
      </c>
      <c r="O118" s="692"/>
      <c r="P118" s="682"/>
    </row>
    <row r="119" spans="1:16" ht="13" x14ac:dyDescent="0.3">
      <c r="A119" s="1481"/>
      <c r="C119" s="712">
        <v>35</v>
      </c>
      <c r="D119" s="693">
        <v>0.5</v>
      </c>
      <c r="E119" s="694" t="s">
        <v>65</v>
      </c>
      <c r="F119" s="711">
        <f t="shared" si="22"/>
        <v>0</v>
      </c>
      <c r="H119" s="697"/>
      <c r="I119" s="712">
        <v>70</v>
      </c>
      <c r="J119" s="693">
        <v>-3.4</v>
      </c>
      <c r="K119" s="694" t="s">
        <v>65</v>
      </c>
      <c r="L119" s="711">
        <f t="shared" si="23"/>
        <v>0</v>
      </c>
      <c r="O119" s="692"/>
      <c r="P119" s="682"/>
    </row>
    <row r="120" spans="1:16" ht="13" x14ac:dyDescent="0.3">
      <c r="A120" s="1481"/>
      <c r="C120" s="712">
        <v>37</v>
      </c>
      <c r="D120" s="693">
        <v>0.5</v>
      </c>
      <c r="E120" s="694" t="s">
        <v>65</v>
      </c>
      <c r="F120" s="711">
        <f t="shared" si="22"/>
        <v>0</v>
      </c>
      <c r="H120" s="697"/>
      <c r="I120" s="712">
        <v>80</v>
      </c>
      <c r="J120" s="693">
        <v>-1.4</v>
      </c>
      <c r="K120" s="694" t="s">
        <v>65</v>
      </c>
      <c r="L120" s="711">
        <f t="shared" si="23"/>
        <v>0</v>
      </c>
      <c r="O120" s="692"/>
      <c r="P120" s="682"/>
    </row>
    <row r="121" spans="1:16" ht="13.5" thickBot="1" x14ac:dyDescent="0.35">
      <c r="A121" s="1482"/>
      <c r="B121" s="695"/>
      <c r="C121" s="713">
        <v>40</v>
      </c>
      <c r="D121" s="714">
        <v>0.5</v>
      </c>
      <c r="E121" s="717" t="s">
        <v>65</v>
      </c>
      <c r="F121" s="715">
        <f t="shared" si="22"/>
        <v>0</v>
      </c>
      <c r="G121" s="695"/>
      <c r="H121" s="716"/>
      <c r="I121" s="713">
        <v>90</v>
      </c>
      <c r="J121" s="714">
        <v>1.3</v>
      </c>
      <c r="K121" s="717" t="s">
        <v>65</v>
      </c>
      <c r="L121" s="715">
        <f t="shared" si="23"/>
        <v>0</v>
      </c>
      <c r="M121" s="695"/>
      <c r="N121" s="695"/>
      <c r="O121" s="696"/>
      <c r="P121" s="682"/>
    </row>
    <row r="122" spans="1:16" ht="13.5" thickBot="1" x14ac:dyDescent="0.35">
      <c r="A122" s="718"/>
      <c r="B122" s="719"/>
      <c r="C122" s="719"/>
      <c r="D122" s="719"/>
      <c r="E122" s="720"/>
      <c r="F122" s="729"/>
      <c r="G122" s="722"/>
      <c r="H122" s="719"/>
      <c r="I122" s="719"/>
      <c r="J122" s="719"/>
      <c r="K122" s="720"/>
      <c r="L122" s="729"/>
      <c r="O122" s="692"/>
      <c r="P122" s="682"/>
    </row>
    <row r="123" spans="1:16" ht="13.5" thickBot="1" x14ac:dyDescent="0.35">
      <c r="A123" s="1480">
        <v>12</v>
      </c>
      <c r="B123" s="1483" t="s">
        <v>367</v>
      </c>
      <c r="C123" s="1484"/>
      <c r="D123" s="1484"/>
      <c r="E123" s="1484"/>
      <c r="F123" s="1485"/>
      <c r="G123" s="684"/>
      <c r="H123" s="1483" t="str">
        <f>B123</f>
        <v>KOREKSI EXTECH A.100611</v>
      </c>
      <c r="I123" s="1484"/>
      <c r="J123" s="1484"/>
      <c r="K123" s="1484"/>
      <c r="L123" s="1485"/>
      <c r="M123" s="684"/>
      <c r="N123" s="1496" t="s">
        <v>80</v>
      </c>
      <c r="O123" s="1497"/>
      <c r="P123" s="682"/>
    </row>
    <row r="124" spans="1:16" ht="13.5" thickBot="1" x14ac:dyDescent="0.35">
      <c r="A124" s="1481"/>
      <c r="B124" s="1486" t="s">
        <v>74</v>
      </c>
      <c r="C124" s="1487"/>
      <c r="D124" s="1488" t="s">
        <v>62</v>
      </c>
      <c r="E124" s="1489"/>
      <c r="F124" s="1490" t="s">
        <v>63</v>
      </c>
      <c r="H124" s="1486" t="s">
        <v>73</v>
      </c>
      <c r="I124" s="1487"/>
      <c r="J124" s="1488" t="s">
        <v>62</v>
      </c>
      <c r="K124" s="1489"/>
      <c r="L124" s="1490" t="s">
        <v>63</v>
      </c>
      <c r="N124" s="701" t="s">
        <v>74</v>
      </c>
      <c r="O124" s="724">
        <v>0.5</v>
      </c>
      <c r="P124" s="682"/>
    </row>
    <row r="125" spans="1:16" ht="15" thickBot="1" x14ac:dyDescent="0.35">
      <c r="A125" s="1481"/>
      <c r="B125" s="1492" t="s">
        <v>177</v>
      </c>
      <c r="C125" s="1493"/>
      <c r="D125" s="703">
        <v>2022</v>
      </c>
      <c r="E125" s="730">
        <v>2020</v>
      </c>
      <c r="F125" s="1491"/>
      <c r="H125" s="1494" t="s">
        <v>133</v>
      </c>
      <c r="I125" s="1495"/>
      <c r="J125" s="704">
        <f>D125</f>
        <v>2022</v>
      </c>
      <c r="K125" s="704">
        <f>E125</f>
        <v>2020</v>
      </c>
      <c r="L125" s="1491"/>
      <c r="N125" s="705" t="s">
        <v>133</v>
      </c>
      <c r="O125" s="723">
        <v>2.6</v>
      </c>
      <c r="P125" s="682"/>
    </row>
    <row r="126" spans="1:16" ht="13" x14ac:dyDescent="0.3">
      <c r="A126" s="1481"/>
      <c r="C126" s="707">
        <v>15</v>
      </c>
      <c r="D126" s="708">
        <v>0.6</v>
      </c>
      <c r="E126" s="708">
        <v>-0.6</v>
      </c>
      <c r="F126" s="709">
        <f t="shared" ref="F126:F132" si="24">0.5*(MAX(D126:E126)-MIN(D126:E126))</f>
        <v>0.6</v>
      </c>
      <c r="H126" s="697"/>
      <c r="I126" s="707">
        <v>35</v>
      </c>
      <c r="J126" s="708">
        <v>-2</v>
      </c>
      <c r="K126" s="708">
        <v>-0.4</v>
      </c>
      <c r="L126" s="709">
        <f t="shared" ref="L126:L132" si="25">0.5*(MAX(J126:K126)-MIN(J126:K126))</f>
        <v>0.8</v>
      </c>
      <c r="O126" s="692"/>
      <c r="P126" s="682"/>
    </row>
    <row r="127" spans="1:16" ht="13" x14ac:dyDescent="0.3">
      <c r="A127" s="1481"/>
      <c r="C127" s="710">
        <v>20</v>
      </c>
      <c r="D127" s="690">
        <v>0.3</v>
      </c>
      <c r="E127" s="690">
        <v>-0.5</v>
      </c>
      <c r="F127" s="711">
        <f t="shared" si="24"/>
        <v>0.4</v>
      </c>
      <c r="H127" s="697"/>
      <c r="I127" s="710">
        <v>40</v>
      </c>
      <c r="J127" s="690">
        <v>-1.7</v>
      </c>
      <c r="K127" s="690">
        <v>-0.3</v>
      </c>
      <c r="L127" s="711">
        <f t="shared" si="25"/>
        <v>0.7</v>
      </c>
      <c r="O127" s="692"/>
      <c r="P127" s="682"/>
    </row>
    <row r="128" spans="1:16" ht="13" x14ac:dyDescent="0.3">
      <c r="A128" s="1481"/>
      <c r="C128" s="710">
        <v>25</v>
      </c>
      <c r="D128" s="690">
        <v>0.2</v>
      </c>
      <c r="E128" s="690">
        <v>-0.4</v>
      </c>
      <c r="F128" s="711">
        <f t="shared" si="24"/>
        <v>0.30000000000000004</v>
      </c>
      <c r="H128" s="697"/>
      <c r="I128" s="710">
        <v>50</v>
      </c>
      <c r="J128" s="690">
        <v>-1.4</v>
      </c>
      <c r="K128" s="690">
        <v>-0.3</v>
      </c>
      <c r="L128" s="711">
        <f t="shared" si="25"/>
        <v>0.54999999999999993</v>
      </c>
      <c r="O128" s="692"/>
      <c r="P128" s="682"/>
    </row>
    <row r="129" spans="1:16" ht="13" x14ac:dyDescent="0.3">
      <c r="A129" s="1481"/>
      <c r="C129" s="712">
        <v>30</v>
      </c>
      <c r="D129" s="693">
        <v>0.4</v>
      </c>
      <c r="E129" s="693">
        <v>-0.2</v>
      </c>
      <c r="F129" s="711">
        <f t="shared" si="24"/>
        <v>0.30000000000000004</v>
      </c>
      <c r="H129" s="697"/>
      <c r="I129" s="712">
        <v>60</v>
      </c>
      <c r="J129" s="693">
        <v>-1.1000000000000001</v>
      </c>
      <c r="K129" s="693">
        <v>-0.5</v>
      </c>
      <c r="L129" s="711">
        <f t="shared" si="25"/>
        <v>0.30000000000000004</v>
      </c>
      <c r="O129" s="692"/>
      <c r="P129" s="682"/>
    </row>
    <row r="130" spans="1:16" ht="13" x14ac:dyDescent="0.3">
      <c r="A130" s="1481"/>
      <c r="C130" s="712">
        <v>35</v>
      </c>
      <c r="D130" s="693">
        <v>0.8</v>
      </c>
      <c r="E130" s="693">
        <v>-0.1</v>
      </c>
      <c r="F130" s="711">
        <f t="shared" si="24"/>
        <v>0.45</v>
      </c>
      <c r="H130" s="697"/>
      <c r="I130" s="712">
        <v>70</v>
      </c>
      <c r="J130" s="693">
        <v>-0.7</v>
      </c>
      <c r="K130" s="693">
        <v>-0.8</v>
      </c>
      <c r="L130" s="711">
        <f t="shared" si="25"/>
        <v>5.0000000000000044E-2</v>
      </c>
      <c r="O130" s="692"/>
      <c r="P130" s="682"/>
    </row>
    <row r="131" spans="1:16" ht="13" x14ac:dyDescent="0.3">
      <c r="A131" s="1481"/>
      <c r="C131" s="712">
        <v>37</v>
      </c>
      <c r="D131" s="693">
        <v>1</v>
      </c>
      <c r="E131" s="693">
        <v>-0.1</v>
      </c>
      <c r="F131" s="711">
        <f t="shared" si="24"/>
        <v>0.55000000000000004</v>
      </c>
      <c r="H131" s="697"/>
      <c r="I131" s="712">
        <v>80</v>
      </c>
      <c r="J131" s="693">
        <v>-0.4</v>
      </c>
      <c r="K131" s="693">
        <v>-1.3</v>
      </c>
      <c r="L131" s="711">
        <f t="shared" si="25"/>
        <v>0.45</v>
      </c>
      <c r="O131" s="692"/>
      <c r="P131" s="682"/>
    </row>
    <row r="132" spans="1:16" ht="13.5" thickBot="1" x14ac:dyDescent="0.35">
      <c r="A132" s="1482"/>
      <c r="B132" s="695"/>
      <c r="C132" s="713">
        <v>40</v>
      </c>
      <c r="D132" s="714">
        <v>1.4</v>
      </c>
      <c r="E132" s="714">
        <v>0</v>
      </c>
      <c r="F132" s="715">
        <f t="shared" si="24"/>
        <v>0.7</v>
      </c>
      <c r="G132" s="695"/>
      <c r="H132" s="716"/>
      <c r="I132" s="713">
        <v>90</v>
      </c>
      <c r="J132" s="714">
        <v>-0.1</v>
      </c>
      <c r="K132" s="714">
        <v>-2</v>
      </c>
      <c r="L132" s="715">
        <f t="shared" si="25"/>
        <v>0.95</v>
      </c>
      <c r="M132" s="695"/>
      <c r="N132" s="695"/>
      <c r="O132" s="696"/>
      <c r="P132" s="682"/>
    </row>
    <row r="133" spans="1:16" ht="13.5" thickBot="1" x14ac:dyDescent="0.35">
      <c r="A133" s="718"/>
      <c r="B133" s="719"/>
      <c r="C133" s="719"/>
      <c r="D133" s="719"/>
      <c r="E133" s="720"/>
      <c r="F133" s="729"/>
      <c r="G133" s="722"/>
      <c r="H133" s="719"/>
      <c r="I133" s="719"/>
      <c r="J133" s="719"/>
      <c r="K133" s="720"/>
      <c r="L133" s="729"/>
      <c r="O133" s="692"/>
      <c r="P133" s="682"/>
    </row>
    <row r="134" spans="1:16" ht="13.5" thickBot="1" x14ac:dyDescent="0.35">
      <c r="A134" s="1480">
        <v>13</v>
      </c>
      <c r="B134" s="1483" t="s">
        <v>368</v>
      </c>
      <c r="C134" s="1484"/>
      <c r="D134" s="1484"/>
      <c r="E134" s="1484"/>
      <c r="F134" s="1485"/>
      <c r="G134" s="684"/>
      <c r="H134" s="1483" t="str">
        <f>B134</f>
        <v>KOREKSI EXTECH A.100609</v>
      </c>
      <c r="I134" s="1484"/>
      <c r="J134" s="1484"/>
      <c r="K134" s="1484"/>
      <c r="L134" s="1485"/>
      <c r="M134" s="684"/>
      <c r="N134" s="1496" t="s">
        <v>80</v>
      </c>
      <c r="O134" s="1497"/>
      <c r="P134" s="682"/>
    </row>
    <row r="135" spans="1:16" ht="13.5" thickBot="1" x14ac:dyDescent="0.35">
      <c r="A135" s="1481"/>
      <c r="B135" s="1486" t="s">
        <v>74</v>
      </c>
      <c r="C135" s="1487"/>
      <c r="D135" s="1488" t="s">
        <v>62</v>
      </c>
      <c r="E135" s="1489"/>
      <c r="F135" s="1490" t="s">
        <v>63</v>
      </c>
      <c r="H135" s="1486" t="s">
        <v>73</v>
      </c>
      <c r="I135" s="1487"/>
      <c r="J135" s="1488" t="s">
        <v>62</v>
      </c>
      <c r="K135" s="1489"/>
      <c r="L135" s="1490" t="s">
        <v>63</v>
      </c>
      <c r="N135" s="701" t="s">
        <v>74</v>
      </c>
      <c r="O135" s="724">
        <v>0.5</v>
      </c>
      <c r="P135" s="682"/>
    </row>
    <row r="136" spans="1:16" ht="15" thickBot="1" x14ac:dyDescent="0.35">
      <c r="A136" s="1481"/>
      <c r="B136" s="1492" t="s">
        <v>177</v>
      </c>
      <c r="C136" s="1493"/>
      <c r="D136" s="703">
        <v>2022</v>
      </c>
      <c r="E136" s="730">
        <v>2020</v>
      </c>
      <c r="F136" s="1491"/>
      <c r="H136" s="1494" t="s">
        <v>133</v>
      </c>
      <c r="I136" s="1495"/>
      <c r="J136" s="704">
        <f>D136</f>
        <v>2022</v>
      </c>
      <c r="K136" s="704">
        <f>E136</f>
        <v>2020</v>
      </c>
      <c r="L136" s="1491"/>
      <c r="N136" s="705" t="s">
        <v>133</v>
      </c>
      <c r="O136" s="723">
        <v>2.7</v>
      </c>
      <c r="P136" s="682"/>
    </row>
    <row r="137" spans="1:16" ht="13" x14ac:dyDescent="0.3">
      <c r="A137" s="1481"/>
      <c r="C137" s="707">
        <v>15</v>
      </c>
      <c r="D137" s="708">
        <v>0.5</v>
      </c>
      <c r="E137" s="708">
        <v>-0.2</v>
      </c>
      <c r="F137" s="709">
        <f t="shared" ref="F137:F143" si="26">0.5*(MAX(D137:E137)-MIN(D137:E137))</f>
        <v>0.35</v>
      </c>
      <c r="H137" s="697"/>
      <c r="I137" s="707">
        <v>35</v>
      </c>
      <c r="J137" s="708">
        <v>-0.8</v>
      </c>
      <c r="K137" s="708">
        <v>0.6</v>
      </c>
      <c r="L137" s="709">
        <f t="shared" ref="L137:L143" si="27">0.5*(MAX(J137:K137)-MIN(J137:K137))</f>
        <v>0.7</v>
      </c>
      <c r="O137" s="692"/>
      <c r="P137" s="682"/>
    </row>
    <row r="138" spans="1:16" ht="13" x14ac:dyDescent="0.3">
      <c r="A138" s="1481"/>
      <c r="C138" s="710">
        <v>20</v>
      </c>
      <c r="D138" s="690">
        <v>0.2</v>
      </c>
      <c r="E138" s="690">
        <v>-0.1</v>
      </c>
      <c r="F138" s="711">
        <f t="shared" si="26"/>
        <v>0.15000000000000002</v>
      </c>
      <c r="H138" s="697"/>
      <c r="I138" s="710">
        <v>40</v>
      </c>
      <c r="J138" s="690">
        <v>-0.4</v>
      </c>
      <c r="K138" s="690">
        <v>0.3</v>
      </c>
      <c r="L138" s="711">
        <f t="shared" si="27"/>
        <v>0.35</v>
      </c>
      <c r="O138" s="692"/>
      <c r="P138" s="682"/>
    </row>
    <row r="139" spans="1:16" ht="13" x14ac:dyDescent="0.3">
      <c r="A139" s="1481"/>
      <c r="C139" s="710">
        <v>25</v>
      </c>
      <c r="D139" s="690">
        <v>-0.1</v>
      </c>
      <c r="E139" s="690">
        <v>-0.1</v>
      </c>
      <c r="F139" s="711">
        <f t="shared" si="26"/>
        <v>0</v>
      </c>
      <c r="H139" s="697"/>
      <c r="I139" s="710">
        <v>50</v>
      </c>
      <c r="J139" s="690">
        <v>0</v>
      </c>
      <c r="K139" s="690">
        <v>-0.2</v>
      </c>
      <c r="L139" s="711">
        <f t="shared" si="27"/>
        <v>0.1</v>
      </c>
      <c r="O139" s="692"/>
      <c r="P139" s="682"/>
    </row>
    <row r="140" spans="1:16" ht="13" x14ac:dyDescent="0.3">
      <c r="A140" s="1481"/>
      <c r="C140" s="712">
        <v>30</v>
      </c>
      <c r="D140" s="693">
        <v>-0.4</v>
      </c>
      <c r="E140" s="693">
        <v>-0.3</v>
      </c>
      <c r="F140" s="711">
        <f t="shared" si="26"/>
        <v>5.0000000000000017E-2</v>
      </c>
      <c r="H140" s="697"/>
      <c r="I140" s="712">
        <v>60</v>
      </c>
      <c r="J140" s="693">
        <v>0.3</v>
      </c>
      <c r="K140" s="693">
        <v>-0.6</v>
      </c>
      <c r="L140" s="711">
        <f t="shared" si="27"/>
        <v>0.44999999999999996</v>
      </c>
      <c r="O140" s="692"/>
      <c r="P140" s="682"/>
    </row>
    <row r="141" spans="1:16" ht="13" x14ac:dyDescent="0.3">
      <c r="A141" s="1481"/>
      <c r="C141" s="712">
        <v>35</v>
      </c>
      <c r="D141" s="693">
        <v>-0.6</v>
      </c>
      <c r="E141" s="693">
        <v>-0.6</v>
      </c>
      <c r="F141" s="711">
        <f t="shared" si="26"/>
        <v>0</v>
      </c>
      <c r="H141" s="697"/>
      <c r="I141" s="712">
        <v>70</v>
      </c>
      <c r="J141" s="693">
        <v>0.7</v>
      </c>
      <c r="K141" s="693">
        <v>-0.8</v>
      </c>
      <c r="L141" s="711">
        <f t="shared" si="27"/>
        <v>0.75</v>
      </c>
      <c r="O141" s="692"/>
      <c r="P141" s="682"/>
    </row>
    <row r="142" spans="1:16" ht="13" x14ac:dyDescent="0.3">
      <c r="A142" s="1481"/>
      <c r="C142" s="712">
        <v>37</v>
      </c>
      <c r="D142" s="693">
        <v>-0.7</v>
      </c>
      <c r="E142" s="693">
        <v>-0.8</v>
      </c>
      <c r="F142" s="711">
        <f t="shared" si="26"/>
        <v>5.0000000000000044E-2</v>
      </c>
      <c r="H142" s="697"/>
      <c r="I142" s="712">
        <v>80</v>
      </c>
      <c r="J142" s="693">
        <v>1.1000000000000001</v>
      </c>
      <c r="K142" s="693">
        <v>-0.9</v>
      </c>
      <c r="L142" s="711">
        <f t="shared" si="27"/>
        <v>1</v>
      </c>
      <c r="O142" s="692"/>
      <c r="P142" s="682"/>
    </row>
    <row r="143" spans="1:16" ht="13.5" thickBot="1" x14ac:dyDescent="0.35">
      <c r="A143" s="1482"/>
      <c r="B143" s="695"/>
      <c r="C143" s="713">
        <v>40</v>
      </c>
      <c r="D143" s="714">
        <v>-0.8</v>
      </c>
      <c r="E143" s="714">
        <v>-1.1000000000000001</v>
      </c>
      <c r="F143" s="715">
        <f t="shared" si="26"/>
        <v>0.15000000000000002</v>
      </c>
      <c r="G143" s="695"/>
      <c r="H143" s="716"/>
      <c r="I143" s="713">
        <v>90</v>
      </c>
      <c r="J143" s="714">
        <v>1.5</v>
      </c>
      <c r="K143" s="714">
        <v>-0.8</v>
      </c>
      <c r="L143" s="715">
        <f t="shared" si="27"/>
        <v>1.1499999999999999</v>
      </c>
      <c r="M143" s="695"/>
      <c r="N143" s="695"/>
      <c r="O143" s="696"/>
      <c r="P143" s="682"/>
    </row>
    <row r="144" spans="1:16" ht="13.5" thickBot="1" x14ac:dyDescent="0.35">
      <c r="A144" s="718"/>
      <c r="B144" s="719"/>
      <c r="C144" s="719"/>
      <c r="D144" s="719"/>
      <c r="E144" s="720"/>
      <c r="F144" s="729"/>
      <c r="G144" s="722"/>
      <c r="H144" s="719"/>
      <c r="I144" s="719"/>
      <c r="J144" s="719"/>
      <c r="K144" s="720"/>
      <c r="L144" s="729"/>
      <c r="O144" s="692"/>
      <c r="P144" s="682"/>
    </row>
    <row r="145" spans="1:16" ht="13.5" thickBot="1" x14ac:dyDescent="0.35">
      <c r="A145" s="1480">
        <v>14</v>
      </c>
      <c r="B145" s="1483" t="s">
        <v>369</v>
      </c>
      <c r="C145" s="1484"/>
      <c r="D145" s="1484"/>
      <c r="E145" s="1484"/>
      <c r="F145" s="1485"/>
      <c r="G145" s="684"/>
      <c r="H145" s="1483" t="str">
        <f>B145</f>
        <v>KOREKSI EXTECH A.100605</v>
      </c>
      <c r="I145" s="1484"/>
      <c r="J145" s="1484"/>
      <c r="K145" s="1484"/>
      <c r="L145" s="1485"/>
      <c r="M145" s="684"/>
      <c r="N145" s="1496" t="s">
        <v>80</v>
      </c>
      <c r="O145" s="1497"/>
      <c r="P145" s="682"/>
    </row>
    <row r="146" spans="1:16" ht="13.5" thickBot="1" x14ac:dyDescent="0.35">
      <c r="A146" s="1481"/>
      <c r="B146" s="1486" t="s">
        <v>74</v>
      </c>
      <c r="C146" s="1487"/>
      <c r="D146" s="1488" t="s">
        <v>62</v>
      </c>
      <c r="E146" s="1489"/>
      <c r="F146" s="1490" t="s">
        <v>63</v>
      </c>
      <c r="H146" s="1486" t="s">
        <v>73</v>
      </c>
      <c r="I146" s="1487"/>
      <c r="J146" s="1488" t="s">
        <v>62</v>
      </c>
      <c r="K146" s="1489"/>
      <c r="L146" s="1490" t="s">
        <v>63</v>
      </c>
      <c r="N146" s="701" t="s">
        <v>74</v>
      </c>
      <c r="O146" s="724">
        <v>0.5</v>
      </c>
      <c r="P146" s="682"/>
    </row>
    <row r="147" spans="1:16" ht="15" thickBot="1" x14ac:dyDescent="0.35">
      <c r="A147" s="1481"/>
      <c r="B147" s="1492" t="s">
        <v>177</v>
      </c>
      <c r="C147" s="1493"/>
      <c r="D147" s="703">
        <v>2022</v>
      </c>
      <c r="E147" s="730">
        <v>2020</v>
      </c>
      <c r="F147" s="1491"/>
      <c r="H147" s="1494" t="s">
        <v>133</v>
      </c>
      <c r="I147" s="1495"/>
      <c r="J147" s="704">
        <f>D147</f>
        <v>2022</v>
      </c>
      <c r="K147" s="704">
        <f>E147</f>
        <v>2020</v>
      </c>
      <c r="L147" s="1491"/>
      <c r="N147" s="705" t="s">
        <v>133</v>
      </c>
      <c r="O147" s="723">
        <v>2.2999999999999998</v>
      </c>
      <c r="P147" s="682"/>
    </row>
    <row r="148" spans="1:16" ht="13" x14ac:dyDescent="0.3">
      <c r="A148" s="1481"/>
      <c r="C148" s="707">
        <v>15</v>
      </c>
      <c r="D148" s="708">
        <v>0.5</v>
      </c>
      <c r="E148" s="708">
        <v>-0.7</v>
      </c>
      <c r="F148" s="709">
        <f t="shared" ref="F148:F154" si="28">0.5*(MAX(D148:E148)-MIN(D148:E148))</f>
        <v>0.6</v>
      </c>
      <c r="H148" s="697"/>
      <c r="I148" s="707">
        <v>35</v>
      </c>
      <c r="J148" s="708">
        <v>-2.2000000000000002</v>
      </c>
      <c r="K148" s="708">
        <v>-1.4</v>
      </c>
      <c r="L148" s="709">
        <f t="shared" ref="L148:L154" si="29">0.5*(MAX(J148:K148)-MIN(J148:K148))</f>
        <v>0.40000000000000013</v>
      </c>
      <c r="O148" s="692"/>
      <c r="P148" s="682"/>
    </row>
    <row r="149" spans="1:16" ht="13" x14ac:dyDescent="0.3">
      <c r="A149" s="1481"/>
      <c r="C149" s="710">
        <v>20</v>
      </c>
      <c r="D149" s="690">
        <v>0.2</v>
      </c>
      <c r="E149" s="690">
        <v>-0.4</v>
      </c>
      <c r="F149" s="711">
        <f t="shared" si="28"/>
        <v>0.30000000000000004</v>
      </c>
      <c r="H149" s="697"/>
      <c r="I149" s="710">
        <v>40</v>
      </c>
      <c r="J149" s="690">
        <v>-0.2</v>
      </c>
      <c r="K149" s="690">
        <v>-1.3</v>
      </c>
      <c r="L149" s="711">
        <f t="shared" si="29"/>
        <v>0.55000000000000004</v>
      </c>
      <c r="O149" s="692"/>
      <c r="P149" s="682"/>
    </row>
    <row r="150" spans="1:16" ht="13" x14ac:dyDescent="0.3">
      <c r="A150" s="1481"/>
      <c r="C150" s="710">
        <v>25</v>
      </c>
      <c r="D150" s="690">
        <v>0.1</v>
      </c>
      <c r="E150" s="690">
        <v>-0.2</v>
      </c>
      <c r="F150" s="711">
        <f t="shared" si="28"/>
        <v>0.15000000000000002</v>
      </c>
      <c r="H150" s="697"/>
      <c r="I150" s="710">
        <v>50</v>
      </c>
      <c r="J150" s="690">
        <v>-1.8</v>
      </c>
      <c r="K150" s="690">
        <v>-1.3</v>
      </c>
      <c r="L150" s="711">
        <f t="shared" si="29"/>
        <v>0.25</v>
      </c>
      <c r="O150" s="692"/>
      <c r="P150" s="682"/>
    </row>
    <row r="151" spans="1:16" ht="13" x14ac:dyDescent="0.3">
      <c r="A151" s="1481"/>
      <c r="C151" s="712">
        <v>30</v>
      </c>
      <c r="D151" s="693">
        <v>-0.1</v>
      </c>
      <c r="E151" s="693">
        <v>0.1</v>
      </c>
      <c r="F151" s="711">
        <f t="shared" si="28"/>
        <v>0.1</v>
      </c>
      <c r="H151" s="697"/>
      <c r="I151" s="712">
        <v>60</v>
      </c>
      <c r="J151" s="693">
        <v>-1.6</v>
      </c>
      <c r="K151" s="693">
        <v>-1.5</v>
      </c>
      <c r="L151" s="711">
        <f t="shared" si="29"/>
        <v>5.0000000000000044E-2</v>
      </c>
      <c r="O151" s="692"/>
      <c r="P151" s="682"/>
    </row>
    <row r="152" spans="1:16" ht="13" x14ac:dyDescent="0.3">
      <c r="A152" s="1481"/>
      <c r="C152" s="712">
        <v>35</v>
      </c>
      <c r="D152" s="693">
        <v>-0.2</v>
      </c>
      <c r="E152" s="693">
        <v>0.3</v>
      </c>
      <c r="F152" s="711">
        <f t="shared" si="28"/>
        <v>0.25</v>
      </c>
      <c r="H152" s="697"/>
      <c r="I152" s="712">
        <v>70</v>
      </c>
      <c r="J152" s="693">
        <v>-1.4</v>
      </c>
      <c r="K152" s="693">
        <v>-1.9</v>
      </c>
      <c r="L152" s="711">
        <f t="shared" si="29"/>
        <v>0.25</v>
      </c>
      <c r="O152" s="692"/>
      <c r="P152" s="682"/>
    </row>
    <row r="153" spans="1:16" ht="13" x14ac:dyDescent="0.3">
      <c r="A153" s="1481"/>
      <c r="C153" s="712">
        <v>37</v>
      </c>
      <c r="D153" s="693">
        <v>-0.2</v>
      </c>
      <c r="E153" s="693">
        <v>0.4</v>
      </c>
      <c r="F153" s="711">
        <f t="shared" si="28"/>
        <v>0.30000000000000004</v>
      </c>
      <c r="H153" s="697"/>
      <c r="I153" s="712">
        <v>80</v>
      </c>
      <c r="J153" s="693">
        <v>-1.2</v>
      </c>
      <c r="K153" s="693">
        <v>-2.5</v>
      </c>
      <c r="L153" s="711">
        <f t="shared" si="29"/>
        <v>0.65</v>
      </c>
      <c r="O153" s="692"/>
      <c r="P153" s="682"/>
    </row>
    <row r="154" spans="1:16" ht="13.5" thickBot="1" x14ac:dyDescent="0.35">
      <c r="A154" s="1482"/>
      <c r="B154" s="695"/>
      <c r="C154" s="713">
        <v>40</v>
      </c>
      <c r="D154" s="714">
        <v>-0.2</v>
      </c>
      <c r="E154" s="714">
        <v>0.5</v>
      </c>
      <c r="F154" s="715">
        <f t="shared" si="28"/>
        <v>0.35</v>
      </c>
      <c r="G154" s="695"/>
      <c r="H154" s="716"/>
      <c r="I154" s="713">
        <v>90</v>
      </c>
      <c r="J154" s="714">
        <v>-1</v>
      </c>
      <c r="K154" s="714">
        <v>-3.2</v>
      </c>
      <c r="L154" s="715">
        <f t="shared" si="29"/>
        <v>1.1000000000000001</v>
      </c>
      <c r="M154" s="695"/>
      <c r="N154" s="695"/>
      <c r="O154" s="696"/>
      <c r="P154" s="682"/>
    </row>
    <row r="155" spans="1:16" ht="13.5" thickBot="1" x14ac:dyDescent="0.35">
      <c r="A155" s="718"/>
      <c r="B155" s="719"/>
      <c r="C155" s="719"/>
      <c r="D155" s="719"/>
      <c r="E155" s="720"/>
      <c r="F155" s="729"/>
      <c r="G155" s="722"/>
      <c r="H155" s="719"/>
      <c r="I155" s="719"/>
      <c r="J155" s="719"/>
      <c r="K155" s="720"/>
      <c r="L155" s="729"/>
      <c r="O155" s="692"/>
      <c r="P155" s="682"/>
    </row>
    <row r="156" spans="1:16" ht="13.5" thickBot="1" x14ac:dyDescent="0.35">
      <c r="A156" s="1480">
        <v>15</v>
      </c>
      <c r="B156" s="1483" t="s">
        <v>370</v>
      </c>
      <c r="C156" s="1484"/>
      <c r="D156" s="1484"/>
      <c r="E156" s="1484"/>
      <c r="F156" s="1485"/>
      <c r="G156" s="684"/>
      <c r="H156" s="1483" t="str">
        <f>B156</f>
        <v>KOREKSI EXTECH A.100617</v>
      </c>
      <c r="I156" s="1484"/>
      <c r="J156" s="1484"/>
      <c r="K156" s="1484"/>
      <c r="L156" s="1485"/>
      <c r="M156" s="684"/>
      <c r="N156" s="1496" t="s">
        <v>80</v>
      </c>
      <c r="O156" s="1497"/>
      <c r="P156" s="682"/>
    </row>
    <row r="157" spans="1:16" ht="13.5" thickBot="1" x14ac:dyDescent="0.35">
      <c r="A157" s="1481"/>
      <c r="B157" s="1486" t="s">
        <v>74</v>
      </c>
      <c r="C157" s="1487"/>
      <c r="D157" s="1488" t="s">
        <v>62</v>
      </c>
      <c r="E157" s="1489"/>
      <c r="F157" s="1490" t="s">
        <v>63</v>
      </c>
      <c r="H157" s="1486" t="s">
        <v>73</v>
      </c>
      <c r="I157" s="1487"/>
      <c r="J157" s="1488" t="s">
        <v>62</v>
      </c>
      <c r="K157" s="1489"/>
      <c r="L157" s="1490" t="s">
        <v>63</v>
      </c>
      <c r="N157" s="701" t="s">
        <v>74</v>
      </c>
      <c r="O157" s="724">
        <v>0.3</v>
      </c>
      <c r="P157" s="682"/>
    </row>
    <row r="158" spans="1:16" ht="15" thickBot="1" x14ac:dyDescent="0.35">
      <c r="A158" s="1481"/>
      <c r="B158" s="1492" t="s">
        <v>177</v>
      </c>
      <c r="C158" s="1493"/>
      <c r="D158" s="703">
        <v>2020</v>
      </c>
      <c r="E158" s="730" t="s">
        <v>65</v>
      </c>
      <c r="F158" s="1491"/>
      <c r="H158" s="1494" t="s">
        <v>133</v>
      </c>
      <c r="I158" s="1495"/>
      <c r="J158" s="704">
        <f>D158</f>
        <v>2020</v>
      </c>
      <c r="K158" s="704" t="str">
        <f>E158</f>
        <v>-</v>
      </c>
      <c r="L158" s="1491"/>
      <c r="N158" s="705" t="s">
        <v>133</v>
      </c>
      <c r="O158" s="723">
        <v>2.8</v>
      </c>
      <c r="P158" s="682"/>
    </row>
    <row r="159" spans="1:16" ht="13" x14ac:dyDescent="0.3">
      <c r="A159" s="1481"/>
      <c r="C159" s="707">
        <v>15</v>
      </c>
      <c r="D159" s="708">
        <v>0.1</v>
      </c>
      <c r="E159" s="731" t="s">
        <v>65</v>
      </c>
      <c r="F159" s="709">
        <f t="shared" ref="F159:F165" si="30">0.5*(MAX(D159:E159)-MIN(D159:E159))</f>
        <v>0</v>
      </c>
      <c r="H159" s="697"/>
      <c r="I159" s="707">
        <v>30</v>
      </c>
      <c r="J159" s="708">
        <v>0.1</v>
      </c>
      <c r="K159" s="731" t="s">
        <v>65</v>
      </c>
      <c r="L159" s="709">
        <f t="shared" ref="L159:L165" si="31">0.5*(MAX(J159:K159)-MIN(J159:K159))</f>
        <v>0</v>
      </c>
      <c r="O159" s="692"/>
      <c r="P159" s="682"/>
    </row>
    <row r="160" spans="1:16" ht="13" x14ac:dyDescent="0.3">
      <c r="A160" s="1481"/>
      <c r="C160" s="710">
        <v>20</v>
      </c>
      <c r="D160" s="690">
        <v>0.1</v>
      </c>
      <c r="E160" s="732" t="s">
        <v>65</v>
      </c>
      <c r="F160" s="711">
        <f t="shared" si="30"/>
        <v>0</v>
      </c>
      <c r="H160" s="697"/>
      <c r="I160" s="710">
        <v>40</v>
      </c>
      <c r="J160" s="690">
        <v>0.2</v>
      </c>
      <c r="K160" s="732" t="s">
        <v>65</v>
      </c>
      <c r="L160" s="711">
        <f t="shared" si="31"/>
        <v>0</v>
      </c>
      <c r="O160" s="692"/>
      <c r="P160" s="682"/>
    </row>
    <row r="161" spans="1:16" ht="13" x14ac:dyDescent="0.3">
      <c r="A161" s="1481"/>
      <c r="C161" s="710">
        <v>25</v>
      </c>
      <c r="D161" s="690">
        <v>0</v>
      </c>
      <c r="E161" s="732" t="s">
        <v>65</v>
      </c>
      <c r="F161" s="711">
        <f t="shared" si="30"/>
        <v>0</v>
      </c>
      <c r="H161" s="697"/>
      <c r="I161" s="710">
        <v>50</v>
      </c>
      <c r="J161" s="690">
        <v>0.2</v>
      </c>
      <c r="K161" s="732" t="s">
        <v>65</v>
      </c>
      <c r="L161" s="711">
        <f t="shared" si="31"/>
        <v>0</v>
      </c>
      <c r="O161" s="692"/>
      <c r="P161" s="682"/>
    </row>
    <row r="162" spans="1:16" ht="13" x14ac:dyDescent="0.3">
      <c r="A162" s="1481"/>
      <c r="C162" s="712">
        <v>30</v>
      </c>
      <c r="D162" s="693">
        <v>-0.2</v>
      </c>
      <c r="E162" s="694" t="s">
        <v>65</v>
      </c>
      <c r="F162" s="711">
        <f t="shared" si="30"/>
        <v>0</v>
      </c>
      <c r="H162" s="697"/>
      <c r="I162" s="712">
        <v>60</v>
      </c>
      <c r="J162" s="693">
        <v>0</v>
      </c>
      <c r="K162" s="694" t="s">
        <v>65</v>
      </c>
      <c r="L162" s="711">
        <f t="shared" si="31"/>
        <v>0</v>
      </c>
      <c r="O162" s="692"/>
      <c r="P162" s="682"/>
    </row>
    <row r="163" spans="1:16" ht="13" x14ac:dyDescent="0.3">
      <c r="A163" s="1481"/>
      <c r="C163" s="712">
        <v>35</v>
      </c>
      <c r="D163" s="693">
        <v>-0.5</v>
      </c>
      <c r="E163" s="694" t="s">
        <v>65</v>
      </c>
      <c r="F163" s="711">
        <f t="shared" si="30"/>
        <v>0</v>
      </c>
      <c r="H163" s="697"/>
      <c r="I163" s="712">
        <v>70</v>
      </c>
      <c r="J163" s="693">
        <v>-0.3</v>
      </c>
      <c r="K163" s="694" t="s">
        <v>65</v>
      </c>
      <c r="L163" s="711">
        <f t="shared" si="31"/>
        <v>0</v>
      </c>
      <c r="O163" s="692"/>
      <c r="P163" s="682"/>
    </row>
    <row r="164" spans="1:16" ht="13" x14ac:dyDescent="0.3">
      <c r="A164" s="1481"/>
      <c r="C164" s="712">
        <v>37</v>
      </c>
      <c r="D164" s="693">
        <v>-0.6</v>
      </c>
      <c r="E164" s="694" t="s">
        <v>65</v>
      </c>
      <c r="F164" s="711">
        <f t="shared" si="30"/>
        <v>0</v>
      </c>
      <c r="H164" s="697"/>
      <c r="I164" s="712">
        <v>80</v>
      </c>
      <c r="J164" s="693">
        <v>-0.8</v>
      </c>
      <c r="K164" s="694" t="s">
        <v>65</v>
      </c>
      <c r="L164" s="711">
        <f t="shared" si="31"/>
        <v>0</v>
      </c>
      <c r="O164" s="692"/>
      <c r="P164" s="682"/>
    </row>
    <row r="165" spans="1:16" ht="13.5" thickBot="1" x14ac:dyDescent="0.35">
      <c r="A165" s="1482"/>
      <c r="B165" s="695"/>
      <c r="C165" s="713">
        <v>40</v>
      </c>
      <c r="D165" s="714">
        <v>-0.8</v>
      </c>
      <c r="E165" s="717" t="s">
        <v>65</v>
      </c>
      <c r="F165" s="715">
        <f t="shared" si="30"/>
        <v>0</v>
      </c>
      <c r="G165" s="695"/>
      <c r="H165" s="716"/>
      <c r="I165" s="713">
        <v>90</v>
      </c>
      <c r="J165" s="714">
        <v>-1.4</v>
      </c>
      <c r="K165" s="717" t="s">
        <v>65</v>
      </c>
      <c r="L165" s="715">
        <f t="shared" si="31"/>
        <v>0</v>
      </c>
      <c r="M165" s="695"/>
      <c r="N165" s="695"/>
      <c r="O165" s="696"/>
      <c r="P165" s="682"/>
    </row>
    <row r="166" spans="1:16" ht="13.5" thickBot="1" x14ac:dyDescent="0.35">
      <c r="A166" s="718"/>
      <c r="B166" s="719"/>
      <c r="C166" s="719"/>
      <c r="D166" s="719"/>
      <c r="E166" s="720"/>
      <c r="F166" s="729"/>
      <c r="G166" s="722"/>
      <c r="H166" s="719"/>
      <c r="I166" s="719"/>
      <c r="J166" s="719"/>
      <c r="K166" s="720"/>
      <c r="L166" s="729"/>
      <c r="O166" s="692"/>
      <c r="P166" s="682"/>
    </row>
    <row r="167" spans="1:16" ht="13.5" thickBot="1" x14ac:dyDescent="0.35">
      <c r="A167" s="1480">
        <v>16</v>
      </c>
      <c r="B167" s="1483" t="s">
        <v>371</v>
      </c>
      <c r="C167" s="1484"/>
      <c r="D167" s="1484"/>
      <c r="E167" s="1484"/>
      <c r="F167" s="1485"/>
      <c r="G167" s="684"/>
      <c r="H167" s="1483" t="str">
        <f>B167</f>
        <v>KOREKSI EXTECH A.100616</v>
      </c>
      <c r="I167" s="1484"/>
      <c r="J167" s="1484"/>
      <c r="K167" s="1484"/>
      <c r="L167" s="1485"/>
      <c r="M167" s="684"/>
      <c r="N167" s="1496" t="s">
        <v>80</v>
      </c>
      <c r="O167" s="1497"/>
      <c r="P167" s="682"/>
    </row>
    <row r="168" spans="1:16" ht="13.5" thickBot="1" x14ac:dyDescent="0.35">
      <c r="A168" s="1481"/>
      <c r="B168" s="1486" t="s">
        <v>74</v>
      </c>
      <c r="C168" s="1487"/>
      <c r="D168" s="1488" t="s">
        <v>62</v>
      </c>
      <c r="E168" s="1489"/>
      <c r="F168" s="1490" t="s">
        <v>63</v>
      </c>
      <c r="H168" s="1486" t="s">
        <v>73</v>
      </c>
      <c r="I168" s="1487"/>
      <c r="J168" s="1488" t="s">
        <v>62</v>
      </c>
      <c r="K168" s="1489"/>
      <c r="L168" s="1490" t="s">
        <v>63</v>
      </c>
      <c r="N168" s="701" t="s">
        <v>74</v>
      </c>
      <c r="O168" s="724">
        <v>0.4</v>
      </c>
      <c r="P168" s="682"/>
    </row>
    <row r="169" spans="1:16" ht="15" thickBot="1" x14ac:dyDescent="0.35">
      <c r="A169" s="1481"/>
      <c r="B169" s="1492" t="s">
        <v>177</v>
      </c>
      <c r="C169" s="1493"/>
      <c r="D169" s="703">
        <v>2020</v>
      </c>
      <c r="E169" s="730" t="s">
        <v>65</v>
      </c>
      <c r="F169" s="1491"/>
      <c r="H169" s="1494" t="s">
        <v>133</v>
      </c>
      <c r="I169" s="1495"/>
      <c r="J169" s="704">
        <f>D169</f>
        <v>2020</v>
      </c>
      <c r="K169" s="704" t="str">
        <f>E169</f>
        <v>-</v>
      </c>
      <c r="L169" s="1491"/>
      <c r="N169" s="705" t="s">
        <v>133</v>
      </c>
      <c r="O169" s="723">
        <v>2.2000000000000002</v>
      </c>
      <c r="P169" s="682"/>
    </row>
    <row r="170" spans="1:16" ht="13" x14ac:dyDescent="0.3">
      <c r="A170" s="1481"/>
      <c r="C170" s="707">
        <v>15</v>
      </c>
      <c r="D170" s="708">
        <v>0.1</v>
      </c>
      <c r="E170" s="731" t="s">
        <v>65</v>
      </c>
      <c r="F170" s="709">
        <f t="shared" ref="F170:F176" si="32">0.5*(MAX(D170:E170)-MIN(D170:E170))</f>
        <v>0</v>
      </c>
      <c r="H170" s="697"/>
      <c r="I170" s="707">
        <v>30</v>
      </c>
      <c r="J170" s="708">
        <v>-1.6</v>
      </c>
      <c r="K170" s="731" t="s">
        <v>65</v>
      </c>
      <c r="L170" s="709">
        <f t="shared" ref="L170:L176" si="33">0.5*(MAX(J170:K170)-MIN(J170:K170))</f>
        <v>0</v>
      </c>
      <c r="O170" s="692"/>
      <c r="P170" s="682"/>
    </row>
    <row r="171" spans="1:16" ht="13" x14ac:dyDescent="0.3">
      <c r="A171" s="1481"/>
      <c r="C171" s="710">
        <v>20</v>
      </c>
      <c r="D171" s="690">
        <v>0.2</v>
      </c>
      <c r="E171" s="732" t="s">
        <v>65</v>
      </c>
      <c r="F171" s="711">
        <f t="shared" si="32"/>
        <v>0</v>
      </c>
      <c r="H171" s="697"/>
      <c r="I171" s="710">
        <v>40</v>
      </c>
      <c r="J171" s="690">
        <v>-1.4</v>
      </c>
      <c r="K171" s="732" t="s">
        <v>65</v>
      </c>
      <c r="L171" s="711">
        <f t="shared" si="33"/>
        <v>0</v>
      </c>
      <c r="O171" s="692"/>
      <c r="P171" s="682"/>
    </row>
    <row r="172" spans="1:16" ht="13" x14ac:dyDescent="0.3">
      <c r="A172" s="1481"/>
      <c r="C172" s="710">
        <v>25</v>
      </c>
      <c r="D172" s="690">
        <v>0.2</v>
      </c>
      <c r="E172" s="732" t="s">
        <v>65</v>
      </c>
      <c r="F172" s="711">
        <f t="shared" si="32"/>
        <v>0</v>
      </c>
      <c r="H172" s="697"/>
      <c r="I172" s="710">
        <v>50</v>
      </c>
      <c r="J172" s="690">
        <v>-1.4</v>
      </c>
      <c r="K172" s="732" t="s">
        <v>65</v>
      </c>
      <c r="L172" s="711">
        <f t="shared" si="33"/>
        <v>0</v>
      </c>
      <c r="O172" s="692"/>
      <c r="P172" s="682"/>
    </row>
    <row r="173" spans="1:16" ht="13" x14ac:dyDescent="0.3">
      <c r="A173" s="1481"/>
      <c r="C173" s="712">
        <v>30</v>
      </c>
      <c r="D173" s="693">
        <v>0.2</v>
      </c>
      <c r="E173" s="694" t="s">
        <v>65</v>
      </c>
      <c r="F173" s="711">
        <f t="shared" si="32"/>
        <v>0</v>
      </c>
      <c r="H173" s="697"/>
      <c r="I173" s="712">
        <v>60</v>
      </c>
      <c r="J173" s="693">
        <v>-1.5</v>
      </c>
      <c r="K173" s="694" t="s">
        <v>65</v>
      </c>
      <c r="L173" s="711">
        <f t="shared" si="33"/>
        <v>0</v>
      </c>
      <c r="O173" s="692"/>
      <c r="P173" s="682"/>
    </row>
    <row r="174" spans="1:16" ht="13" x14ac:dyDescent="0.3">
      <c r="A174" s="1481"/>
      <c r="C174" s="712">
        <v>35</v>
      </c>
      <c r="D174" s="693">
        <v>0.1</v>
      </c>
      <c r="E174" s="694" t="s">
        <v>65</v>
      </c>
      <c r="F174" s="711">
        <f t="shared" si="32"/>
        <v>0</v>
      </c>
      <c r="H174" s="697"/>
      <c r="I174" s="712">
        <v>70</v>
      </c>
      <c r="J174" s="693">
        <v>-1.8</v>
      </c>
      <c r="K174" s="694" t="s">
        <v>65</v>
      </c>
      <c r="L174" s="711">
        <f t="shared" si="33"/>
        <v>0</v>
      </c>
      <c r="O174" s="692"/>
      <c r="P174" s="682"/>
    </row>
    <row r="175" spans="1:16" ht="13" x14ac:dyDescent="0.3">
      <c r="A175" s="1481"/>
      <c r="C175" s="712">
        <v>37</v>
      </c>
      <c r="D175" s="693">
        <v>0</v>
      </c>
      <c r="E175" s="694" t="s">
        <v>65</v>
      </c>
      <c r="F175" s="711">
        <f t="shared" si="32"/>
        <v>0</v>
      </c>
      <c r="H175" s="697"/>
      <c r="I175" s="712">
        <v>80</v>
      </c>
      <c r="J175" s="693">
        <v>-2.2999999999999998</v>
      </c>
      <c r="K175" s="694" t="s">
        <v>65</v>
      </c>
      <c r="L175" s="711">
        <f t="shared" si="33"/>
        <v>0</v>
      </c>
      <c r="O175" s="692"/>
      <c r="P175" s="682"/>
    </row>
    <row r="176" spans="1:16" ht="13.5" thickBot="1" x14ac:dyDescent="0.35">
      <c r="A176" s="1482"/>
      <c r="B176" s="695"/>
      <c r="C176" s="713">
        <v>40</v>
      </c>
      <c r="D176" s="714">
        <v>0</v>
      </c>
      <c r="E176" s="717" t="s">
        <v>65</v>
      </c>
      <c r="F176" s="715">
        <f t="shared" si="32"/>
        <v>0</v>
      </c>
      <c r="G176" s="695"/>
      <c r="H176" s="716"/>
      <c r="I176" s="713">
        <v>90</v>
      </c>
      <c r="J176" s="714">
        <v>-3</v>
      </c>
      <c r="K176" s="717" t="s">
        <v>65</v>
      </c>
      <c r="L176" s="715">
        <f t="shared" si="33"/>
        <v>0</v>
      </c>
      <c r="M176" s="695"/>
      <c r="N176" s="695"/>
      <c r="O176" s="696"/>
      <c r="P176" s="682"/>
    </row>
    <row r="177" spans="1:16" ht="13.5" thickBot="1" x14ac:dyDescent="0.35">
      <c r="A177" s="718"/>
      <c r="B177" s="719"/>
      <c r="C177" s="719"/>
      <c r="D177" s="719"/>
      <c r="E177" s="720"/>
      <c r="F177" s="729"/>
      <c r="G177" s="722"/>
      <c r="H177" s="719"/>
      <c r="I177" s="719"/>
      <c r="J177" s="719"/>
      <c r="K177" s="720"/>
      <c r="L177" s="729"/>
      <c r="O177" s="692"/>
      <c r="P177" s="682"/>
    </row>
    <row r="178" spans="1:16" ht="13.5" thickBot="1" x14ac:dyDescent="0.35">
      <c r="A178" s="1480">
        <v>17</v>
      </c>
      <c r="B178" s="1483" t="s">
        <v>372</v>
      </c>
      <c r="C178" s="1484"/>
      <c r="D178" s="1484"/>
      <c r="E178" s="1484"/>
      <c r="F178" s="1485"/>
      <c r="G178" s="684"/>
      <c r="H178" s="1483" t="str">
        <f>B178</f>
        <v>KOREKSI EXTECH A.100618</v>
      </c>
      <c r="I178" s="1484"/>
      <c r="J178" s="1484"/>
      <c r="K178" s="1484"/>
      <c r="L178" s="1485"/>
      <c r="M178" s="684"/>
      <c r="N178" s="1496" t="s">
        <v>80</v>
      </c>
      <c r="O178" s="1497"/>
      <c r="P178" s="682"/>
    </row>
    <row r="179" spans="1:16" ht="13.5" thickBot="1" x14ac:dyDescent="0.35">
      <c r="A179" s="1481"/>
      <c r="B179" s="1486" t="s">
        <v>74</v>
      </c>
      <c r="C179" s="1487"/>
      <c r="D179" s="1488" t="s">
        <v>62</v>
      </c>
      <c r="E179" s="1489"/>
      <c r="F179" s="1490" t="s">
        <v>63</v>
      </c>
      <c r="H179" s="1486" t="s">
        <v>73</v>
      </c>
      <c r="I179" s="1487"/>
      <c r="J179" s="1488" t="s">
        <v>62</v>
      </c>
      <c r="K179" s="1489"/>
      <c r="L179" s="1490" t="s">
        <v>63</v>
      </c>
      <c r="N179" s="701" t="s">
        <v>74</v>
      </c>
      <c r="O179" s="724">
        <v>0.3</v>
      </c>
      <c r="P179" s="682"/>
    </row>
    <row r="180" spans="1:16" ht="15" thickBot="1" x14ac:dyDescent="0.35">
      <c r="A180" s="1481"/>
      <c r="B180" s="1492" t="s">
        <v>177</v>
      </c>
      <c r="C180" s="1493"/>
      <c r="D180" s="703">
        <v>2020</v>
      </c>
      <c r="E180" s="730" t="s">
        <v>65</v>
      </c>
      <c r="F180" s="1491"/>
      <c r="H180" s="1494" t="s">
        <v>133</v>
      </c>
      <c r="I180" s="1495"/>
      <c r="J180" s="704">
        <f>D180</f>
        <v>2020</v>
      </c>
      <c r="K180" s="704" t="str">
        <f>E180</f>
        <v>-</v>
      </c>
      <c r="L180" s="1491"/>
      <c r="N180" s="705" t="s">
        <v>133</v>
      </c>
      <c r="O180" s="723">
        <v>1.6</v>
      </c>
      <c r="P180" s="682"/>
    </row>
    <row r="181" spans="1:16" ht="13" x14ac:dyDescent="0.3">
      <c r="A181" s="1481"/>
      <c r="C181" s="707">
        <v>15</v>
      </c>
      <c r="D181" s="708">
        <v>0</v>
      </c>
      <c r="E181" s="731" t="s">
        <v>65</v>
      </c>
      <c r="F181" s="709">
        <f t="shared" ref="F181:F187" si="34">0.5*(MAX(D181:E181)-MIN(D181:E181))</f>
        <v>0</v>
      </c>
      <c r="H181" s="697"/>
      <c r="I181" s="707">
        <v>30</v>
      </c>
      <c r="J181" s="708">
        <v>-0.4</v>
      </c>
      <c r="K181" s="731" t="s">
        <v>65</v>
      </c>
      <c r="L181" s="709">
        <f t="shared" ref="L181:L187" si="35">0.5*(MAX(J181:K181)-MIN(J181:K181))</f>
        <v>0</v>
      </c>
      <c r="O181" s="692"/>
      <c r="P181" s="682"/>
    </row>
    <row r="182" spans="1:16" ht="13" x14ac:dyDescent="0.3">
      <c r="A182" s="1481"/>
      <c r="C182" s="710">
        <v>20</v>
      </c>
      <c r="D182" s="690">
        <v>-0.1</v>
      </c>
      <c r="E182" s="732" t="s">
        <v>65</v>
      </c>
      <c r="F182" s="711">
        <f t="shared" si="34"/>
        <v>0</v>
      </c>
      <c r="H182" s="697"/>
      <c r="I182" s="710">
        <v>40</v>
      </c>
      <c r="J182" s="690">
        <v>-0.2</v>
      </c>
      <c r="K182" s="732" t="s">
        <v>65</v>
      </c>
      <c r="L182" s="711">
        <f t="shared" si="35"/>
        <v>0</v>
      </c>
      <c r="O182" s="692"/>
      <c r="P182" s="682"/>
    </row>
    <row r="183" spans="1:16" ht="13" x14ac:dyDescent="0.3">
      <c r="A183" s="1481"/>
      <c r="C183" s="710">
        <v>25</v>
      </c>
      <c r="D183" s="690">
        <v>-0.2</v>
      </c>
      <c r="E183" s="732" t="s">
        <v>65</v>
      </c>
      <c r="F183" s="711">
        <f t="shared" si="34"/>
        <v>0</v>
      </c>
      <c r="H183" s="697"/>
      <c r="I183" s="710">
        <v>50</v>
      </c>
      <c r="J183" s="690">
        <v>-0.2</v>
      </c>
      <c r="K183" s="732" t="s">
        <v>65</v>
      </c>
      <c r="L183" s="711">
        <f t="shared" si="35"/>
        <v>0</v>
      </c>
      <c r="O183" s="692"/>
      <c r="P183" s="682"/>
    </row>
    <row r="184" spans="1:16" ht="13" x14ac:dyDescent="0.3">
      <c r="A184" s="1481"/>
      <c r="C184" s="712">
        <v>30</v>
      </c>
      <c r="D184" s="693">
        <v>-0.2</v>
      </c>
      <c r="E184" s="694" t="s">
        <v>65</v>
      </c>
      <c r="F184" s="711">
        <f t="shared" si="34"/>
        <v>0</v>
      </c>
      <c r="H184" s="697"/>
      <c r="I184" s="712">
        <v>60</v>
      </c>
      <c r="J184" s="693">
        <v>-0.2</v>
      </c>
      <c r="K184" s="694" t="s">
        <v>65</v>
      </c>
      <c r="L184" s="711">
        <f t="shared" si="35"/>
        <v>0</v>
      </c>
      <c r="O184" s="692"/>
      <c r="P184" s="682"/>
    </row>
    <row r="185" spans="1:16" ht="13" x14ac:dyDescent="0.3">
      <c r="A185" s="1481"/>
      <c r="C185" s="712">
        <v>35</v>
      </c>
      <c r="D185" s="693">
        <v>-0.3</v>
      </c>
      <c r="E185" s="694" t="s">
        <v>65</v>
      </c>
      <c r="F185" s="711">
        <f t="shared" si="34"/>
        <v>0</v>
      </c>
      <c r="H185" s="697"/>
      <c r="I185" s="712">
        <v>70</v>
      </c>
      <c r="J185" s="693">
        <v>-0.3</v>
      </c>
      <c r="K185" s="694" t="s">
        <v>65</v>
      </c>
      <c r="L185" s="711">
        <f t="shared" si="35"/>
        <v>0</v>
      </c>
      <c r="O185" s="692"/>
      <c r="P185" s="682"/>
    </row>
    <row r="186" spans="1:16" ht="13" x14ac:dyDescent="0.3">
      <c r="A186" s="1481"/>
      <c r="C186" s="712">
        <v>37</v>
      </c>
      <c r="D186" s="693">
        <v>-0.3</v>
      </c>
      <c r="E186" s="694" t="s">
        <v>65</v>
      </c>
      <c r="F186" s="711">
        <f t="shared" si="34"/>
        <v>0</v>
      </c>
      <c r="H186" s="697"/>
      <c r="I186" s="712">
        <v>80</v>
      </c>
      <c r="J186" s="693">
        <v>-0.5</v>
      </c>
      <c r="K186" s="694" t="s">
        <v>65</v>
      </c>
      <c r="L186" s="711">
        <f t="shared" si="35"/>
        <v>0</v>
      </c>
      <c r="O186" s="692"/>
      <c r="P186" s="682"/>
    </row>
    <row r="187" spans="1:16" ht="13.5" thickBot="1" x14ac:dyDescent="0.35">
      <c r="A187" s="1482"/>
      <c r="B187" s="695"/>
      <c r="C187" s="713">
        <v>40</v>
      </c>
      <c r="D187" s="714">
        <v>-0.4</v>
      </c>
      <c r="E187" s="717" t="s">
        <v>65</v>
      </c>
      <c r="F187" s="715">
        <f t="shared" si="34"/>
        <v>0</v>
      </c>
      <c r="G187" s="695"/>
      <c r="H187" s="716"/>
      <c r="I187" s="713">
        <v>90</v>
      </c>
      <c r="J187" s="714">
        <v>-0.8</v>
      </c>
      <c r="K187" s="717" t="s">
        <v>65</v>
      </c>
      <c r="L187" s="715">
        <f t="shared" si="35"/>
        <v>0</v>
      </c>
      <c r="M187" s="695"/>
      <c r="N187" s="695"/>
      <c r="O187" s="696"/>
      <c r="P187" s="682"/>
    </row>
    <row r="188" spans="1:16" ht="13.5" thickBot="1" x14ac:dyDescent="0.35">
      <c r="A188" s="718"/>
      <c r="B188" s="719"/>
      <c r="C188" s="719"/>
      <c r="D188" s="719"/>
      <c r="E188" s="720"/>
      <c r="F188" s="729"/>
      <c r="G188" s="722"/>
      <c r="H188" s="719"/>
      <c r="I188" s="719"/>
      <c r="J188" s="719"/>
      <c r="K188" s="720"/>
      <c r="L188" s="729"/>
      <c r="O188" s="692"/>
      <c r="P188" s="682"/>
    </row>
    <row r="189" spans="1:16" ht="13.5" thickBot="1" x14ac:dyDescent="0.35">
      <c r="A189" s="1480">
        <v>18</v>
      </c>
      <c r="B189" s="1483" t="s">
        <v>373</v>
      </c>
      <c r="C189" s="1484"/>
      <c r="D189" s="1484"/>
      <c r="E189" s="1484"/>
      <c r="F189" s="1485"/>
      <c r="G189" s="684"/>
      <c r="H189" s="1483" t="str">
        <f>B189</f>
        <v>KOREKSI EXTECH A.100586</v>
      </c>
      <c r="I189" s="1484"/>
      <c r="J189" s="1484"/>
      <c r="K189" s="1484"/>
      <c r="L189" s="1485"/>
      <c r="M189" s="684"/>
      <c r="N189" s="1496" t="s">
        <v>80</v>
      </c>
      <c r="O189" s="1497"/>
      <c r="P189" s="682"/>
    </row>
    <row r="190" spans="1:16" ht="13.5" thickBot="1" x14ac:dyDescent="0.35">
      <c r="A190" s="1481"/>
      <c r="B190" s="1486" t="s">
        <v>74</v>
      </c>
      <c r="C190" s="1487"/>
      <c r="D190" s="1488" t="s">
        <v>62</v>
      </c>
      <c r="E190" s="1489"/>
      <c r="F190" s="1490" t="s">
        <v>63</v>
      </c>
      <c r="H190" s="1486" t="s">
        <v>73</v>
      </c>
      <c r="I190" s="1487"/>
      <c r="J190" s="1488" t="s">
        <v>62</v>
      </c>
      <c r="K190" s="1489"/>
      <c r="L190" s="1490" t="s">
        <v>63</v>
      </c>
      <c r="N190" s="701" t="s">
        <v>74</v>
      </c>
      <c r="O190" s="724">
        <v>0.3</v>
      </c>
      <c r="P190" s="682"/>
    </row>
    <row r="191" spans="1:16" ht="15" thickBot="1" x14ac:dyDescent="0.35">
      <c r="A191" s="1481"/>
      <c r="B191" s="1492" t="s">
        <v>177</v>
      </c>
      <c r="C191" s="1493"/>
      <c r="D191" s="703">
        <v>2017</v>
      </c>
      <c r="E191" s="730" t="s">
        <v>65</v>
      </c>
      <c r="F191" s="1491"/>
      <c r="H191" s="1494" t="s">
        <v>133</v>
      </c>
      <c r="I191" s="1495"/>
      <c r="J191" s="704">
        <f>D191</f>
        <v>2017</v>
      </c>
      <c r="K191" s="704" t="str">
        <f>E191</f>
        <v>-</v>
      </c>
      <c r="L191" s="1491"/>
      <c r="N191" s="705" t="s">
        <v>133</v>
      </c>
      <c r="O191" s="723">
        <v>2</v>
      </c>
      <c r="P191" s="682"/>
    </row>
    <row r="192" spans="1:16" ht="13" x14ac:dyDescent="0.3">
      <c r="A192" s="1481"/>
      <c r="C192" s="707">
        <v>15</v>
      </c>
      <c r="D192" s="708">
        <v>0</v>
      </c>
      <c r="E192" s="731" t="s">
        <v>65</v>
      </c>
      <c r="F192" s="709">
        <f t="shared" ref="F192:F198" si="36">0.5*(MAX(D192:E192)-MIN(D192:E192))</f>
        <v>0</v>
      </c>
      <c r="H192" s="697"/>
      <c r="I192" s="707">
        <v>30</v>
      </c>
      <c r="J192" s="708">
        <v>-0.4</v>
      </c>
      <c r="K192" s="731" t="s">
        <v>65</v>
      </c>
      <c r="L192" s="709">
        <f t="shared" ref="L192:L198" si="37">0.5*(MAX(J192:K192)-MIN(J192:K192))</f>
        <v>0</v>
      </c>
      <c r="O192" s="692"/>
      <c r="P192" s="682"/>
    </row>
    <row r="193" spans="1:16" ht="13" x14ac:dyDescent="0.3">
      <c r="A193" s="1481"/>
      <c r="C193" s="710">
        <v>20</v>
      </c>
      <c r="D193" s="690">
        <v>0</v>
      </c>
      <c r="E193" s="732" t="s">
        <v>65</v>
      </c>
      <c r="F193" s="711">
        <f t="shared" si="36"/>
        <v>0</v>
      </c>
      <c r="H193" s="697"/>
      <c r="I193" s="710">
        <v>40</v>
      </c>
      <c r="J193" s="690">
        <v>-0.1</v>
      </c>
      <c r="K193" s="732" t="s">
        <v>65</v>
      </c>
      <c r="L193" s="711">
        <f t="shared" si="37"/>
        <v>0</v>
      </c>
      <c r="O193" s="692"/>
      <c r="P193" s="682"/>
    </row>
    <row r="194" spans="1:16" ht="13" x14ac:dyDescent="0.3">
      <c r="A194" s="1481"/>
      <c r="C194" s="710">
        <v>25</v>
      </c>
      <c r="D194" s="690">
        <v>0</v>
      </c>
      <c r="E194" s="732" t="s">
        <v>65</v>
      </c>
      <c r="F194" s="711">
        <f t="shared" si="36"/>
        <v>0</v>
      </c>
      <c r="H194" s="697"/>
      <c r="I194" s="710">
        <v>50</v>
      </c>
      <c r="J194" s="690">
        <v>0</v>
      </c>
      <c r="K194" s="732" t="s">
        <v>65</v>
      </c>
      <c r="L194" s="711">
        <f t="shared" si="37"/>
        <v>0</v>
      </c>
      <c r="O194" s="692"/>
      <c r="P194" s="682"/>
    </row>
    <row r="195" spans="1:16" ht="13" x14ac:dyDescent="0.3">
      <c r="A195" s="1481"/>
      <c r="C195" s="712">
        <v>30</v>
      </c>
      <c r="D195" s="693">
        <v>-0.1</v>
      </c>
      <c r="E195" s="694" t="s">
        <v>65</v>
      </c>
      <c r="F195" s="711">
        <f t="shared" si="36"/>
        <v>0</v>
      </c>
      <c r="H195" s="697"/>
      <c r="I195" s="712">
        <v>60</v>
      </c>
      <c r="J195" s="693">
        <v>0</v>
      </c>
      <c r="K195" s="694" t="s">
        <v>65</v>
      </c>
      <c r="L195" s="711">
        <f t="shared" si="37"/>
        <v>0</v>
      </c>
      <c r="O195" s="692"/>
      <c r="P195" s="682"/>
    </row>
    <row r="196" spans="1:16" ht="13" x14ac:dyDescent="0.3">
      <c r="A196" s="1481"/>
      <c r="C196" s="712">
        <v>35</v>
      </c>
      <c r="D196" s="693">
        <v>-0.2</v>
      </c>
      <c r="E196" s="694" t="s">
        <v>65</v>
      </c>
      <c r="F196" s="711">
        <f t="shared" si="36"/>
        <v>0</v>
      </c>
      <c r="H196" s="697"/>
      <c r="I196" s="712">
        <v>70</v>
      </c>
      <c r="J196" s="693">
        <v>-0.1</v>
      </c>
      <c r="K196" s="694" t="s">
        <v>65</v>
      </c>
      <c r="L196" s="711">
        <f t="shared" si="37"/>
        <v>0</v>
      </c>
      <c r="O196" s="692"/>
      <c r="P196" s="682"/>
    </row>
    <row r="197" spans="1:16" ht="13" x14ac:dyDescent="0.3">
      <c r="A197" s="1481"/>
      <c r="C197" s="712">
        <v>37</v>
      </c>
      <c r="D197" s="693">
        <v>-0.3</v>
      </c>
      <c r="E197" s="694" t="s">
        <v>65</v>
      </c>
      <c r="F197" s="711">
        <f t="shared" si="36"/>
        <v>0</v>
      </c>
      <c r="H197" s="697"/>
      <c r="I197" s="712">
        <v>80</v>
      </c>
      <c r="J197" s="693">
        <v>-0.5</v>
      </c>
      <c r="K197" s="694" t="s">
        <v>65</v>
      </c>
      <c r="L197" s="711">
        <f t="shared" si="37"/>
        <v>0</v>
      </c>
      <c r="O197" s="692"/>
      <c r="P197" s="682"/>
    </row>
    <row r="198" spans="1:16" ht="13.5" thickBot="1" x14ac:dyDescent="0.35">
      <c r="A198" s="1482"/>
      <c r="B198" s="695"/>
      <c r="C198" s="713">
        <v>40</v>
      </c>
      <c r="D198" s="714">
        <v>-0.4</v>
      </c>
      <c r="E198" s="717" t="s">
        <v>65</v>
      </c>
      <c r="F198" s="715">
        <f t="shared" si="36"/>
        <v>0</v>
      </c>
      <c r="G198" s="695"/>
      <c r="H198" s="716"/>
      <c r="I198" s="713">
        <v>90</v>
      </c>
      <c r="J198" s="714">
        <v>-0.9</v>
      </c>
      <c r="K198" s="717" t="s">
        <v>65</v>
      </c>
      <c r="L198" s="715">
        <f t="shared" si="37"/>
        <v>0</v>
      </c>
      <c r="M198" s="695"/>
      <c r="N198" s="695"/>
      <c r="O198" s="696"/>
      <c r="P198" s="682"/>
    </row>
    <row r="199" spans="1:16" ht="13.5" thickBot="1" x14ac:dyDescent="0.35">
      <c r="A199" s="735"/>
      <c r="B199" s="736"/>
      <c r="C199" s="736"/>
      <c r="D199" s="736"/>
      <c r="E199" s="736"/>
      <c r="F199" s="736"/>
      <c r="G199" s="736"/>
      <c r="H199" s="736"/>
      <c r="I199" s="736"/>
      <c r="J199" s="736"/>
      <c r="K199" s="736"/>
      <c r="L199" s="736"/>
      <c r="M199" s="736"/>
      <c r="N199" s="736"/>
      <c r="O199" s="737"/>
      <c r="P199" s="682"/>
    </row>
    <row r="200" spans="1:16" ht="13" x14ac:dyDescent="0.3">
      <c r="A200" s="682"/>
      <c r="B200" s="682"/>
      <c r="C200" s="682"/>
      <c r="D200" s="682"/>
      <c r="E200" s="682"/>
      <c r="F200" s="682"/>
      <c r="G200" s="682"/>
      <c r="H200" s="682"/>
      <c r="I200" s="682"/>
      <c r="J200" s="682"/>
      <c r="K200" s="682"/>
      <c r="L200" s="682"/>
      <c r="M200" s="682"/>
      <c r="N200" s="682"/>
      <c r="O200" s="682"/>
      <c r="P200" s="682"/>
    </row>
    <row r="201" spans="1:16" hidden="1" x14ac:dyDescent="0.25">
      <c r="A201" s="1474" t="s">
        <v>21</v>
      </c>
      <c r="B201" s="1476" t="s">
        <v>156</v>
      </c>
      <c r="C201" s="1470" t="s">
        <v>188</v>
      </c>
      <c r="D201" s="1470"/>
      <c r="E201" s="1470"/>
      <c r="F201" s="1470"/>
      <c r="G201" s="282"/>
      <c r="H201" s="1478" t="s">
        <v>21</v>
      </c>
      <c r="I201" s="1476" t="s">
        <v>156</v>
      </c>
      <c r="J201" s="1470" t="s">
        <v>188</v>
      </c>
      <c r="K201" s="1470"/>
      <c r="L201" s="1470"/>
      <c r="M201" s="1470"/>
      <c r="N201" s="283"/>
      <c r="O201" s="1471" t="s">
        <v>80</v>
      </c>
      <c r="P201" s="1472"/>
    </row>
    <row r="202" spans="1:16" ht="13.5" hidden="1" x14ac:dyDescent="0.3">
      <c r="A202" s="1475"/>
      <c r="B202" s="1477"/>
      <c r="C202" s="738" t="s">
        <v>74</v>
      </c>
      <c r="D202" s="1473" t="s">
        <v>62</v>
      </c>
      <c r="E202" s="1473"/>
      <c r="F202" s="1473" t="s">
        <v>63</v>
      </c>
      <c r="G202" s="682"/>
      <c r="H202" s="1479"/>
      <c r="I202" s="1477"/>
      <c r="J202" s="738" t="s">
        <v>73</v>
      </c>
      <c r="K202" s="1473" t="s">
        <v>62</v>
      </c>
      <c r="L202" s="1473"/>
      <c r="M202" s="1473" t="s">
        <v>63</v>
      </c>
      <c r="N202" s="682"/>
      <c r="O202" s="1468" t="s">
        <v>74</v>
      </c>
      <c r="P202" s="1469"/>
    </row>
    <row r="203" spans="1:16" ht="14" hidden="1" x14ac:dyDescent="0.3">
      <c r="A203" s="1475"/>
      <c r="B203" s="1477"/>
      <c r="C203" s="681" t="s">
        <v>189</v>
      </c>
      <c r="D203" s="738"/>
      <c r="E203" s="738"/>
      <c r="F203" s="1473"/>
      <c r="G203" s="682"/>
      <c r="H203" s="1479"/>
      <c r="I203" s="1477"/>
      <c r="J203" s="681" t="s">
        <v>133</v>
      </c>
      <c r="K203" s="738"/>
      <c r="L203" s="738"/>
      <c r="M203" s="1473"/>
      <c r="N203" s="682"/>
      <c r="O203" s="739">
        <v>1</v>
      </c>
      <c r="P203" s="740">
        <f>O3</f>
        <v>0.6</v>
      </c>
    </row>
    <row r="204" spans="1:16" ht="13" hidden="1" x14ac:dyDescent="0.3">
      <c r="A204" s="1462" t="s">
        <v>147</v>
      </c>
      <c r="B204" s="741">
        <v>1</v>
      </c>
      <c r="C204" s="742">
        <f>C5</f>
        <v>15</v>
      </c>
      <c r="D204" s="742">
        <f t="shared" ref="D204:F204" si="38">D5</f>
        <v>-0.5</v>
      </c>
      <c r="E204" s="742">
        <f t="shared" si="38"/>
        <v>0.3</v>
      </c>
      <c r="F204" s="742">
        <f t="shared" si="38"/>
        <v>0.4</v>
      </c>
      <c r="G204" s="682"/>
      <c r="H204" s="1463" t="s">
        <v>147</v>
      </c>
      <c r="I204" s="741">
        <v>1</v>
      </c>
      <c r="J204" s="742">
        <f>I5</f>
        <v>35</v>
      </c>
      <c r="K204" s="742">
        <f t="shared" ref="K204:M204" si="39">J5</f>
        <v>-6</v>
      </c>
      <c r="L204" s="742">
        <f t="shared" si="39"/>
        <v>-9.4</v>
      </c>
      <c r="M204" s="742">
        <f t="shared" si="39"/>
        <v>1.7000000000000002</v>
      </c>
      <c r="N204" s="682"/>
      <c r="O204" s="743">
        <v>2</v>
      </c>
      <c r="P204" s="744">
        <f>O14</f>
        <v>0.3</v>
      </c>
    </row>
    <row r="205" spans="1:16" ht="13" hidden="1" x14ac:dyDescent="0.3">
      <c r="A205" s="1462"/>
      <c r="B205" s="741">
        <v>2</v>
      </c>
      <c r="C205" s="742">
        <f>C16</f>
        <v>15</v>
      </c>
      <c r="D205" s="742">
        <f t="shared" ref="D205:F205" si="40">D16</f>
        <v>0</v>
      </c>
      <c r="E205" s="742">
        <f t="shared" si="40"/>
        <v>0.5</v>
      </c>
      <c r="F205" s="742">
        <f t="shared" si="40"/>
        <v>0.25</v>
      </c>
      <c r="G205" s="682"/>
      <c r="H205" s="1463"/>
      <c r="I205" s="741">
        <v>2</v>
      </c>
      <c r="J205" s="742">
        <f>I16</f>
        <v>35</v>
      </c>
      <c r="K205" s="742">
        <f t="shared" ref="K205:M205" si="41">J16</f>
        <v>-1.6</v>
      </c>
      <c r="L205" s="742">
        <f t="shared" si="41"/>
        <v>-0.9</v>
      </c>
      <c r="M205" s="742">
        <f t="shared" si="41"/>
        <v>0.35000000000000003</v>
      </c>
      <c r="N205" s="682"/>
      <c r="O205" s="743">
        <v>3</v>
      </c>
      <c r="P205" s="745">
        <f>O25</f>
        <v>0.3</v>
      </c>
    </row>
    <row r="206" spans="1:16" ht="13" hidden="1" x14ac:dyDescent="0.3">
      <c r="A206" s="1462"/>
      <c r="B206" s="741">
        <v>3</v>
      </c>
      <c r="C206" s="742">
        <f>C27</f>
        <v>15</v>
      </c>
      <c r="D206" s="742">
        <f t="shared" ref="D206:F206" si="42">D27</f>
        <v>0</v>
      </c>
      <c r="E206" s="742">
        <f t="shared" si="42"/>
        <v>0.2</v>
      </c>
      <c r="F206" s="742">
        <f t="shared" si="42"/>
        <v>0.1</v>
      </c>
      <c r="G206" s="682"/>
      <c r="H206" s="1463"/>
      <c r="I206" s="741">
        <v>3</v>
      </c>
      <c r="J206" s="742">
        <f>I27</f>
        <v>30</v>
      </c>
      <c r="K206" s="742">
        <f t="shared" ref="K206:M206" si="43">J27</f>
        <v>-5.7</v>
      </c>
      <c r="L206" s="742">
        <f t="shared" si="43"/>
        <v>-1.1000000000000001</v>
      </c>
      <c r="M206" s="742">
        <f t="shared" si="43"/>
        <v>2.2999999999999998</v>
      </c>
      <c r="N206" s="682"/>
      <c r="O206" s="743">
        <v>4</v>
      </c>
      <c r="P206" s="745">
        <f>O36</f>
        <v>0.6</v>
      </c>
    </row>
    <row r="207" spans="1:16" ht="13" hidden="1" x14ac:dyDescent="0.3">
      <c r="A207" s="1462"/>
      <c r="B207" s="741">
        <v>4</v>
      </c>
      <c r="C207" s="746">
        <f>C38</f>
        <v>15</v>
      </c>
      <c r="D207" s="746">
        <f t="shared" ref="D207:F207" si="44">D38</f>
        <v>-0.1</v>
      </c>
      <c r="E207" s="746">
        <f t="shared" si="44"/>
        <v>0.4</v>
      </c>
      <c r="F207" s="746">
        <f t="shared" si="44"/>
        <v>0.25</v>
      </c>
      <c r="G207" s="682"/>
      <c r="H207" s="1463"/>
      <c r="I207" s="741">
        <v>4</v>
      </c>
      <c r="J207" s="746">
        <f>I38</f>
        <v>35</v>
      </c>
      <c r="K207" s="746">
        <f t="shared" ref="K207:M207" si="45">J38</f>
        <v>-1.7</v>
      </c>
      <c r="L207" s="746">
        <f t="shared" si="45"/>
        <v>-0.8</v>
      </c>
      <c r="M207" s="746">
        <f t="shared" si="45"/>
        <v>0.44999999999999996</v>
      </c>
      <c r="N207" s="682"/>
      <c r="O207" s="743">
        <v>5</v>
      </c>
      <c r="P207" s="745">
        <f>O47</f>
        <v>0.4</v>
      </c>
    </row>
    <row r="208" spans="1:16" ht="13" hidden="1" x14ac:dyDescent="0.3">
      <c r="A208" s="1462"/>
      <c r="B208" s="741">
        <v>5</v>
      </c>
      <c r="C208" s="746">
        <f>C49</f>
        <v>15</v>
      </c>
      <c r="D208" s="746">
        <f t="shared" ref="D208:F208" si="46">D49</f>
        <v>-0.3</v>
      </c>
      <c r="E208" s="746">
        <f t="shared" si="46"/>
        <v>0.3</v>
      </c>
      <c r="F208" s="746">
        <f t="shared" si="46"/>
        <v>0.3</v>
      </c>
      <c r="G208" s="682"/>
      <c r="H208" s="1463"/>
      <c r="I208" s="741">
        <v>5</v>
      </c>
      <c r="J208" s="746">
        <f>I49</f>
        <v>35</v>
      </c>
      <c r="K208" s="746">
        <f t="shared" ref="K208:M208" si="47">J49</f>
        <v>-7.7</v>
      </c>
      <c r="L208" s="746">
        <f t="shared" si="47"/>
        <v>-9.6</v>
      </c>
      <c r="M208" s="746">
        <f t="shared" si="47"/>
        <v>0.94999999999999973</v>
      </c>
      <c r="N208" s="682"/>
      <c r="O208" s="739">
        <v>6</v>
      </c>
      <c r="P208" s="740">
        <f>O58</f>
        <v>0.8</v>
      </c>
    </row>
    <row r="209" spans="1:16" ht="13" hidden="1" x14ac:dyDescent="0.3">
      <c r="A209" s="1462"/>
      <c r="B209" s="741">
        <v>6</v>
      </c>
      <c r="C209" s="746">
        <f>C60</f>
        <v>15</v>
      </c>
      <c r="D209" s="746">
        <f t="shared" ref="D209:F209" si="48">D60</f>
        <v>0.4</v>
      </c>
      <c r="E209" s="746">
        <f t="shared" si="48"/>
        <v>0.4</v>
      </c>
      <c r="F209" s="746">
        <f t="shared" si="48"/>
        <v>0</v>
      </c>
      <c r="G209" s="682"/>
      <c r="H209" s="1463"/>
      <c r="I209" s="741">
        <v>6</v>
      </c>
      <c r="J209" s="746">
        <f>I60</f>
        <v>30</v>
      </c>
      <c r="K209" s="746">
        <f t="shared" ref="K209:M209" si="49">J60</f>
        <v>-1.5</v>
      </c>
      <c r="L209" s="746">
        <f t="shared" si="49"/>
        <v>-4.9000000000000004</v>
      </c>
      <c r="M209" s="746">
        <f t="shared" si="49"/>
        <v>1.7000000000000002</v>
      </c>
      <c r="N209" s="682"/>
      <c r="O209" s="739">
        <v>7</v>
      </c>
      <c r="P209" s="740">
        <f>O69</f>
        <v>0.3</v>
      </c>
    </row>
    <row r="210" spans="1:16" ht="13" hidden="1" x14ac:dyDescent="0.3">
      <c r="A210" s="1462"/>
      <c r="B210" s="741">
        <v>7</v>
      </c>
      <c r="C210" s="746">
        <f>C71</f>
        <v>15</v>
      </c>
      <c r="D210" s="746">
        <f t="shared" ref="D210:F210" si="50">D71</f>
        <v>0.3</v>
      </c>
      <c r="E210" s="746">
        <f t="shared" si="50"/>
        <v>0.2</v>
      </c>
      <c r="F210" s="746">
        <f t="shared" si="50"/>
        <v>4.9999999999999989E-2</v>
      </c>
      <c r="G210" s="682"/>
      <c r="H210" s="1463"/>
      <c r="I210" s="741">
        <v>7</v>
      </c>
      <c r="J210" s="746">
        <f>I71</f>
        <v>30</v>
      </c>
      <c r="K210" s="746">
        <f t="shared" ref="K210:M210" si="51">J71</f>
        <v>1.8</v>
      </c>
      <c r="L210" s="746">
        <f t="shared" si="51"/>
        <v>-0.1</v>
      </c>
      <c r="M210" s="746">
        <f t="shared" si="51"/>
        <v>0.95000000000000007</v>
      </c>
      <c r="N210" s="682"/>
      <c r="O210" s="739">
        <v>8</v>
      </c>
      <c r="P210" s="740">
        <f>O80</f>
        <v>0.3</v>
      </c>
    </row>
    <row r="211" spans="1:16" ht="13" hidden="1" x14ac:dyDescent="0.3">
      <c r="A211" s="1462"/>
      <c r="B211" s="741">
        <v>8</v>
      </c>
      <c r="C211" s="746">
        <f>C82</f>
        <v>15</v>
      </c>
      <c r="D211" s="746">
        <f t="shared" ref="D211:F211" si="52">D82</f>
        <v>0</v>
      </c>
      <c r="E211" s="746">
        <f t="shared" si="52"/>
        <v>-0.2</v>
      </c>
      <c r="F211" s="746">
        <f t="shared" si="52"/>
        <v>0.1</v>
      </c>
      <c r="G211" s="682"/>
      <c r="H211" s="1463"/>
      <c r="I211" s="741">
        <v>8</v>
      </c>
      <c r="J211" s="746">
        <f>I82</f>
        <v>30</v>
      </c>
      <c r="K211" s="746">
        <f t="shared" ref="K211:M211" si="53">J82</f>
        <v>-1.4</v>
      </c>
      <c r="L211" s="746">
        <f t="shared" si="53"/>
        <v>1</v>
      </c>
      <c r="M211" s="746">
        <f t="shared" si="53"/>
        <v>1.2</v>
      </c>
      <c r="N211" s="682"/>
      <c r="O211" s="739">
        <v>9</v>
      </c>
      <c r="P211" s="740">
        <f>O91</f>
        <v>0.3</v>
      </c>
    </row>
    <row r="212" spans="1:16" ht="13" hidden="1" x14ac:dyDescent="0.3">
      <c r="A212" s="1462"/>
      <c r="B212" s="741">
        <v>9</v>
      </c>
      <c r="C212" s="746">
        <f>C93</f>
        <v>15</v>
      </c>
      <c r="D212" s="746">
        <f t="shared" ref="D212:F212" si="54">D93</f>
        <v>0</v>
      </c>
      <c r="E212" s="746" t="str">
        <f t="shared" si="54"/>
        <v>-</v>
      </c>
      <c r="F212" s="746">
        <f t="shared" si="54"/>
        <v>0</v>
      </c>
      <c r="G212" s="682"/>
      <c r="H212" s="1463"/>
      <c r="I212" s="741">
        <v>9</v>
      </c>
      <c r="J212" s="746">
        <f>I93</f>
        <v>30</v>
      </c>
      <c r="K212" s="746">
        <f t="shared" ref="K212:M212" si="55">J93</f>
        <v>-1.2</v>
      </c>
      <c r="L212" s="746" t="str">
        <f t="shared" si="55"/>
        <v>-</v>
      </c>
      <c r="M212" s="746">
        <f t="shared" si="55"/>
        <v>0</v>
      </c>
      <c r="N212" s="682"/>
      <c r="O212" s="739">
        <v>10</v>
      </c>
      <c r="P212" s="740">
        <f>O102</f>
        <v>0.3</v>
      </c>
    </row>
    <row r="213" spans="1:16" ht="13" hidden="1" x14ac:dyDescent="0.3">
      <c r="A213" s="1462"/>
      <c r="B213" s="741">
        <v>10</v>
      </c>
      <c r="C213" s="746">
        <f>C104</f>
        <v>15</v>
      </c>
      <c r="D213" s="746">
        <f t="shared" ref="D213:F213" si="56">D104</f>
        <v>0.2</v>
      </c>
      <c r="E213" s="746">
        <f t="shared" si="56"/>
        <v>0.2</v>
      </c>
      <c r="F213" s="746">
        <f t="shared" si="56"/>
        <v>0</v>
      </c>
      <c r="G213" s="682"/>
      <c r="H213" s="1463"/>
      <c r="I213" s="741">
        <v>10</v>
      </c>
      <c r="J213" s="746">
        <f>I104</f>
        <v>30</v>
      </c>
      <c r="K213" s="746">
        <f t="shared" ref="K213:M213" si="57">J104</f>
        <v>-2.9</v>
      </c>
      <c r="L213" s="746">
        <f t="shared" si="57"/>
        <v>-5.8</v>
      </c>
      <c r="M213" s="746">
        <f t="shared" si="57"/>
        <v>1.45</v>
      </c>
      <c r="N213" s="682"/>
      <c r="O213" s="739">
        <v>11</v>
      </c>
      <c r="P213" s="740">
        <f>O113</f>
        <v>0.3</v>
      </c>
    </row>
    <row r="214" spans="1:16" ht="13" hidden="1" x14ac:dyDescent="0.3">
      <c r="A214" s="1462"/>
      <c r="B214" s="741">
        <v>11</v>
      </c>
      <c r="C214" s="746">
        <f>C115</f>
        <v>15</v>
      </c>
      <c r="D214" s="746">
        <f t="shared" ref="D214:F214" si="58">D115</f>
        <v>0.3</v>
      </c>
      <c r="E214" s="746" t="str">
        <f t="shared" si="58"/>
        <v>-</v>
      </c>
      <c r="F214" s="746">
        <f t="shared" si="58"/>
        <v>0</v>
      </c>
      <c r="G214" s="682"/>
      <c r="H214" s="1463"/>
      <c r="I214" s="741">
        <v>11</v>
      </c>
      <c r="J214" s="746">
        <f>I115</f>
        <v>35</v>
      </c>
      <c r="K214" s="746">
        <f t="shared" ref="K214:M214" si="59">J115</f>
        <v>-5.2</v>
      </c>
      <c r="L214" s="746" t="str">
        <f t="shared" si="59"/>
        <v>-</v>
      </c>
      <c r="M214" s="746">
        <f t="shared" si="59"/>
        <v>0</v>
      </c>
      <c r="N214" s="682"/>
      <c r="O214" s="739">
        <v>12</v>
      </c>
      <c r="P214" s="747">
        <f>O124</f>
        <v>0.5</v>
      </c>
    </row>
    <row r="215" spans="1:16" ht="13" hidden="1" x14ac:dyDescent="0.3">
      <c r="A215" s="1462"/>
      <c r="B215" s="741">
        <v>12</v>
      </c>
      <c r="C215" s="746">
        <f>C126</f>
        <v>15</v>
      </c>
      <c r="D215" s="746">
        <f t="shared" ref="D215:F215" si="60">D126</f>
        <v>0.6</v>
      </c>
      <c r="E215" s="746">
        <f t="shared" si="60"/>
        <v>-0.6</v>
      </c>
      <c r="F215" s="746">
        <f t="shared" si="60"/>
        <v>0.6</v>
      </c>
      <c r="G215" s="682"/>
      <c r="H215" s="1463"/>
      <c r="I215" s="748">
        <v>12</v>
      </c>
      <c r="J215" s="746">
        <f>I126</f>
        <v>35</v>
      </c>
      <c r="K215" s="746">
        <f t="shared" ref="K215:M215" si="61">J126</f>
        <v>-2</v>
      </c>
      <c r="L215" s="746">
        <f t="shared" si="61"/>
        <v>-0.4</v>
      </c>
      <c r="M215" s="746">
        <f t="shared" si="61"/>
        <v>0.8</v>
      </c>
      <c r="N215" s="682"/>
      <c r="O215" s="739">
        <v>13</v>
      </c>
      <c r="P215" s="747">
        <f>O135</f>
        <v>0.5</v>
      </c>
    </row>
    <row r="216" spans="1:16" ht="13" hidden="1" x14ac:dyDescent="0.3">
      <c r="A216" s="1462"/>
      <c r="B216" s="741">
        <v>13</v>
      </c>
      <c r="C216" s="746">
        <f>C137</f>
        <v>15</v>
      </c>
      <c r="D216" s="746">
        <f t="shared" ref="D216:F216" si="62">D137</f>
        <v>0.5</v>
      </c>
      <c r="E216" s="746">
        <f t="shared" si="62"/>
        <v>-0.2</v>
      </c>
      <c r="F216" s="746">
        <f t="shared" si="62"/>
        <v>0.35</v>
      </c>
      <c r="G216" s="682"/>
      <c r="H216" s="1463"/>
      <c r="I216" s="741">
        <v>13</v>
      </c>
      <c r="J216" s="746">
        <f>I137</f>
        <v>35</v>
      </c>
      <c r="K216" s="746">
        <f t="shared" ref="K216:M216" si="63">J137</f>
        <v>-0.8</v>
      </c>
      <c r="L216" s="746">
        <f t="shared" si="63"/>
        <v>0.6</v>
      </c>
      <c r="M216" s="746">
        <f t="shared" si="63"/>
        <v>0.7</v>
      </c>
      <c r="N216" s="682"/>
      <c r="O216" s="739">
        <v>14</v>
      </c>
      <c r="P216" s="747">
        <f>O146</f>
        <v>0.5</v>
      </c>
    </row>
    <row r="217" spans="1:16" ht="13" hidden="1" x14ac:dyDescent="0.3">
      <c r="A217" s="1462"/>
      <c r="B217" s="741">
        <v>14</v>
      </c>
      <c r="C217" s="746">
        <f>C148</f>
        <v>15</v>
      </c>
      <c r="D217" s="746">
        <f t="shared" ref="D217:F217" si="64">D148</f>
        <v>0.5</v>
      </c>
      <c r="E217" s="746">
        <f t="shared" si="64"/>
        <v>-0.7</v>
      </c>
      <c r="F217" s="746">
        <f t="shared" si="64"/>
        <v>0.6</v>
      </c>
      <c r="G217" s="682"/>
      <c r="H217" s="1463"/>
      <c r="I217" s="741">
        <v>14</v>
      </c>
      <c r="J217" s="746">
        <f>I148</f>
        <v>35</v>
      </c>
      <c r="K217" s="746">
        <f t="shared" ref="K217:M217" si="65">J148</f>
        <v>-2.2000000000000002</v>
      </c>
      <c r="L217" s="746">
        <f t="shared" si="65"/>
        <v>-1.4</v>
      </c>
      <c r="M217" s="746">
        <f t="shared" si="65"/>
        <v>0.40000000000000013</v>
      </c>
      <c r="N217" s="682"/>
      <c r="O217" s="739">
        <v>15</v>
      </c>
      <c r="P217" s="747">
        <f>O157</f>
        <v>0.3</v>
      </c>
    </row>
    <row r="218" spans="1:16" ht="13" hidden="1" x14ac:dyDescent="0.3">
      <c r="A218" s="1462"/>
      <c r="B218" s="741">
        <v>15</v>
      </c>
      <c r="C218" s="746">
        <f>C159</f>
        <v>15</v>
      </c>
      <c r="D218" s="746">
        <f t="shared" ref="D218:F218" si="66">D159</f>
        <v>0.1</v>
      </c>
      <c r="E218" s="746" t="str">
        <f t="shared" si="66"/>
        <v>-</v>
      </c>
      <c r="F218" s="746">
        <f t="shared" si="66"/>
        <v>0</v>
      </c>
      <c r="G218" s="682"/>
      <c r="H218" s="1463"/>
      <c r="I218" s="741">
        <v>15</v>
      </c>
      <c r="J218" s="746">
        <f>I159</f>
        <v>30</v>
      </c>
      <c r="K218" s="746">
        <f t="shared" ref="K218:M218" si="67">J159</f>
        <v>0.1</v>
      </c>
      <c r="L218" s="746" t="str">
        <f t="shared" si="67"/>
        <v>-</v>
      </c>
      <c r="M218" s="746">
        <f t="shared" si="67"/>
        <v>0</v>
      </c>
      <c r="N218" s="682"/>
      <c r="O218" s="739">
        <v>16</v>
      </c>
      <c r="P218" s="747">
        <f>O168</f>
        <v>0.4</v>
      </c>
    </row>
    <row r="219" spans="1:16" ht="13" hidden="1" x14ac:dyDescent="0.3">
      <c r="A219" s="1462"/>
      <c r="B219" s="741">
        <v>16</v>
      </c>
      <c r="C219" s="746">
        <f>C170</f>
        <v>15</v>
      </c>
      <c r="D219" s="746">
        <f t="shared" ref="D219:F219" si="68">D170</f>
        <v>0.1</v>
      </c>
      <c r="E219" s="746" t="str">
        <f t="shared" si="68"/>
        <v>-</v>
      </c>
      <c r="F219" s="746">
        <f t="shared" si="68"/>
        <v>0</v>
      </c>
      <c r="G219" s="682"/>
      <c r="H219" s="1463"/>
      <c r="I219" s="741">
        <v>16</v>
      </c>
      <c r="J219" s="746">
        <f>I170</f>
        <v>30</v>
      </c>
      <c r="K219" s="746">
        <f t="shared" ref="K219:M219" si="69">J170</f>
        <v>-1.6</v>
      </c>
      <c r="L219" s="746" t="str">
        <f t="shared" si="69"/>
        <v>-</v>
      </c>
      <c r="M219" s="746">
        <f t="shared" si="69"/>
        <v>0</v>
      </c>
      <c r="N219" s="682"/>
      <c r="O219" s="739">
        <v>17</v>
      </c>
      <c r="P219" s="747">
        <f>O179</f>
        <v>0.3</v>
      </c>
    </row>
    <row r="220" spans="1:16" ht="13" hidden="1" x14ac:dyDescent="0.3">
      <c r="A220" s="1462"/>
      <c r="B220" s="741">
        <v>17</v>
      </c>
      <c r="C220" s="746">
        <f>C181</f>
        <v>15</v>
      </c>
      <c r="D220" s="746">
        <f t="shared" ref="D220:F220" si="70">D181</f>
        <v>0</v>
      </c>
      <c r="E220" s="746" t="str">
        <f t="shared" si="70"/>
        <v>-</v>
      </c>
      <c r="F220" s="746">
        <f t="shared" si="70"/>
        <v>0</v>
      </c>
      <c r="G220" s="682"/>
      <c r="H220" s="1463"/>
      <c r="I220" s="741">
        <v>17</v>
      </c>
      <c r="J220" s="746">
        <f>I181</f>
        <v>30</v>
      </c>
      <c r="K220" s="746">
        <f t="shared" ref="K220:M220" si="71">J181</f>
        <v>-0.4</v>
      </c>
      <c r="L220" s="746" t="str">
        <f t="shared" si="71"/>
        <v>-</v>
      </c>
      <c r="M220" s="746">
        <f t="shared" si="71"/>
        <v>0</v>
      </c>
      <c r="N220" s="682"/>
      <c r="O220" s="739">
        <v>18</v>
      </c>
      <c r="P220" s="747">
        <f>O190</f>
        <v>0.3</v>
      </c>
    </row>
    <row r="221" spans="1:16" ht="13" hidden="1" x14ac:dyDescent="0.3">
      <c r="A221" s="1462"/>
      <c r="B221" s="741">
        <v>18</v>
      </c>
      <c r="C221" s="746">
        <f>C192</f>
        <v>15</v>
      </c>
      <c r="D221" s="746">
        <f t="shared" ref="D221:F221" si="72">D192</f>
        <v>0</v>
      </c>
      <c r="E221" s="746" t="str">
        <f t="shared" si="72"/>
        <v>-</v>
      </c>
      <c r="F221" s="746">
        <f t="shared" si="72"/>
        <v>0</v>
      </c>
      <c r="G221" s="682"/>
      <c r="H221" s="1463"/>
      <c r="I221" s="741">
        <v>18</v>
      </c>
      <c r="J221" s="746">
        <f>I192</f>
        <v>30</v>
      </c>
      <c r="K221" s="746">
        <f t="shared" ref="K221:M221" si="73">J192</f>
        <v>-0.4</v>
      </c>
      <c r="L221" s="746" t="str">
        <f t="shared" si="73"/>
        <v>-</v>
      </c>
      <c r="M221" s="746">
        <f t="shared" si="73"/>
        <v>0</v>
      </c>
      <c r="N221" s="682"/>
      <c r="O221" s="739">
        <v>19</v>
      </c>
      <c r="P221" s="749"/>
    </row>
    <row r="222" spans="1:16" ht="13" hidden="1" x14ac:dyDescent="0.3">
      <c r="A222" s="750"/>
      <c r="B222" s="751"/>
      <c r="C222" s="752"/>
      <c r="D222" s="752"/>
      <c r="E222" s="752"/>
      <c r="F222" s="753"/>
      <c r="G222" s="754"/>
      <c r="H222" s="755"/>
      <c r="I222" s="755"/>
      <c r="J222" s="756"/>
      <c r="K222" s="756"/>
      <c r="L222" s="756"/>
      <c r="M222" s="756"/>
      <c r="N222" s="754"/>
      <c r="O222" s="754"/>
      <c r="P222" s="754"/>
    </row>
    <row r="223" spans="1:16" ht="13" hidden="1" x14ac:dyDescent="0.3">
      <c r="A223" s="1462" t="s">
        <v>148</v>
      </c>
      <c r="B223" s="741">
        <v>1</v>
      </c>
      <c r="C223" s="746">
        <f>C6</f>
        <v>20</v>
      </c>
      <c r="D223" s="746">
        <f t="shared" ref="D223:F223" si="74">D6</f>
        <v>-0.2</v>
      </c>
      <c r="E223" s="746">
        <f t="shared" si="74"/>
        <v>0.2</v>
      </c>
      <c r="F223" s="746">
        <f t="shared" si="74"/>
        <v>0.2</v>
      </c>
      <c r="G223" s="682"/>
      <c r="H223" s="1463" t="s">
        <v>148</v>
      </c>
      <c r="I223" s="741">
        <v>1</v>
      </c>
      <c r="J223" s="746">
        <f>I6</f>
        <v>40</v>
      </c>
      <c r="K223" s="746">
        <f t="shared" ref="K223:M223" si="75">J50</f>
        <v>-7.2</v>
      </c>
      <c r="L223" s="746">
        <f t="shared" si="75"/>
        <v>-8</v>
      </c>
      <c r="M223" s="746">
        <f t="shared" si="75"/>
        <v>0.39999999999999991</v>
      </c>
      <c r="N223" s="682"/>
      <c r="O223" s="1466" t="s">
        <v>80</v>
      </c>
      <c r="P223" s="1467"/>
    </row>
    <row r="224" spans="1:16" ht="13" hidden="1" x14ac:dyDescent="0.3">
      <c r="A224" s="1462"/>
      <c r="B224" s="741">
        <v>2</v>
      </c>
      <c r="C224" s="746">
        <f>C17</f>
        <v>20</v>
      </c>
      <c r="D224" s="746">
        <f t="shared" ref="D224:F224" si="76">D17</f>
        <v>-0.1</v>
      </c>
      <c r="E224" s="746">
        <f t="shared" si="76"/>
        <v>0</v>
      </c>
      <c r="F224" s="746">
        <f t="shared" si="76"/>
        <v>0.05</v>
      </c>
      <c r="G224" s="682"/>
      <c r="H224" s="1463"/>
      <c r="I224" s="741">
        <v>2</v>
      </c>
      <c r="J224" s="746">
        <f>I17</f>
        <v>40</v>
      </c>
      <c r="K224" s="746">
        <f t="shared" ref="K224:M224" si="77">J17</f>
        <v>-1.6</v>
      </c>
      <c r="L224" s="746">
        <f t="shared" si="77"/>
        <v>-1.1000000000000001</v>
      </c>
      <c r="M224" s="746">
        <f t="shared" si="77"/>
        <v>0.25</v>
      </c>
      <c r="N224" s="682"/>
      <c r="O224" s="1468" t="s">
        <v>73</v>
      </c>
      <c r="P224" s="1469"/>
    </row>
    <row r="225" spans="1:16" ht="13" hidden="1" x14ac:dyDescent="0.3">
      <c r="A225" s="1462"/>
      <c r="B225" s="741">
        <v>3</v>
      </c>
      <c r="C225" s="742">
        <f>C28</f>
        <v>20</v>
      </c>
      <c r="D225" s="742">
        <f t="shared" ref="D225:F225" si="78">D28</f>
        <v>0</v>
      </c>
      <c r="E225" s="742">
        <f t="shared" si="78"/>
        <v>0</v>
      </c>
      <c r="F225" s="742">
        <f t="shared" si="78"/>
        <v>0</v>
      </c>
      <c r="G225" s="682"/>
      <c r="H225" s="1463"/>
      <c r="I225" s="741">
        <v>3</v>
      </c>
      <c r="J225" s="742">
        <f>I28</f>
        <v>40</v>
      </c>
      <c r="K225" s="742">
        <f t="shared" ref="K225:M225" si="79">J28</f>
        <v>-5.3</v>
      </c>
      <c r="L225" s="742">
        <f t="shared" si="79"/>
        <v>-1.9</v>
      </c>
      <c r="M225" s="742">
        <f t="shared" si="79"/>
        <v>1.7</v>
      </c>
      <c r="N225" s="682"/>
      <c r="O225" s="739">
        <v>1</v>
      </c>
      <c r="P225" s="740">
        <f>O4</f>
        <v>3.1</v>
      </c>
    </row>
    <row r="226" spans="1:16" ht="13" hidden="1" x14ac:dyDescent="0.3">
      <c r="A226" s="1462"/>
      <c r="B226" s="741">
        <v>4</v>
      </c>
      <c r="C226" s="742">
        <f>C39</f>
        <v>20</v>
      </c>
      <c r="D226" s="742">
        <f t="shared" ref="D226:F226" si="80">D39</f>
        <v>-0.3</v>
      </c>
      <c r="E226" s="742">
        <f t="shared" si="80"/>
        <v>0</v>
      </c>
      <c r="F226" s="742">
        <f t="shared" si="80"/>
        <v>0.15</v>
      </c>
      <c r="G226" s="682"/>
      <c r="H226" s="1463"/>
      <c r="I226" s="741">
        <v>4</v>
      </c>
      <c r="J226" s="742">
        <f>I39</f>
        <v>40</v>
      </c>
      <c r="K226" s="742">
        <f t="shared" ref="K226:M226" si="81">J39</f>
        <v>-1.5</v>
      </c>
      <c r="L226" s="742">
        <f t="shared" si="81"/>
        <v>-0.9</v>
      </c>
      <c r="M226" s="742">
        <f t="shared" si="81"/>
        <v>0.3</v>
      </c>
      <c r="N226" s="682"/>
      <c r="O226" s="743">
        <v>2</v>
      </c>
      <c r="P226" s="744">
        <f>O15</f>
        <v>3.3</v>
      </c>
    </row>
    <row r="227" spans="1:16" ht="13" hidden="1" x14ac:dyDescent="0.3">
      <c r="A227" s="1462"/>
      <c r="B227" s="741">
        <v>5</v>
      </c>
      <c r="C227" s="742">
        <f>C50</f>
        <v>20</v>
      </c>
      <c r="D227" s="742">
        <f t="shared" ref="D227:F227" si="82">D50</f>
        <v>0.1</v>
      </c>
      <c r="E227" s="742">
        <f t="shared" si="82"/>
        <v>0.3</v>
      </c>
      <c r="F227" s="742">
        <f t="shared" si="82"/>
        <v>9.9999999999999992E-2</v>
      </c>
      <c r="G227" s="682"/>
      <c r="H227" s="1463"/>
      <c r="I227" s="741">
        <v>5</v>
      </c>
      <c r="J227" s="742">
        <f>I50</f>
        <v>40</v>
      </c>
      <c r="K227" s="742">
        <f t="shared" ref="K227:M227" si="83">J50</f>
        <v>-7.2</v>
      </c>
      <c r="L227" s="742">
        <f t="shared" si="83"/>
        <v>-8</v>
      </c>
      <c r="M227" s="742">
        <f t="shared" si="83"/>
        <v>0.39999999999999991</v>
      </c>
      <c r="N227" s="682"/>
      <c r="O227" s="743">
        <v>3</v>
      </c>
      <c r="P227" s="745">
        <f>O26</f>
        <v>3.1</v>
      </c>
    </row>
    <row r="228" spans="1:16" ht="13" hidden="1" x14ac:dyDescent="0.3">
      <c r="A228" s="1462"/>
      <c r="B228" s="741">
        <v>6</v>
      </c>
      <c r="C228" s="742">
        <f>C61</f>
        <v>20</v>
      </c>
      <c r="D228" s="742">
        <f t="shared" ref="D228:F228" si="84">D61</f>
        <v>0.3</v>
      </c>
      <c r="E228" s="742">
        <f t="shared" si="84"/>
        <v>0.2</v>
      </c>
      <c r="F228" s="742">
        <f t="shared" si="84"/>
        <v>4.9999999999999989E-2</v>
      </c>
      <c r="G228" s="682"/>
      <c r="H228" s="1463"/>
      <c r="I228" s="741">
        <v>6</v>
      </c>
      <c r="J228" s="742">
        <f>I61</f>
        <v>40</v>
      </c>
      <c r="K228" s="742">
        <f t="shared" ref="K228:M228" si="85">J61</f>
        <v>-3.8</v>
      </c>
      <c r="L228" s="742">
        <f t="shared" si="85"/>
        <v>-3.4</v>
      </c>
      <c r="M228" s="742">
        <f t="shared" si="85"/>
        <v>0.19999999999999996</v>
      </c>
      <c r="N228" s="682"/>
      <c r="O228" s="743">
        <v>4</v>
      </c>
      <c r="P228" s="745">
        <f>O37</f>
        <v>2.6</v>
      </c>
    </row>
    <row r="229" spans="1:16" ht="13" hidden="1" x14ac:dyDescent="0.3">
      <c r="A229" s="1462"/>
      <c r="B229" s="741">
        <v>7</v>
      </c>
      <c r="C229" s="742">
        <f>C72</f>
        <v>20</v>
      </c>
      <c r="D229" s="742">
        <f t="shared" ref="D229:F229" si="86">D72</f>
        <v>0.1</v>
      </c>
      <c r="E229" s="742">
        <f t="shared" si="86"/>
        <v>0.1</v>
      </c>
      <c r="F229" s="742">
        <f t="shared" si="86"/>
        <v>0</v>
      </c>
      <c r="G229" s="682"/>
      <c r="H229" s="1463"/>
      <c r="I229" s="741">
        <v>7</v>
      </c>
      <c r="J229" s="742">
        <f>I72</f>
        <v>40</v>
      </c>
      <c r="K229" s="742">
        <f t="shared" ref="K229:M229" si="87">J72</f>
        <v>1.2</v>
      </c>
      <c r="L229" s="742">
        <f t="shared" si="87"/>
        <v>0</v>
      </c>
      <c r="M229" s="742">
        <f t="shared" si="87"/>
        <v>0.6</v>
      </c>
      <c r="N229" s="682"/>
      <c r="O229" s="743">
        <v>5</v>
      </c>
      <c r="P229" s="745">
        <f>O48</f>
        <v>2.8</v>
      </c>
    </row>
    <row r="230" spans="1:16" ht="13" hidden="1" x14ac:dyDescent="0.3">
      <c r="A230" s="1462"/>
      <c r="B230" s="741">
        <v>8</v>
      </c>
      <c r="C230" s="742">
        <f>C83</f>
        <v>20</v>
      </c>
      <c r="D230" s="742">
        <f t="shared" ref="D230:F230" si="88">D83</f>
        <v>-0.2</v>
      </c>
      <c r="E230" s="742">
        <f t="shared" si="88"/>
        <v>-0.2</v>
      </c>
      <c r="F230" s="742">
        <f t="shared" si="88"/>
        <v>0</v>
      </c>
      <c r="G230" s="682"/>
      <c r="H230" s="1463"/>
      <c r="I230" s="741">
        <v>8</v>
      </c>
      <c r="J230" s="742">
        <f>I83</f>
        <v>40</v>
      </c>
      <c r="K230" s="742">
        <f t="shared" ref="K230:M230" si="89">J83</f>
        <v>-1.2</v>
      </c>
      <c r="L230" s="742">
        <f t="shared" si="89"/>
        <v>1.1000000000000001</v>
      </c>
      <c r="M230" s="742">
        <f t="shared" si="89"/>
        <v>1.1499999999999999</v>
      </c>
      <c r="N230" s="682"/>
      <c r="O230" s="739">
        <v>6</v>
      </c>
      <c r="P230" s="740">
        <f>O59</f>
        <v>2.6</v>
      </c>
    </row>
    <row r="231" spans="1:16" ht="13" hidden="1" x14ac:dyDescent="0.3">
      <c r="A231" s="1462"/>
      <c r="B231" s="741">
        <v>9</v>
      </c>
      <c r="C231" s="742">
        <f>C94</f>
        <v>20</v>
      </c>
      <c r="D231" s="742">
        <f t="shared" ref="D231:F231" si="90">D94</f>
        <v>-0.2</v>
      </c>
      <c r="E231" s="742" t="str">
        <f t="shared" si="90"/>
        <v>-</v>
      </c>
      <c r="F231" s="742">
        <f t="shared" si="90"/>
        <v>0</v>
      </c>
      <c r="G231" s="682"/>
      <c r="H231" s="1463"/>
      <c r="I231" s="741">
        <v>9</v>
      </c>
      <c r="J231" s="742">
        <f>I94</f>
        <v>40</v>
      </c>
      <c r="K231" s="742">
        <f t="shared" ref="K231:M231" si="91">J94</f>
        <v>-1</v>
      </c>
      <c r="L231" s="742" t="str">
        <f t="shared" si="91"/>
        <v>-</v>
      </c>
      <c r="M231" s="742">
        <f t="shared" si="91"/>
        <v>0</v>
      </c>
      <c r="N231" s="682"/>
      <c r="O231" s="739">
        <v>7</v>
      </c>
      <c r="P231" s="740">
        <f>O70</f>
        <v>2.2999999999999998</v>
      </c>
    </row>
    <row r="232" spans="1:16" ht="13" hidden="1" x14ac:dyDescent="0.3">
      <c r="A232" s="1462"/>
      <c r="B232" s="741">
        <v>10</v>
      </c>
      <c r="C232" s="742">
        <f>C105</f>
        <v>20</v>
      </c>
      <c r="D232" s="742">
        <f t="shared" ref="D232:F232" si="92">D105</f>
        <v>0.2</v>
      </c>
      <c r="E232" s="742">
        <f t="shared" si="92"/>
        <v>-0.7</v>
      </c>
      <c r="F232" s="742">
        <f t="shared" si="92"/>
        <v>0.44999999999999996</v>
      </c>
      <c r="G232" s="682"/>
      <c r="H232" s="1463"/>
      <c r="I232" s="741">
        <v>10</v>
      </c>
      <c r="J232" s="742">
        <f>I105</f>
        <v>40</v>
      </c>
      <c r="K232" s="742">
        <f t="shared" ref="K232:M232" si="93">J105</f>
        <v>-3.3</v>
      </c>
      <c r="L232" s="742">
        <f t="shared" si="93"/>
        <v>-6.4</v>
      </c>
      <c r="M232" s="742">
        <f t="shared" si="93"/>
        <v>1.5500000000000003</v>
      </c>
      <c r="N232" s="682"/>
      <c r="O232" s="739">
        <v>8</v>
      </c>
      <c r="P232" s="740">
        <f>O81</f>
        <v>2.6</v>
      </c>
    </row>
    <row r="233" spans="1:16" ht="13" hidden="1" x14ac:dyDescent="0.3">
      <c r="A233" s="1462"/>
      <c r="B233" s="741">
        <v>11</v>
      </c>
      <c r="C233" s="742">
        <f>C116</f>
        <v>20</v>
      </c>
      <c r="D233" s="742">
        <f t="shared" ref="D233:F233" si="94">D116</f>
        <v>0.4</v>
      </c>
      <c r="E233" s="742" t="str">
        <f t="shared" si="94"/>
        <v>-</v>
      </c>
      <c r="F233" s="742">
        <f t="shared" si="94"/>
        <v>0</v>
      </c>
      <c r="G233" s="682"/>
      <c r="H233" s="1463"/>
      <c r="I233" s="741">
        <v>11</v>
      </c>
      <c r="J233" s="742">
        <f>I116</f>
        <v>40</v>
      </c>
      <c r="K233" s="742">
        <f t="shared" ref="K233:M233" si="95">J116</f>
        <v>-5.5</v>
      </c>
      <c r="L233" s="742" t="str">
        <f t="shared" si="95"/>
        <v>-</v>
      </c>
      <c r="M233" s="742">
        <f t="shared" si="95"/>
        <v>0</v>
      </c>
      <c r="N233" s="682"/>
      <c r="O233" s="739">
        <v>9</v>
      </c>
      <c r="P233" s="740">
        <f>O92</f>
        <v>2.4</v>
      </c>
    </row>
    <row r="234" spans="1:16" ht="13" hidden="1" x14ac:dyDescent="0.3">
      <c r="A234" s="1462"/>
      <c r="B234" s="741">
        <v>12</v>
      </c>
      <c r="C234" s="742">
        <f>C127</f>
        <v>20</v>
      </c>
      <c r="D234" s="742">
        <f t="shared" ref="D234:F234" si="96">D127</f>
        <v>0.3</v>
      </c>
      <c r="E234" s="742">
        <f t="shared" si="96"/>
        <v>-0.5</v>
      </c>
      <c r="F234" s="742">
        <f t="shared" si="96"/>
        <v>0.4</v>
      </c>
      <c r="G234" s="682"/>
      <c r="H234" s="1463"/>
      <c r="I234" s="741">
        <v>12</v>
      </c>
      <c r="J234" s="742">
        <f>I127</f>
        <v>40</v>
      </c>
      <c r="K234" s="742">
        <f t="shared" ref="K234:M234" si="97">J127</f>
        <v>-1.7</v>
      </c>
      <c r="L234" s="742">
        <f t="shared" si="97"/>
        <v>-0.3</v>
      </c>
      <c r="M234" s="742">
        <f t="shared" si="97"/>
        <v>0.7</v>
      </c>
      <c r="N234" s="682"/>
      <c r="O234" s="739">
        <v>10</v>
      </c>
      <c r="P234" s="740">
        <f>O103</f>
        <v>1.5</v>
      </c>
    </row>
    <row r="235" spans="1:16" ht="13" hidden="1" x14ac:dyDescent="0.3">
      <c r="A235" s="1462"/>
      <c r="B235" s="741">
        <v>13</v>
      </c>
      <c r="C235" s="742">
        <f>C138</f>
        <v>20</v>
      </c>
      <c r="D235" s="742">
        <f t="shared" ref="D235:F235" si="98">D138</f>
        <v>0.2</v>
      </c>
      <c r="E235" s="742">
        <f t="shared" si="98"/>
        <v>-0.1</v>
      </c>
      <c r="F235" s="742">
        <f t="shared" si="98"/>
        <v>0.15000000000000002</v>
      </c>
      <c r="G235" s="682"/>
      <c r="H235" s="1463"/>
      <c r="I235" s="741">
        <v>13</v>
      </c>
      <c r="J235" s="742">
        <f>I138</f>
        <v>40</v>
      </c>
      <c r="K235" s="742">
        <f t="shared" ref="K235:M235" si="99">J138</f>
        <v>-0.4</v>
      </c>
      <c r="L235" s="742">
        <f t="shared" si="99"/>
        <v>0.3</v>
      </c>
      <c r="M235" s="742">
        <f t="shared" si="99"/>
        <v>0.35</v>
      </c>
      <c r="N235" s="682"/>
      <c r="O235" s="739">
        <v>11</v>
      </c>
      <c r="P235" s="740">
        <f>O114</f>
        <v>1.8</v>
      </c>
    </row>
    <row r="236" spans="1:16" ht="13" hidden="1" x14ac:dyDescent="0.3">
      <c r="A236" s="1462"/>
      <c r="B236" s="741">
        <v>14</v>
      </c>
      <c r="C236" s="742">
        <f>C149</f>
        <v>20</v>
      </c>
      <c r="D236" s="742">
        <f t="shared" ref="D236:F236" si="100">D149</f>
        <v>0.2</v>
      </c>
      <c r="E236" s="742">
        <f t="shared" si="100"/>
        <v>-0.4</v>
      </c>
      <c r="F236" s="742">
        <f t="shared" si="100"/>
        <v>0.30000000000000004</v>
      </c>
      <c r="G236" s="682"/>
      <c r="H236" s="1463"/>
      <c r="I236" s="741">
        <v>14</v>
      </c>
      <c r="J236" s="742">
        <f>I149</f>
        <v>40</v>
      </c>
      <c r="K236" s="742">
        <f t="shared" ref="K236:M236" si="101">J149</f>
        <v>-0.2</v>
      </c>
      <c r="L236" s="742">
        <f t="shared" si="101"/>
        <v>-1.3</v>
      </c>
      <c r="M236" s="742">
        <f t="shared" si="101"/>
        <v>0.55000000000000004</v>
      </c>
      <c r="N236" s="682"/>
      <c r="O236" s="739">
        <v>12</v>
      </c>
      <c r="P236" s="757">
        <f>O125</f>
        <v>2.6</v>
      </c>
    </row>
    <row r="237" spans="1:16" ht="13" hidden="1" x14ac:dyDescent="0.3">
      <c r="A237" s="1462"/>
      <c r="B237" s="741">
        <v>15</v>
      </c>
      <c r="C237" s="742">
        <f>C160</f>
        <v>20</v>
      </c>
      <c r="D237" s="742">
        <f t="shared" ref="D237:F237" si="102">D160</f>
        <v>0.1</v>
      </c>
      <c r="E237" s="742" t="str">
        <f t="shared" si="102"/>
        <v>-</v>
      </c>
      <c r="F237" s="742">
        <f t="shared" si="102"/>
        <v>0</v>
      </c>
      <c r="G237" s="682"/>
      <c r="H237" s="1463"/>
      <c r="I237" s="741">
        <v>15</v>
      </c>
      <c r="J237" s="742">
        <f>I160</f>
        <v>40</v>
      </c>
      <c r="K237" s="742">
        <f t="shared" ref="K237:M237" si="103">J160</f>
        <v>0.2</v>
      </c>
      <c r="L237" s="742" t="str">
        <f t="shared" si="103"/>
        <v>-</v>
      </c>
      <c r="M237" s="742">
        <f t="shared" si="103"/>
        <v>0</v>
      </c>
      <c r="N237" s="682"/>
      <c r="O237" s="739">
        <v>13</v>
      </c>
      <c r="P237" s="740">
        <f>O136</f>
        <v>2.7</v>
      </c>
    </row>
    <row r="238" spans="1:16" ht="13" hidden="1" x14ac:dyDescent="0.3">
      <c r="A238" s="1462"/>
      <c r="B238" s="741">
        <v>16</v>
      </c>
      <c r="C238" s="742">
        <f>C171</f>
        <v>20</v>
      </c>
      <c r="D238" s="742">
        <f t="shared" ref="D238:F238" si="104">D171</f>
        <v>0.2</v>
      </c>
      <c r="E238" s="742" t="str">
        <f t="shared" si="104"/>
        <v>-</v>
      </c>
      <c r="F238" s="742">
        <f t="shared" si="104"/>
        <v>0</v>
      </c>
      <c r="G238" s="682"/>
      <c r="H238" s="1463"/>
      <c r="I238" s="741">
        <v>16</v>
      </c>
      <c r="J238" s="742">
        <f>I171</f>
        <v>40</v>
      </c>
      <c r="K238" s="742">
        <f t="shared" ref="K238:M238" si="105">J171</f>
        <v>-1.4</v>
      </c>
      <c r="L238" s="742" t="str">
        <f t="shared" si="105"/>
        <v>-</v>
      </c>
      <c r="M238" s="742">
        <f t="shared" si="105"/>
        <v>0</v>
      </c>
      <c r="N238" s="682"/>
      <c r="O238" s="739">
        <v>14</v>
      </c>
      <c r="P238" s="740">
        <f>O147</f>
        <v>2.2999999999999998</v>
      </c>
    </row>
    <row r="239" spans="1:16" ht="13" hidden="1" x14ac:dyDescent="0.3">
      <c r="A239" s="1462"/>
      <c r="B239" s="741">
        <v>17</v>
      </c>
      <c r="C239" s="742">
        <f>C182</f>
        <v>20</v>
      </c>
      <c r="D239" s="742">
        <f t="shared" ref="D239:F239" si="106">D182</f>
        <v>-0.1</v>
      </c>
      <c r="E239" s="742" t="str">
        <f t="shared" si="106"/>
        <v>-</v>
      </c>
      <c r="F239" s="742">
        <f t="shared" si="106"/>
        <v>0</v>
      </c>
      <c r="G239" s="682"/>
      <c r="H239" s="1463"/>
      <c r="I239" s="741">
        <v>17</v>
      </c>
      <c r="J239" s="742">
        <f>I182</f>
        <v>40</v>
      </c>
      <c r="K239" s="742">
        <f t="shared" ref="K239:M239" si="107">J182</f>
        <v>-0.2</v>
      </c>
      <c r="L239" s="742" t="str">
        <f t="shared" si="107"/>
        <v>-</v>
      </c>
      <c r="M239" s="742">
        <f t="shared" si="107"/>
        <v>0</v>
      </c>
      <c r="N239" s="682"/>
      <c r="O239" s="758">
        <v>15</v>
      </c>
      <c r="P239" s="759">
        <f>O158</f>
        <v>2.8</v>
      </c>
    </row>
    <row r="240" spans="1:16" ht="13" hidden="1" x14ac:dyDescent="0.3">
      <c r="A240" s="1462"/>
      <c r="B240" s="741">
        <v>18</v>
      </c>
      <c r="C240" s="742">
        <f>C193</f>
        <v>20</v>
      </c>
      <c r="D240" s="742">
        <f t="shared" ref="D240:F240" si="108">D193</f>
        <v>0</v>
      </c>
      <c r="E240" s="742" t="str">
        <f t="shared" si="108"/>
        <v>-</v>
      </c>
      <c r="F240" s="742">
        <f t="shared" si="108"/>
        <v>0</v>
      </c>
      <c r="G240" s="682"/>
      <c r="H240" s="1463"/>
      <c r="I240" s="741">
        <v>18</v>
      </c>
      <c r="J240" s="742">
        <f>I193</f>
        <v>40</v>
      </c>
      <c r="K240" s="742">
        <f t="shared" ref="K240:M240" si="109">J193</f>
        <v>-0.1</v>
      </c>
      <c r="L240" s="742" t="str">
        <f t="shared" si="109"/>
        <v>-</v>
      </c>
      <c r="M240" s="742">
        <f t="shared" si="109"/>
        <v>0</v>
      </c>
      <c r="N240" s="682"/>
      <c r="O240" s="739">
        <v>16</v>
      </c>
      <c r="P240" s="760">
        <f>O169</f>
        <v>2.2000000000000002</v>
      </c>
    </row>
    <row r="241" spans="1:16" ht="13" hidden="1" x14ac:dyDescent="0.3">
      <c r="A241" s="750"/>
      <c r="B241" s="751"/>
      <c r="C241" s="761"/>
      <c r="D241" s="761"/>
      <c r="E241" s="761"/>
      <c r="F241" s="762"/>
      <c r="G241" s="754"/>
      <c r="H241" s="750"/>
      <c r="I241" s="751"/>
      <c r="J241" s="761"/>
      <c r="K241" s="761"/>
      <c r="L241" s="761"/>
      <c r="M241" s="762"/>
      <c r="N241" s="682"/>
      <c r="O241" s="758">
        <v>17</v>
      </c>
      <c r="P241" s="760">
        <f>O180</f>
        <v>1.6</v>
      </c>
    </row>
    <row r="242" spans="1:16" ht="13" hidden="1" x14ac:dyDescent="0.3">
      <c r="A242" s="1462" t="s">
        <v>149</v>
      </c>
      <c r="B242" s="741">
        <v>1</v>
      </c>
      <c r="C242" s="742">
        <f>C7</f>
        <v>25</v>
      </c>
      <c r="D242" s="742">
        <f t="shared" ref="D242:F242" si="110">D7</f>
        <v>0</v>
      </c>
      <c r="E242" s="742">
        <f t="shared" si="110"/>
        <v>0.1</v>
      </c>
      <c r="F242" s="742">
        <f t="shared" si="110"/>
        <v>0.05</v>
      </c>
      <c r="G242" s="682"/>
      <c r="H242" s="1463" t="s">
        <v>149</v>
      </c>
      <c r="I242" s="741">
        <v>1</v>
      </c>
      <c r="J242" s="742">
        <f>I7</f>
        <v>50</v>
      </c>
      <c r="K242" s="742">
        <f t="shared" ref="K242:M242" si="111">J7</f>
        <v>-5.3</v>
      </c>
      <c r="L242" s="742">
        <f t="shared" si="111"/>
        <v>-7.2</v>
      </c>
      <c r="M242" s="742">
        <f t="shared" si="111"/>
        <v>0.95000000000000018</v>
      </c>
      <c r="N242" s="682"/>
      <c r="O242" s="739">
        <v>18</v>
      </c>
      <c r="P242" s="760">
        <f>O191</f>
        <v>2</v>
      </c>
    </row>
    <row r="243" spans="1:16" ht="13" hidden="1" x14ac:dyDescent="0.3">
      <c r="A243" s="1462"/>
      <c r="B243" s="741">
        <v>2</v>
      </c>
      <c r="C243" s="742">
        <f>C18</f>
        <v>25</v>
      </c>
      <c r="D243" s="742">
        <f t="shared" ref="D243:F243" si="112">D18</f>
        <v>-0.2</v>
      </c>
      <c r="E243" s="742">
        <f t="shared" si="112"/>
        <v>-0.5</v>
      </c>
      <c r="F243" s="742">
        <f t="shared" si="112"/>
        <v>0.15</v>
      </c>
      <c r="G243" s="682"/>
      <c r="H243" s="1463"/>
      <c r="I243" s="741">
        <v>2</v>
      </c>
      <c r="J243" s="742">
        <f>I18</f>
        <v>50</v>
      </c>
      <c r="K243" s="742">
        <f t="shared" ref="K243:M243" si="113">J18</f>
        <v>-1.5</v>
      </c>
      <c r="L243" s="742">
        <f t="shared" si="113"/>
        <v>-1.4</v>
      </c>
      <c r="M243" s="742">
        <f t="shared" si="113"/>
        <v>5.0000000000000044E-2</v>
      </c>
      <c r="N243" s="682"/>
    </row>
    <row r="244" spans="1:16" ht="13" hidden="1" x14ac:dyDescent="0.3">
      <c r="A244" s="1462"/>
      <c r="B244" s="741">
        <v>3</v>
      </c>
      <c r="C244" s="742">
        <f>C29</f>
        <v>25</v>
      </c>
      <c r="D244" s="742">
        <f t="shared" ref="D244:F244" si="114">D29</f>
        <v>-0.1</v>
      </c>
      <c r="E244" s="742">
        <f t="shared" si="114"/>
        <v>-0.2</v>
      </c>
      <c r="F244" s="742">
        <f t="shared" si="114"/>
        <v>0.05</v>
      </c>
      <c r="G244" s="682"/>
      <c r="H244" s="1463"/>
      <c r="I244" s="741">
        <v>3</v>
      </c>
      <c r="J244" s="742">
        <f>I29</f>
        <v>50</v>
      </c>
      <c r="K244" s="742">
        <f t="shared" ref="K244:M244" si="115">J29</f>
        <v>-4.9000000000000004</v>
      </c>
      <c r="L244" s="742">
        <f t="shared" si="115"/>
        <v>-2.2999999999999998</v>
      </c>
      <c r="M244" s="742">
        <f t="shared" si="115"/>
        <v>1.3000000000000003</v>
      </c>
      <c r="N244" s="682"/>
      <c r="O244" s="682"/>
      <c r="P244" s="682"/>
    </row>
    <row r="245" spans="1:16" ht="13" hidden="1" x14ac:dyDescent="0.3">
      <c r="A245" s="1462"/>
      <c r="B245" s="741">
        <v>4</v>
      </c>
      <c r="C245" s="742">
        <f>C40</f>
        <v>25</v>
      </c>
      <c r="D245" s="742">
        <f t="shared" ref="D245:F245" si="116">D40</f>
        <v>-0.5</v>
      </c>
      <c r="E245" s="742">
        <f t="shared" si="116"/>
        <v>-0.5</v>
      </c>
      <c r="F245" s="742">
        <f t="shared" si="116"/>
        <v>0</v>
      </c>
      <c r="G245" s="682"/>
      <c r="H245" s="1463"/>
      <c r="I245" s="741">
        <v>4</v>
      </c>
      <c r="J245" s="742">
        <f>I40</f>
        <v>50</v>
      </c>
      <c r="K245" s="742">
        <f t="shared" ref="K245:M245" si="117">J40</f>
        <v>-1</v>
      </c>
      <c r="L245" s="742">
        <f t="shared" si="117"/>
        <v>-1</v>
      </c>
      <c r="M245" s="742">
        <f t="shared" si="117"/>
        <v>0</v>
      </c>
      <c r="N245" s="682"/>
      <c r="O245" s="682"/>
      <c r="P245" s="682"/>
    </row>
    <row r="246" spans="1:16" ht="13" hidden="1" x14ac:dyDescent="0.3">
      <c r="A246" s="1462"/>
      <c r="B246" s="741">
        <v>5</v>
      </c>
      <c r="C246" s="742">
        <f>C51</f>
        <v>25</v>
      </c>
      <c r="D246" s="742">
        <f t="shared" ref="D246:F246" si="118">D51</f>
        <v>0.4</v>
      </c>
      <c r="E246" s="742">
        <f t="shared" si="118"/>
        <v>0.2</v>
      </c>
      <c r="F246" s="742">
        <f t="shared" si="118"/>
        <v>0.1</v>
      </c>
      <c r="G246" s="682"/>
      <c r="H246" s="1463"/>
      <c r="I246" s="741">
        <v>5</v>
      </c>
      <c r="J246" s="742">
        <f>I51</f>
        <v>50</v>
      </c>
      <c r="K246" s="742">
        <f t="shared" ref="K246:M246" si="119">J51</f>
        <v>-6.2</v>
      </c>
      <c r="L246" s="742">
        <f t="shared" si="119"/>
        <v>-6.2</v>
      </c>
      <c r="M246" s="742">
        <f t="shared" si="119"/>
        <v>0</v>
      </c>
      <c r="N246" s="682"/>
      <c r="O246" s="682"/>
      <c r="P246" s="682"/>
    </row>
    <row r="247" spans="1:16" ht="13" hidden="1" x14ac:dyDescent="0.3">
      <c r="A247" s="1462"/>
      <c r="B247" s="741">
        <v>6</v>
      </c>
      <c r="C247" s="742">
        <f>C62</f>
        <v>25</v>
      </c>
      <c r="D247" s="742">
        <f t="shared" ref="D247:F247" si="120">D62</f>
        <v>0.2</v>
      </c>
      <c r="E247" s="742">
        <f t="shared" si="120"/>
        <v>-0.1</v>
      </c>
      <c r="F247" s="742">
        <f t="shared" si="120"/>
        <v>0.15000000000000002</v>
      </c>
      <c r="G247" s="682"/>
      <c r="H247" s="1463"/>
      <c r="I247" s="741">
        <v>6</v>
      </c>
      <c r="J247" s="742">
        <f>I62</f>
        <v>50</v>
      </c>
      <c r="K247" s="742">
        <f t="shared" ref="K247:M247" si="121">J62</f>
        <v>-5.4</v>
      </c>
      <c r="L247" s="742">
        <f t="shared" si="121"/>
        <v>-2.5</v>
      </c>
      <c r="M247" s="742">
        <f t="shared" si="121"/>
        <v>1.4500000000000002</v>
      </c>
      <c r="N247" s="682"/>
      <c r="O247" s="682"/>
      <c r="P247" s="682"/>
    </row>
    <row r="248" spans="1:16" ht="13" hidden="1" x14ac:dyDescent="0.3">
      <c r="A248" s="1462"/>
      <c r="B248" s="741">
        <v>7</v>
      </c>
      <c r="C248" s="742">
        <f>C73</f>
        <v>25</v>
      </c>
      <c r="D248" s="742">
        <f t="shared" ref="D248:F248" si="122">D73</f>
        <v>-0.2</v>
      </c>
      <c r="E248" s="742">
        <f t="shared" si="122"/>
        <v>0</v>
      </c>
      <c r="F248" s="742">
        <f t="shared" si="122"/>
        <v>0.1</v>
      </c>
      <c r="G248" s="682"/>
      <c r="H248" s="1463"/>
      <c r="I248" s="741">
        <v>7</v>
      </c>
      <c r="J248" s="742">
        <f>I73</f>
        <v>50</v>
      </c>
      <c r="K248" s="742">
        <f t="shared" ref="K248:M248" si="123">J73</f>
        <v>0.8</v>
      </c>
      <c r="L248" s="742">
        <f t="shared" si="123"/>
        <v>0.6</v>
      </c>
      <c r="M248" s="742">
        <f t="shared" si="123"/>
        <v>0.10000000000000003</v>
      </c>
      <c r="N248" s="682"/>
      <c r="O248" s="682"/>
      <c r="P248" s="682"/>
    </row>
    <row r="249" spans="1:16" ht="13" hidden="1" x14ac:dyDescent="0.3">
      <c r="A249" s="1462"/>
      <c r="B249" s="741">
        <v>8</v>
      </c>
      <c r="C249" s="742">
        <f>C84</f>
        <v>25</v>
      </c>
      <c r="D249" s="742">
        <f t="shared" ref="D249:F249" si="124">D84</f>
        <v>-0.4</v>
      </c>
      <c r="E249" s="742">
        <f t="shared" si="124"/>
        <v>-0.2</v>
      </c>
      <c r="F249" s="742">
        <f t="shared" si="124"/>
        <v>0.1</v>
      </c>
      <c r="G249" s="682"/>
      <c r="H249" s="1463"/>
      <c r="I249" s="741">
        <v>8</v>
      </c>
      <c r="J249" s="742">
        <f>I84</f>
        <v>50</v>
      </c>
      <c r="K249" s="742">
        <f t="shared" ref="K249:M249" si="125">J84</f>
        <v>-1.2</v>
      </c>
      <c r="L249" s="742">
        <f t="shared" si="125"/>
        <v>1.3</v>
      </c>
      <c r="M249" s="742">
        <f t="shared" si="125"/>
        <v>1.25</v>
      </c>
      <c r="N249" s="682"/>
      <c r="O249" s="682"/>
      <c r="P249" s="682"/>
    </row>
    <row r="250" spans="1:16" ht="13" hidden="1" x14ac:dyDescent="0.3">
      <c r="A250" s="1462"/>
      <c r="B250" s="741">
        <v>9</v>
      </c>
      <c r="C250" s="742">
        <f>C95</f>
        <v>25</v>
      </c>
      <c r="D250" s="742">
        <f t="shared" ref="D250:F250" si="126">D95</f>
        <v>-0.4</v>
      </c>
      <c r="E250" s="742" t="str">
        <f t="shared" si="126"/>
        <v>-</v>
      </c>
      <c r="F250" s="742">
        <f t="shared" si="126"/>
        <v>0</v>
      </c>
      <c r="G250" s="682"/>
      <c r="H250" s="1463"/>
      <c r="I250" s="741">
        <v>9</v>
      </c>
      <c r="J250" s="742">
        <f>I95</f>
        <v>50</v>
      </c>
      <c r="K250" s="742">
        <f t="shared" ref="K250:M250" si="127">J95</f>
        <v>-0.9</v>
      </c>
      <c r="L250" s="742" t="str">
        <f t="shared" si="127"/>
        <v>-</v>
      </c>
      <c r="M250" s="742">
        <f t="shared" si="127"/>
        <v>0</v>
      </c>
      <c r="N250" s="682"/>
      <c r="O250" s="682"/>
      <c r="P250" s="682"/>
    </row>
    <row r="251" spans="1:16" ht="13" hidden="1" x14ac:dyDescent="0.3">
      <c r="A251" s="1462"/>
      <c r="B251" s="741">
        <v>10</v>
      </c>
      <c r="C251" s="742">
        <f>C106</f>
        <v>25</v>
      </c>
      <c r="D251" s="742">
        <f t="shared" ref="D251:F251" si="128">D106</f>
        <v>0.1</v>
      </c>
      <c r="E251" s="742">
        <f t="shared" si="128"/>
        <v>-0.5</v>
      </c>
      <c r="F251" s="742">
        <f t="shared" si="128"/>
        <v>0.3</v>
      </c>
      <c r="G251" s="682"/>
      <c r="H251" s="1463"/>
      <c r="I251" s="741">
        <v>10</v>
      </c>
      <c r="J251" s="742">
        <f>I106</f>
        <v>50</v>
      </c>
      <c r="K251" s="742">
        <f t="shared" ref="K251:M251" si="129">J106</f>
        <v>-3.1</v>
      </c>
      <c r="L251" s="742">
        <f t="shared" si="129"/>
        <v>-6.1</v>
      </c>
      <c r="M251" s="742">
        <f t="shared" si="129"/>
        <v>1.4999999999999998</v>
      </c>
      <c r="N251" s="682"/>
      <c r="O251" s="682"/>
      <c r="P251" s="682"/>
    </row>
    <row r="252" spans="1:16" ht="13" hidden="1" x14ac:dyDescent="0.3">
      <c r="A252" s="1462"/>
      <c r="B252" s="741">
        <v>11</v>
      </c>
      <c r="C252" s="742">
        <f>C117</f>
        <v>25</v>
      </c>
      <c r="D252" s="742">
        <f t="shared" ref="D252:F252" si="130">D117</f>
        <v>0.4</v>
      </c>
      <c r="E252" s="742" t="str">
        <f t="shared" si="130"/>
        <v>-</v>
      </c>
      <c r="F252" s="742">
        <f t="shared" si="130"/>
        <v>0</v>
      </c>
      <c r="G252" s="682"/>
      <c r="H252" s="1463"/>
      <c r="I252" s="741">
        <v>11</v>
      </c>
      <c r="J252" s="742">
        <f>I117</f>
        <v>50</v>
      </c>
      <c r="K252" s="742">
        <f t="shared" ref="K252:M252" si="131">J117</f>
        <v>-5.5</v>
      </c>
      <c r="L252" s="742" t="str">
        <f t="shared" si="131"/>
        <v>-</v>
      </c>
      <c r="M252" s="742">
        <f t="shared" si="131"/>
        <v>0</v>
      </c>
      <c r="N252" s="682"/>
      <c r="O252" s="682"/>
      <c r="P252" s="682"/>
    </row>
    <row r="253" spans="1:16" ht="13" hidden="1" x14ac:dyDescent="0.3">
      <c r="A253" s="1462"/>
      <c r="B253" s="741">
        <v>12</v>
      </c>
      <c r="C253" s="742">
        <f>C128</f>
        <v>25</v>
      </c>
      <c r="D253" s="742">
        <f t="shared" ref="D253:F253" si="132">D128</f>
        <v>0.2</v>
      </c>
      <c r="E253" s="742">
        <f t="shared" si="132"/>
        <v>-0.4</v>
      </c>
      <c r="F253" s="742">
        <f t="shared" si="132"/>
        <v>0.30000000000000004</v>
      </c>
      <c r="G253" s="682"/>
      <c r="H253" s="1463"/>
      <c r="I253" s="741">
        <v>12</v>
      </c>
      <c r="J253" s="742">
        <f>I128</f>
        <v>50</v>
      </c>
      <c r="K253" s="742">
        <f t="shared" ref="K253:M253" si="133">J128</f>
        <v>-1.4</v>
      </c>
      <c r="L253" s="742">
        <f t="shared" si="133"/>
        <v>-0.3</v>
      </c>
      <c r="M253" s="742">
        <f t="shared" si="133"/>
        <v>0.54999999999999993</v>
      </c>
      <c r="N253" s="682"/>
      <c r="O253" s="682"/>
      <c r="P253" s="682"/>
    </row>
    <row r="254" spans="1:16" ht="13" hidden="1" x14ac:dyDescent="0.3">
      <c r="A254" s="1462"/>
      <c r="B254" s="741">
        <v>13</v>
      </c>
      <c r="C254" s="742">
        <f>C139</f>
        <v>25</v>
      </c>
      <c r="D254" s="742">
        <f t="shared" ref="D254:F254" si="134">D139</f>
        <v>-0.1</v>
      </c>
      <c r="E254" s="742">
        <f t="shared" si="134"/>
        <v>-0.1</v>
      </c>
      <c r="F254" s="742">
        <f t="shared" si="134"/>
        <v>0</v>
      </c>
      <c r="G254" s="682"/>
      <c r="H254" s="1463"/>
      <c r="I254" s="741">
        <v>13</v>
      </c>
      <c r="J254" s="742">
        <f>I139</f>
        <v>50</v>
      </c>
      <c r="K254" s="742">
        <f t="shared" ref="K254:M254" si="135">J139</f>
        <v>0</v>
      </c>
      <c r="L254" s="742">
        <f t="shared" si="135"/>
        <v>-0.2</v>
      </c>
      <c r="M254" s="742">
        <f t="shared" si="135"/>
        <v>0.1</v>
      </c>
      <c r="N254" s="682"/>
      <c r="O254" s="682"/>
      <c r="P254" s="682"/>
    </row>
    <row r="255" spans="1:16" ht="13" hidden="1" x14ac:dyDescent="0.3">
      <c r="A255" s="1462"/>
      <c r="B255" s="741">
        <v>14</v>
      </c>
      <c r="C255" s="742">
        <f>C150</f>
        <v>25</v>
      </c>
      <c r="D255" s="742">
        <f t="shared" ref="D255:F255" si="136">D150</f>
        <v>0.1</v>
      </c>
      <c r="E255" s="742">
        <f t="shared" si="136"/>
        <v>-0.2</v>
      </c>
      <c r="F255" s="742">
        <f t="shared" si="136"/>
        <v>0.15000000000000002</v>
      </c>
      <c r="G255" s="682"/>
      <c r="H255" s="1463"/>
      <c r="I255" s="741">
        <v>14</v>
      </c>
      <c r="J255" s="742">
        <f>I150</f>
        <v>50</v>
      </c>
      <c r="K255" s="742">
        <f t="shared" ref="K255:M255" si="137">J150</f>
        <v>-1.8</v>
      </c>
      <c r="L255" s="742">
        <f t="shared" si="137"/>
        <v>-1.3</v>
      </c>
      <c r="M255" s="742">
        <f t="shared" si="137"/>
        <v>0.25</v>
      </c>
      <c r="N255" s="682"/>
      <c r="O255" s="682"/>
      <c r="P255" s="682"/>
    </row>
    <row r="256" spans="1:16" ht="13" hidden="1" x14ac:dyDescent="0.3">
      <c r="A256" s="1462"/>
      <c r="B256" s="741">
        <v>15</v>
      </c>
      <c r="C256" s="742">
        <f>C161</f>
        <v>25</v>
      </c>
      <c r="D256" s="742">
        <f t="shared" ref="D256:F256" si="138">D161</f>
        <v>0</v>
      </c>
      <c r="E256" s="742" t="str">
        <f t="shared" si="138"/>
        <v>-</v>
      </c>
      <c r="F256" s="742">
        <f t="shared" si="138"/>
        <v>0</v>
      </c>
      <c r="G256" s="682"/>
      <c r="H256" s="1463"/>
      <c r="I256" s="741">
        <v>15</v>
      </c>
      <c r="J256" s="742">
        <f>I161</f>
        <v>50</v>
      </c>
      <c r="K256" s="742">
        <f t="shared" ref="K256:M256" si="139">J161</f>
        <v>0.2</v>
      </c>
      <c r="L256" s="742" t="str">
        <f t="shared" si="139"/>
        <v>-</v>
      </c>
      <c r="M256" s="742">
        <f t="shared" si="139"/>
        <v>0</v>
      </c>
      <c r="N256" s="682"/>
      <c r="O256" s="682"/>
      <c r="P256" s="682"/>
    </row>
    <row r="257" spans="1:16" ht="13" hidden="1" x14ac:dyDescent="0.3">
      <c r="A257" s="1462"/>
      <c r="B257" s="741">
        <v>16</v>
      </c>
      <c r="C257" s="742">
        <f>C172</f>
        <v>25</v>
      </c>
      <c r="D257" s="742">
        <f t="shared" ref="D257:F257" si="140">D172</f>
        <v>0.2</v>
      </c>
      <c r="E257" s="742" t="str">
        <f t="shared" si="140"/>
        <v>-</v>
      </c>
      <c r="F257" s="742">
        <f t="shared" si="140"/>
        <v>0</v>
      </c>
      <c r="G257" s="682"/>
      <c r="H257" s="1463"/>
      <c r="I257" s="741">
        <v>16</v>
      </c>
      <c r="J257" s="742">
        <f>I172</f>
        <v>50</v>
      </c>
      <c r="K257" s="742">
        <f t="shared" ref="K257:M257" si="141">J172</f>
        <v>-1.4</v>
      </c>
      <c r="L257" s="742" t="str">
        <f t="shared" si="141"/>
        <v>-</v>
      </c>
      <c r="M257" s="742">
        <f t="shared" si="141"/>
        <v>0</v>
      </c>
      <c r="N257" s="682"/>
      <c r="O257" s="682"/>
      <c r="P257" s="682"/>
    </row>
    <row r="258" spans="1:16" ht="13" hidden="1" x14ac:dyDescent="0.3">
      <c r="A258" s="1462"/>
      <c r="B258" s="741">
        <v>17</v>
      </c>
      <c r="C258" s="742">
        <f>C183</f>
        <v>25</v>
      </c>
      <c r="D258" s="742">
        <f t="shared" ref="D258:F258" si="142">D183</f>
        <v>-0.2</v>
      </c>
      <c r="E258" s="742" t="str">
        <f t="shared" si="142"/>
        <v>-</v>
      </c>
      <c r="F258" s="742">
        <f t="shared" si="142"/>
        <v>0</v>
      </c>
      <c r="G258" s="682"/>
      <c r="H258" s="1463"/>
      <c r="I258" s="741">
        <v>17</v>
      </c>
      <c r="J258" s="742">
        <f>I183</f>
        <v>50</v>
      </c>
      <c r="K258" s="742">
        <f t="shared" ref="K258:M258" si="143">J183</f>
        <v>-0.2</v>
      </c>
      <c r="L258" s="742" t="str">
        <f t="shared" si="143"/>
        <v>-</v>
      </c>
      <c r="M258" s="742">
        <f t="shared" si="143"/>
        <v>0</v>
      </c>
      <c r="N258" s="682"/>
      <c r="O258" s="682"/>
      <c r="P258" s="682"/>
    </row>
    <row r="259" spans="1:16" ht="13" hidden="1" x14ac:dyDescent="0.3">
      <c r="A259" s="1462"/>
      <c r="B259" s="741">
        <v>18</v>
      </c>
      <c r="C259" s="742">
        <f>C194</f>
        <v>25</v>
      </c>
      <c r="D259" s="742">
        <f t="shared" ref="D259:F259" si="144">D194</f>
        <v>0</v>
      </c>
      <c r="E259" s="742" t="str">
        <f t="shared" si="144"/>
        <v>-</v>
      </c>
      <c r="F259" s="742">
        <f t="shared" si="144"/>
        <v>0</v>
      </c>
      <c r="G259" s="682"/>
      <c r="H259" s="1463"/>
      <c r="I259" s="741">
        <v>18</v>
      </c>
      <c r="J259" s="742">
        <f>I194</f>
        <v>50</v>
      </c>
      <c r="K259" s="742">
        <f t="shared" ref="K259:M259" si="145">J194</f>
        <v>0</v>
      </c>
      <c r="L259" s="742" t="str">
        <f t="shared" si="145"/>
        <v>-</v>
      </c>
      <c r="M259" s="742">
        <f t="shared" si="145"/>
        <v>0</v>
      </c>
      <c r="N259" s="682"/>
      <c r="O259" s="682"/>
      <c r="P259" s="682"/>
    </row>
    <row r="260" spans="1:16" ht="13" hidden="1" x14ac:dyDescent="0.3">
      <c r="A260" s="750"/>
      <c r="B260" s="751"/>
      <c r="C260" s="761"/>
      <c r="D260" s="761"/>
      <c r="E260" s="761"/>
      <c r="F260" s="762"/>
      <c r="G260" s="754"/>
      <c r="H260" s="750"/>
      <c r="I260" s="763"/>
      <c r="J260" s="761"/>
      <c r="K260" s="761"/>
      <c r="L260" s="761"/>
      <c r="M260" s="762"/>
      <c r="N260" s="682"/>
      <c r="O260" s="682"/>
      <c r="P260" s="682"/>
    </row>
    <row r="261" spans="1:16" ht="13" hidden="1" x14ac:dyDescent="0.3">
      <c r="A261" s="1462" t="s">
        <v>151</v>
      </c>
      <c r="B261" s="741">
        <v>1</v>
      </c>
      <c r="C261" s="742">
        <f>C8</f>
        <v>30</v>
      </c>
      <c r="D261" s="742">
        <f t="shared" ref="D261:F261" si="146">D8</f>
        <v>0</v>
      </c>
      <c r="E261" s="742">
        <f t="shared" si="146"/>
        <v>-0.2</v>
      </c>
      <c r="F261" s="742">
        <f t="shared" si="146"/>
        <v>0.1</v>
      </c>
      <c r="G261" s="682"/>
      <c r="H261" s="1463" t="s">
        <v>151</v>
      </c>
      <c r="I261" s="741">
        <v>1</v>
      </c>
      <c r="J261" s="742">
        <f>I8</f>
        <v>60</v>
      </c>
      <c r="K261" s="742">
        <f t="shared" ref="K261:M261" si="147">J8</f>
        <v>-4.4000000000000004</v>
      </c>
      <c r="L261" s="742">
        <f t="shared" si="147"/>
        <v>-5.2</v>
      </c>
      <c r="M261" s="742">
        <f t="shared" si="147"/>
        <v>0.39999999999999991</v>
      </c>
      <c r="N261" s="682"/>
      <c r="O261" s="682"/>
      <c r="P261" s="682"/>
    </row>
    <row r="262" spans="1:16" ht="13" hidden="1" x14ac:dyDescent="0.3">
      <c r="A262" s="1462"/>
      <c r="B262" s="741">
        <v>2</v>
      </c>
      <c r="C262" s="742">
        <f>C19</f>
        <v>30</v>
      </c>
      <c r="D262" s="742">
        <f t="shared" ref="D262:F262" si="148">D19</f>
        <v>-0.3</v>
      </c>
      <c r="E262" s="742">
        <f t="shared" si="148"/>
        <v>-1</v>
      </c>
      <c r="F262" s="742">
        <f t="shared" si="148"/>
        <v>0.35</v>
      </c>
      <c r="G262" s="682"/>
      <c r="H262" s="1463"/>
      <c r="I262" s="741">
        <v>2</v>
      </c>
      <c r="J262" s="742">
        <f>I19</f>
        <v>60</v>
      </c>
      <c r="K262" s="742">
        <f t="shared" ref="K262:M262" si="149">J19</f>
        <v>-1.3</v>
      </c>
      <c r="L262" s="742">
        <f t="shared" si="149"/>
        <v>-1.3</v>
      </c>
      <c r="M262" s="742">
        <f t="shared" si="149"/>
        <v>0</v>
      </c>
      <c r="N262" s="682"/>
      <c r="O262" s="682"/>
      <c r="P262" s="682"/>
    </row>
    <row r="263" spans="1:16" ht="13" hidden="1" x14ac:dyDescent="0.3">
      <c r="A263" s="1462"/>
      <c r="B263" s="741">
        <v>3</v>
      </c>
      <c r="C263" s="742">
        <f>C30</f>
        <v>30</v>
      </c>
      <c r="D263" s="742">
        <f t="shared" ref="D263:F263" si="150">D30</f>
        <v>-0.3</v>
      </c>
      <c r="E263" s="742">
        <f t="shared" si="150"/>
        <v>-0.3</v>
      </c>
      <c r="F263" s="742">
        <f t="shared" si="150"/>
        <v>0</v>
      </c>
      <c r="G263" s="682"/>
      <c r="H263" s="1463"/>
      <c r="I263" s="741">
        <v>3</v>
      </c>
      <c r="J263" s="742">
        <f>I30</f>
        <v>60</v>
      </c>
      <c r="K263" s="742">
        <f t="shared" ref="K263:M263" si="151">J30</f>
        <v>-4.3</v>
      </c>
      <c r="L263" s="742">
        <f t="shared" si="151"/>
        <v>-2.2000000000000002</v>
      </c>
      <c r="M263" s="742">
        <f t="shared" si="151"/>
        <v>1.0499999999999998</v>
      </c>
      <c r="N263" s="682"/>
      <c r="O263" s="682"/>
      <c r="P263" s="682"/>
    </row>
    <row r="264" spans="1:16" ht="13" hidden="1" x14ac:dyDescent="0.3">
      <c r="A264" s="1462"/>
      <c r="B264" s="741">
        <v>4</v>
      </c>
      <c r="C264" s="742">
        <f>C41</f>
        <v>30</v>
      </c>
      <c r="D264" s="742">
        <f t="shared" ref="D264:F264" si="152">D41</f>
        <v>-0.6</v>
      </c>
      <c r="E264" s="742">
        <f t="shared" si="152"/>
        <v>-1</v>
      </c>
      <c r="F264" s="742">
        <f t="shared" si="152"/>
        <v>0.2</v>
      </c>
      <c r="G264" s="682"/>
      <c r="H264" s="1463"/>
      <c r="I264" s="741">
        <v>4</v>
      </c>
      <c r="J264" s="742">
        <f>I41</f>
        <v>60</v>
      </c>
      <c r="K264" s="742">
        <f t="shared" ref="K264:M264" si="153">J41</f>
        <v>-0.3</v>
      </c>
      <c r="L264" s="742">
        <f t="shared" si="153"/>
        <v>-0.9</v>
      </c>
      <c r="M264" s="742">
        <f t="shared" si="153"/>
        <v>0.30000000000000004</v>
      </c>
      <c r="N264" s="682"/>
      <c r="O264" s="682"/>
      <c r="P264" s="682"/>
    </row>
    <row r="265" spans="1:16" ht="13" hidden="1" x14ac:dyDescent="0.3">
      <c r="A265" s="1462"/>
      <c r="B265" s="741">
        <v>5</v>
      </c>
      <c r="C265" s="742">
        <f>C52</f>
        <v>30</v>
      </c>
      <c r="D265" s="742">
        <f t="shared" ref="D265:F265" si="154">D52</f>
        <v>0.6</v>
      </c>
      <c r="E265" s="742">
        <f t="shared" si="154"/>
        <v>0.1</v>
      </c>
      <c r="F265" s="742">
        <f t="shared" si="154"/>
        <v>0.25</v>
      </c>
      <c r="G265" s="682"/>
      <c r="H265" s="1463"/>
      <c r="I265" s="741">
        <v>5</v>
      </c>
      <c r="J265" s="742">
        <f>I52</f>
        <v>60</v>
      </c>
      <c r="K265" s="742">
        <f t="shared" ref="K265:M265" si="155">J52</f>
        <v>-5.2</v>
      </c>
      <c r="L265" s="742">
        <f t="shared" si="155"/>
        <v>-4.2</v>
      </c>
      <c r="M265" s="742">
        <f t="shared" si="155"/>
        <v>0.5</v>
      </c>
      <c r="N265" s="682"/>
      <c r="O265" s="682"/>
      <c r="P265" s="682"/>
    </row>
    <row r="266" spans="1:16" ht="13" hidden="1" x14ac:dyDescent="0.3">
      <c r="A266" s="1462"/>
      <c r="B266" s="741">
        <v>6</v>
      </c>
      <c r="C266" s="742">
        <f>C63</f>
        <v>30</v>
      </c>
      <c r="D266" s="742">
        <f t="shared" ref="D266:F266" si="156">D63</f>
        <v>0.1</v>
      </c>
      <c r="E266" s="742">
        <f t="shared" si="156"/>
        <v>-0.5</v>
      </c>
      <c r="F266" s="742">
        <f t="shared" si="156"/>
        <v>0.3</v>
      </c>
      <c r="G266" s="682"/>
      <c r="H266" s="1463"/>
      <c r="I266" s="741">
        <v>6</v>
      </c>
      <c r="J266" s="742">
        <f>I63</f>
        <v>60</v>
      </c>
      <c r="K266" s="742">
        <f t="shared" ref="K266:M266" si="157">J63</f>
        <v>-6.4</v>
      </c>
      <c r="L266" s="742">
        <f t="shared" si="157"/>
        <v>-2</v>
      </c>
      <c r="M266" s="742">
        <f t="shared" si="157"/>
        <v>2.2000000000000002</v>
      </c>
      <c r="N266" s="682"/>
      <c r="O266" s="682"/>
      <c r="P266" s="682"/>
    </row>
    <row r="267" spans="1:16" ht="13" hidden="1" x14ac:dyDescent="0.3">
      <c r="A267" s="1462"/>
      <c r="B267" s="741">
        <v>7</v>
      </c>
      <c r="C267" s="742">
        <f>C74</f>
        <v>30</v>
      </c>
      <c r="D267" s="742">
        <f t="shared" ref="D267:F267" si="158">D74</f>
        <v>-0.6</v>
      </c>
      <c r="E267" s="742">
        <f t="shared" si="158"/>
        <v>-0.1</v>
      </c>
      <c r="F267" s="742">
        <f t="shared" si="158"/>
        <v>0.25</v>
      </c>
      <c r="G267" s="682"/>
      <c r="H267" s="1463"/>
      <c r="I267" s="741">
        <v>7</v>
      </c>
      <c r="J267" s="742">
        <f>I74</f>
        <v>60</v>
      </c>
      <c r="K267" s="742">
        <f t="shared" ref="K267:M267" si="159">J74</f>
        <v>0.7</v>
      </c>
      <c r="L267" s="742">
        <f t="shared" si="159"/>
        <v>1.5</v>
      </c>
      <c r="M267" s="742">
        <f t="shared" si="159"/>
        <v>0.4</v>
      </c>
      <c r="N267" s="682"/>
      <c r="O267" s="682"/>
      <c r="P267" s="682"/>
    </row>
    <row r="268" spans="1:16" ht="13" hidden="1" x14ac:dyDescent="0.3">
      <c r="A268" s="1462"/>
      <c r="B268" s="741">
        <v>8</v>
      </c>
      <c r="C268" s="742">
        <f>C85</f>
        <v>30</v>
      </c>
      <c r="D268" s="742">
        <f t="shared" ref="D268:F268" si="160">D85</f>
        <v>-0.4</v>
      </c>
      <c r="E268" s="742">
        <f t="shared" si="160"/>
        <v>-0.2</v>
      </c>
      <c r="F268" s="742">
        <f t="shared" si="160"/>
        <v>0.1</v>
      </c>
      <c r="G268" s="682"/>
      <c r="H268" s="1463"/>
      <c r="I268" s="741">
        <v>8</v>
      </c>
      <c r="J268" s="742">
        <f>I85</f>
        <v>60</v>
      </c>
      <c r="K268" s="742">
        <f t="shared" ref="K268:M268" si="161">J85</f>
        <v>-1.1000000000000001</v>
      </c>
      <c r="L268" s="742">
        <f t="shared" si="161"/>
        <v>1.7</v>
      </c>
      <c r="M268" s="742">
        <f t="shared" si="161"/>
        <v>1.4</v>
      </c>
      <c r="N268" s="682"/>
      <c r="O268" s="682"/>
      <c r="P268" s="682"/>
    </row>
    <row r="269" spans="1:16" ht="13" hidden="1" x14ac:dyDescent="0.3">
      <c r="A269" s="1462"/>
      <c r="B269" s="741">
        <v>9</v>
      </c>
      <c r="C269" s="742">
        <f>C96</f>
        <v>30</v>
      </c>
      <c r="D269" s="742">
        <f t="shared" ref="D269:F269" si="162">D96</f>
        <v>-0.5</v>
      </c>
      <c r="E269" s="742" t="str">
        <f t="shared" si="162"/>
        <v>-</v>
      </c>
      <c r="F269" s="742">
        <f t="shared" si="162"/>
        <v>0</v>
      </c>
      <c r="G269" s="682"/>
      <c r="H269" s="1463"/>
      <c r="I269" s="741">
        <v>9</v>
      </c>
      <c r="J269" s="742">
        <f>I96</f>
        <v>60</v>
      </c>
      <c r="K269" s="742">
        <f t="shared" ref="K269:M269" si="163">J96</f>
        <v>-0.8</v>
      </c>
      <c r="L269" s="742" t="str">
        <f t="shared" si="163"/>
        <v>-</v>
      </c>
      <c r="M269" s="742">
        <f t="shared" si="163"/>
        <v>0</v>
      </c>
      <c r="N269" s="682"/>
      <c r="O269" s="682"/>
      <c r="P269" s="682"/>
    </row>
    <row r="270" spans="1:16" ht="13" hidden="1" x14ac:dyDescent="0.3">
      <c r="A270" s="1462"/>
      <c r="B270" s="741">
        <v>10</v>
      </c>
      <c r="C270" s="742">
        <f>C107</f>
        <v>30</v>
      </c>
      <c r="D270" s="742">
        <f t="shared" ref="D270:F270" si="164">D107</f>
        <v>0.1</v>
      </c>
      <c r="E270" s="742">
        <f t="shared" si="164"/>
        <v>0.2</v>
      </c>
      <c r="F270" s="742">
        <f t="shared" si="164"/>
        <v>0.05</v>
      </c>
      <c r="G270" s="682"/>
      <c r="H270" s="1463"/>
      <c r="I270" s="741">
        <v>10</v>
      </c>
      <c r="J270" s="742">
        <f>I107</f>
        <v>60</v>
      </c>
      <c r="K270" s="742">
        <f t="shared" ref="K270:M270" si="165">J107</f>
        <v>-2.1</v>
      </c>
      <c r="L270" s="742">
        <f t="shared" si="165"/>
        <v>-5.6</v>
      </c>
      <c r="M270" s="742">
        <f t="shared" si="165"/>
        <v>1.7499999999999998</v>
      </c>
      <c r="N270" s="682"/>
      <c r="O270" s="682"/>
      <c r="P270" s="682"/>
    </row>
    <row r="271" spans="1:16" ht="13" hidden="1" x14ac:dyDescent="0.3">
      <c r="A271" s="1462"/>
      <c r="B271" s="741">
        <v>11</v>
      </c>
      <c r="C271" s="742">
        <f>C118</f>
        <v>30</v>
      </c>
      <c r="D271" s="742">
        <f t="shared" ref="D271:F271" si="166">D118</f>
        <v>0.5</v>
      </c>
      <c r="E271" s="742" t="str">
        <f t="shared" si="166"/>
        <v>-</v>
      </c>
      <c r="F271" s="742">
        <f t="shared" si="166"/>
        <v>0</v>
      </c>
      <c r="G271" s="682"/>
      <c r="H271" s="1463"/>
      <c r="I271" s="741">
        <v>11</v>
      </c>
      <c r="J271" s="742">
        <f>I118</f>
        <v>60</v>
      </c>
      <c r="K271" s="742">
        <f t="shared" ref="K271:M271" si="167">J118</f>
        <v>-4.8</v>
      </c>
      <c r="L271" s="742" t="str">
        <f t="shared" si="167"/>
        <v>-</v>
      </c>
      <c r="M271" s="742">
        <f t="shared" si="167"/>
        <v>0</v>
      </c>
      <c r="N271" s="682"/>
      <c r="O271" s="682"/>
      <c r="P271" s="682"/>
    </row>
    <row r="272" spans="1:16" ht="13" hidden="1" x14ac:dyDescent="0.3">
      <c r="A272" s="1462"/>
      <c r="B272" s="741">
        <v>12</v>
      </c>
      <c r="C272" s="742">
        <f>C129</f>
        <v>30</v>
      </c>
      <c r="D272" s="742">
        <f t="shared" ref="D272:F272" si="168">D129</f>
        <v>0.4</v>
      </c>
      <c r="E272" s="742">
        <f t="shared" si="168"/>
        <v>-0.2</v>
      </c>
      <c r="F272" s="742">
        <f t="shared" si="168"/>
        <v>0.30000000000000004</v>
      </c>
      <c r="G272" s="682"/>
      <c r="H272" s="1463"/>
      <c r="I272" s="741">
        <v>12</v>
      </c>
      <c r="J272" s="742">
        <f>I129</f>
        <v>60</v>
      </c>
      <c r="K272" s="742">
        <f t="shared" ref="K272:M272" si="169">J129</f>
        <v>-1.1000000000000001</v>
      </c>
      <c r="L272" s="742">
        <f t="shared" si="169"/>
        <v>-0.5</v>
      </c>
      <c r="M272" s="742">
        <f t="shared" si="169"/>
        <v>0.30000000000000004</v>
      </c>
      <c r="N272" s="682"/>
      <c r="O272" s="682"/>
      <c r="P272" s="682"/>
    </row>
    <row r="273" spans="1:16" ht="13" hidden="1" x14ac:dyDescent="0.3">
      <c r="A273" s="1462"/>
      <c r="B273" s="741">
        <v>13</v>
      </c>
      <c r="C273" s="742">
        <f>C140</f>
        <v>30</v>
      </c>
      <c r="D273" s="742">
        <f t="shared" ref="D273:F273" si="170">D140</f>
        <v>-0.4</v>
      </c>
      <c r="E273" s="742">
        <f t="shared" si="170"/>
        <v>-0.3</v>
      </c>
      <c r="F273" s="742">
        <f t="shared" si="170"/>
        <v>5.0000000000000017E-2</v>
      </c>
      <c r="G273" s="682"/>
      <c r="H273" s="1463"/>
      <c r="I273" s="741">
        <v>13</v>
      </c>
      <c r="J273" s="742">
        <f>I140</f>
        <v>60</v>
      </c>
      <c r="K273" s="742">
        <f t="shared" ref="K273:M273" si="171">J140</f>
        <v>0.3</v>
      </c>
      <c r="L273" s="742">
        <f t="shared" si="171"/>
        <v>-0.6</v>
      </c>
      <c r="M273" s="742">
        <f t="shared" si="171"/>
        <v>0.44999999999999996</v>
      </c>
      <c r="N273" s="682"/>
      <c r="O273" s="682"/>
      <c r="P273" s="682"/>
    </row>
    <row r="274" spans="1:16" ht="13" hidden="1" x14ac:dyDescent="0.3">
      <c r="A274" s="1462"/>
      <c r="B274" s="741">
        <v>14</v>
      </c>
      <c r="C274" s="742">
        <f>C151</f>
        <v>30</v>
      </c>
      <c r="D274" s="742">
        <f t="shared" ref="D274:F274" si="172">D151</f>
        <v>-0.1</v>
      </c>
      <c r="E274" s="742">
        <f t="shared" si="172"/>
        <v>0.1</v>
      </c>
      <c r="F274" s="742">
        <f t="shared" si="172"/>
        <v>0.1</v>
      </c>
      <c r="G274" s="682"/>
      <c r="H274" s="1463"/>
      <c r="I274" s="741">
        <v>14</v>
      </c>
      <c r="J274" s="742">
        <f>I151</f>
        <v>60</v>
      </c>
      <c r="K274" s="742">
        <f t="shared" ref="K274:M274" si="173">J151</f>
        <v>-1.6</v>
      </c>
      <c r="L274" s="742">
        <f t="shared" si="173"/>
        <v>-1.5</v>
      </c>
      <c r="M274" s="742">
        <f t="shared" si="173"/>
        <v>5.0000000000000044E-2</v>
      </c>
      <c r="N274" s="682"/>
      <c r="O274" s="682"/>
      <c r="P274" s="682"/>
    </row>
    <row r="275" spans="1:16" ht="13" hidden="1" x14ac:dyDescent="0.3">
      <c r="A275" s="1462"/>
      <c r="B275" s="741">
        <v>15</v>
      </c>
      <c r="C275" s="742">
        <f>C162</f>
        <v>30</v>
      </c>
      <c r="D275" s="742">
        <f t="shared" ref="D275:F275" si="174">D162</f>
        <v>-0.2</v>
      </c>
      <c r="E275" s="742" t="str">
        <f t="shared" si="174"/>
        <v>-</v>
      </c>
      <c r="F275" s="742">
        <f t="shared" si="174"/>
        <v>0</v>
      </c>
      <c r="G275" s="682"/>
      <c r="H275" s="1463"/>
      <c r="I275" s="741">
        <v>15</v>
      </c>
      <c r="J275" s="742">
        <f>I162</f>
        <v>60</v>
      </c>
      <c r="K275" s="742">
        <f t="shared" ref="K275:M275" si="175">J162</f>
        <v>0</v>
      </c>
      <c r="L275" s="742" t="str">
        <f t="shared" si="175"/>
        <v>-</v>
      </c>
      <c r="M275" s="742">
        <f t="shared" si="175"/>
        <v>0</v>
      </c>
      <c r="N275" s="682"/>
      <c r="O275" s="682"/>
      <c r="P275" s="682"/>
    </row>
    <row r="276" spans="1:16" ht="13" hidden="1" x14ac:dyDescent="0.3">
      <c r="A276" s="1462"/>
      <c r="B276" s="741">
        <v>16</v>
      </c>
      <c r="C276" s="742">
        <f>C173</f>
        <v>30</v>
      </c>
      <c r="D276" s="742">
        <f t="shared" ref="D276:F276" si="176">D173</f>
        <v>0.2</v>
      </c>
      <c r="E276" s="742" t="str">
        <f t="shared" si="176"/>
        <v>-</v>
      </c>
      <c r="F276" s="742">
        <f t="shared" si="176"/>
        <v>0</v>
      </c>
      <c r="G276" s="682"/>
      <c r="H276" s="1463"/>
      <c r="I276" s="741">
        <v>16</v>
      </c>
      <c r="J276" s="742">
        <f>I173</f>
        <v>60</v>
      </c>
      <c r="K276" s="742">
        <f t="shared" ref="K276:M276" si="177">J173</f>
        <v>-1.5</v>
      </c>
      <c r="L276" s="742" t="str">
        <f t="shared" si="177"/>
        <v>-</v>
      </c>
      <c r="M276" s="742">
        <f t="shared" si="177"/>
        <v>0</v>
      </c>
      <c r="N276" s="682"/>
      <c r="O276" s="682"/>
      <c r="P276" s="682"/>
    </row>
    <row r="277" spans="1:16" ht="13" hidden="1" x14ac:dyDescent="0.3">
      <c r="A277" s="1462"/>
      <c r="B277" s="741">
        <v>17</v>
      </c>
      <c r="C277" s="742">
        <f>C184</f>
        <v>30</v>
      </c>
      <c r="D277" s="742">
        <f t="shared" ref="D277:F277" si="178">D184</f>
        <v>-0.2</v>
      </c>
      <c r="E277" s="742" t="str">
        <f t="shared" si="178"/>
        <v>-</v>
      </c>
      <c r="F277" s="742">
        <f t="shared" si="178"/>
        <v>0</v>
      </c>
      <c r="G277" s="682"/>
      <c r="H277" s="1463"/>
      <c r="I277" s="741">
        <v>17</v>
      </c>
      <c r="J277" s="742">
        <f>I184</f>
        <v>60</v>
      </c>
      <c r="K277" s="742">
        <f t="shared" ref="K277:M277" si="179">J184</f>
        <v>-0.2</v>
      </c>
      <c r="L277" s="742" t="str">
        <f t="shared" si="179"/>
        <v>-</v>
      </c>
      <c r="M277" s="742">
        <f t="shared" si="179"/>
        <v>0</v>
      </c>
      <c r="N277" s="682"/>
      <c r="O277" s="682"/>
      <c r="P277" s="682"/>
    </row>
    <row r="278" spans="1:16" ht="13" hidden="1" x14ac:dyDescent="0.3">
      <c r="A278" s="1462"/>
      <c r="B278" s="741">
        <v>18</v>
      </c>
      <c r="C278" s="742">
        <f>C195</f>
        <v>30</v>
      </c>
      <c r="D278" s="742">
        <f t="shared" ref="D278:F278" si="180">D195</f>
        <v>-0.1</v>
      </c>
      <c r="E278" s="742" t="str">
        <f t="shared" si="180"/>
        <v>-</v>
      </c>
      <c r="F278" s="742">
        <f t="shared" si="180"/>
        <v>0</v>
      </c>
      <c r="G278" s="682"/>
      <c r="H278" s="1463"/>
      <c r="I278" s="741">
        <v>18</v>
      </c>
      <c r="J278" s="742">
        <f>I195</f>
        <v>60</v>
      </c>
      <c r="K278" s="742">
        <f t="shared" ref="K278:M278" si="181">J195</f>
        <v>0</v>
      </c>
      <c r="L278" s="742" t="str">
        <f t="shared" si="181"/>
        <v>-</v>
      </c>
      <c r="M278" s="742">
        <f t="shared" si="181"/>
        <v>0</v>
      </c>
      <c r="N278" s="682"/>
      <c r="O278" s="682"/>
      <c r="P278" s="682"/>
    </row>
    <row r="279" spans="1:16" ht="13" hidden="1" x14ac:dyDescent="0.3">
      <c r="A279" s="750"/>
      <c r="B279" s="751"/>
      <c r="C279" s="761"/>
      <c r="D279" s="761"/>
      <c r="E279" s="761"/>
      <c r="F279" s="762"/>
      <c r="G279" s="754"/>
      <c r="H279" s="750"/>
      <c r="I279" s="763"/>
      <c r="J279" s="761"/>
      <c r="K279" s="761"/>
      <c r="L279" s="761"/>
      <c r="M279" s="762"/>
      <c r="N279" s="682"/>
      <c r="O279" s="682"/>
      <c r="P279" s="682"/>
    </row>
    <row r="280" spans="1:16" ht="13" hidden="1" x14ac:dyDescent="0.3">
      <c r="A280" s="1462" t="s">
        <v>152</v>
      </c>
      <c r="B280" s="741">
        <v>1</v>
      </c>
      <c r="C280" s="742">
        <f>C9</f>
        <v>35</v>
      </c>
      <c r="D280" s="742">
        <f t="shared" ref="D280:F280" si="182">D9</f>
        <v>-0.1</v>
      </c>
      <c r="E280" s="742">
        <f t="shared" si="182"/>
        <v>-0.5</v>
      </c>
      <c r="F280" s="742">
        <f t="shared" si="182"/>
        <v>0.2</v>
      </c>
      <c r="G280" s="682"/>
      <c r="H280" s="1463" t="s">
        <v>152</v>
      </c>
      <c r="I280" s="741">
        <v>1</v>
      </c>
      <c r="J280" s="742">
        <f>I20</f>
        <v>70</v>
      </c>
      <c r="K280" s="742">
        <f t="shared" ref="K280:M280" si="183">J20</f>
        <v>-1.1000000000000001</v>
      </c>
      <c r="L280" s="742">
        <f t="shared" si="183"/>
        <v>-1</v>
      </c>
      <c r="M280" s="742">
        <f t="shared" si="183"/>
        <v>5.0000000000000044E-2</v>
      </c>
      <c r="N280" s="682"/>
      <c r="O280" s="682"/>
      <c r="P280" s="682"/>
    </row>
    <row r="281" spans="1:16" ht="13" hidden="1" x14ac:dyDescent="0.3">
      <c r="A281" s="1462"/>
      <c r="B281" s="741">
        <v>2</v>
      </c>
      <c r="C281" s="742">
        <f>C20</f>
        <v>35</v>
      </c>
      <c r="D281" s="742">
        <f t="shared" ref="D281:F281" si="184">D20</f>
        <v>-0.3</v>
      </c>
      <c r="E281" s="742">
        <f t="shared" si="184"/>
        <v>-1.6</v>
      </c>
      <c r="F281" s="742">
        <f t="shared" si="184"/>
        <v>0.65</v>
      </c>
      <c r="G281" s="682"/>
      <c r="H281" s="1463"/>
      <c r="I281" s="741">
        <v>2</v>
      </c>
      <c r="J281" s="742">
        <f>I20</f>
        <v>70</v>
      </c>
      <c r="K281" s="742">
        <f t="shared" ref="K281:M281" si="185">J20</f>
        <v>-1.1000000000000001</v>
      </c>
      <c r="L281" s="742">
        <f t="shared" si="185"/>
        <v>-1</v>
      </c>
      <c r="M281" s="742">
        <f t="shared" si="185"/>
        <v>5.0000000000000044E-2</v>
      </c>
      <c r="N281" s="682"/>
      <c r="O281" s="682"/>
      <c r="P281" s="682"/>
    </row>
    <row r="282" spans="1:16" ht="13" hidden="1" x14ac:dyDescent="0.3">
      <c r="A282" s="1462"/>
      <c r="B282" s="741">
        <v>3</v>
      </c>
      <c r="C282" s="742">
        <f>C31</f>
        <v>35</v>
      </c>
      <c r="D282" s="742">
        <f t="shared" ref="D282:F282" si="186">D31</f>
        <v>-0.5</v>
      </c>
      <c r="E282" s="742">
        <f t="shared" si="186"/>
        <v>-0.4</v>
      </c>
      <c r="F282" s="742">
        <f t="shared" si="186"/>
        <v>4.9999999999999989E-2</v>
      </c>
      <c r="G282" s="682"/>
      <c r="H282" s="1463"/>
      <c r="I282" s="741">
        <v>3</v>
      </c>
      <c r="J282" s="742">
        <f>I31</f>
        <v>70</v>
      </c>
      <c r="K282" s="742">
        <f t="shared" ref="K282:M282" si="187">J31</f>
        <v>-3.6</v>
      </c>
      <c r="L282" s="742">
        <f t="shared" si="187"/>
        <v>-1.6</v>
      </c>
      <c r="M282" s="742">
        <f t="shared" si="187"/>
        <v>1</v>
      </c>
      <c r="N282" s="682"/>
      <c r="O282" s="682"/>
      <c r="P282" s="682"/>
    </row>
    <row r="283" spans="1:16" ht="13" hidden="1" x14ac:dyDescent="0.3">
      <c r="A283" s="1462"/>
      <c r="B283" s="741">
        <v>4</v>
      </c>
      <c r="C283" s="742">
        <f>C42</f>
        <v>35</v>
      </c>
      <c r="D283" s="742">
        <f t="shared" ref="D283:F283" si="188">D42</f>
        <v>-0.6</v>
      </c>
      <c r="E283" s="742">
        <f t="shared" si="188"/>
        <v>-1.5</v>
      </c>
      <c r="F283" s="742">
        <f t="shared" si="188"/>
        <v>0.45</v>
      </c>
      <c r="G283" s="682"/>
      <c r="H283" s="1463"/>
      <c r="I283" s="741">
        <v>4</v>
      </c>
      <c r="J283" s="742">
        <f>I42</f>
        <v>70</v>
      </c>
      <c r="K283" s="742">
        <f t="shared" ref="K283:M283" si="189">J42</f>
        <v>0.7</v>
      </c>
      <c r="L283" s="742">
        <f t="shared" si="189"/>
        <v>-0.7</v>
      </c>
      <c r="M283" s="742">
        <f t="shared" si="189"/>
        <v>0.7</v>
      </c>
      <c r="N283" s="682"/>
      <c r="O283" s="682"/>
      <c r="P283" s="682"/>
    </row>
    <row r="284" spans="1:16" ht="13" hidden="1" x14ac:dyDescent="0.3">
      <c r="A284" s="1462"/>
      <c r="B284" s="741">
        <v>5</v>
      </c>
      <c r="C284" s="742">
        <f>C53</f>
        <v>35</v>
      </c>
      <c r="D284" s="742">
        <f t="shared" ref="D284:F284" si="190">D53</f>
        <v>0.7</v>
      </c>
      <c r="E284" s="742">
        <f t="shared" si="190"/>
        <v>0</v>
      </c>
      <c r="F284" s="742">
        <f t="shared" si="190"/>
        <v>0.35</v>
      </c>
      <c r="G284" s="682"/>
      <c r="H284" s="1463"/>
      <c r="I284" s="741">
        <v>5</v>
      </c>
      <c r="J284" s="742">
        <f>I53</f>
        <v>70</v>
      </c>
      <c r="K284" s="742">
        <f t="shared" ref="K284:M284" si="191">J53</f>
        <v>-4.0999999999999996</v>
      </c>
      <c r="L284" s="742">
        <f t="shared" si="191"/>
        <v>-2.1</v>
      </c>
      <c r="M284" s="742">
        <f t="shared" si="191"/>
        <v>0.99999999999999978</v>
      </c>
      <c r="N284" s="682"/>
      <c r="O284" s="682"/>
      <c r="P284" s="682"/>
    </row>
    <row r="285" spans="1:16" ht="13" hidden="1" x14ac:dyDescent="0.3">
      <c r="A285" s="1462"/>
      <c r="B285" s="741">
        <v>6</v>
      </c>
      <c r="C285" s="742">
        <f>C64</f>
        <v>35</v>
      </c>
      <c r="D285" s="742">
        <f t="shared" ref="D285:F285" si="192">D64</f>
        <v>0.1</v>
      </c>
      <c r="E285" s="742">
        <f t="shared" si="192"/>
        <v>-0.9</v>
      </c>
      <c r="F285" s="742">
        <f t="shared" si="192"/>
        <v>0.5</v>
      </c>
      <c r="G285" s="682"/>
      <c r="H285" s="1463"/>
      <c r="I285" s="741">
        <v>6</v>
      </c>
      <c r="J285" s="742">
        <f>I64</f>
        <v>70</v>
      </c>
      <c r="K285" s="742">
        <f t="shared" ref="K285:M285" si="193">J64</f>
        <v>-6.7</v>
      </c>
      <c r="L285" s="742">
        <f t="shared" si="193"/>
        <v>-2.1</v>
      </c>
      <c r="M285" s="742">
        <f t="shared" si="193"/>
        <v>2.2999999999999998</v>
      </c>
      <c r="N285" s="682"/>
      <c r="O285" s="682"/>
      <c r="P285" s="682"/>
    </row>
    <row r="286" spans="1:16" ht="13" hidden="1" x14ac:dyDescent="0.3">
      <c r="A286" s="1462"/>
      <c r="B286" s="741">
        <v>7</v>
      </c>
      <c r="C286" s="742">
        <f>C75</f>
        <v>35</v>
      </c>
      <c r="D286" s="742">
        <f t="shared" ref="D286:F286" si="194">D75</f>
        <v>-1.1000000000000001</v>
      </c>
      <c r="E286" s="742">
        <f t="shared" si="194"/>
        <v>-0.1</v>
      </c>
      <c r="F286" s="742">
        <f t="shared" si="194"/>
        <v>0.5</v>
      </c>
      <c r="G286" s="682"/>
      <c r="H286" s="1463"/>
      <c r="I286" s="741">
        <v>7</v>
      </c>
      <c r="J286" s="742">
        <f>I75</f>
        <v>70</v>
      </c>
      <c r="K286" s="742">
        <f t="shared" ref="K286:M286" si="195">J75</f>
        <v>0.9</v>
      </c>
      <c r="L286" s="742">
        <f t="shared" si="195"/>
        <v>2.8</v>
      </c>
      <c r="M286" s="742">
        <f t="shared" si="195"/>
        <v>0.95</v>
      </c>
      <c r="N286" s="682"/>
      <c r="O286" s="682"/>
      <c r="P286" s="682"/>
    </row>
    <row r="287" spans="1:16" ht="13" hidden="1" x14ac:dyDescent="0.3">
      <c r="A287" s="1462"/>
      <c r="B287" s="741">
        <v>8</v>
      </c>
      <c r="C287" s="742">
        <f>C86</f>
        <v>35</v>
      </c>
      <c r="D287" s="742">
        <f t="shared" ref="D287:F287" si="196">D86</f>
        <v>-0.5</v>
      </c>
      <c r="E287" s="742">
        <f t="shared" si="196"/>
        <v>-0.3</v>
      </c>
      <c r="F287" s="742">
        <f t="shared" si="196"/>
        <v>0.1</v>
      </c>
      <c r="G287" s="682"/>
      <c r="H287" s="1463"/>
      <c r="I287" s="741">
        <v>8</v>
      </c>
      <c r="J287" s="742">
        <f>I86</f>
        <v>70</v>
      </c>
      <c r="K287" s="742">
        <f t="shared" ref="K287:M287" si="197">J86</f>
        <v>-1.2</v>
      </c>
      <c r="L287" s="742">
        <f t="shared" si="197"/>
        <v>2.1</v>
      </c>
      <c r="M287" s="742">
        <f t="shared" si="197"/>
        <v>1.65</v>
      </c>
      <c r="N287" s="682"/>
      <c r="O287" s="682"/>
      <c r="P287" s="682"/>
    </row>
    <row r="288" spans="1:16" ht="13" hidden="1" x14ac:dyDescent="0.3">
      <c r="A288" s="1462"/>
      <c r="B288" s="741">
        <v>9</v>
      </c>
      <c r="C288" s="742">
        <f>C97</f>
        <v>35</v>
      </c>
      <c r="D288" s="742">
        <f t="shared" ref="D288:F288" si="198">D97</f>
        <v>-0.5</v>
      </c>
      <c r="E288" s="742" t="str">
        <f t="shared" si="198"/>
        <v>-</v>
      </c>
      <c r="F288" s="742">
        <f t="shared" si="198"/>
        <v>0</v>
      </c>
      <c r="G288" s="682"/>
      <c r="H288" s="1463"/>
      <c r="I288" s="741">
        <v>9</v>
      </c>
      <c r="J288" s="742">
        <f>I97</f>
        <v>70</v>
      </c>
      <c r="K288" s="742">
        <f t="shared" ref="K288:M288" si="199">J97</f>
        <v>-0.6</v>
      </c>
      <c r="L288" s="742" t="str">
        <f t="shared" si="199"/>
        <v>-</v>
      </c>
      <c r="M288" s="742">
        <f t="shared" si="199"/>
        <v>0</v>
      </c>
      <c r="N288" s="682"/>
      <c r="O288" s="682"/>
      <c r="P288" s="682"/>
    </row>
    <row r="289" spans="1:16" ht="13" hidden="1" x14ac:dyDescent="0.3">
      <c r="A289" s="1462"/>
      <c r="B289" s="741">
        <v>10</v>
      </c>
      <c r="C289" s="742">
        <f>C108</f>
        <v>35</v>
      </c>
      <c r="D289" s="742">
        <f t="shared" ref="D289:F289" si="200">D108</f>
        <v>0.2</v>
      </c>
      <c r="E289" s="742">
        <f t="shared" si="200"/>
        <v>0.8</v>
      </c>
      <c r="F289" s="742">
        <f t="shared" si="200"/>
        <v>0.30000000000000004</v>
      </c>
      <c r="G289" s="682"/>
      <c r="H289" s="1463"/>
      <c r="I289" s="741">
        <v>10</v>
      </c>
      <c r="J289" s="742">
        <f>I108</f>
        <v>70</v>
      </c>
      <c r="K289" s="742">
        <f t="shared" ref="K289:M289" si="201">J108</f>
        <v>-0.3</v>
      </c>
      <c r="L289" s="742">
        <f t="shared" si="201"/>
        <v>-5.0999999999999996</v>
      </c>
      <c r="M289" s="742">
        <f t="shared" si="201"/>
        <v>2.4</v>
      </c>
      <c r="N289" s="682"/>
      <c r="O289" s="682"/>
      <c r="P289" s="682"/>
    </row>
    <row r="290" spans="1:16" ht="13" hidden="1" x14ac:dyDescent="0.3">
      <c r="A290" s="1462"/>
      <c r="B290" s="741">
        <v>11</v>
      </c>
      <c r="C290" s="742">
        <f>C119</f>
        <v>35</v>
      </c>
      <c r="D290" s="742">
        <f t="shared" ref="D290:F290" si="202">D119</f>
        <v>0.5</v>
      </c>
      <c r="E290" s="742" t="str">
        <f t="shared" si="202"/>
        <v>-</v>
      </c>
      <c r="F290" s="742">
        <f t="shared" si="202"/>
        <v>0</v>
      </c>
      <c r="G290" s="682"/>
      <c r="H290" s="1463"/>
      <c r="I290" s="741">
        <v>11</v>
      </c>
      <c r="J290" s="742">
        <f>I119</f>
        <v>70</v>
      </c>
      <c r="K290" s="742">
        <f t="shared" ref="K290:M290" si="203">J119</f>
        <v>-3.4</v>
      </c>
      <c r="L290" s="742" t="str">
        <f t="shared" si="203"/>
        <v>-</v>
      </c>
      <c r="M290" s="742">
        <f t="shared" si="203"/>
        <v>0</v>
      </c>
      <c r="N290" s="682"/>
      <c r="O290" s="682"/>
      <c r="P290" s="682"/>
    </row>
    <row r="291" spans="1:16" ht="13" hidden="1" x14ac:dyDescent="0.3">
      <c r="A291" s="1462"/>
      <c r="B291" s="741">
        <v>12</v>
      </c>
      <c r="C291" s="742">
        <f>C130</f>
        <v>35</v>
      </c>
      <c r="D291" s="742">
        <f t="shared" ref="D291:F291" si="204">D130</f>
        <v>0.8</v>
      </c>
      <c r="E291" s="742">
        <f t="shared" si="204"/>
        <v>-0.1</v>
      </c>
      <c r="F291" s="742">
        <f t="shared" si="204"/>
        <v>0.45</v>
      </c>
      <c r="G291" s="682"/>
      <c r="H291" s="1463"/>
      <c r="I291" s="741">
        <v>12</v>
      </c>
      <c r="J291" s="742">
        <f>I130</f>
        <v>70</v>
      </c>
      <c r="K291" s="742">
        <f t="shared" ref="K291:M291" si="205">J130</f>
        <v>-0.7</v>
      </c>
      <c r="L291" s="742">
        <f t="shared" si="205"/>
        <v>-0.8</v>
      </c>
      <c r="M291" s="742">
        <f t="shared" si="205"/>
        <v>5.0000000000000044E-2</v>
      </c>
      <c r="N291" s="682"/>
      <c r="O291" s="682"/>
      <c r="P291" s="682"/>
    </row>
    <row r="292" spans="1:16" ht="13" hidden="1" x14ac:dyDescent="0.3">
      <c r="A292" s="1462"/>
      <c r="B292" s="741">
        <v>13</v>
      </c>
      <c r="C292" s="742">
        <f>C141</f>
        <v>35</v>
      </c>
      <c r="D292" s="742">
        <f t="shared" ref="D292:F292" si="206">D141</f>
        <v>-0.6</v>
      </c>
      <c r="E292" s="742">
        <f t="shared" si="206"/>
        <v>-0.6</v>
      </c>
      <c r="F292" s="742">
        <f t="shared" si="206"/>
        <v>0</v>
      </c>
      <c r="G292" s="682"/>
      <c r="H292" s="1463"/>
      <c r="I292" s="741">
        <v>13</v>
      </c>
      <c r="J292" s="742">
        <f>I141</f>
        <v>70</v>
      </c>
      <c r="K292" s="742">
        <f t="shared" ref="K292:M292" si="207">J141</f>
        <v>0.7</v>
      </c>
      <c r="L292" s="742">
        <f t="shared" si="207"/>
        <v>-0.8</v>
      </c>
      <c r="M292" s="742">
        <f t="shared" si="207"/>
        <v>0.75</v>
      </c>
      <c r="N292" s="682"/>
      <c r="O292" s="682"/>
      <c r="P292" s="682"/>
    </row>
    <row r="293" spans="1:16" ht="13" hidden="1" x14ac:dyDescent="0.3">
      <c r="A293" s="1462"/>
      <c r="B293" s="741">
        <v>14</v>
      </c>
      <c r="C293" s="742">
        <f>C152</f>
        <v>35</v>
      </c>
      <c r="D293" s="742">
        <f t="shared" ref="D293:F293" si="208">D152</f>
        <v>-0.2</v>
      </c>
      <c r="E293" s="742">
        <f t="shared" si="208"/>
        <v>0.3</v>
      </c>
      <c r="F293" s="742">
        <f t="shared" si="208"/>
        <v>0.25</v>
      </c>
      <c r="G293" s="682"/>
      <c r="H293" s="1463"/>
      <c r="I293" s="741">
        <v>14</v>
      </c>
      <c r="J293" s="742">
        <f>I152</f>
        <v>70</v>
      </c>
      <c r="K293" s="742">
        <f t="shared" ref="K293:M293" si="209">J152</f>
        <v>-1.4</v>
      </c>
      <c r="L293" s="742">
        <f t="shared" si="209"/>
        <v>-1.9</v>
      </c>
      <c r="M293" s="742">
        <f t="shared" si="209"/>
        <v>0.25</v>
      </c>
      <c r="N293" s="682"/>
      <c r="O293" s="682"/>
      <c r="P293" s="682"/>
    </row>
    <row r="294" spans="1:16" ht="13" hidden="1" x14ac:dyDescent="0.3">
      <c r="A294" s="1462"/>
      <c r="B294" s="741">
        <v>15</v>
      </c>
      <c r="C294" s="742">
        <f>C163</f>
        <v>35</v>
      </c>
      <c r="D294" s="742">
        <f t="shared" ref="D294:F294" si="210">D163</f>
        <v>-0.5</v>
      </c>
      <c r="E294" s="742" t="str">
        <f t="shared" si="210"/>
        <v>-</v>
      </c>
      <c r="F294" s="742">
        <f t="shared" si="210"/>
        <v>0</v>
      </c>
      <c r="G294" s="682"/>
      <c r="H294" s="1463"/>
      <c r="I294" s="741">
        <v>15</v>
      </c>
      <c r="J294" s="742">
        <f>I163</f>
        <v>70</v>
      </c>
      <c r="K294" s="742">
        <f t="shared" ref="K294:M294" si="211">J163</f>
        <v>-0.3</v>
      </c>
      <c r="L294" s="742" t="str">
        <f t="shared" si="211"/>
        <v>-</v>
      </c>
      <c r="M294" s="742">
        <f t="shared" si="211"/>
        <v>0</v>
      </c>
      <c r="N294" s="682"/>
      <c r="O294" s="682"/>
      <c r="P294" s="682"/>
    </row>
    <row r="295" spans="1:16" ht="13" hidden="1" x14ac:dyDescent="0.3">
      <c r="A295" s="1462"/>
      <c r="B295" s="741">
        <v>16</v>
      </c>
      <c r="C295" s="742">
        <f>C174</f>
        <v>35</v>
      </c>
      <c r="D295" s="742">
        <f t="shared" ref="D295:F295" si="212">D174</f>
        <v>0.1</v>
      </c>
      <c r="E295" s="742" t="str">
        <f t="shared" si="212"/>
        <v>-</v>
      </c>
      <c r="F295" s="742">
        <f t="shared" si="212"/>
        <v>0</v>
      </c>
      <c r="G295" s="682"/>
      <c r="H295" s="1463"/>
      <c r="I295" s="741">
        <v>16</v>
      </c>
      <c r="J295" s="742">
        <f>I174</f>
        <v>70</v>
      </c>
      <c r="K295" s="742">
        <f t="shared" ref="K295:M295" si="213">J174</f>
        <v>-1.8</v>
      </c>
      <c r="L295" s="742" t="str">
        <f t="shared" si="213"/>
        <v>-</v>
      </c>
      <c r="M295" s="742">
        <f t="shared" si="213"/>
        <v>0</v>
      </c>
      <c r="N295" s="682"/>
      <c r="O295" s="682"/>
      <c r="P295" s="682"/>
    </row>
    <row r="296" spans="1:16" ht="13" hidden="1" x14ac:dyDescent="0.3">
      <c r="A296" s="1462"/>
      <c r="B296" s="741">
        <v>17</v>
      </c>
      <c r="C296" s="742">
        <f>C185</f>
        <v>35</v>
      </c>
      <c r="D296" s="742">
        <f t="shared" ref="D296:F296" si="214">D185</f>
        <v>-0.3</v>
      </c>
      <c r="E296" s="742" t="str">
        <f t="shared" si="214"/>
        <v>-</v>
      </c>
      <c r="F296" s="742">
        <f t="shared" si="214"/>
        <v>0</v>
      </c>
      <c r="G296" s="682"/>
      <c r="H296" s="1463"/>
      <c r="I296" s="741">
        <v>17</v>
      </c>
      <c r="J296" s="742">
        <f>I185</f>
        <v>70</v>
      </c>
      <c r="K296" s="742">
        <f t="shared" ref="K296:M296" si="215">J185</f>
        <v>-0.3</v>
      </c>
      <c r="L296" s="742" t="str">
        <f t="shared" si="215"/>
        <v>-</v>
      </c>
      <c r="M296" s="742">
        <f t="shared" si="215"/>
        <v>0</v>
      </c>
      <c r="N296" s="682"/>
      <c r="O296" s="682"/>
      <c r="P296" s="682"/>
    </row>
    <row r="297" spans="1:16" ht="13" hidden="1" x14ac:dyDescent="0.3">
      <c r="A297" s="1462"/>
      <c r="B297" s="741">
        <v>18</v>
      </c>
      <c r="C297" s="742">
        <f>C196</f>
        <v>35</v>
      </c>
      <c r="D297" s="742">
        <f t="shared" ref="D297:F297" si="216">D196</f>
        <v>-0.2</v>
      </c>
      <c r="E297" s="742" t="str">
        <f t="shared" si="216"/>
        <v>-</v>
      </c>
      <c r="F297" s="742">
        <f t="shared" si="216"/>
        <v>0</v>
      </c>
      <c r="G297" s="682"/>
      <c r="H297" s="1463"/>
      <c r="I297" s="741">
        <v>18</v>
      </c>
      <c r="J297" s="742">
        <f>I196</f>
        <v>70</v>
      </c>
      <c r="K297" s="742">
        <f t="shared" ref="K297:M297" si="217">J196</f>
        <v>-0.1</v>
      </c>
      <c r="L297" s="742" t="str">
        <f t="shared" si="217"/>
        <v>-</v>
      </c>
      <c r="M297" s="742">
        <f t="shared" si="217"/>
        <v>0</v>
      </c>
      <c r="N297" s="682"/>
      <c r="O297" s="682"/>
      <c r="P297" s="682"/>
    </row>
    <row r="298" spans="1:16" ht="13" hidden="1" x14ac:dyDescent="0.3">
      <c r="A298" s="750"/>
      <c r="B298" s="751"/>
      <c r="C298" s="761"/>
      <c r="D298" s="761"/>
      <c r="E298" s="761"/>
      <c r="F298" s="762"/>
      <c r="G298" s="754"/>
      <c r="H298" s="750"/>
      <c r="I298" s="751"/>
      <c r="J298" s="761"/>
      <c r="K298" s="761"/>
      <c r="L298" s="761"/>
      <c r="M298" s="762"/>
      <c r="N298" s="682"/>
      <c r="O298" s="682"/>
      <c r="P298" s="682"/>
    </row>
    <row r="299" spans="1:16" ht="13" hidden="1" x14ac:dyDescent="0.3">
      <c r="A299" s="1462" t="s">
        <v>153</v>
      </c>
      <c r="B299" s="741">
        <v>1</v>
      </c>
      <c r="C299" s="742">
        <f>C10</f>
        <v>37</v>
      </c>
      <c r="D299" s="742">
        <f t="shared" ref="D299:F299" si="218">D10</f>
        <v>-0.2</v>
      </c>
      <c r="E299" s="742">
        <f t="shared" si="218"/>
        <v>-0.6</v>
      </c>
      <c r="F299" s="742">
        <f t="shared" si="218"/>
        <v>0.19999999999999998</v>
      </c>
      <c r="G299" s="682"/>
      <c r="H299" s="1463" t="s">
        <v>153</v>
      </c>
      <c r="I299" s="741">
        <v>1</v>
      </c>
      <c r="J299" s="742">
        <f>I10</f>
        <v>80</v>
      </c>
      <c r="K299" s="742">
        <f t="shared" ref="K299:M299" si="219">J10</f>
        <v>-1.6</v>
      </c>
      <c r="L299" s="742">
        <f t="shared" si="219"/>
        <v>0.7</v>
      </c>
      <c r="M299" s="742">
        <f t="shared" si="219"/>
        <v>1.1499999999999999</v>
      </c>
      <c r="N299" s="682"/>
      <c r="O299" s="682"/>
      <c r="P299" s="682"/>
    </row>
    <row r="300" spans="1:16" ht="13" hidden="1" x14ac:dyDescent="0.3">
      <c r="A300" s="1462"/>
      <c r="B300" s="741">
        <v>2</v>
      </c>
      <c r="C300" s="742">
        <f>C21</f>
        <v>37</v>
      </c>
      <c r="D300" s="742">
        <f t="shared" ref="D300:F300" si="220">D21</f>
        <v>-0.3</v>
      </c>
      <c r="E300" s="742">
        <f t="shared" si="220"/>
        <v>-1.8</v>
      </c>
      <c r="F300" s="742">
        <f t="shared" si="220"/>
        <v>0.75</v>
      </c>
      <c r="G300" s="682"/>
      <c r="H300" s="1463"/>
      <c r="I300" s="741">
        <v>2</v>
      </c>
      <c r="J300" s="742">
        <f>I21</f>
        <v>80</v>
      </c>
      <c r="K300" s="742">
        <f t="shared" ref="K300:M300" si="221">J21</f>
        <v>-0.7</v>
      </c>
      <c r="L300" s="742">
        <f t="shared" si="221"/>
        <v>-0.4</v>
      </c>
      <c r="M300" s="742">
        <f t="shared" si="221"/>
        <v>0.14999999999999997</v>
      </c>
      <c r="N300" s="682"/>
      <c r="O300" s="682"/>
      <c r="P300" s="682"/>
    </row>
    <row r="301" spans="1:16" ht="13" hidden="1" x14ac:dyDescent="0.3">
      <c r="A301" s="1462"/>
      <c r="B301" s="741">
        <v>3</v>
      </c>
      <c r="C301" s="742">
        <f>C32</f>
        <v>37</v>
      </c>
      <c r="D301" s="742">
        <f t="shared" ref="D301:F301" si="222">D32</f>
        <v>-0.6</v>
      </c>
      <c r="E301" s="742">
        <f t="shared" si="222"/>
        <v>-0.5</v>
      </c>
      <c r="F301" s="742">
        <f t="shared" si="222"/>
        <v>4.9999999999999989E-2</v>
      </c>
      <c r="G301" s="682"/>
      <c r="H301" s="1463"/>
      <c r="I301" s="741">
        <v>3</v>
      </c>
      <c r="J301" s="742">
        <f>I32</f>
        <v>80</v>
      </c>
      <c r="K301" s="742">
        <f t="shared" ref="K301:M301" si="223">J32</f>
        <v>-2.9</v>
      </c>
      <c r="L301" s="742">
        <f t="shared" si="223"/>
        <v>-0.6</v>
      </c>
      <c r="M301" s="742">
        <f t="shared" si="223"/>
        <v>1.1499999999999999</v>
      </c>
      <c r="N301" s="682"/>
      <c r="O301" s="682"/>
      <c r="P301" s="682"/>
    </row>
    <row r="302" spans="1:16" ht="13" hidden="1" x14ac:dyDescent="0.3">
      <c r="A302" s="1462"/>
      <c r="B302" s="741">
        <v>4</v>
      </c>
      <c r="C302" s="742">
        <f>C43</f>
        <v>37</v>
      </c>
      <c r="D302" s="742">
        <f t="shared" ref="D302:F302" si="224">D43</f>
        <v>-0.6</v>
      </c>
      <c r="E302" s="742">
        <f t="shared" si="224"/>
        <v>-1.8</v>
      </c>
      <c r="F302" s="742">
        <f t="shared" si="224"/>
        <v>0.60000000000000009</v>
      </c>
      <c r="G302" s="682"/>
      <c r="H302" s="1463"/>
      <c r="I302" s="741">
        <v>4</v>
      </c>
      <c r="J302" s="742">
        <f>I43</f>
        <v>80</v>
      </c>
      <c r="K302" s="742">
        <f t="shared" ref="K302:M302" si="225">J43</f>
        <v>1.9</v>
      </c>
      <c r="L302" s="742">
        <f t="shared" si="225"/>
        <v>-0.4</v>
      </c>
      <c r="M302" s="742">
        <f t="shared" si="225"/>
        <v>1.1499999999999999</v>
      </c>
      <c r="N302" s="682"/>
      <c r="O302" s="682"/>
      <c r="P302" s="682"/>
    </row>
    <row r="303" spans="1:16" ht="13" hidden="1" x14ac:dyDescent="0.3">
      <c r="A303" s="1462"/>
      <c r="B303" s="741">
        <v>5</v>
      </c>
      <c r="C303" s="742">
        <f>C54</f>
        <v>37</v>
      </c>
      <c r="D303" s="742">
        <f t="shared" ref="D303:F303" si="226">D54</f>
        <v>0.7</v>
      </c>
      <c r="E303" s="742">
        <f t="shared" si="226"/>
        <v>0</v>
      </c>
      <c r="F303" s="742">
        <f t="shared" si="226"/>
        <v>0.35</v>
      </c>
      <c r="G303" s="682"/>
      <c r="H303" s="1463"/>
      <c r="I303" s="741">
        <v>5</v>
      </c>
      <c r="J303" s="742">
        <f>I54</f>
        <v>80</v>
      </c>
      <c r="K303" s="742">
        <f t="shared" ref="K303:M303" si="227">J54</f>
        <v>-3</v>
      </c>
      <c r="L303" s="742">
        <f t="shared" si="227"/>
        <v>0.2</v>
      </c>
      <c r="M303" s="742">
        <f t="shared" si="227"/>
        <v>1.6</v>
      </c>
      <c r="N303" s="682"/>
      <c r="O303" s="682"/>
      <c r="P303" s="682"/>
    </row>
    <row r="304" spans="1:16" ht="13" hidden="1" x14ac:dyDescent="0.3">
      <c r="A304" s="1462"/>
      <c r="B304" s="741">
        <v>6</v>
      </c>
      <c r="C304" s="742">
        <f>C65</f>
        <v>37</v>
      </c>
      <c r="D304" s="742">
        <f t="shared" ref="D304:F304" si="228">D65</f>
        <v>0.1</v>
      </c>
      <c r="E304" s="742">
        <f t="shared" si="228"/>
        <v>-1.1000000000000001</v>
      </c>
      <c r="F304" s="742">
        <f t="shared" si="228"/>
        <v>0.60000000000000009</v>
      </c>
      <c r="G304" s="682"/>
      <c r="H304" s="1463"/>
      <c r="I304" s="741">
        <v>6</v>
      </c>
      <c r="J304" s="742">
        <f>I65</f>
        <v>80</v>
      </c>
      <c r="K304" s="742">
        <f t="shared" ref="K304:M304" si="229">J65</f>
        <v>-6.3</v>
      </c>
      <c r="L304" s="742">
        <f t="shared" si="229"/>
        <v>-2.6</v>
      </c>
      <c r="M304" s="742">
        <f t="shared" si="229"/>
        <v>1.8499999999999999</v>
      </c>
      <c r="N304" s="682"/>
      <c r="O304" s="682"/>
      <c r="P304" s="682"/>
    </row>
    <row r="305" spans="1:16" ht="13" hidden="1" x14ac:dyDescent="0.3">
      <c r="A305" s="1462"/>
      <c r="B305" s="741">
        <v>7</v>
      </c>
      <c r="C305" s="742">
        <f>C76</f>
        <v>37</v>
      </c>
      <c r="D305" s="742">
        <f t="shared" ref="D305:F305" si="230">D76</f>
        <v>-1.4</v>
      </c>
      <c r="E305" s="742">
        <f t="shared" si="230"/>
        <v>-0.1</v>
      </c>
      <c r="F305" s="742">
        <f t="shared" si="230"/>
        <v>0.64999999999999991</v>
      </c>
      <c r="G305" s="682"/>
      <c r="H305" s="1463"/>
      <c r="I305" s="741">
        <v>7</v>
      </c>
      <c r="J305" s="742">
        <f>I76</f>
        <v>80</v>
      </c>
      <c r="K305" s="742">
        <f t="shared" ref="K305:M305" si="231">J76</f>
        <v>1.2</v>
      </c>
      <c r="L305" s="742">
        <f t="shared" si="231"/>
        <v>4.4000000000000004</v>
      </c>
      <c r="M305" s="742">
        <f t="shared" si="231"/>
        <v>1.6</v>
      </c>
      <c r="N305" s="682"/>
      <c r="O305" s="682"/>
      <c r="P305" s="682"/>
    </row>
    <row r="306" spans="1:16" ht="13" hidden="1" x14ac:dyDescent="0.3">
      <c r="A306" s="1462"/>
      <c r="B306" s="741">
        <v>8</v>
      </c>
      <c r="C306" s="742">
        <f>C87</f>
        <v>37</v>
      </c>
      <c r="D306" s="742">
        <f t="shared" ref="D306:F306" si="232">D87</f>
        <v>-0.5</v>
      </c>
      <c r="E306" s="742">
        <f t="shared" si="232"/>
        <v>-0.3</v>
      </c>
      <c r="F306" s="742">
        <f t="shared" si="232"/>
        <v>0.1</v>
      </c>
      <c r="G306" s="682"/>
      <c r="H306" s="1463"/>
      <c r="I306" s="741">
        <v>8</v>
      </c>
      <c r="J306" s="742">
        <f>I87</f>
        <v>80</v>
      </c>
      <c r="K306" s="742">
        <f t="shared" ref="K306:M306" si="233">J87</f>
        <v>-1.2</v>
      </c>
      <c r="L306" s="742">
        <f t="shared" si="233"/>
        <v>2.6</v>
      </c>
      <c r="M306" s="742">
        <f t="shared" si="233"/>
        <v>1.9</v>
      </c>
      <c r="N306" s="682"/>
      <c r="O306" s="682"/>
      <c r="P306" s="682"/>
    </row>
    <row r="307" spans="1:16" ht="13" hidden="1" x14ac:dyDescent="0.3">
      <c r="A307" s="1462"/>
      <c r="B307" s="741">
        <v>9</v>
      </c>
      <c r="C307" s="742">
        <f>C98</f>
        <v>37</v>
      </c>
      <c r="D307" s="742">
        <f t="shared" ref="D307:F307" si="234">D98</f>
        <v>-0.5</v>
      </c>
      <c r="E307" s="742" t="str">
        <f t="shared" si="234"/>
        <v>-</v>
      </c>
      <c r="F307" s="742">
        <f t="shared" si="234"/>
        <v>0</v>
      </c>
      <c r="G307" s="682"/>
      <c r="H307" s="1463"/>
      <c r="I307" s="741">
        <v>9</v>
      </c>
      <c r="J307" s="742">
        <f>I98</f>
        <v>80</v>
      </c>
      <c r="K307" s="742">
        <f t="shared" ref="K307:M307" si="235">J98</f>
        <v>-0.5</v>
      </c>
      <c r="L307" s="742" t="str">
        <f t="shared" si="235"/>
        <v>-</v>
      </c>
      <c r="M307" s="742">
        <f t="shared" si="235"/>
        <v>0</v>
      </c>
      <c r="N307" s="682"/>
      <c r="O307" s="682"/>
      <c r="P307" s="682"/>
    </row>
    <row r="308" spans="1:16" ht="13" hidden="1" x14ac:dyDescent="0.3">
      <c r="A308" s="1462"/>
      <c r="B308" s="741">
        <v>10</v>
      </c>
      <c r="C308" s="742">
        <f>C109</f>
        <v>37</v>
      </c>
      <c r="D308" s="742">
        <f t="shared" ref="D308:F308" si="236">D109</f>
        <v>0.2</v>
      </c>
      <c r="E308" s="742">
        <f t="shared" si="236"/>
        <v>0.4</v>
      </c>
      <c r="F308" s="742">
        <f t="shared" si="236"/>
        <v>0.1</v>
      </c>
      <c r="G308" s="682"/>
      <c r="H308" s="1463"/>
      <c r="I308" s="741">
        <v>10</v>
      </c>
      <c r="J308" s="742">
        <f>I109</f>
        <v>80</v>
      </c>
      <c r="K308" s="742">
        <f t="shared" ref="K308:M308" si="237">J109</f>
        <v>2.2000000000000002</v>
      </c>
      <c r="L308" s="742">
        <f t="shared" si="237"/>
        <v>-4.7</v>
      </c>
      <c r="M308" s="742">
        <f t="shared" si="237"/>
        <v>3.45</v>
      </c>
      <c r="N308" s="682"/>
      <c r="O308" s="682"/>
      <c r="P308" s="682"/>
    </row>
    <row r="309" spans="1:16" ht="13" hidden="1" x14ac:dyDescent="0.3">
      <c r="A309" s="1462"/>
      <c r="B309" s="741">
        <v>11</v>
      </c>
      <c r="C309" s="742">
        <f>C120</f>
        <v>37</v>
      </c>
      <c r="D309" s="742">
        <f t="shared" ref="D309:F309" si="238">D120</f>
        <v>0.5</v>
      </c>
      <c r="E309" s="742" t="str">
        <f t="shared" si="238"/>
        <v>-</v>
      </c>
      <c r="F309" s="742">
        <f t="shared" si="238"/>
        <v>0</v>
      </c>
      <c r="G309" s="682"/>
      <c r="H309" s="1463"/>
      <c r="I309" s="741">
        <v>11</v>
      </c>
      <c r="J309" s="742">
        <f>I120</f>
        <v>80</v>
      </c>
      <c r="K309" s="742">
        <f t="shared" ref="K309:M309" si="239">J120</f>
        <v>-1.4</v>
      </c>
      <c r="L309" s="742" t="str">
        <f t="shared" si="239"/>
        <v>-</v>
      </c>
      <c r="M309" s="742">
        <f t="shared" si="239"/>
        <v>0</v>
      </c>
      <c r="N309" s="682"/>
      <c r="O309" s="682"/>
      <c r="P309" s="682"/>
    </row>
    <row r="310" spans="1:16" ht="13" hidden="1" x14ac:dyDescent="0.3">
      <c r="A310" s="1462"/>
      <c r="B310" s="741">
        <v>12</v>
      </c>
      <c r="C310" s="742">
        <f>C131</f>
        <v>37</v>
      </c>
      <c r="D310" s="742">
        <f t="shared" ref="D310:F310" si="240">D131</f>
        <v>1</v>
      </c>
      <c r="E310" s="742">
        <f t="shared" si="240"/>
        <v>-0.1</v>
      </c>
      <c r="F310" s="742">
        <f t="shared" si="240"/>
        <v>0.55000000000000004</v>
      </c>
      <c r="G310" s="682"/>
      <c r="H310" s="1463"/>
      <c r="I310" s="741">
        <v>12</v>
      </c>
      <c r="J310" s="742">
        <f>I131</f>
        <v>80</v>
      </c>
      <c r="K310" s="742">
        <f t="shared" ref="K310:M310" si="241">J131</f>
        <v>-0.4</v>
      </c>
      <c r="L310" s="742">
        <f t="shared" si="241"/>
        <v>-1.3</v>
      </c>
      <c r="M310" s="742">
        <f t="shared" si="241"/>
        <v>0.45</v>
      </c>
      <c r="N310" s="682"/>
      <c r="O310" s="682"/>
      <c r="P310" s="682"/>
    </row>
    <row r="311" spans="1:16" ht="13" hidden="1" x14ac:dyDescent="0.3">
      <c r="A311" s="1462"/>
      <c r="B311" s="741">
        <v>13</v>
      </c>
      <c r="C311" s="742">
        <f>C142</f>
        <v>37</v>
      </c>
      <c r="D311" s="742">
        <f t="shared" ref="D311:F311" si="242">D142</f>
        <v>-0.7</v>
      </c>
      <c r="E311" s="742">
        <f t="shared" si="242"/>
        <v>-0.8</v>
      </c>
      <c r="F311" s="742">
        <f t="shared" si="242"/>
        <v>5.0000000000000044E-2</v>
      </c>
      <c r="G311" s="682"/>
      <c r="H311" s="1463"/>
      <c r="I311" s="741">
        <v>13</v>
      </c>
      <c r="J311" s="742">
        <f>I142</f>
        <v>80</v>
      </c>
      <c r="K311" s="742">
        <f t="shared" ref="K311:M311" si="243">J142</f>
        <v>1.1000000000000001</v>
      </c>
      <c r="L311" s="742">
        <f t="shared" si="243"/>
        <v>-0.9</v>
      </c>
      <c r="M311" s="742">
        <f t="shared" si="243"/>
        <v>1</v>
      </c>
      <c r="N311" s="682"/>
      <c r="O311" s="682"/>
      <c r="P311" s="682"/>
    </row>
    <row r="312" spans="1:16" ht="13" hidden="1" x14ac:dyDescent="0.3">
      <c r="A312" s="1462"/>
      <c r="B312" s="741">
        <v>14</v>
      </c>
      <c r="C312" s="742">
        <f>C153</f>
        <v>37</v>
      </c>
      <c r="D312" s="742">
        <f t="shared" ref="D312:F312" si="244">D153</f>
        <v>-0.2</v>
      </c>
      <c r="E312" s="742">
        <f t="shared" si="244"/>
        <v>0.4</v>
      </c>
      <c r="F312" s="742">
        <f t="shared" si="244"/>
        <v>0.30000000000000004</v>
      </c>
      <c r="G312" s="682"/>
      <c r="H312" s="1463"/>
      <c r="I312" s="741">
        <v>14</v>
      </c>
      <c r="J312" s="742">
        <f>I153</f>
        <v>80</v>
      </c>
      <c r="K312" s="742">
        <f t="shared" ref="K312:M312" si="245">J153</f>
        <v>-1.2</v>
      </c>
      <c r="L312" s="742">
        <f t="shared" si="245"/>
        <v>-2.5</v>
      </c>
      <c r="M312" s="742">
        <f t="shared" si="245"/>
        <v>0.65</v>
      </c>
      <c r="N312" s="682"/>
      <c r="O312" s="682"/>
      <c r="P312" s="682"/>
    </row>
    <row r="313" spans="1:16" ht="13" hidden="1" x14ac:dyDescent="0.3">
      <c r="A313" s="1462"/>
      <c r="B313" s="741">
        <v>15</v>
      </c>
      <c r="C313" s="742">
        <f>C164</f>
        <v>37</v>
      </c>
      <c r="D313" s="742">
        <f t="shared" ref="D313:F313" si="246">D164</f>
        <v>-0.6</v>
      </c>
      <c r="E313" s="742" t="str">
        <f t="shared" si="246"/>
        <v>-</v>
      </c>
      <c r="F313" s="742">
        <f t="shared" si="246"/>
        <v>0</v>
      </c>
      <c r="G313" s="682"/>
      <c r="H313" s="1463"/>
      <c r="I313" s="741">
        <v>15</v>
      </c>
      <c r="J313" s="742">
        <f>I164</f>
        <v>80</v>
      </c>
      <c r="K313" s="742">
        <f t="shared" ref="K313:M313" si="247">J164</f>
        <v>-0.8</v>
      </c>
      <c r="L313" s="742" t="str">
        <f t="shared" si="247"/>
        <v>-</v>
      </c>
      <c r="M313" s="742">
        <f t="shared" si="247"/>
        <v>0</v>
      </c>
      <c r="N313" s="682"/>
      <c r="O313" s="682"/>
      <c r="P313" s="682"/>
    </row>
    <row r="314" spans="1:16" ht="13" hidden="1" x14ac:dyDescent="0.3">
      <c r="A314" s="1462"/>
      <c r="B314" s="741">
        <v>16</v>
      </c>
      <c r="C314" s="742">
        <f>C175</f>
        <v>37</v>
      </c>
      <c r="D314" s="742">
        <f t="shared" ref="D314:F314" si="248">D175</f>
        <v>0</v>
      </c>
      <c r="E314" s="742" t="str">
        <f t="shared" si="248"/>
        <v>-</v>
      </c>
      <c r="F314" s="742">
        <f t="shared" si="248"/>
        <v>0</v>
      </c>
      <c r="G314" s="682"/>
      <c r="H314" s="1463"/>
      <c r="I314" s="741">
        <v>16</v>
      </c>
      <c r="J314" s="742">
        <f>I175</f>
        <v>80</v>
      </c>
      <c r="K314" s="742">
        <f t="shared" ref="K314:M314" si="249">J175</f>
        <v>-2.2999999999999998</v>
      </c>
      <c r="L314" s="742" t="str">
        <f t="shared" si="249"/>
        <v>-</v>
      </c>
      <c r="M314" s="742">
        <f t="shared" si="249"/>
        <v>0</v>
      </c>
      <c r="N314" s="682"/>
      <c r="O314" s="682"/>
      <c r="P314" s="682"/>
    </row>
    <row r="315" spans="1:16" ht="13" hidden="1" x14ac:dyDescent="0.3">
      <c r="A315" s="1462"/>
      <c r="B315" s="741">
        <v>17</v>
      </c>
      <c r="C315" s="742">
        <f>C186</f>
        <v>37</v>
      </c>
      <c r="D315" s="742">
        <f t="shared" ref="D315:F315" si="250">D186</f>
        <v>-0.3</v>
      </c>
      <c r="E315" s="742" t="str">
        <f t="shared" si="250"/>
        <v>-</v>
      </c>
      <c r="F315" s="742">
        <f t="shared" si="250"/>
        <v>0</v>
      </c>
      <c r="G315" s="682"/>
      <c r="H315" s="1463"/>
      <c r="I315" s="741">
        <v>17</v>
      </c>
      <c r="J315" s="742">
        <f>I186</f>
        <v>80</v>
      </c>
      <c r="K315" s="742">
        <f t="shared" ref="K315:M315" si="251">J186</f>
        <v>-0.5</v>
      </c>
      <c r="L315" s="742" t="str">
        <f t="shared" si="251"/>
        <v>-</v>
      </c>
      <c r="M315" s="742">
        <f t="shared" si="251"/>
        <v>0</v>
      </c>
      <c r="N315" s="742"/>
      <c r="O315" s="682"/>
      <c r="P315" s="682"/>
    </row>
    <row r="316" spans="1:16" ht="13" hidden="1" x14ac:dyDescent="0.3">
      <c r="A316" s="1462"/>
      <c r="B316" s="741">
        <v>18</v>
      </c>
      <c r="C316" s="742">
        <f>C197</f>
        <v>37</v>
      </c>
      <c r="D316" s="742">
        <f t="shared" ref="D316:F316" si="252">D197</f>
        <v>-0.3</v>
      </c>
      <c r="E316" s="742" t="str">
        <f t="shared" si="252"/>
        <v>-</v>
      </c>
      <c r="F316" s="742">
        <f t="shared" si="252"/>
        <v>0</v>
      </c>
      <c r="G316" s="682"/>
      <c r="H316" s="1463"/>
      <c r="I316" s="741">
        <v>18</v>
      </c>
      <c r="J316" s="742">
        <f>I197</f>
        <v>80</v>
      </c>
      <c r="K316" s="742">
        <f t="shared" ref="K316:M316" si="253">J197</f>
        <v>-0.5</v>
      </c>
      <c r="L316" s="742" t="str">
        <f t="shared" si="253"/>
        <v>-</v>
      </c>
      <c r="M316" s="742">
        <f t="shared" si="253"/>
        <v>0</v>
      </c>
      <c r="N316" s="682"/>
      <c r="O316" s="682"/>
      <c r="P316" s="682"/>
    </row>
    <row r="317" spans="1:16" ht="13" hidden="1" x14ac:dyDescent="0.3">
      <c r="A317" s="750"/>
      <c r="B317" s="751"/>
      <c r="C317" s="761"/>
      <c r="D317" s="761"/>
      <c r="E317" s="761"/>
      <c r="F317" s="762"/>
      <c r="G317" s="754"/>
      <c r="H317" s="764"/>
      <c r="I317" s="751"/>
      <c r="J317" s="761"/>
      <c r="K317" s="761"/>
      <c r="L317" s="761"/>
      <c r="M317" s="762"/>
      <c r="N317" s="682"/>
      <c r="O317" s="682"/>
      <c r="P317" s="682"/>
    </row>
    <row r="318" spans="1:16" ht="13" hidden="1" x14ac:dyDescent="0.3">
      <c r="A318" s="1462" t="s">
        <v>154</v>
      </c>
      <c r="B318" s="741">
        <v>1</v>
      </c>
      <c r="C318" s="742">
        <f>C11</f>
        <v>40</v>
      </c>
      <c r="D318" s="742">
        <f t="shared" ref="D318:F318" si="254">D11</f>
        <v>-0.3</v>
      </c>
      <c r="E318" s="742">
        <f t="shared" si="254"/>
        <v>-0.8</v>
      </c>
      <c r="F318" s="742">
        <f t="shared" si="254"/>
        <v>0.25</v>
      </c>
      <c r="G318" s="682"/>
      <c r="H318" s="1463" t="s">
        <v>154</v>
      </c>
      <c r="I318" s="741">
        <v>1</v>
      </c>
      <c r="J318" s="742">
        <f>I11</f>
        <v>90</v>
      </c>
      <c r="K318" s="742">
        <f t="shared" ref="K318:M318" si="255">J11</f>
        <v>0.3</v>
      </c>
      <c r="L318" s="742">
        <f t="shared" si="255"/>
        <v>4.5</v>
      </c>
      <c r="M318" s="742">
        <f t="shared" si="255"/>
        <v>2.1</v>
      </c>
      <c r="N318" s="682"/>
      <c r="O318" s="682"/>
      <c r="P318" s="682"/>
    </row>
    <row r="319" spans="1:16" ht="13" hidden="1" x14ac:dyDescent="0.3">
      <c r="A319" s="1462"/>
      <c r="B319" s="741">
        <v>2</v>
      </c>
      <c r="C319" s="742">
        <f>C22</f>
        <v>40</v>
      </c>
      <c r="D319" s="742">
        <f t="shared" ref="D319:F319" si="256">D22</f>
        <v>-0.3</v>
      </c>
      <c r="E319" s="742">
        <f t="shared" si="256"/>
        <v>-2.1</v>
      </c>
      <c r="F319" s="742">
        <f t="shared" si="256"/>
        <v>0.9</v>
      </c>
      <c r="G319" s="682"/>
      <c r="H319" s="1463"/>
      <c r="I319" s="741">
        <v>2</v>
      </c>
      <c r="J319" s="742">
        <f>I22</f>
        <v>90</v>
      </c>
      <c r="K319" s="742">
        <f t="shared" ref="K319:M319" si="257">J22</f>
        <v>-0.3</v>
      </c>
      <c r="L319" s="742">
        <f t="shared" si="257"/>
        <v>0.6</v>
      </c>
      <c r="M319" s="742">
        <f t="shared" si="257"/>
        <v>0.44999999999999996</v>
      </c>
      <c r="N319" s="682"/>
      <c r="O319" s="682"/>
      <c r="P319" s="682"/>
    </row>
    <row r="320" spans="1:16" ht="13" hidden="1" x14ac:dyDescent="0.3">
      <c r="A320" s="1462"/>
      <c r="B320" s="741">
        <v>3</v>
      </c>
      <c r="C320" s="742">
        <f>C33</f>
        <v>40</v>
      </c>
      <c r="D320" s="742">
        <f t="shared" ref="D320:F320" si="258">D33</f>
        <v>-0.7</v>
      </c>
      <c r="E320" s="742">
        <f t="shared" si="258"/>
        <v>-0.5</v>
      </c>
      <c r="F320" s="742">
        <f t="shared" si="258"/>
        <v>9.9999999999999978E-2</v>
      </c>
      <c r="G320" s="682"/>
      <c r="H320" s="1463"/>
      <c r="I320" s="741">
        <v>3</v>
      </c>
      <c r="J320" s="742">
        <f>I33</f>
        <v>90</v>
      </c>
      <c r="K320" s="742">
        <f t="shared" ref="K320:M320" si="259">J33</f>
        <v>-2</v>
      </c>
      <c r="L320" s="742">
        <f t="shared" si="259"/>
        <v>0.9</v>
      </c>
      <c r="M320" s="742">
        <f t="shared" si="259"/>
        <v>1.45</v>
      </c>
      <c r="N320" s="682"/>
      <c r="O320" s="682"/>
      <c r="P320" s="682"/>
    </row>
    <row r="321" spans="1:16" ht="13" hidden="1" x14ac:dyDescent="0.3">
      <c r="A321" s="1462"/>
      <c r="B321" s="741">
        <v>4</v>
      </c>
      <c r="C321" s="742">
        <f>C44</f>
        <v>40</v>
      </c>
      <c r="D321" s="742">
        <f t="shared" ref="D321:F321" si="260">D44</f>
        <v>-0.6</v>
      </c>
      <c r="E321" s="742">
        <f t="shared" si="260"/>
        <v>-2.1</v>
      </c>
      <c r="F321" s="742">
        <f t="shared" si="260"/>
        <v>0.75</v>
      </c>
      <c r="G321" s="682"/>
      <c r="H321" s="1463"/>
      <c r="I321" s="741">
        <v>4</v>
      </c>
      <c r="J321" s="742">
        <f>I44</f>
        <v>90</v>
      </c>
      <c r="K321" s="742">
        <f t="shared" ref="K321:M321" si="261">J44</f>
        <v>3.3</v>
      </c>
      <c r="L321" s="742">
        <f t="shared" si="261"/>
        <v>0.2</v>
      </c>
      <c r="M321" s="742">
        <f t="shared" si="261"/>
        <v>1.5499999999999998</v>
      </c>
      <c r="N321" s="682"/>
      <c r="O321" s="682"/>
      <c r="P321" s="682"/>
    </row>
    <row r="322" spans="1:16" ht="13" hidden="1" x14ac:dyDescent="0.3">
      <c r="A322" s="1462"/>
      <c r="B322" s="741">
        <v>5</v>
      </c>
      <c r="C322" s="742">
        <f>C55</f>
        <v>40</v>
      </c>
      <c r="D322" s="742">
        <f t="shared" ref="D322:F322" si="262">D55</f>
        <v>0.7</v>
      </c>
      <c r="E322" s="742">
        <f t="shared" si="262"/>
        <v>-0.1</v>
      </c>
      <c r="F322" s="742">
        <f t="shared" si="262"/>
        <v>0.39999999999999997</v>
      </c>
      <c r="G322" s="682"/>
      <c r="H322" s="1463"/>
      <c r="I322" s="741">
        <v>5</v>
      </c>
      <c r="J322" s="742">
        <f>I55</f>
        <v>90</v>
      </c>
      <c r="K322" s="742">
        <f t="shared" ref="K322:M322" si="263">J55</f>
        <v>-1.8</v>
      </c>
      <c r="L322" s="742">
        <f t="shared" si="263"/>
        <v>2.7</v>
      </c>
      <c r="M322" s="742">
        <f t="shared" si="263"/>
        <v>2.25</v>
      </c>
      <c r="N322" s="682"/>
      <c r="O322" s="682"/>
      <c r="P322" s="682"/>
    </row>
    <row r="323" spans="1:16" ht="13" hidden="1" x14ac:dyDescent="0.3">
      <c r="A323" s="1462"/>
      <c r="B323" s="741">
        <v>6</v>
      </c>
      <c r="C323" s="742">
        <f>C66</f>
        <v>40</v>
      </c>
      <c r="D323" s="742">
        <f t="shared" ref="D323:F323" si="264">D66</f>
        <v>0.1</v>
      </c>
      <c r="E323" s="742">
        <f t="shared" si="264"/>
        <v>-1.4</v>
      </c>
      <c r="F323" s="742">
        <f t="shared" si="264"/>
        <v>0.75</v>
      </c>
      <c r="G323" s="682"/>
      <c r="H323" s="1463"/>
      <c r="I323" s="741">
        <v>6</v>
      </c>
      <c r="J323" s="742">
        <f>I66</f>
        <v>90</v>
      </c>
      <c r="K323" s="742">
        <f t="shared" ref="K323:M323" si="265">J66</f>
        <v>-5.2</v>
      </c>
      <c r="L323" s="742">
        <f t="shared" si="265"/>
        <v>-2.6</v>
      </c>
      <c r="M323" s="742">
        <f t="shared" si="265"/>
        <v>1.3</v>
      </c>
      <c r="N323" s="682"/>
      <c r="O323" s="682"/>
      <c r="P323" s="682"/>
    </row>
    <row r="324" spans="1:16" ht="13" hidden="1" x14ac:dyDescent="0.3">
      <c r="A324" s="1462"/>
      <c r="B324" s="741">
        <v>7</v>
      </c>
      <c r="C324" s="742">
        <f>C77</f>
        <v>40</v>
      </c>
      <c r="D324" s="742">
        <f t="shared" ref="D324:F324" si="266">D77</f>
        <v>-1.7</v>
      </c>
      <c r="E324" s="742">
        <f t="shared" si="266"/>
        <v>-0.1</v>
      </c>
      <c r="F324" s="742">
        <f t="shared" si="266"/>
        <v>0.79999999999999993</v>
      </c>
      <c r="G324" s="682"/>
      <c r="H324" s="1463"/>
      <c r="I324" s="741">
        <v>7</v>
      </c>
      <c r="J324" s="742">
        <f>I77</f>
        <v>90</v>
      </c>
      <c r="K324" s="742">
        <f t="shared" ref="K324:M324" si="267">J77</f>
        <v>1.8</v>
      </c>
      <c r="L324" s="742">
        <f t="shared" si="267"/>
        <v>4.4000000000000004</v>
      </c>
      <c r="M324" s="742">
        <f t="shared" si="267"/>
        <v>1.3000000000000003</v>
      </c>
      <c r="N324" s="682"/>
      <c r="O324" s="682"/>
      <c r="P324" s="682"/>
    </row>
    <row r="325" spans="1:16" ht="13" hidden="1" x14ac:dyDescent="0.3">
      <c r="A325" s="1462"/>
      <c r="B325" s="741">
        <v>8</v>
      </c>
      <c r="C325" s="742">
        <f>C88</f>
        <v>40</v>
      </c>
      <c r="D325" s="742">
        <f t="shared" ref="D325:F325" si="268">D88</f>
        <v>-0.4</v>
      </c>
      <c r="E325" s="742">
        <f t="shared" si="268"/>
        <v>-0.4</v>
      </c>
      <c r="F325" s="742">
        <f t="shared" si="268"/>
        <v>0</v>
      </c>
      <c r="G325" s="682"/>
      <c r="H325" s="1463"/>
      <c r="I325" s="741">
        <v>8</v>
      </c>
      <c r="J325" s="742">
        <f>I88</f>
        <v>90</v>
      </c>
      <c r="K325" s="742">
        <f t="shared" ref="K325:M325" si="269">J88</f>
        <v>-1.3</v>
      </c>
      <c r="L325" s="742">
        <f t="shared" si="269"/>
        <v>2.6</v>
      </c>
      <c r="M325" s="742">
        <f t="shared" si="269"/>
        <v>1.9500000000000002</v>
      </c>
      <c r="N325" s="682"/>
      <c r="O325" s="682"/>
      <c r="P325" s="682"/>
    </row>
    <row r="326" spans="1:16" ht="13" hidden="1" x14ac:dyDescent="0.3">
      <c r="A326" s="1462"/>
      <c r="B326" s="741">
        <v>9</v>
      </c>
      <c r="C326" s="742">
        <f>C99</f>
        <v>40</v>
      </c>
      <c r="D326" s="742">
        <f t="shared" ref="D326:F326" si="270">D99</f>
        <v>-0.4</v>
      </c>
      <c r="E326" s="742" t="str">
        <f t="shared" si="270"/>
        <v>-</v>
      </c>
      <c r="F326" s="742">
        <f t="shared" si="270"/>
        <v>0</v>
      </c>
      <c r="G326" s="682"/>
      <c r="H326" s="1463"/>
      <c r="I326" s="741">
        <v>9</v>
      </c>
      <c r="J326" s="742">
        <f>I99</f>
        <v>90</v>
      </c>
      <c r="K326" s="742">
        <f t="shared" ref="K326:M326" si="271">J99</f>
        <v>-0.2</v>
      </c>
      <c r="L326" s="742" t="str">
        <f t="shared" si="271"/>
        <v>-</v>
      </c>
      <c r="M326" s="742">
        <f t="shared" si="271"/>
        <v>0</v>
      </c>
      <c r="N326" s="682"/>
      <c r="O326" s="682"/>
      <c r="P326" s="682"/>
    </row>
    <row r="327" spans="1:16" ht="13" hidden="1" x14ac:dyDescent="0.3">
      <c r="A327" s="1462"/>
      <c r="B327" s="741">
        <v>10</v>
      </c>
      <c r="C327" s="742">
        <f>C110</f>
        <v>40</v>
      </c>
      <c r="D327" s="742">
        <f t="shared" ref="D327:F327" si="272">D110</f>
        <v>0.2</v>
      </c>
      <c r="E327" s="742">
        <f t="shared" si="272"/>
        <v>0</v>
      </c>
      <c r="F327" s="742">
        <f t="shared" si="272"/>
        <v>0.1</v>
      </c>
      <c r="G327" s="682"/>
      <c r="H327" s="1463"/>
      <c r="I327" s="741">
        <v>10</v>
      </c>
      <c r="J327" s="742">
        <f>I110</f>
        <v>90</v>
      </c>
      <c r="K327" s="742">
        <f t="shared" ref="K327:M327" si="273">J110</f>
        <v>5.4</v>
      </c>
      <c r="L327" s="742">
        <f t="shared" si="273"/>
        <v>0</v>
      </c>
      <c r="M327" s="742">
        <f t="shared" si="273"/>
        <v>2.7</v>
      </c>
      <c r="N327" s="682"/>
      <c r="O327" s="682"/>
      <c r="P327" s="682"/>
    </row>
    <row r="328" spans="1:16" ht="13" hidden="1" x14ac:dyDescent="0.3">
      <c r="A328" s="1462"/>
      <c r="B328" s="741">
        <v>11</v>
      </c>
      <c r="C328" s="742">
        <f>C121</f>
        <v>40</v>
      </c>
      <c r="D328" s="742">
        <f t="shared" ref="D328:F328" si="274">D121</f>
        <v>0.5</v>
      </c>
      <c r="E328" s="742" t="str">
        <f t="shared" si="274"/>
        <v>-</v>
      </c>
      <c r="F328" s="742">
        <f t="shared" si="274"/>
        <v>0</v>
      </c>
      <c r="G328" s="682"/>
      <c r="H328" s="1463"/>
      <c r="I328" s="741">
        <v>11</v>
      </c>
      <c r="J328" s="742">
        <f>I121</f>
        <v>90</v>
      </c>
      <c r="K328" s="742">
        <f t="shared" ref="K328:M328" si="275">J121</f>
        <v>1.3</v>
      </c>
      <c r="L328" s="742" t="str">
        <f t="shared" si="275"/>
        <v>-</v>
      </c>
      <c r="M328" s="742">
        <f t="shared" si="275"/>
        <v>0</v>
      </c>
      <c r="N328" s="682"/>
      <c r="O328" s="682"/>
      <c r="P328" s="682"/>
    </row>
    <row r="329" spans="1:16" ht="13" hidden="1" x14ac:dyDescent="0.3">
      <c r="A329" s="1462"/>
      <c r="B329" s="741">
        <v>12</v>
      </c>
      <c r="C329" s="742">
        <f>C132</f>
        <v>40</v>
      </c>
      <c r="D329" s="742">
        <f t="shared" ref="D329:F329" si="276">D132</f>
        <v>1.4</v>
      </c>
      <c r="E329" s="742">
        <f t="shared" si="276"/>
        <v>0</v>
      </c>
      <c r="F329" s="742">
        <f t="shared" si="276"/>
        <v>0.7</v>
      </c>
      <c r="G329" s="682"/>
      <c r="H329" s="1463"/>
      <c r="I329" s="741">
        <v>12</v>
      </c>
      <c r="J329" s="742">
        <f>I132</f>
        <v>90</v>
      </c>
      <c r="K329" s="742">
        <f t="shared" ref="K329:M329" si="277">J132</f>
        <v>-0.1</v>
      </c>
      <c r="L329" s="742">
        <f t="shared" si="277"/>
        <v>-2</v>
      </c>
      <c r="M329" s="742">
        <f t="shared" si="277"/>
        <v>0.95</v>
      </c>
      <c r="N329" s="682"/>
      <c r="O329" s="682"/>
      <c r="P329" s="682"/>
    </row>
    <row r="330" spans="1:16" ht="13" hidden="1" x14ac:dyDescent="0.3">
      <c r="A330" s="1462"/>
      <c r="B330" s="741">
        <v>13</v>
      </c>
      <c r="C330" s="742">
        <f>C143</f>
        <v>40</v>
      </c>
      <c r="D330" s="742">
        <f t="shared" ref="D330:F330" si="278">D143</f>
        <v>-0.8</v>
      </c>
      <c r="E330" s="742">
        <f t="shared" si="278"/>
        <v>-1.1000000000000001</v>
      </c>
      <c r="F330" s="742">
        <f t="shared" si="278"/>
        <v>0.15000000000000002</v>
      </c>
      <c r="G330" s="682"/>
      <c r="H330" s="1463"/>
      <c r="I330" s="741">
        <v>13</v>
      </c>
      <c r="J330" s="742">
        <f>I143</f>
        <v>90</v>
      </c>
      <c r="K330" s="742">
        <f t="shared" ref="K330:M330" si="279">J143</f>
        <v>1.5</v>
      </c>
      <c r="L330" s="742">
        <f t="shared" si="279"/>
        <v>-0.8</v>
      </c>
      <c r="M330" s="742">
        <f t="shared" si="279"/>
        <v>1.1499999999999999</v>
      </c>
      <c r="N330" s="682"/>
      <c r="O330" s="682"/>
      <c r="P330" s="682"/>
    </row>
    <row r="331" spans="1:16" ht="13" hidden="1" x14ac:dyDescent="0.3">
      <c r="A331" s="1462"/>
      <c r="B331" s="741">
        <v>14</v>
      </c>
      <c r="C331" s="742">
        <f>C154</f>
        <v>40</v>
      </c>
      <c r="D331" s="742">
        <f t="shared" ref="D331:F331" si="280">D154</f>
        <v>-0.2</v>
      </c>
      <c r="E331" s="742">
        <f t="shared" si="280"/>
        <v>0.5</v>
      </c>
      <c r="F331" s="742">
        <f t="shared" si="280"/>
        <v>0.35</v>
      </c>
      <c r="G331" s="682"/>
      <c r="H331" s="1463"/>
      <c r="I331" s="741">
        <v>14</v>
      </c>
      <c r="J331" s="742">
        <f>I154</f>
        <v>90</v>
      </c>
      <c r="K331" s="742">
        <f t="shared" ref="K331:M331" si="281">J154</f>
        <v>-1</v>
      </c>
      <c r="L331" s="742">
        <f t="shared" si="281"/>
        <v>-3.2</v>
      </c>
      <c r="M331" s="742">
        <f t="shared" si="281"/>
        <v>1.1000000000000001</v>
      </c>
      <c r="N331" s="682"/>
      <c r="O331" s="682"/>
      <c r="P331" s="682"/>
    </row>
    <row r="332" spans="1:16" ht="13" hidden="1" x14ac:dyDescent="0.3">
      <c r="A332" s="1462"/>
      <c r="B332" s="741">
        <v>15</v>
      </c>
      <c r="C332" s="742">
        <f>C165</f>
        <v>40</v>
      </c>
      <c r="D332" s="742">
        <f t="shared" ref="D332:F332" si="282">D165</f>
        <v>-0.8</v>
      </c>
      <c r="E332" s="742" t="str">
        <f t="shared" si="282"/>
        <v>-</v>
      </c>
      <c r="F332" s="742">
        <f t="shared" si="282"/>
        <v>0</v>
      </c>
      <c r="G332" s="682"/>
      <c r="H332" s="1463"/>
      <c r="I332" s="741">
        <v>15</v>
      </c>
      <c r="J332" s="742">
        <f>I165</f>
        <v>90</v>
      </c>
      <c r="K332" s="742">
        <f t="shared" ref="K332:M332" si="283">J165</f>
        <v>-1.4</v>
      </c>
      <c r="L332" s="742" t="str">
        <f t="shared" si="283"/>
        <v>-</v>
      </c>
      <c r="M332" s="742">
        <f t="shared" si="283"/>
        <v>0</v>
      </c>
      <c r="N332" s="682"/>
      <c r="O332" s="682"/>
      <c r="P332" s="682"/>
    </row>
    <row r="333" spans="1:16" ht="13" hidden="1" x14ac:dyDescent="0.3">
      <c r="A333" s="1462"/>
      <c r="B333" s="741">
        <v>16</v>
      </c>
      <c r="C333" s="742">
        <f>C176</f>
        <v>40</v>
      </c>
      <c r="D333" s="742">
        <f t="shared" ref="D333:F333" si="284">D176</f>
        <v>0</v>
      </c>
      <c r="E333" s="742" t="str">
        <f t="shared" si="284"/>
        <v>-</v>
      </c>
      <c r="F333" s="742">
        <f t="shared" si="284"/>
        <v>0</v>
      </c>
      <c r="G333" s="682"/>
      <c r="H333" s="1463"/>
      <c r="I333" s="741">
        <v>16</v>
      </c>
      <c r="J333" s="742">
        <f>I176</f>
        <v>90</v>
      </c>
      <c r="K333" s="742">
        <f t="shared" ref="K333:M333" si="285">J176</f>
        <v>-3</v>
      </c>
      <c r="L333" s="742" t="str">
        <f t="shared" si="285"/>
        <v>-</v>
      </c>
      <c r="M333" s="742">
        <f t="shared" si="285"/>
        <v>0</v>
      </c>
      <c r="N333" s="682"/>
      <c r="O333" s="682"/>
      <c r="P333" s="682"/>
    </row>
    <row r="334" spans="1:16" ht="13" hidden="1" x14ac:dyDescent="0.3">
      <c r="A334" s="1462"/>
      <c r="B334" s="741">
        <v>17</v>
      </c>
      <c r="C334" s="742">
        <f>C187</f>
        <v>40</v>
      </c>
      <c r="D334" s="742">
        <f t="shared" ref="D334:F334" si="286">D187</f>
        <v>-0.4</v>
      </c>
      <c r="E334" s="742" t="str">
        <f t="shared" si="286"/>
        <v>-</v>
      </c>
      <c r="F334" s="742">
        <f t="shared" si="286"/>
        <v>0</v>
      </c>
      <c r="G334" s="682"/>
      <c r="H334" s="1463"/>
      <c r="I334" s="741">
        <v>17</v>
      </c>
      <c r="J334" s="742">
        <f>I187</f>
        <v>90</v>
      </c>
      <c r="K334" s="742">
        <f t="shared" ref="K334:M334" si="287">J187</f>
        <v>-0.8</v>
      </c>
      <c r="L334" s="742" t="str">
        <f t="shared" si="287"/>
        <v>-</v>
      </c>
      <c r="M334" s="742">
        <f t="shared" si="287"/>
        <v>0</v>
      </c>
      <c r="N334" s="682"/>
      <c r="O334" s="682"/>
      <c r="P334" s="682"/>
    </row>
    <row r="335" spans="1:16" ht="13" hidden="1" x14ac:dyDescent="0.3">
      <c r="A335" s="1462"/>
      <c r="B335" s="741">
        <v>18</v>
      </c>
      <c r="C335" s="742">
        <f>C198</f>
        <v>40</v>
      </c>
      <c r="D335" s="742">
        <f t="shared" ref="D335:F335" si="288">D198</f>
        <v>-0.4</v>
      </c>
      <c r="E335" s="742" t="str">
        <f t="shared" si="288"/>
        <v>-</v>
      </c>
      <c r="F335" s="742">
        <f t="shared" si="288"/>
        <v>0</v>
      </c>
      <c r="G335" s="682"/>
      <c r="H335" s="1463"/>
      <c r="I335" s="741">
        <v>18</v>
      </c>
      <c r="J335" s="742">
        <f>I198</f>
        <v>90</v>
      </c>
      <c r="K335" s="742">
        <f t="shared" ref="K335:M335" si="289">J198</f>
        <v>-0.9</v>
      </c>
      <c r="L335" s="742" t="str">
        <f t="shared" si="289"/>
        <v>-</v>
      </c>
      <c r="M335" s="742">
        <f t="shared" si="289"/>
        <v>0</v>
      </c>
      <c r="N335" s="682"/>
      <c r="O335" s="682"/>
      <c r="P335" s="682"/>
    </row>
    <row r="336" spans="1:16" ht="13.5" thickBot="1" x14ac:dyDescent="0.35">
      <c r="A336" s="765"/>
      <c r="B336" s="766"/>
      <c r="C336" s="754"/>
      <c r="D336" s="754"/>
      <c r="E336" s="754"/>
      <c r="F336" s="754"/>
      <c r="G336" s="754"/>
      <c r="H336" s="682"/>
      <c r="I336" s="767"/>
      <c r="J336" s="766"/>
      <c r="K336" s="754"/>
      <c r="L336" s="754"/>
      <c r="M336" s="754"/>
      <c r="N336" s="754"/>
      <c r="O336" s="754"/>
      <c r="P336" s="682"/>
    </row>
    <row r="337" spans="1:16" ht="29.25" customHeight="1" x14ac:dyDescent="0.3">
      <c r="A337" s="284">
        <f>A375</f>
        <v>12</v>
      </c>
      <c r="B337" s="1464" t="str">
        <f>A356</f>
        <v>Thermohygrolight, Merek : EXTECH, Model : SD700, SN : A.100611</v>
      </c>
      <c r="C337" s="1464"/>
      <c r="D337" s="1465"/>
      <c r="E337" s="285"/>
      <c r="F337" s="284">
        <f>A337</f>
        <v>12</v>
      </c>
      <c r="G337" s="1464" t="str">
        <f>B337</f>
        <v>Thermohygrolight, Merek : EXTECH, Model : SD700, SN : A.100611</v>
      </c>
      <c r="H337" s="1464"/>
      <c r="I337" s="1465"/>
      <c r="J337" s="285"/>
      <c r="K337" s="284">
        <f>A337</f>
        <v>12</v>
      </c>
      <c r="L337" s="1452" t="str">
        <f>G337</f>
        <v>Thermohygrolight, Merek : EXTECH, Model : SD700, SN : A.100611</v>
      </c>
      <c r="M337" s="1453"/>
      <c r="N337" s="1453"/>
      <c r="O337" s="1454"/>
      <c r="P337" s="682"/>
    </row>
    <row r="338" spans="1:16" ht="13.5" x14ac:dyDescent="0.3">
      <c r="A338" s="768" t="s">
        <v>74</v>
      </c>
      <c r="B338" s="1455" t="s">
        <v>62</v>
      </c>
      <c r="C338" s="1455"/>
      <c r="D338" s="1456" t="s">
        <v>63</v>
      </c>
      <c r="E338" s="754"/>
      <c r="F338" s="768" t="s">
        <v>73</v>
      </c>
      <c r="G338" s="1455" t="s">
        <v>62</v>
      </c>
      <c r="H338" s="1455"/>
      <c r="I338" s="1456" t="s">
        <v>63</v>
      </c>
      <c r="J338" s="754"/>
      <c r="K338" s="1457"/>
      <c r="L338" s="1460" t="s">
        <v>190</v>
      </c>
      <c r="M338" s="1460" t="s">
        <v>191</v>
      </c>
      <c r="N338" s="1460" t="s">
        <v>33</v>
      </c>
      <c r="O338" s="1461" t="s">
        <v>80</v>
      </c>
      <c r="P338" s="682"/>
    </row>
    <row r="339" spans="1:16" ht="14" x14ac:dyDescent="0.3">
      <c r="A339" s="272" t="s">
        <v>189</v>
      </c>
      <c r="B339" s="769">
        <f>VLOOKUP(B337,A357:K374,9,FALSE)</f>
        <v>2022</v>
      </c>
      <c r="C339" s="769">
        <f>VLOOKUP(B337,A357:K374,10,FALSE)</f>
        <v>2020</v>
      </c>
      <c r="D339" s="1456"/>
      <c r="E339" s="754"/>
      <c r="F339" s="286" t="s">
        <v>133</v>
      </c>
      <c r="G339" s="769">
        <f>B339</f>
        <v>2022</v>
      </c>
      <c r="H339" s="769">
        <f>C339</f>
        <v>2020</v>
      </c>
      <c r="I339" s="1456"/>
      <c r="J339" s="754"/>
      <c r="K339" s="1458"/>
      <c r="L339" s="1460"/>
      <c r="M339" s="1460"/>
      <c r="N339" s="1460"/>
      <c r="O339" s="1461"/>
      <c r="P339" s="682"/>
    </row>
    <row r="340" spans="1:16" ht="13" x14ac:dyDescent="0.3">
      <c r="A340" s="770">
        <f>VLOOKUP($A$337,$B$204:$F$221,2,FALSE)</f>
        <v>15</v>
      </c>
      <c r="B340" s="771">
        <f>VLOOKUP($A$337,$B$204:$F$221,3,FALSE)</f>
        <v>0.6</v>
      </c>
      <c r="C340" s="771">
        <f>VLOOKUP($A$337,$B$204:$F$221,4,FALSE)</f>
        <v>-0.6</v>
      </c>
      <c r="D340" s="772">
        <f>VLOOKUP($A$337,$B$204:$F$221,5,FALSE)</f>
        <v>0.6</v>
      </c>
      <c r="E340" s="754"/>
      <c r="F340" s="770">
        <f>VLOOKUP($F$337,$I$204:$M$221,2,FALSE)</f>
        <v>35</v>
      </c>
      <c r="G340" s="771">
        <f>VLOOKUP($F$337,$I$204:$M$221,3,FALSE)</f>
        <v>-2</v>
      </c>
      <c r="H340" s="771">
        <f>VLOOKUP($F$337,$I$204:$M$221,4,FALSE)</f>
        <v>-0.4</v>
      </c>
      <c r="I340" s="772">
        <f>VLOOKUP($F$337,$I$204:$M$221,5,FALSE)</f>
        <v>0.8</v>
      </c>
      <c r="J340" s="754"/>
      <c r="K340" s="1459"/>
      <c r="L340" s="1460"/>
      <c r="M340" s="1460"/>
      <c r="N340" s="1460"/>
      <c r="O340" s="1461"/>
      <c r="P340" s="682"/>
    </row>
    <row r="341" spans="1:16" ht="13" x14ac:dyDescent="0.3">
      <c r="A341" s="770">
        <f>VLOOKUP($A$337,$B$223:$F$240,2,FALSE)</f>
        <v>20</v>
      </c>
      <c r="B341" s="771">
        <f>VLOOKUP($A$337,$B$223:$F$240,3,FALSE)</f>
        <v>0.3</v>
      </c>
      <c r="C341" s="771">
        <f>VLOOKUP($A$337,$B$223:$F$240,4,FALSE)</f>
        <v>-0.5</v>
      </c>
      <c r="D341" s="772">
        <f>VLOOKUP($A$337,$B$223:$F$240,5,FALSE)</f>
        <v>0.4</v>
      </c>
      <c r="E341" s="754"/>
      <c r="F341" s="770">
        <f>VLOOKUP($F$337,$I$223:$M$240,2,FALSE)</f>
        <v>40</v>
      </c>
      <c r="G341" s="771">
        <f>VLOOKUP($F$337,$I$223:$M$240,3,FALSE)</f>
        <v>-1.7</v>
      </c>
      <c r="H341" s="771">
        <f>VLOOKUP($F$337,$I$223:$M$240,4,FALSE)</f>
        <v>-0.3</v>
      </c>
      <c r="I341" s="772">
        <f>VLOOKUP($F$337,$I$223:$M$240,5,FALSE)</f>
        <v>0.7</v>
      </c>
      <c r="J341" s="754"/>
      <c r="K341" s="773" t="s">
        <v>74</v>
      </c>
      <c r="L341" s="774">
        <f>AVERAGE(ID!E15:F15)</f>
        <v>27</v>
      </c>
      <c r="M341" s="775">
        <f>L341+C350</f>
        <v>27.28</v>
      </c>
      <c r="N341" s="775">
        <f>STDEV('[1]INPUT DATA'!E18:F18)</f>
        <v>0.70710678118654757</v>
      </c>
      <c r="O341" s="287">
        <f>VLOOKUP(K337,O203:P221,2,(FALSE))</f>
        <v>0.5</v>
      </c>
      <c r="P341" s="288"/>
    </row>
    <row r="342" spans="1:16" ht="13.5" thickBot="1" x14ac:dyDescent="0.35">
      <c r="A342" s="770">
        <f>VLOOKUP($A$337,$B$242:$F$259,2,FALSE)</f>
        <v>25</v>
      </c>
      <c r="B342" s="771">
        <f>VLOOKUP($A$337,$B$242:$F$259,3,FALSE)</f>
        <v>0.2</v>
      </c>
      <c r="C342" s="771">
        <f>VLOOKUP($A$337,$B$242:$F$259,4,FALSE)</f>
        <v>-0.4</v>
      </c>
      <c r="D342" s="772">
        <f>VLOOKUP($A$337,$B$242:$F$259,5,FALSE)</f>
        <v>0.30000000000000004</v>
      </c>
      <c r="E342" s="754"/>
      <c r="F342" s="770">
        <f>VLOOKUP($F$337,$I$242:$M$259,2,FALSE)</f>
        <v>50</v>
      </c>
      <c r="G342" s="771">
        <f>VLOOKUP($F$337,$I$242:$M$259,3,FALSE)</f>
        <v>-1.4</v>
      </c>
      <c r="H342" s="771">
        <f>VLOOKUP($F$337,$I$242:$M$259,4,FALSE)</f>
        <v>-0.3</v>
      </c>
      <c r="I342" s="772">
        <f>VLOOKUP($F$337,$I$242:$M$259,5,FALSE)</f>
        <v>0.54999999999999993</v>
      </c>
      <c r="J342" s="754"/>
      <c r="K342" s="776" t="s">
        <v>133</v>
      </c>
      <c r="L342" s="774">
        <f>AVERAGE(ID!E16:F16)</f>
        <v>60</v>
      </c>
      <c r="M342" s="777">
        <f>L342+H350</f>
        <v>58.9</v>
      </c>
      <c r="N342" s="775">
        <f>STDEV('[1]INPUT DATA'!E19:F19)</f>
        <v>0.91923881554250975</v>
      </c>
      <c r="O342" s="289">
        <f>VLOOKUP(K337,O225:P243,2,(FALSE))</f>
        <v>2.6</v>
      </c>
      <c r="P342" s="288"/>
    </row>
    <row r="343" spans="1:16" ht="13" x14ac:dyDescent="0.3">
      <c r="A343" s="770">
        <f>VLOOKUP($A$337,$B$261:$F$278,2,FALSE)</f>
        <v>30</v>
      </c>
      <c r="B343" s="771">
        <f>VLOOKUP($A$337,$B$261:$F$278,3,FALSE)</f>
        <v>0.4</v>
      </c>
      <c r="C343" s="771">
        <f>VLOOKUP($A$337,$B$261:$F$278,4,FALSE)</f>
        <v>-0.2</v>
      </c>
      <c r="D343" s="772">
        <f>VLOOKUP($A$337,$B$261:$F$278,5,FALSE)</f>
        <v>0.30000000000000004</v>
      </c>
      <c r="E343" s="754"/>
      <c r="F343" s="770">
        <f>VLOOKUP($F$337,$I$261:$M$278,2,FALSE)</f>
        <v>60</v>
      </c>
      <c r="G343" s="771">
        <f>VLOOKUP($F$337,$I$261:$M$278,3,FALSE)</f>
        <v>-1.1000000000000001</v>
      </c>
      <c r="H343" s="771">
        <f>VLOOKUP($F$337,$I$261:$M$278,4,FALSE)</f>
        <v>-0.5</v>
      </c>
      <c r="I343" s="772">
        <f>VLOOKUP($F$337,$I$261:$M$278,5,FALSE)</f>
        <v>0.30000000000000004</v>
      </c>
      <c r="J343" s="754"/>
      <c r="K343" s="754"/>
      <c r="L343" s="290"/>
      <c r="M343" s="291"/>
      <c r="N343" s="290"/>
      <c r="O343" s="292"/>
      <c r="P343" s="288"/>
    </row>
    <row r="344" spans="1:16" ht="13.5" thickBot="1" x14ac:dyDescent="0.35">
      <c r="A344" s="770">
        <f>VLOOKUP($A$337,$B$280:$F$297,2,FALSE)</f>
        <v>35</v>
      </c>
      <c r="B344" s="771">
        <f>VLOOKUP($A$337,$B$280:$F$297,3,FALSE)</f>
        <v>0.8</v>
      </c>
      <c r="C344" s="771">
        <f>VLOOKUP($A$337,$B$280:$F$297,4,FALSE)</f>
        <v>-0.1</v>
      </c>
      <c r="D344" s="772">
        <f>VLOOKUP($A$337,$B$280:$F$297,5,FALSE)</f>
        <v>0.45</v>
      </c>
      <c r="E344" s="754"/>
      <c r="F344" s="770">
        <f>VLOOKUP($F$337,$I$280:$M$297,2,FALSE)</f>
        <v>70</v>
      </c>
      <c r="G344" s="771">
        <f>VLOOKUP($F$337,$I$280:$M$297,3,FALSE)</f>
        <v>-0.7</v>
      </c>
      <c r="H344" s="771">
        <f>VLOOKUP($F$337,$I$280:$M$297,4,FALSE)</f>
        <v>-0.8</v>
      </c>
      <c r="I344" s="772">
        <f>VLOOKUP($F$337,$I$280:$M$297,5,FALSE)</f>
        <v>5.0000000000000044E-2</v>
      </c>
      <c r="J344" s="754"/>
      <c r="K344" s="754"/>
      <c r="O344" s="293"/>
      <c r="P344" s="288"/>
    </row>
    <row r="345" spans="1:16" ht="14" x14ac:dyDescent="0.3">
      <c r="A345" s="770">
        <f>VLOOKUP($A$337,$B$299:$F$316,2,FALSE)</f>
        <v>37</v>
      </c>
      <c r="B345" s="771">
        <f>VLOOKUP($A$337,$B$299:$F$316,3,FALSE)</f>
        <v>1</v>
      </c>
      <c r="C345" s="771">
        <f>VLOOKUP($A$337,$B$299:$F$316,4,FALSE)</f>
        <v>-0.1</v>
      </c>
      <c r="D345" s="772">
        <f>VLOOKUP($A$337,$B$299:$F$316,5,FALSE)</f>
        <v>0.55000000000000004</v>
      </c>
      <c r="E345" s="754"/>
      <c r="F345" s="770">
        <f>VLOOKUP($F$337,$I$299:$M$316,2,FALSE)</f>
        <v>80</v>
      </c>
      <c r="G345" s="771">
        <f>VLOOKUP($F$337,$I$299:$M$316,3,FALSE)</f>
        <v>-0.4</v>
      </c>
      <c r="H345" s="771">
        <f>VLOOKUP($F$337,$I$299:$M$316,4,FALSE)</f>
        <v>-1.3</v>
      </c>
      <c r="I345" s="772">
        <f>VLOOKUP($F$337,$I$299:$M$316,5,FALSE)</f>
        <v>0.45</v>
      </c>
      <c r="J345" s="754"/>
      <c r="K345" s="1438" t="s">
        <v>192</v>
      </c>
      <c r="L345" s="684" t="str">
        <f>M359&amp;M357&amp;N359&amp;N357&amp;O359&amp;O357</f>
        <v>( 27.3 ± 0.5 ) °C</v>
      </c>
      <c r="M345" s="778"/>
      <c r="O345" s="294"/>
      <c r="P345" s="295"/>
    </row>
    <row r="346" spans="1:16" ht="14.5" thickBot="1" x14ac:dyDescent="0.35">
      <c r="A346" s="779">
        <f>VLOOKUP($A$337,$B$318:$F$335,2,FALSE)</f>
        <v>40</v>
      </c>
      <c r="B346" s="780">
        <f>VLOOKUP($A$337,$B$318:$F$335,3,FALSE)</f>
        <v>1.4</v>
      </c>
      <c r="C346" s="780">
        <f>VLOOKUP($A$337,$B$318:$F$335,4,FALSE)</f>
        <v>0</v>
      </c>
      <c r="D346" s="781">
        <f>VLOOKUP($A$337,$B$318:$F$335,5,FALSE)</f>
        <v>0.7</v>
      </c>
      <c r="E346" s="754"/>
      <c r="F346" s="779">
        <f>VLOOKUP($F$337,$I$318:$M$335,2,FALSE)</f>
        <v>90</v>
      </c>
      <c r="G346" s="780">
        <f>VLOOKUP($F$337,$I$318:$M$335,3,FALSE)</f>
        <v>-0.1</v>
      </c>
      <c r="H346" s="780">
        <f>VLOOKUP($F$337,$I$318:$M$335,4,FALSE)</f>
        <v>-2</v>
      </c>
      <c r="I346" s="781">
        <f>VLOOKUP($F$337,$I$318:$M$335,5,FALSE)</f>
        <v>0.95</v>
      </c>
      <c r="J346" s="754"/>
      <c r="K346" s="1439"/>
      <c r="L346" s="695" t="str">
        <f>M359&amp;M358&amp;N359&amp;N358&amp;O359&amp;O358</f>
        <v>( 58.9 ± 2.6 ) %RH</v>
      </c>
      <c r="M346" s="696"/>
      <c r="O346" s="294"/>
      <c r="P346" s="288"/>
    </row>
    <row r="347" spans="1:16" ht="16" thickBot="1" x14ac:dyDescent="0.4">
      <c r="A347" s="782"/>
      <c r="B347" s="754"/>
      <c r="C347" s="754"/>
      <c r="D347" s="754"/>
      <c r="E347" s="754"/>
      <c r="F347" s="754"/>
      <c r="G347" s="754"/>
      <c r="H347" s="754"/>
      <c r="I347" s="754"/>
      <c r="J347" s="754"/>
      <c r="K347" s="754"/>
      <c r="O347" s="294"/>
      <c r="P347" s="296"/>
    </row>
    <row r="348" spans="1:16" ht="14.5" thickBot="1" x14ac:dyDescent="0.35">
      <c r="A348" s="1440" t="s">
        <v>193</v>
      </c>
      <c r="B348" s="1441"/>
      <c r="C348" s="1441"/>
      <c r="D348" s="1442"/>
      <c r="E348" s="297"/>
      <c r="F348" s="1440" t="s">
        <v>194</v>
      </c>
      <c r="G348" s="1441"/>
      <c r="H348" s="1441"/>
      <c r="I348" s="1442"/>
      <c r="J348" s="754"/>
      <c r="K348" s="754"/>
      <c r="L348" s="754"/>
      <c r="M348" s="298"/>
      <c r="N348" s="279"/>
      <c r="O348" s="294"/>
      <c r="P348" s="299"/>
    </row>
    <row r="349" spans="1:16" ht="13.5" x14ac:dyDescent="0.3">
      <c r="A349" s="783"/>
      <c r="B349" s="784">
        <f>IF(A350&lt;=A341,A340,IF(A350&lt;=A342,A341,IF(A350&lt;=A343,A342,IF(A350&lt;=A344,A343,IF(A350&lt;=A345,A344,IF(A350&lt;=A346,A345))))))</f>
        <v>25</v>
      </c>
      <c r="C349" s="784"/>
      <c r="D349" s="785">
        <f>IF(A350&lt;=A341,B340,IF(A350&lt;=A342,B341,IF(A350&lt;=A343,B342,IF(A350&lt;=A344,B343,IF(A350&lt;=A345,B344,IF(A350&lt;=A346,B345))))))</f>
        <v>0.2</v>
      </c>
      <c r="E349" s="786"/>
      <c r="F349" s="787"/>
      <c r="G349" s="784">
        <f>IF(F350&lt;=F341,F340,IF(F350&lt;=F342,F341,IF(F350&lt;=F343,F342,IF(F350&lt;=F344,F343,IF(F350&lt;=F345,F344,IF(F350&lt;=F346,F345))))))</f>
        <v>50</v>
      </c>
      <c r="H349" s="784"/>
      <c r="I349" s="785">
        <f>IF(F350&lt;=F341,G340,IF(F350&lt;=F342,G341,IF(F350&lt;=F343,G342,IF(F350&lt;=F344,G343,IF(F350&lt;=F345,G344,IF(F350&lt;=F346,G345))))))</f>
        <v>-1.4</v>
      </c>
      <c r="J349" s="754"/>
      <c r="K349" s="754"/>
      <c r="L349" s="754"/>
      <c r="M349" s="754"/>
      <c r="N349" s="754"/>
      <c r="O349" s="788"/>
      <c r="P349" s="300"/>
    </row>
    <row r="350" spans="1:16" ht="14" x14ac:dyDescent="0.3">
      <c r="A350" s="789">
        <f>L341</f>
        <v>27</v>
      </c>
      <c r="B350" s="790"/>
      <c r="C350" s="790">
        <f>((A350-B349)/(B351-B349)*(D351-D349)+D349)</f>
        <v>0.28000000000000003</v>
      </c>
      <c r="D350" s="791"/>
      <c r="E350" s="786"/>
      <c r="F350" s="789">
        <f>L342</f>
        <v>60</v>
      </c>
      <c r="G350" s="790"/>
      <c r="H350" s="790">
        <f>((F350-G349)/(G351-G349)*(I351-I349)+I349)</f>
        <v>-1.1000000000000001</v>
      </c>
      <c r="I350" s="791"/>
      <c r="J350" s="754"/>
      <c r="K350" s="754"/>
      <c r="L350" s="754"/>
      <c r="M350" s="754"/>
      <c r="N350" s="754"/>
      <c r="O350" s="788"/>
      <c r="P350" s="301"/>
    </row>
    <row r="351" spans="1:16" ht="13.5" thickBot="1" x14ac:dyDescent="0.35">
      <c r="A351" s="792"/>
      <c r="B351" s="793">
        <f>IF(A350&lt;=A341,A341,IF(A350&lt;=A342,A342,IF(A350&lt;=A343,A343,IF(A350&lt;=A344,A344,IF(A350&lt;=A345,A345,IF(A350&lt;=A346,A346))))))</f>
        <v>30</v>
      </c>
      <c r="C351" s="794"/>
      <c r="D351" s="795">
        <f>IF(A350&lt;=A341,B341,IF(A350&lt;=A342,B342,IF(A350&lt;=A343,B343,IF(A350&lt;=A344,B344,IF(A350&lt;=A345,B345,IF(A350&lt;=A346,B346))))))</f>
        <v>0.4</v>
      </c>
      <c r="E351" s="796"/>
      <c r="F351" s="792"/>
      <c r="G351" s="793">
        <f>IF(F350&lt;=F341,F341,IF(F350&lt;=F342,F342,IF(F350&lt;=F343,F343,IF(F350&lt;=F344,F344,IF(F350&lt;=F345,F345,IF(F350&lt;=F346,F346))))))</f>
        <v>60</v>
      </c>
      <c r="H351" s="794"/>
      <c r="I351" s="795">
        <f>IF(F350&lt;=F341,G341,IF(F350&lt;=F342,G342,IF(F350&lt;=F343,G343,IF(F350&lt;=F344,G344,IF(F350&lt;=F345,G345,IF(F350&lt;=F346,G346))))))</f>
        <v>-1.1000000000000001</v>
      </c>
      <c r="J351" s="797"/>
      <c r="K351" s="797"/>
      <c r="L351" s="797"/>
      <c r="M351" s="797"/>
      <c r="N351" s="797"/>
      <c r="O351" s="798"/>
      <c r="P351" s="302"/>
    </row>
    <row r="355" spans="1:15" ht="13" thickBot="1" x14ac:dyDescent="0.3"/>
    <row r="356" spans="1:15" s="799" customFormat="1" ht="13.5" thickBot="1" x14ac:dyDescent="0.3">
      <c r="A356" s="1443" t="str">
        <f>ID!B56</f>
        <v>Thermohygrolight, Merek : EXTECH, Model : SD700, SN : A.100611</v>
      </c>
      <c r="B356" s="1444"/>
      <c r="C356" s="1444"/>
      <c r="D356" s="1444"/>
      <c r="E356" s="1444"/>
      <c r="F356" s="1444"/>
      <c r="G356" s="1444"/>
      <c r="H356" s="1444"/>
      <c r="I356" s="1445"/>
      <c r="J356" s="1445"/>
      <c r="K356" s="1446"/>
      <c r="M356" s="1447" t="s">
        <v>195</v>
      </c>
      <c r="N356" s="1447"/>
      <c r="O356" s="1447"/>
    </row>
    <row r="357" spans="1:15" s="799" customFormat="1" ht="15.5" x14ac:dyDescent="0.25">
      <c r="A357" s="800" t="s">
        <v>196</v>
      </c>
      <c r="B357" s="801"/>
      <c r="C357" s="801"/>
      <c r="D357" s="802"/>
      <c r="E357" s="802"/>
      <c r="F357" s="802"/>
      <c r="G357" s="803"/>
      <c r="H357" s="804"/>
      <c r="I357" s="805">
        <f>D4</f>
        <v>2020</v>
      </c>
      <c r="J357" s="806">
        <f>E4</f>
        <v>2017</v>
      </c>
      <c r="K357" s="807">
        <v>1</v>
      </c>
      <c r="M357" s="303" t="str">
        <f>TEXT(M341,"0.0")</f>
        <v>27.3</v>
      </c>
      <c r="N357" s="303" t="str">
        <f>TEXT(O341,"0.0")</f>
        <v>0.5</v>
      </c>
      <c r="O357" s="808" t="s">
        <v>197</v>
      </c>
    </row>
    <row r="358" spans="1:15" s="799" customFormat="1" ht="15.5" x14ac:dyDescent="0.25">
      <c r="A358" s="800" t="s">
        <v>198</v>
      </c>
      <c r="B358" s="801"/>
      <c r="C358" s="801"/>
      <c r="D358" s="802"/>
      <c r="E358" s="802"/>
      <c r="F358" s="802"/>
      <c r="G358" s="803"/>
      <c r="H358" s="804"/>
      <c r="I358" s="809">
        <f>D15</f>
        <v>2018</v>
      </c>
      <c r="J358" s="810">
        <f>E15</f>
        <v>2017</v>
      </c>
      <c r="K358" s="807">
        <v>2</v>
      </c>
      <c r="M358" s="303" t="str">
        <f>TEXT(M342,"0.0")</f>
        <v>58.9</v>
      </c>
      <c r="N358" s="303" t="str">
        <f>TEXT(O342,"0.0")</f>
        <v>2.6</v>
      </c>
      <c r="O358" s="808" t="s">
        <v>199</v>
      </c>
    </row>
    <row r="359" spans="1:15" s="799" customFormat="1" ht="15.5" x14ac:dyDescent="0.3">
      <c r="A359" s="800" t="s">
        <v>200</v>
      </c>
      <c r="B359" s="801"/>
      <c r="C359" s="801"/>
      <c r="D359" s="802"/>
      <c r="E359" s="802"/>
      <c r="F359" s="802"/>
      <c r="G359" s="803"/>
      <c r="H359" s="804"/>
      <c r="I359" s="809">
        <f>D26</f>
        <v>2018</v>
      </c>
      <c r="J359" s="810">
        <f>E26</f>
        <v>2017</v>
      </c>
      <c r="K359" s="807">
        <v>3</v>
      </c>
      <c r="M359" s="811" t="s">
        <v>201</v>
      </c>
      <c r="N359" s="812" t="s">
        <v>202</v>
      </c>
      <c r="O359" s="812" t="s">
        <v>203</v>
      </c>
    </row>
    <row r="360" spans="1:15" s="799" customFormat="1" ht="13" x14ac:dyDescent="0.25">
      <c r="A360" s="800" t="s">
        <v>204</v>
      </c>
      <c r="B360" s="801"/>
      <c r="C360" s="801"/>
      <c r="D360" s="802"/>
      <c r="E360" s="802"/>
      <c r="F360" s="802"/>
      <c r="G360" s="803"/>
      <c r="H360" s="804"/>
      <c r="I360" s="809">
        <f>D37</f>
        <v>2017</v>
      </c>
      <c r="J360" s="810">
        <f>E37</f>
        <v>2015</v>
      </c>
      <c r="K360" s="807">
        <v>4</v>
      </c>
    </row>
    <row r="361" spans="1:15" s="799" customFormat="1" ht="13" x14ac:dyDescent="0.25">
      <c r="A361" s="800" t="s">
        <v>205</v>
      </c>
      <c r="B361" s="801"/>
      <c r="C361" s="801"/>
      <c r="D361" s="802"/>
      <c r="E361" s="802"/>
      <c r="F361" s="802"/>
      <c r="G361" s="803"/>
      <c r="H361" s="804"/>
      <c r="I361" s="809">
        <f>D48</f>
        <v>2020</v>
      </c>
      <c r="J361" s="810">
        <f>E48</f>
        <v>2017</v>
      </c>
      <c r="K361" s="807">
        <v>5</v>
      </c>
    </row>
    <row r="362" spans="1:15" s="799" customFormat="1" ht="13" x14ac:dyDescent="0.25">
      <c r="A362" s="800" t="s">
        <v>206</v>
      </c>
      <c r="B362" s="801"/>
      <c r="C362" s="801"/>
      <c r="D362" s="802"/>
      <c r="E362" s="802"/>
      <c r="F362" s="802"/>
      <c r="G362" s="803"/>
      <c r="H362" s="804"/>
      <c r="I362" s="809">
        <f>D59</f>
        <v>2019</v>
      </c>
      <c r="J362" s="810">
        <f>E59</f>
        <v>2018</v>
      </c>
      <c r="K362" s="807">
        <v>6</v>
      </c>
    </row>
    <row r="363" spans="1:15" s="799" customFormat="1" ht="13" x14ac:dyDescent="0.25">
      <c r="A363" s="800" t="s">
        <v>207</v>
      </c>
      <c r="B363" s="801"/>
      <c r="C363" s="801"/>
      <c r="D363" s="802"/>
      <c r="E363" s="802"/>
      <c r="F363" s="802"/>
      <c r="G363" s="803"/>
      <c r="H363" s="804"/>
      <c r="I363" s="809">
        <f>D70</f>
        <v>2018</v>
      </c>
      <c r="J363" s="810">
        <f>E70</f>
        <v>2017</v>
      </c>
      <c r="K363" s="807">
        <v>7</v>
      </c>
    </row>
    <row r="364" spans="1:15" s="799" customFormat="1" ht="13" x14ac:dyDescent="0.25">
      <c r="A364" s="800" t="s">
        <v>208</v>
      </c>
      <c r="B364" s="801"/>
      <c r="C364" s="801"/>
      <c r="D364" s="802"/>
      <c r="E364" s="802"/>
      <c r="F364" s="802"/>
      <c r="G364" s="803"/>
      <c r="H364" s="804"/>
      <c r="I364" s="809">
        <f>D81</f>
        <v>2019</v>
      </c>
      <c r="J364" s="810">
        <f>E81</f>
        <v>2017</v>
      </c>
      <c r="K364" s="807">
        <v>8</v>
      </c>
    </row>
    <row r="365" spans="1:15" s="799" customFormat="1" ht="13" x14ac:dyDescent="0.25">
      <c r="A365" s="800" t="s">
        <v>209</v>
      </c>
      <c r="B365" s="801"/>
      <c r="C365" s="801"/>
      <c r="D365" s="802"/>
      <c r="E365" s="802"/>
      <c r="F365" s="802"/>
      <c r="G365" s="803"/>
      <c r="H365" s="804"/>
      <c r="I365" s="809">
        <f>D92</f>
        <v>2019</v>
      </c>
      <c r="J365" s="810" t="str">
        <f>E92</f>
        <v>-</v>
      </c>
      <c r="K365" s="807">
        <v>9</v>
      </c>
    </row>
    <row r="366" spans="1:15" s="799" customFormat="1" ht="13" x14ac:dyDescent="0.25">
      <c r="A366" s="800" t="s">
        <v>210</v>
      </c>
      <c r="B366" s="801"/>
      <c r="C366" s="801"/>
      <c r="D366" s="802"/>
      <c r="E366" s="802"/>
      <c r="F366" s="802"/>
      <c r="G366" s="803"/>
      <c r="H366" s="804"/>
      <c r="I366" s="809">
        <f>D103</f>
        <v>2019</v>
      </c>
      <c r="J366" s="810">
        <f>E103</f>
        <v>2016</v>
      </c>
      <c r="K366" s="807">
        <v>10</v>
      </c>
    </row>
    <row r="367" spans="1:15" s="799" customFormat="1" ht="13" x14ac:dyDescent="0.25">
      <c r="A367" s="800" t="s">
        <v>211</v>
      </c>
      <c r="B367" s="801"/>
      <c r="C367" s="801"/>
      <c r="D367" s="802"/>
      <c r="E367" s="802"/>
      <c r="F367" s="802"/>
      <c r="G367" s="803"/>
      <c r="H367" s="804"/>
      <c r="I367" s="809">
        <f>D114</f>
        <v>2020</v>
      </c>
      <c r="J367" s="810" t="str">
        <f>E114</f>
        <v>-</v>
      </c>
      <c r="K367" s="807">
        <v>11</v>
      </c>
    </row>
    <row r="368" spans="1:15" s="799" customFormat="1" ht="13" x14ac:dyDescent="0.25">
      <c r="A368" s="800" t="s">
        <v>374</v>
      </c>
      <c r="B368" s="801"/>
      <c r="C368" s="801"/>
      <c r="D368" s="802"/>
      <c r="E368" s="802"/>
      <c r="F368" s="802"/>
      <c r="G368" s="803"/>
      <c r="H368" s="804"/>
      <c r="I368" s="813">
        <f>D125</f>
        <v>2022</v>
      </c>
      <c r="J368" s="813">
        <f>E125</f>
        <v>2020</v>
      </c>
      <c r="K368" s="807">
        <v>12</v>
      </c>
    </row>
    <row r="369" spans="1:11" s="799" customFormat="1" ht="13" x14ac:dyDescent="0.25">
      <c r="A369" s="800" t="s">
        <v>375</v>
      </c>
      <c r="B369" s="801"/>
      <c r="C369" s="801"/>
      <c r="D369" s="802"/>
      <c r="E369" s="802"/>
      <c r="F369" s="802"/>
      <c r="G369" s="803"/>
      <c r="H369" s="804"/>
      <c r="I369" s="813">
        <f>D136</f>
        <v>2022</v>
      </c>
      <c r="J369" s="813">
        <f>E136</f>
        <v>2020</v>
      </c>
      <c r="K369" s="807">
        <v>13</v>
      </c>
    </row>
    <row r="370" spans="1:11" s="799" customFormat="1" ht="13" x14ac:dyDescent="0.25">
      <c r="A370" s="800" t="s">
        <v>376</v>
      </c>
      <c r="B370" s="801"/>
      <c r="C370" s="801"/>
      <c r="D370" s="802"/>
      <c r="E370" s="802"/>
      <c r="F370" s="802"/>
      <c r="G370" s="803"/>
      <c r="H370" s="804"/>
      <c r="I370" s="813">
        <f>D147</f>
        <v>2022</v>
      </c>
      <c r="J370" s="813">
        <f>E147</f>
        <v>2020</v>
      </c>
      <c r="K370" s="807">
        <v>14</v>
      </c>
    </row>
    <row r="371" spans="1:11" s="799" customFormat="1" ht="13" x14ac:dyDescent="0.25">
      <c r="A371" s="800" t="s">
        <v>377</v>
      </c>
      <c r="B371" s="801"/>
      <c r="C371" s="801"/>
      <c r="D371" s="802"/>
      <c r="E371" s="802"/>
      <c r="F371" s="802"/>
      <c r="G371" s="803"/>
      <c r="H371" s="804"/>
      <c r="I371" s="813">
        <f>D158</f>
        <v>2020</v>
      </c>
      <c r="J371" s="813" t="str">
        <f>E158</f>
        <v>-</v>
      </c>
      <c r="K371" s="807">
        <v>15</v>
      </c>
    </row>
    <row r="372" spans="1:11" s="799" customFormat="1" ht="13" x14ac:dyDescent="0.25">
      <c r="A372" s="800" t="s">
        <v>378</v>
      </c>
      <c r="B372" s="801"/>
      <c r="C372" s="801"/>
      <c r="D372" s="802"/>
      <c r="E372" s="802"/>
      <c r="F372" s="802"/>
      <c r="G372" s="803"/>
      <c r="H372" s="804"/>
      <c r="I372" s="813">
        <f>D169</f>
        <v>2020</v>
      </c>
      <c r="J372" s="813" t="str">
        <f>E169</f>
        <v>-</v>
      </c>
      <c r="K372" s="807">
        <v>16</v>
      </c>
    </row>
    <row r="373" spans="1:11" s="799" customFormat="1" ht="13" x14ac:dyDescent="0.25">
      <c r="A373" s="800" t="s">
        <v>379</v>
      </c>
      <c r="B373" s="801"/>
      <c r="C373" s="801"/>
      <c r="D373" s="802"/>
      <c r="E373" s="802"/>
      <c r="F373" s="802"/>
      <c r="G373" s="803"/>
      <c r="H373" s="804"/>
      <c r="I373" s="813">
        <f>D180</f>
        <v>2020</v>
      </c>
      <c r="J373" s="813" t="str">
        <f>E180</f>
        <v>-</v>
      </c>
      <c r="K373" s="807">
        <v>17</v>
      </c>
    </row>
    <row r="374" spans="1:11" s="799" customFormat="1" ht="13.5" thickBot="1" x14ac:dyDescent="0.3">
      <c r="A374" s="800" t="s">
        <v>380</v>
      </c>
      <c r="B374" s="801"/>
      <c r="C374" s="801"/>
      <c r="D374" s="802"/>
      <c r="E374" s="802"/>
      <c r="F374" s="802"/>
      <c r="G374" s="803"/>
      <c r="H374" s="804"/>
      <c r="I374" s="814">
        <f>D191</f>
        <v>2017</v>
      </c>
      <c r="J374" s="815" t="str">
        <f>E191</f>
        <v>-</v>
      </c>
      <c r="K374" s="807">
        <v>18</v>
      </c>
    </row>
    <row r="375" spans="1:11" s="799" customFormat="1" ht="13.5" thickBot="1" x14ac:dyDescent="0.3">
      <c r="A375" s="1448">
        <f>VLOOKUP(A356,A357:K374,11,(FALSE))</f>
        <v>12</v>
      </c>
      <c r="B375" s="1449"/>
      <c r="C375" s="1449"/>
      <c r="D375" s="1449"/>
      <c r="E375" s="1449"/>
      <c r="F375" s="1449"/>
      <c r="G375" s="1449"/>
      <c r="H375" s="1449"/>
      <c r="I375" s="1450"/>
      <c r="J375" s="1450"/>
      <c r="K375" s="1451"/>
    </row>
  </sheetData>
  <mergeCells count="263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2C16-7414-4875-9CA2-219463BE1A7D}">
  <dimension ref="A1:H61"/>
  <sheetViews>
    <sheetView view="pageBreakPreview" topLeftCell="A12" zoomScale="91" zoomScaleNormal="100" zoomScaleSheetLayoutView="91" workbookViewId="0">
      <selection activeCell="H12" sqref="H12"/>
    </sheetView>
  </sheetViews>
  <sheetFormatPr defaultColWidth="9.1796875" defaultRowHeight="14.5" x14ac:dyDescent="0.35"/>
  <cols>
    <col min="1" max="1" width="18.1796875" style="909" customWidth="1"/>
    <col min="2" max="2" width="25" style="909" customWidth="1"/>
    <col min="3" max="3" width="2.453125" style="909" customWidth="1"/>
    <col min="4" max="4" width="12.26953125" style="909" customWidth="1"/>
    <col min="5" max="5" width="9.1796875" style="909"/>
    <col min="6" max="6" width="16.81640625" style="909" customWidth="1"/>
    <col min="7" max="16384" width="9.1796875" style="909"/>
  </cols>
  <sheetData>
    <row r="1" spans="1:8" x14ac:dyDescent="0.35">
      <c r="H1" s="909" t="str">
        <f>IF(PENYELIA!J61&gt;=70,"Laik","Tidak Laik")</f>
        <v>Laik</v>
      </c>
    </row>
    <row r="2" spans="1:8" ht="32.25" customHeight="1" x14ac:dyDescent="0.35">
      <c r="A2" s="1514" t="s">
        <v>428</v>
      </c>
      <c r="B2" s="1514"/>
      <c r="C2" s="1514"/>
      <c r="D2" s="1514"/>
      <c r="E2" s="1514"/>
      <c r="F2" s="1514"/>
    </row>
    <row r="3" spans="1:8" x14ac:dyDescent="0.35">
      <c r="A3" s="1515" t="str">
        <f>"Nomor : 52 /"&amp;" "&amp;ID!I2</f>
        <v>Nomor : 52 / 1 / III - 20 / E - 00-00 DL</v>
      </c>
      <c r="B3" s="1515"/>
      <c r="C3" s="1515"/>
      <c r="D3" s="1515"/>
      <c r="E3" s="1515"/>
      <c r="F3" s="1515"/>
    </row>
    <row r="4" spans="1:8" x14ac:dyDescent="0.35">
      <c r="D4" s="1516" t="s">
        <v>464</v>
      </c>
      <c r="E4" s="1516"/>
      <c r="F4" s="1516"/>
    </row>
    <row r="6" spans="1:8" ht="28.5" customHeight="1" x14ac:dyDescent="0.35">
      <c r="A6" s="910" t="s">
        <v>429</v>
      </c>
      <c r="B6" s="911" t="s">
        <v>430</v>
      </c>
      <c r="C6" s="912"/>
      <c r="D6" s="913" t="s">
        <v>466</v>
      </c>
      <c r="E6" s="914"/>
      <c r="F6" s="915" t="str">
        <f>MID(A3,SEARCH("E - ",A3),LEN(A3))</f>
        <v>E - 00-00 DL</v>
      </c>
    </row>
    <row r="7" spans="1:8" x14ac:dyDescent="0.35">
      <c r="A7" s="909" t="s">
        <v>159</v>
      </c>
    </row>
    <row r="8" spans="1:8" x14ac:dyDescent="0.35">
      <c r="A8" s="1513" t="s">
        <v>25</v>
      </c>
      <c r="B8" s="1513"/>
      <c r="C8" s="909" t="s">
        <v>61</v>
      </c>
      <c r="D8" s="909" t="str">
        <f>ID!E4</f>
        <v>BTL</v>
      </c>
    </row>
    <row r="9" spans="1:8" x14ac:dyDescent="0.35">
      <c r="A9" s="1513" t="s">
        <v>431</v>
      </c>
      <c r="B9" s="1513"/>
      <c r="C9" s="909" t="s">
        <v>61</v>
      </c>
      <c r="D9" s="909" t="str">
        <f>ID!E5</f>
        <v>BTL - 16 Plus</v>
      </c>
    </row>
    <row r="10" spans="1:8" x14ac:dyDescent="0.35">
      <c r="A10" s="1513" t="s">
        <v>432</v>
      </c>
      <c r="B10" s="1513"/>
      <c r="C10" s="909" t="s">
        <v>61</v>
      </c>
      <c r="D10" s="909" t="str">
        <f>ID!E6</f>
        <v>IC3121005</v>
      </c>
    </row>
    <row r="11" spans="1:8" hidden="1" x14ac:dyDescent="0.35">
      <c r="A11" s="1517" t="s">
        <v>433</v>
      </c>
      <c r="B11" s="1517"/>
    </row>
    <row r="12" spans="1:8" x14ac:dyDescent="0.35">
      <c r="A12" s="1517" t="s">
        <v>252</v>
      </c>
      <c r="B12" s="1517"/>
      <c r="C12" s="909" t="s">
        <v>61</v>
      </c>
      <c r="D12" s="916">
        <f>ID!E7</f>
        <v>1</v>
      </c>
      <c r="E12" s="909" t="str">
        <f>ID!F7</f>
        <v>Kg</v>
      </c>
    </row>
    <row r="14" spans="1:8" ht="27.75" customHeight="1" x14ac:dyDescent="0.35">
      <c r="A14" s="917" t="s">
        <v>434</v>
      </c>
      <c r="B14" s="918"/>
      <c r="D14" s="1518" t="s">
        <v>435</v>
      </c>
      <c r="E14" s="1519"/>
      <c r="F14" s="919"/>
    </row>
    <row r="16" spans="1:8" ht="36.75" customHeight="1" x14ac:dyDescent="0.35">
      <c r="A16" s="920" t="s">
        <v>436</v>
      </c>
      <c r="C16" s="920" t="s">
        <v>61</v>
      </c>
      <c r="D16" s="920" t="s">
        <v>437</v>
      </c>
    </row>
    <row r="17" spans="1:6" x14ac:dyDescent="0.35">
      <c r="A17" s="1513" t="s">
        <v>438</v>
      </c>
      <c r="B17" s="1513"/>
      <c r="C17" s="909" t="s">
        <v>61</v>
      </c>
      <c r="D17" s="909" t="str">
        <f>LH!E11</f>
        <v>Disana</v>
      </c>
    </row>
    <row r="18" spans="1:6" x14ac:dyDescent="0.35">
      <c r="A18" s="1513" t="s">
        <v>439</v>
      </c>
      <c r="B18" s="1513"/>
      <c r="C18" s="909" t="s">
        <v>61</v>
      </c>
      <c r="D18" s="1520">
        <f>LH!E8</f>
        <v>44572</v>
      </c>
      <c r="E18" s="1520"/>
    </row>
    <row r="19" spans="1:6" x14ac:dyDescent="0.35">
      <c r="A19" s="1513" t="s">
        <v>14</v>
      </c>
      <c r="B19" s="1513"/>
      <c r="C19" s="909" t="s">
        <v>61</v>
      </c>
      <c r="D19" s="1520">
        <f>LH!E9</f>
        <v>44572</v>
      </c>
      <c r="E19" s="1520"/>
    </row>
    <row r="20" spans="1:6" x14ac:dyDescent="0.35">
      <c r="A20" s="1513" t="s">
        <v>440</v>
      </c>
      <c r="B20" s="1513"/>
      <c r="C20" s="909" t="s">
        <v>61</v>
      </c>
      <c r="D20" s="909" t="str">
        <f>ID!B62</f>
        <v>Rangga Setya Hantoko</v>
      </c>
    </row>
    <row r="21" spans="1:6" x14ac:dyDescent="0.35">
      <c r="A21" s="1513" t="s">
        <v>441</v>
      </c>
      <c r="B21" s="1513"/>
      <c r="C21" s="909" t="s">
        <v>61</v>
      </c>
      <c r="D21" s="909" t="str">
        <f>ID!E10</f>
        <v>Disini</v>
      </c>
    </row>
    <row r="22" spans="1:6" ht="35.25" customHeight="1" x14ac:dyDescent="0.35">
      <c r="A22" s="922" t="s">
        <v>442</v>
      </c>
      <c r="C22" s="920" t="s">
        <v>61</v>
      </c>
      <c r="D22" s="1521" t="s">
        <v>443</v>
      </c>
      <c r="E22" s="1521"/>
      <c r="F22" s="1521"/>
    </row>
    <row r="23" spans="1:6" x14ac:dyDescent="0.35">
      <c r="A23" s="912" t="s">
        <v>444</v>
      </c>
      <c r="C23" s="909" t="s">
        <v>61</v>
      </c>
      <c r="D23" s="909" t="str">
        <f>ID!E12</f>
        <v>MK 053 - 18</v>
      </c>
    </row>
    <row r="26" spans="1:6" ht="21.75" customHeight="1" x14ac:dyDescent="0.35">
      <c r="D26" s="923" t="s">
        <v>445</v>
      </c>
      <c r="E26" s="1522">
        <f ca="1">TODAY()</f>
        <v>45190</v>
      </c>
      <c r="F26" s="1522"/>
    </row>
    <row r="27" spans="1:6" x14ac:dyDescent="0.35">
      <c r="D27" s="1513" t="s">
        <v>446</v>
      </c>
      <c r="E27" s="1513"/>
      <c r="F27" s="1513"/>
    </row>
    <row r="28" spans="1:6" x14ac:dyDescent="0.35">
      <c r="D28" s="1513" t="s">
        <v>447</v>
      </c>
      <c r="E28" s="1513"/>
      <c r="F28" s="1513"/>
    </row>
    <row r="29" spans="1:6" x14ac:dyDescent="0.35">
      <c r="D29" s="924"/>
      <c r="E29" s="924"/>
      <c r="F29" s="925"/>
    </row>
    <row r="30" spans="1:6" x14ac:dyDescent="0.35">
      <c r="D30" s="924"/>
      <c r="E30" s="924"/>
      <c r="F30" s="925"/>
    </row>
    <row r="31" spans="1:6" x14ac:dyDescent="0.35">
      <c r="D31" s="924"/>
      <c r="E31" s="924"/>
      <c r="F31" s="925"/>
    </row>
    <row r="32" spans="1:6" x14ac:dyDescent="0.35">
      <c r="D32" s="1513" t="s">
        <v>448</v>
      </c>
      <c r="E32" s="1513"/>
      <c r="F32" s="1513"/>
    </row>
    <row r="33" spans="1:6" x14ac:dyDescent="0.35">
      <c r="D33" s="1513" t="s">
        <v>449</v>
      </c>
      <c r="E33" s="1513"/>
      <c r="F33" s="1513"/>
    </row>
    <row r="42" spans="1:6" ht="15" thickBot="1" x14ac:dyDescent="0.4"/>
    <row r="43" spans="1:6" x14ac:dyDescent="0.35">
      <c r="A43" s="926" t="s">
        <v>450</v>
      </c>
      <c r="B43" s="927" t="str">
        <f>MID(ID!I2,SEARCH("E - ",ID!I2),LEN(ID!I2))</f>
        <v>E - 00-00 DL</v>
      </c>
      <c r="C43" s="927"/>
      <c r="D43" s="927"/>
      <c r="E43" s="928"/>
    </row>
    <row r="44" spans="1:6" x14ac:dyDescent="0.35">
      <c r="A44" s="929"/>
      <c r="E44" s="930"/>
    </row>
    <row r="45" spans="1:6" ht="26.5" x14ac:dyDescent="0.35">
      <c r="A45" s="931" t="s">
        <v>451</v>
      </c>
      <c r="B45" s="920" t="str">
        <f>ID!A1</f>
        <v>INPUT DATA KALIBRASI TRACTION UNIT</v>
      </c>
      <c r="E45" s="930"/>
    </row>
    <row r="46" spans="1:6" ht="26.5" x14ac:dyDescent="0.35">
      <c r="A46" s="931" t="s">
        <v>452</v>
      </c>
      <c r="B46" s="909" t="str">
        <f>IF(B45="INPUT DATA KALIBRASI TRACTION UNIT",B47,B48)</f>
        <v>SERTIFIKAT KALIBRASI</v>
      </c>
      <c r="E46" s="930"/>
    </row>
    <row r="47" spans="1:6" x14ac:dyDescent="0.35">
      <c r="A47" s="931" t="s">
        <v>453</v>
      </c>
      <c r="B47" s="932" t="s">
        <v>428</v>
      </c>
      <c r="E47" s="930"/>
    </row>
    <row r="48" spans="1:6" x14ac:dyDescent="0.35">
      <c r="A48" s="929"/>
      <c r="B48" s="932" t="s">
        <v>454</v>
      </c>
      <c r="E48" s="930"/>
    </row>
    <row r="49" spans="1:5" x14ac:dyDescent="0.35">
      <c r="A49" s="929"/>
      <c r="E49" s="930"/>
    </row>
    <row r="50" spans="1:5" ht="39.5" x14ac:dyDescent="0.35">
      <c r="A50" s="931" t="s">
        <v>455</v>
      </c>
      <c r="B50" s="909" t="str">
        <f>IF(RIGHT(A2,10)=" KALIBRASI","Kalibrasi","Pengujian")</f>
        <v>Kalibrasi</v>
      </c>
      <c r="E50" s="930"/>
    </row>
    <row r="51" spans="1:5" x14ac:dyDescent="0.35">
      <c r="A51" s="929"/>
      <c r="E51" s="930"/>
    </row>
    <row r="52" spans="1:5" ht="28" x14ac:dyDescent="0.35">
      <c r="A52" s="931" t="s">
        <v>456</v>
      </c>
      <c r="B52" s="933" t="s">
        <v>457</v>
      </c>
      <c r="E52" s="930"/>
    </row>
    <row r="53" spans="1:5" x14ac:dyDescent="0.35">
      <c r="A53" s="929"/>
      <c r="E53" s="930"/>
    </row>
    <row r="54" spans="1:5" ht="48.75" customHeight="1" x14ac:dyDescent="0.35">
      <c r="A54" s="934" t="s">
        <v>458</v>
      </c>
      <c r="B54" s="921">
        <f>DATE(YEAR(D19)+1,MONTH(D19),DAY(D19))</f>
        <v>44937</v>
      </c>
      <c r="E54" s="930"/>
    </row>
    <row r="55" spans="1:5" ht="26.5" x14ac:dyDescent="0.35">
      <c r="A55" s="931" t="s">
        <v>459</v>
      </c>
      <c r="B55" s="921" t="str">
        <f>TEXT(B54,"d mmmm yyyy")</f>
        <v>11 January 2023</v>
      </c>
      <c r="E55" s="930"/>
    </row>
    <row r="56" spans="1:5" x14ac:dyDescent="0.35">
      <c r="A56" s="929"/>
      <c r="E56" s="930"/>
    </row>
    <row r="57" spans="1:5" ht="28.5" x14ac:dyDescent="0.35">
      <c r="A57" s="934" t="s">
        <v>460</v>
      </c>
      <c r="B57" s="909" t="str">
        <f>IF(B46=B47,B58,B59)</f>
        <v>Laik Pakai, disarankan untuk dikalibrasi ulang pada tanggal 11 January 2023</v>
      </c>
      <c r="E57" s="930"/>
    </row>
    <row r="58" spans="1:5" ht="24.75" customHeight="1" x14ac:dyDescent="0.35">
      <c r="A58" s="929" t="s">
        <v>461</v>
      </c>
      <c r="B58" s="909" t="str">
        <f>CONCATENATE(B60,B55)</f>
        <v>Laik Pakai, disarankan untuk dikalibrasi ulang pada tanggal 11 January 2023</v>
      </c>
      <c r="E58" s="930"/>
    </row>
    <row r="59" spans="1:5" ht="24" customHeight="1" x14ac:dyDescent="0.35">
      <c r="A59" s="929"/>
      <c r="B59" s="909" t="str">
        <f>CONCATENATE(B61,B55)</f>
        <v>Laik Pakai, disarankan untuk diuji ulang pada tanggal 11 January 2023</v>
      </c>
      <c r="E59" s="930"/>
    </row>
    <row r="60" spans="1:5" ht="30" customHeight="1" x14ac:dyDescent="0.35">
      <c r="A60" s="935" t="s">
        <v>453</v>
      </c>
      <c r="B60" s="936" t="s">
        <v>462</v>
      </c>
      <c r="E60" s="930"/>
    </row>
    <row r="61" spans="1:5" ht="29.25" customHeight="1" thickBot="1" x14ac:dyDescent="0.4">
      <c r="A61" s="937"/>
      <c r="B61" s="938" t="s">
        <v>463</v>
      </c>
      <c r="C61" s="938"/>
      <c r="D61" s="938"/>
      <c r="E61" s="939"/>
    </row>
  </sheetData>
  <mergeCells count="22">
    <mergeCell ref="D32:F32"/>
    <mergeCell ref="D33:F33"/>
    <mergeCell ref="D18:E18"/>
    <mergeCell ref="D19:E19"/>
    <mergeCell ref="A20:B20"/>
    <mergeCell ref="A21:B21"/>
    <mergeCell ref="D22:F22"/>
    <mergeCell ref="E26:F26"/>
    <mergeCell ref="D27:F27"/>
    <mergeCell ref="D28:F28"/>
    <mergeCell ref="A19:B19"/>
    <mergeCell ref="A11:B11"/>
    <mergeCell ref="A12:B12"/>
    <mergeCell ref="D14:E14"/>
    <mergeCell ref="A17:B17"/>
    <mergeCell ref="A18:B18"/>
    <mergeCell ref="A10:B10"/>
    <mergeCell ref="A2:F2"/>
    <mergeCell ref="A3:F3"/>
    <mergeCell ref="D4:F4"/>
    <mergeCell ref="A8:B8"/>
    <mergeCell ref="A9:B9"/>
  </mergeCells>
  <dataValidations count="1">
    <dataValidation type="list" allowBlank="1" showInputMessage="1" showErrorMessage="1" sqref="A2:F2" xr:uid="{9D72F115-B430-4F3F-A99F-097A2846441F}">
      <formula1>"SERTIFIKAT KALIBRASI,SERTIFIKAT PENGUJIAN"</formula1>
    </dataValidation>
  </dataValidations>
  <pageMargins left="0.7" right="0.7" top="0.13708333333333333" bottom="0.75" header="0.3" footer="0.3"/>
  <pageSetup paperSize="9" scale="94" orientation="portrait" horizontalDpi="360" verticalDpi="360" r:id="rId1"/>
  <rowBreaks count="1" manualBreakCount="1">
    <brk id="3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F1E8-BBDA-4707-953B-3443DFFEA039}">
  <dimension ref="A1:I36"/>
  <sheetViews>
    <sheetView topLeftCell="A12" workbookViewId="0">
      <selection activeCell="J15" sqref="J15"/>
    </sheetView>
  </sheetViews>
  <sheetFormatPr defaultRowHeight="12.5" x14ac:dyDescent="0.25"/>
  <sheetData>
    <row r="1" spans="1:2" x14ac:dyDescent="0.25">
      <c r="A1" s="160">
        <v>500</v>
      </c>
      <c r="B1" t="str">
        <f>ID!C27</f>
        <v>Arus bocor peralatan untuk peralatan elektromedik kelas I</v>
      </c>
    </row>
    <row r="2" spans="1:2" x14ac:dyDescent="0.25">
      <c r="A2" s="160">
        <v>100</v>
      </c>
      <c r="B2">
        <f>LOOKUP(B1,A3:A4,A1:A2)</f>
        <v>500</v>
      </c>
    </row>
    <row r="3" spans="1:2" x14ac:dyDescent="0.25">
      <c r="A3" s="160" t="s">
        <v>274</v>
      </c>
    </row>
    <row r="4" spans="1:2" x14ac:dyDescent="0.25">
      <c r="A4" t="s">
        <v>265</v>
      </c>
    </row>
    <row r="7" spans="1:2" x14ac:dyDescent="0.25">
      <c r="A7" s="119" t="s">
        <v>355</v>
      </c>
    </row>
    <row r="8" spans="1:2" x14ac:dyDescent="0.25">
      <c r="A8" s="120" t="s">
        <v>356</v>
      </c>
    </row>
    <row r="9" spans="1:2" x14ac:dyDescent="0.25">
      <c r="A9" s="119"/>
    </row>
    <row r="10" spans="1:2" x14ac:dyDescent="0.25">
      <c r="A10" s="120"/>
    </row>
    <row r="11" spans="1:2" x14ac:dyDescent="0.25">
      <c r="A11" s="121" t="s">
        <v>386</v>
      </c>
    </row>
    <row r="12" spans="1:2" x14ac:dyDescent="0.25">
      <c r="A12" s="121" t="s">
        <v>387</v>
      </c>
    </row>
    <row r="17" spans="1:9" ht="13" x14ac:dyDescent="0.3">
      <c r="A17" s="112" t="s">
        <v>212</v>
      </c>
      <c r="I17" t="s">
        <v>330</v>
      </c>
    </row>
    <row r="18" spans="1:9" ht="13" x14ac:dyDescent="0.3">
      <c r="A18" s="112" t="s">
        <v>29</v>
      </c>
      <c r="I18" s="160" t="s">
        <v>358</v>
      </c>
    </row>
    <row r="19" spans="1:9" ht="13" x14ac:dyDescent="0.3">
      <c r="A19" s="112" t="s">
        <v>84</v>
      </c>
    </row>
    <row r="20" spans="1:9" ht="13" x14ac:dyDescent="0.3">
      <c r="A20" s="112" t="s">
        <v>82</v>
      </c>
      <c r="I20" t="s">
        <v>166</v>
      </c>
    </row>
    <row r="21" spans="1:9" ht="13" x14ac:dyDescent="0.3">
      <c r="A21" s="112" t="s">
        <v>213</v>
      </c>
      <c r="I21" s="160" t="s">
        <v>359</v>
      </c>
    </row>
    <row r="22" spans="1:9" ht="13" x14ac:dyDescent="0.3">
      <c r="A22" s="112" t="s">
        <v>214</v>
      </c>
    </row>
    <row r="23" spans="1:9" ht="13" x14ac:dyDescent="0.3">
      <c r="A23" s="112" t="s">
        <v>215</v>
      </c>
      <c r="I23" s="160" t="s">
        <v>331</v>
      </c>
    </row>
    <row r="24" spans="1:9" ht="13" x14ac:dyDescent="0.3">
      <c r="A24" s="112" t="s">
        <v>216</v>
      </c>
      <c r="I24" s="160" t="s">
        <v>360</v>
      </c>
    </row>
    <row r="25" spans="1:9" ht="13" x14ac:dyDescent="0.3">
      <c r="A25" s="112" t="s">
        <v>145</v>
      </c>
    </row>
    <row r="26" spans="1:9" ht="13" x14ac:dyDescent="0.3">
      <c r="A26" s="112" t="s">
        <v>85</v>
      </c>
    </row>
    <row r="27" spans="1:9" ht="13" x14ac:dyDescent="0.3">
      <c r="A27" s="112" t="s">
        <v>130</v>
      </c>
    </row>
    <row r="28" spans="1:9" ht="13" x14ac:dyDescent="0.3">
      <c r="A28" s="112" t="s">
        <v>217</v>
      </c>
    </row>
    <row r="29" spans="1:9" ht="13" x14ac:dyDescent="0.3">
      <c r="A29" s="112" t="s">
        <v>218</v>
      </c>
    </row>
    <row r="30" spans="1:9" ht="13" x14ac:dyDescent="0.3">
      <c r="A30" s="112" t="s">
        <v>103</v>
      </c>
    </row>
    <row r="31" spans="1:9" ht="13" x14ac:dyDescent="0.3">
      <c r="A31" s="112" t="s">
        <v>83</v>
      </c>
    </row>
    <row r="32" spans="1:9" ht="13" x14ac:dyDescent="0.3">
      <c r="A32" s="112" t="s">
        <v>219</v>
      </c>
    </row>
    <row r="33" spans="1:1" ht="13" x14ac:dyDescent="0.3">
      <c r="A33" s="112" t="s">
        <v>220</v>
      </c>
    </row>
    <row r="34" spans="1:1" ht="13" x14ac:dyDescent="0.3">
      <c r="A34" s="112" t="s">
        <v>221</v>
      </c>
    </row>
    <row r="35" spans="1:1" ht="13" x14ac:dyDescent="0.3">
      <c r="A35" s="112" t="s">
        <v>222</v>
      </c>
    </row>
    <row r="36" spans="1:1" ht="13" x14ac:dyDescent="0.3">
      <c r="A36" s="112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AABB-56CC-4262-B716-2A29761A9B7A}">
  <dimension ref="A1:E17"/>
  <sheetViews>
    <sheetView workbookViewId="0">
      <selection activeCell="B6" sqref="B6"/>
    </sheetView>
  </sheetViews>
  <sheetFormatPr defaultRowHeight="12.5" x14ac:dyDescent="0.25"/>
  <cols>
    <col min="1" max="1" width="4.453125" customWidth="1"/>
    <col min="2" max="2" width="39.54296875" customWidth="1"/>
    <col min="3" max="3" width="20.54296875" customWidth="1"/>
    <col min="4" max="4" width="10.54296875" customWidth="1"/>
    <col min="5" max="5" width="15.1796875" customWidth="1"/>
  </cols>
  <sheetData>
    <row r="1" spans="1:5" ht="13" x14ac:dyDescent="0.3">
      <c r="A1" s="900" t="s">
        <v>21</v>
      </c>
      <c r="B1" s="900" t="s">
        <v>419</v>
      </c>
      <c r="C1" s="900" t="s">
        <v>35</v>
      </c>
      <c r="D1" s="900" t="s">
        <v>158</v>
      </c>
      <c r="E1" s="900" t="s">
        <v>414</v>
      </c>
    </row>
    <row r="2" spans="1:5" x14ac:dyDescent="0.25">
      <c r="A2" s="904">
        <v>1</v>
      </c>
      <c r="B2" s="281" t="s">
        <v>415</v>
      </c>
      <c r="C2" s="899" t="s">
        <v>416</v>
      </c>
      <c r="D2" s="281" t="s">
        <v>417</v>
      </c>
      <c r="E2" s="281" t="s">
        <v>418</v>
      </c>
    </row>
    <row r="3" spans="1:5" ht="26.15" customHeight="1" x14ac:dyDescent="0.25">
      <c r="A3" s="904">
        <v>2</v>
      </c>
      <c r="B3" s="901" t="s">
        <v>420</v>
      </c>
      <c r="C3" s="899" t="s">
        <v>416</v>
      </c>
      <c r="D3" s="281" t="s">
        <v>417</v>
      </c>
      <c r="E3" s="281" t="s">
        <v>418</v>
      </c>
    </row>
    <row r="4" spans="1:5" ht="25" x14ac:dyDescent="0.25">
      <c r="A4" s="904">
        <v>3</v>
      </c>
      <c r="B4" s="905" t="s">
        <v>421</v>
      </c>
      <c r="C4" s="281" t="s">
        <v>422</v>
      </c>
      <c r="D4" s="281" t="s">
        <v>417</v>
      </c>
      <c r="E4" s="281" t="s">
        <v>418</v>
      </c>
    </row>
    <row r="5" spans="1:5" x14ac:dyDescent="0.25">
      <c r="A5" s="281">
        <v>4</v>
      </c>
      <c r="B5" s="281" t="s">
        <v>425</v>
      </c>
      <c r="C5" s="908">
        <v>44657</v>
      </c>
      <c r="D5" s="281" t="s">
        <v>426</v>
      </c>
      <c r="E5" s="281" t="s">
        <v>427</v>
      </c>
    </row>
    <row r="6" spans="1:5" x14ac:dyDescent="0.25">
      <c r="A6" s="281"/>
      <c r="B6" s="281"/>
      <c r="C6" s="281"/>
      <c r="D6" s="281"/>
      <c r="E6" s="281"/>
    </row>
    <row r="7" spans="1:5" x14ac:dyDescent="0.25">
      <c r="A7" s="281"/>
      <c r="B7" s="281"/>
      <c r="C7" s="281"/>
      <c r="D7" s="281"/>
      <c r="E7" s="281"/>
    </row>
    <row r="8" spans="1:5" x14ac:dyDescent="0.25">
      <c r="A8" s="281"/>
      <c r="B8" s="281"/>
      <c r="C8" s="281"/>
      <c r="D8" s="281"/>
      <c r="E8" s="281"/>
    </row>
    <row r="9" spans="1:5" x14ac:dyDescent="0.25">
      <c r="A9" s="281"/>
      <c r="B9" s="281"/>
      <c r="C9" s="281"/>
      <c r="D9" s="281"/>
      <c r="E9" s="281"/>
    </row>
    <row r="10" spans="1:5" x14ac:dyDescent="0.25">
      <c r="A10" s="281"/>
      <c r="B10" s="281"/>
      <c r="C10" s="281"/>
      <c r="D10" s="281"/>
      <c r="E10" s="281"/>
    </row>
    <row r="11" spans="1:5" x14ac:dyDescent="0.25">
      <c r="A11" s="281"/>
      <c r="B11" s="281"/>
      <c r="C11" s="281"/>
      <c r="D11" s="281"/>
      <c r="E11" s="281"/>
    </row>
    <row r="12" spans="1:5" x14ac:dyDescent="0.25">
      <c r="A12" s="281"/>
      <c r="B12" s="281"/>
      <c r="C12" s="281"/>
      <c r="D12" s="281"/>
      <c r="E12" s="281"/>
    </row>
    <row r="13" spans="1:5" x14ac:dyDescent="0.25">
      <c r="A13" s="281"/>
      <c r="B13" s="281"/>
      <c r="C13" s="281"/>
      <c r="D13" s="281"/>
      <c r="E13" s="281"/>
    </row>
    <row r="14" spans="1:5" x14ac:dyDescent="0.25">
      <c r="A14" s="281"/>
      <c r="B14" s="281"/>
      <c r="C14" s="281"/>
      <c r="D14" s="281"/>
      <c r="E14" s="281"/>
    </row>
    <row r="15" spans="1:5" x14ac:dyDescent="0.25">
      <c r="A15" s="281"/>
      <c r="B15" s="281"/>
      <c r="C15" s="281"/>
      <c r="D15" s="281"/>
      <c r="E15" s="281"/>
    </row>
    <row r="16" spans="1:5" x14ac:dyDescent="0.25">
      <c r="A16" s="281"/>
      <c r="B16" s="281"/>
      <c r="C16" s="281"/>
      <c r="D16" s="281"/>
      <c r="E16" s="281"/>
    </row>
    <row r="17" spans="1:5" x14ac:dyDescent="0.25">
      <c r="A17" s="281"/>
      <c r="B17" s="281"/>
      <c r="C17" s="281"/>
      <c r="D17" s="281"/>
      <c r="E17" s="2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FAAC-759D-4FD3-93E4-70532C16FDF3}">
  <dimension ref="A2:D27"/>
  <sheetViews>
    <sheetView workbookViewId="0">
      <selection activeCell="A13" sqref="A13"/>
    </sheetView>
  </sheetViews>
  <sheetFormatPr defaultRowHeight="12.5" x14ac:dyDescent="0.25"/>
  <cols>
    <col min="2" max="2" width="24.26953125" customWidth="1"/>
    <col min="3" max="3" width="34.7265625" customWidth="1"/>
    <col min="4" max="4" width="57.453125" customWidth="1"/>
  </cols>
  <sheetData>
    <row r="2" spans="1:4" x14ac:dyDescent="0.25">
      <c r="A2" s="1089" t="s">
        <v>388</v>
      </c>
      <c r="B2" s="1089" t="s">
        <v>35</v>
      </c>
      <c r="C2" s="1089" t="s">
        <v>389</v>
      </c>
      <c r="D2" s="1089"/>
    </row>
    <row r="3" spans="1:4" x14ac:dyDescent="0.25">
      <c r="A3" s="1089"/>
      <c r="B3" s="1089"/>
      <c r="C3" s="842" t="s">
        <v>59</v>
      </c>
      <c r="D3" s="842" t="s">
        <v>60</v>
      </c>
    </row>
    <row r="4" spans="1:4" ht="14" x14ac:dyDescent="0.25">
      <c r="A4" s="842">
        <v>1</v>
      </c>
      <c r="B4" s="843">
        <v>44224</v>
      </c>
      <c r="C4" s="838" t="s">
        <v>410</v>
      </c>
      <c r="D4" s="838" t="s">
        <v>409</v>
      </c>
    </row>
    <row r="5" spans="1:4" ht="25" x14ac:dyDescent="0.25">
      <c r="A5" s="842"/>
      <c r="B5" s="844"/>
      <c r="C5" s="839" t="s">
        <v>390</v>
      </c>
      <c r="D5" s="840" t="s">
        <v>391</v>
      </c>
    </row>
    <row r="6" spans="1:4" ht="37.5" x14ac:dyDescent="0.25">
      <c r="A6" s="842"/>
      <c r="B6" s="844"/>
      <c r="C6" s="841" t="s">
        <v>407</v>
      </c>
      <c r="D6" s="841" t="s">
        <v>408</v>
      </c>
    </row>
    <row r="7" spans="1:4" x14ac:dyDescent="0.25">
      <c r="A7" s="842"/>
      <c r="B7" s="844"/>
      <c r="C7" s="842" t="s">
        <v>392</v>
      </c>
      <c r="D7" s="842" t="s">
        <v>393</v>
      </c>
    </row>
    <row r="8" spans="1:4" ht="37.5" x14ac:dyDescent="0.25">
      <c r="A8" s="842"/>
      <c r="B8" s="844"/>
      <c r="C8" s="845" t="s">
        <v>361</v>
      </c>
      <c r="D8" s="846" t="s">
        <v>394</v>
      </c>
    </row>
    <row r="9" spans="1:4" ht="37.5" x14ac:dyDescent="0.25">
      <c r="A9" s="842"/>
      <c r="B9" s="844"/>
      <c r="C9" s="845" t="s">
        <v>396</v>
      </c>
      <c r="D9" s="845" t="s">
        <v>395</v>
      </c>
    </row>
    <row r="10" spans="1:4" ht="28" x14ac:dyDescent="0.3">
      <c r="A10" s="842"/>
      <c r="B10" s="844"/>
      <c r="C10" s="847" t="s">
        <v>28</v>
      </c>
      <c r="D10" s="847" t="s">
        <v>260</v>
      </c>
    </row>
    <row r="11" spans="1:4" ht="14" x14ac:dyDescent="0.25">
      <c r="A11" s="842"/>
      <c r="B11" s="844"/>
      <c r="C11" s="312" t="s">
        <v>404</v>
      </c>
      <c r="D11" s="848" t="s">
        <v>403</v>
      </c>
    </row>
    <row r="12" spans="1:4" x14ac:dyDescent="0.25">
      <c r="A12" s="842">
        <v>2</v>
      </c>
      <c r="B12" s="844" t="s">
        <v>411</v>
      </c>
      <c r="C12" s="842" t="s">
        <v>412</v>
      </c>
      <c r="D12" s="842" t="s">
        <v>413</v>
      </c>
    </row>
    <row r="13" spans="1:4" x14ac:dyDescent="0.25">
      <c r="A13" s="842"/>
      <c r="B13" s="844"/>
      <c r="C13" s="842"/>
      <c r="D13" s="842"/>
    </row>
    <row r="14" spans="1:4" x14ac:dyDescent="0.25">
      <c r="A14" s="842"/>
      <c r="B14" s="844"/>
      <c r="C14" s="842"/>
      <c r="D14" s="842"/>
    </row>
    <row r="15" spans="1:4" x14ac:dyDescent="0.25">
      <c r="A15" s="842"/>
      <c r="B15" s="844"/>
      <c r="C15" s="842"/>
      <c r="D15" s="842"/>
    </row>
    <row r="16" spans="1:4" x14ac:dyDescent="0.25">
      <c r="A16" s="842"/>
      <c r="B16" s="844"/>
      <c r="C16" s="842"/>
      <c r="D16" s="842"/>
    </row>
    <row r="17" spans="1:4" x14ac:dyDescent="0.25">
      <c r="A17" s="842"/>
      <c r="B17" s="844"/>
      <c r="C17" s="842"/>
      <c r="D17" s="842"/>
    </row>
    <row r="18" spans="1:4" x14ac:dyDescent="0.25">
      <c r="A18" s="842"/>
      <c r="B18" s="844"/>
      <c r="C18" s="842"/>
      <c r="D18" s="842"/>
    </row>
    <row r="19" spans="1:4" x14ac:dyDescent="0.25">
      <c r="A19" s="842"/>
      <c r="B19" s="844"/>
      <c r="C19" s="842"/>
      <c r="D19" s="842"/>
    </row>
    <row r="20" spans="1:4" x14ac:dyDescent="0.25">
      <c r="A20" s="842"/>
      <c r="B20" s="844"/>
      <c r="C20" s="842"/>
      <c r="D20" s="842"/>
    </row>
    <row r="21" spans="1:4" x14ac:dyDescent="0.25">
      <c r="A21" s="842"/>
      <c r="B21" s="844"/>
      <c r="C21" s="842"/>
      <c r="D21" s="842"/>
    </row>
    <row r="22" spans="1:4" x14ac:dyDescent="0.25">
      <c r="A22" s="842"/>
      <c r="B22" s="844"/>
      <c r="C22" s="842"/>
      <c r="D22" s="842"/>
    </row>
    <row r="23" spans="1:4" x14ac:dyDescent="0.25">
      <c r="A23" s="842"/>
      <c r="B23" s="844"/>
      <c r="C23" s="842"/>
      <c r="D23" s="842"/>
    </row>
    <row r="24" spans="1:4" x14ac:dyDescent="0.25">
      <c r="A24" s="842"/>
      <c r="B24" s="844"/>
      <c r="C24" s="842"/>
      <c r="D24" s="842"/>
    </row>
    <row r="25" spans="1:4" x14ac:dyDescent="0.25">
      <c r="A25" s="842"/>
      <c r="B25" s="844"/>
      <c r="C25" s="842"/>
      <c r="D25" s="842"/>
    </row>
    <row r="26" spans="1:4" x14ac:dyDescent="0.25">
      <c r="A26" s="842"/>
      <c r="B26" s="844"/>
      <c r="C26" s="842"/>
      <c r="D26" s="842"/>
    </row>
    <row r="27" spans="1:4" x14ac:dyDescent="0.25">
      <c r="A27" s="842"/>
      <c r="B27" s="844"/>
      <c r="C27" s="842"/>
      <c r="D27" s="842"/>
    </row>
  </sheetData>
  <sheetProtection algorithmName="SHA-512" hashValue="ILrIN4/OcCVEz6aoWH84g3wSkdSxEaKrNASe8cxDWDwlkcsyn47oiE/91AH/SVo5jPR9c9e+zjVkDeHuvAjZxQ==" saltValue="ulpNIiyZZIQDiKQjjiWR5g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1"/>
  <sheetViews>
    <sheetView showGridLines="0" view="pageBreakPreview" topLeftCell="A3" zoomScale="90" zoomScaleNormal="80" zoomScaleSheetLayoutView="90" workbookViewId="0">
      <selection activeCell="D22" sqref="D22"/>
    </sheetView>
  </sheetViews>
  <sheetFormatPr defaultColWidth="9.1796875" defaultRowHeight="14.5" x14ac:dyDescent="0.35"/>
  <cols>
    <col min="1" max="1" width="20.1796875" style="1" customWidth="1"/>
    <col min="2" max="2" width="9.1796875" style="1"/>
    <col min="3" max="3" width="10.1796875" style="1" customWidth="1"/>
    <col min="4" max="4" width="17" style="1" customWidth="1"/>
    <col min="5" max="5" width="11.1796875" style="1" customWidth="1"/>
    <col min="6" max="6" width="10.1796875" style="1" customWidth="1"/>
    <col min="7" max="7" width="8.7265625" style="1" customWidth="1"/>
    <col min="8" max="8" width="7.54296875" style="1" customWidth="1"/>
    <col min="9" max="9" width="9.26953125" style="1" customWidth="1"/>
    <col min="10" max="11" width="10.453125" style="1" customWidth="1"/>
    <col min="12" max="12" width="9.1796875" style="1" customWidth="1"/>
    <col min="13" max="13" width="9.7265625" style="1" customWidth="1"/>
    <col min="14" max="14" width="7.81640625" style="1" customWidth="1"/>
    <col min="15" max="15" width="11.1796875" style="1" customWidth="1"/>
    <col min="16" max="16" width="8.81640625" style="1" customWidth="1"/>
    <col min="17" max="18" width="9.1796875" style="1"/>
    <col min="19" max="19" width="5.1796875" style="1" customWidth="1"/>
    <col min="20" max="20" width="12.1796875" style="1" customWidth="1"/>
    <col min="21" max="21" width="11" style="1" customWidth="1"/>
    <col min="22" max="22" width="13.1796875" style="1" customWidth="1"/>
    <col min="23" max="23" width="10.54296875" style="1" customWidth="1"/>
    <col min="24" max="24" width="4.453125" style="1" customWidth="1"/>
    <col min="25" max="16384" width="9.1796875" style="1"/>
  </cols>
  <sheetData>
    <row r="1" spans="1:23" x14ac:dyDescent="0.35">
      <c r="A1" s="1270" t="s">
        <v>37</v>
      </c>
      <c r="B1" s="1270"/>
      <c r="C1" s="1270"/>
      <c r="D1" s="1270"/>
      <c r="E1" s="1270"/>
      <c r="F1" s="1270"/>
      <c r="G1" s="1270"/>
      <c r="H1" s="1270"/>
      <c r="I1" s="1270"/>
      <c r="J1" s="1270"/>
      <c r="K1" s="1270"/>
      <c r="L1" s="1270"/>
      <c r="M1" s="1270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5" thickBot="1" x14ac:dyDescent="0.4"/>
    <row r="3" spans="1:23" x14ac:dyDescent="0.35">
      <c r="A3" s="151" t="s">
        <v>283</v>
      </c>
      <c r="B3" s="152"/>
      <c r="C3" s="153">
        <f>ID!D33</f>
        <v>10</v>
      </c>
      <c r="D3" s="154" t="s">
        <v>174</v>
      </c>
      <c r="E3" s="155"/>
      <c r="F3" s="155"/>
      <c r="G3" s="155"/>
      <c r="H3" s="155"/>
      <c r="I3" s="155"/>
      <c r="J3" s="155"/>
      <c r="K3" s="156"/>
    </row>
    <row r="4" spans="1:23" x14ac:dyDescent="0.35">
      <c r="A4" s="25" t="s">
        <v>38</v>
      </c>
      <c r="B4" s="26" t="s">
        <v>39</v>
      </c>
      <c r="C4" s="27" t="s">
        <v>40</v>
      </c>
      <c r="D4" s="26" t="s">
        <v>41</v>
      </c>
      <c r="E4" s="28" t="s">
        <v>42</v>
      </c>
      <c r="F4" s="26" t="s">
        <v>43</v>
      </c>
      <c r="G4" s="27" t="s">
        <v>44</v>
      </c>
      <c r="H4" s="26" t="s">
        <v>45</v>
      </c>
      <c r="I4" s="27" t="s">
        <v>46</v>
      </c>
      <c r="J4" s="26" t="s">
        <v>47</v>
      </c>
      <c r="K4" s="29" t="s">
        <v>48</v>
      </c>
    </row>
    <row r="5" spans="1:23" x14ac:dyDescent="0.35">
      <c r="A5" s="30" t="s">
        <v>49</v>
      </c>
      <c r="B5" s="31" t="s">
        <v>174</v>
      </c>
      <c r="C5" s="32" t="s">
        <v>50</v>
      </c>
      <c r="D5" s="33">
        <f>ID!L33</f>
        <v>0</v>
      </c>
      <c r="E5" s="34">
        <f>SQRT(6)</f>
        <v>2.4494897427831779</v>
      </c>
      <c r="F5" s="31">
        <v>5</v>
      </c>
      <c r="G5" s="35">
        <f>D5/E5</f>
        <v>0</v>
      </c>
      <c r="H5" s="36">
        <v>1</v>
      </c>
      <c r="I5" s="35">
        <f>G5*H5</f>
        <v>0</v>
      </c>
      <c r="J5" s="37">
        <f>I5^2</f>
        <v>0</v>
      </c>
      <c r="K5" s="38">
        <f>I5^4/F5</f>
        <v>0</v>
      </c>
    </row>
    <row r="6" spans="1:23" x14ac:dyDescent="0.35">
      <c r="A6" s="39" t="s">
        <v>271</v>
      </c>
      <c r="B6" s="31" t="s">
        <v>174</v>
      </c>
      <c r="C6" s="40" t="s">
        <v>51</v>
      </c>
      <c r="D6" s="41">
        <f>ID!E7*0.5</f>
        <v>0.5</v>
      </c>
      <c r="E6" s="42">
        <f>SQRT(3)</f>
        <v>1.7320508075688772</v>
      </c>
      <c r="F6" s="31">
        <v>50</v>
      </c>
      <c r="G6" s="43">
        <f>D6/E6</f>
        <v>0.28867513459481292</v>
      </c>
      <c r="H6" s="31">
        <v>1</v>
      </c>
      <c r="I6" s="43">
        <f>G6*H6</f>
        <v>0.28867513459481292</v>
      </c>
      <c r="J6" s="44">
        <f>I6^2</f>
        <v>8.3333333333333356E-2</v>
      </c>
      <c r="K6" s="45">
        <f>I6^4/F6</f>
        <v>1.3888888888888897E-4</v>
      </c>
    </row>
    <row r="7" spans="1:23" x14ac:dyDescent="0.35">
      <c r="A7" s="30" t="s">
        <v>66</v>
      </c>
      <c r="B7" s="31" t="s">
        <v>174</v>
      </c>
      <c r="C7" s="31" t="s">
        <v>51</v>
      </c>
      <c r="D7" s="1046">
        <f>'DB ANDILOG'!L145</f>
        <v>9.3852166363869397E-3</v>
      </c>
      <c r="E7" s="46">
        <f>SQRT(3)</f>
        <v>1.7320508075688772</v>
      </c>
      <c r="F7" s="31">
        <v>50</v>
      </c>
      <c r="G7" s="47">
        <f>D7/E7</f>
        <v>5.418557351420954E-3</v>
      </c>
      <c r="H7" s="31">
        <v>1</v>
      </c>
      <c r="I7" s="47">
        <f>G7*H7</f>
        <v>5.418557351420954E-3</v>
      </c>
      <c r="J7" s="44">
        <f>I7^2</f>
        <v>2.9360763770638064E-5</v>
      </c>
      <c r="K7" s="48">
        <f>I7^4/F7</f>
        <v>1.7241088983904253E-11</v>
      </c>
    </row>
    <row r="8" spans="1:23" x14ac:dyDescent="0.35">
      <c r="A8" s="49" t="s">
        <v>67</v>
      </c>
      <c r="B8" s="31" t="s">
        <v>174</v>
      </c>
      <c r="C8" s="40" t="s">
        <v>50</v>
      </c>
      <c r="D8" s="1047">
        <f>'DB ANDILOG'!I145</f>
        <v>0</v>
      </c>
      <c r="E8" s="51">
        <v>2</v>
      </c>
      <c r="F8" s="31">
        <v>50</v>
      </c>
      <c r="G8" s="43">
        <f>D8/E8</f>
        <v>0</v>
      </c>
      <c r="H8" s="31">
        <v>1</v>
      </c>
      <c r="I8" s="43">
        <f>G8*H8</f>
        <v>0</v>
      </c>
      <c r="J8" s="44">
        <f>I8^2</f>
        <v>0</v>
      </c>
      <c r="K8" s="48">
        <f>I8^4/F8</f>
        <v>0</v>
      </c>
    </row>
    <row r="9" spans="1:23" x14ac:dyDescent="0.35">
      <c r="A9" s="49"/>
      <c r="B9" s="31"/>
      <c r="C9" s="31"/>
      <c r="D9" s="31"/>
      <c r="E9" s="46"/>
      <c r="F9" s="31"/>
      <c r="G9" s="47"/>
      <c r="H9" s="31"/>
      <c r="I9" s="47"/>
      <c r="J9" s="44"/>
      <c r="K9" s="48"/>
    </row>
    <row r="10" spans="1:23" ht="15.75" customHeight="1" x14ac:dyDescent="0.35">
      <c r="A10" s="52" t="s">
        <v>52</v>
      </c>
      <c r="B10" s="53"/>
      <c r="C10" s="53"/>
      <c r="D10" s="53"/>
      <c r="E10" s="54"/>
      <c r="F10" s="53"/>
      <c r="G10" s="53"/>
      <c r="H10" s="53"/>
      <c r="I10" s="53"/>
      <c r="J10" s="55">
        <f>SUM(J5:J8)</f>
        <v>8.3362694097103993E-2</v>
      </c>
      <c r="K10" s="56">
        <f>SUM(K5:K8)</f>
        <v>1.3888890612997795E-4</v>
      </c>
    </row>
    <row r="11" spans="1:23" ht="16.5" x14ac:dyDescent="0.45">
      <c r="A11" s="57" t="s">
        <v>53</v>
      </c>
      <c r="B11" s="58"/>
      <c r="C11" s="58"/>
      <c r="D11" s="58"/>
      <c r="E11" s="59"/>
      <c r="F11" s="58"/>
      <c r="G11" s="60" t="s">
        <v>137</v>
      </c>
      <c r="H11" s="58"/>
      <c r="I11" s="58"/>
      <c r="J11" s="61">
        <f>SQRT(J10)</f>
        <v>0.2887259844508353</v>
      </c>
      <c r="K11" s="62"/>
    </row>
    <row r="12" spans="1:23" ht="17.5" x14ac:dyDescent="0.45">
      <c r="A12" s="52" t="s">
        <v>54</v>
      </c>
      <c r="B12" s="53"/>
      <c r="C12" s="53"/>
      <c r="D12" s="53"/>
      <c r="E12" s="54"/>
      <c r="F12" s="53"/>
      <c r="G12" s="24" t="s">
        <v>138</v>
      </c>
      <c r="H12" s="53"/>
      <c r="I12" s="53"/>
      <c r="J12" s="55">
        <f>J11^4/(K10)</f>
        <v>50.035232912151095</v>
      </c>
      <c r="K12" s="63"/>
    </row>
    <row r="13" spans="1:23" x14ac:dyDescent="0.35">
      <c r="A13" s="57" t="s">
        <v>55</v>
      </c>
      <c r="B13" s="58"/>
      <c r="C13" s="58"/>
      <c r="D13" s="58"/>
      <c r="E13" s="59"/>
      <c r="F13" s="58"/>
      <c r="G13" s="21" t="s">
        <v>56</v>
      </c>
      <c r="H13" s="58"/>
      <c r="I13" s="58"/>
      <c r="J13" s="64">
        <f>1.95996+(2.37356/J12)+(2.818745/J12^2)+(2.546662/J12^3)+(1.761829/J12^4)+(0.245458/J12^5)+(1.000764/J12^6)</f>
        <v>2.0085442954929396</v>
      </c>
      <c r="K13" s="62"/>
    </row>
    <row r="14" spans="1:23" x14ac:dyDescent="0.35">
      <c r="A14" s="65" t="s">
        <v>57</v>
      </c>
      <c r="B14" s="66"/>
      <c r="C14" s="66"/>
      <c r="D14" s="66"/>
      <c r="E14" s="67"/>
      <c r="F14" s="66"/>
      <c r="G14" s="68" t="s">
        <v>58</v>
      </c>
      <c r="H14" s="66"/>
      <c r="I14" s="449"/>
      <c r="J14" s="69">
        <f>J11*J13</f>
        <v>0.57991892902930842</v>
      </c>
      <c r="K14" s="70" t="s">
        <v>174</v>
      </c>
    </row>
    <row r="15" spans="1:23" x14ac:dyDescent="0.35">
      <c r="A15" s="19"/>
      <c r="J15" s="92">
        <f>J14/C3*100</f>
        <v>5.7991892902930848</v>
      </c>
      <c r="K15" s="450" t="s">
        <v>284</v>
      </c>
    </row>
    <row r="16" spans="1:23" x14ac:dyDescent="0.35">
      <c r="A16" s="20" t="str">
        <f>A3</f>
        <v>Tekanan Traction</v>
      </c>
      <c r="B16" s="21"/>
      <c r="C16" s="22">
        <f>ID!D34</f>
        <v>20</v>
      </c>
      <c r="D16" s="23" t="s">
        <v>174</v>
      </c>
      <c r="E16" s="24"/>
      <c r="F16" s="24"/>
      <c r="G16" s="24"/>
      <c r="H16" s="24"/>
      <c r="I16" s="24"/>
      <c r="J16" s="24"/>
      <c r="K16" s="63"/>
    </row>
    <row r="17" spans="1:11" x14ac:dyDescent="0.35">
      <c r="A17" s="25" t="s">
        <v>38</v>
      </c>
      <c r="B17" s="26" t="s">
        <v>39</v>
      </c>
      <c r="C17" s="27" t="s">
        <v>40</v>
      </c>
      <c r="D17" s="26" t="s">
        <v>41</v>
      </c>
      <c r="E17" s="28" t="s">
        <v>42</v>
      </c>
      <c r="F17" s="26" t="s">
        <v>43</v>
      </c>
      <c r="G17" s="27" t="s">
        <v>44</v>
      </c>
      <c r="H17" s="26" t="s">
        <v>45</v>
      </c>
      <c r="I17" s="27" t="s">
        <v>46</v>
      </c>
      <c r="J17" s="26" t="s">
        <v>47</v>
      </c>
      <c r="K17" s="29" t="s">
        <v>48</v>
      </c>
    </row>
    <row r="18" spans="1:11" x14ac:dyDescent="0.35">
      <c r="A18" s="30" t="s">
        <v>49</v>
      </c>
      <c r="B18" s="31" t="s">
        <v>174</v>
      </c>
      <c r="C18" s="32" t="s">
        <v>50</v>
      </c>
      <c r="D18" s="33">
        <f>ID!L34</f>
        <v>0</v>
      </c>
      <c r="E18" s="34">
        <f>SQRT(6)</f>
        <v>2.4494897427831779</v>
      </c>
      <c r="F18" s="31">
        <v>5</v>
      </c>
      <c r="G18" s="35">
        <f>D18/E18</f>
        <v>0</v>
      </c>
      <c r="H18" s="36">
        <v>1</v>
      </c>
      <c r="I18" s="35">
        <f>G18*H18</f>
        <v>0</v>
      </c>
      <c r="J18" s="37">
        <f>I18^2</f>
        <v>0</v>
      </c>
      <c r="K18" s="38">
        <f>I18^4/F18</f>
        <v>0</v>
      </c>
    </row>
    <row r="19" spans="1:11" x14ac:dyDescent="0.35">
      <c r="A19" s="39" t="s">
        <v>272</v>
      </c>
      <c r="B19" s="31" t="s">
        <v>174</v>
      </c>
      <c r="C19" s="40" t="s">
        <v>51</v>
      </c>
      <c r="D19" s="41">
        <f>D6</f>
        <v>0.5</v>
      </c>
      <c r="E19" s="42">
        <f>SQRT(3)</f>
        <v>1.7320508075688772</v>
      </c>
      <c r="F19" s="31">
        <v>50</v>
      </c>
      <c r="G19" s="43">
        <f>D19/E19</f>
        <v>0.28867513459481292</v>
      </c>
      <c r="H19" s="31">
        <v>1</v>
      </c>
      <c r="I19" s="43">
        <f>G19*H19</f>
        <v>0.28867513459481292</v>
      </c>
      <c r="J19" s="44">
        <f>I19^2</f>
        <v>8.3333333333333356E-2</v>
      </c>
      <c r="K19" s="45">
        <f>I19^4/F19</f>
        <v>1.3888888888888897E-4</v>
      </c>
    </row>
    <row r="20" spans="1:11" x14ac:dyDescent="0.35">
      <c r="A20" s="30" t="s">
        <v>66</v>
      </c>
      <c r="B20" s="31" t="s">
        <v>174</v>
      </c>
      <c r="C20" s="31" t="s">
        <v>51</v>
      </c>
      <c r="D20" s="46">
        <f>'DB ANDILOG'!L146</f>
        <v>1.0709722260078717E-2</v>
      </c>
      <c r="E20" s="46">
        <f>SQRT(3)</f>
        <v>1.7320508075688772</v>
      </c>
      <c r="F20" s="31">
        <v>50</v>
      </c>
      <c r="G20" s="47">
        <f>D20/E20</f>
        <v>6.1832610298025751E-3</v>
      </c>
      <c r="H20" s="31">
        <v>1</v>
      </c>
      <c r="I20" s="47">
        <f>G20*H20</f>
        <v>6.1832610298025751E-3</v>
      </c>
      <c r="J20" s="44">
        <f>I20^2</f>
        <v>3.8232716962675199E-5</v>
      </c>
      <c r="K20" s="48">
        <f>I20^4/F20</f>
        <v>2.9234812926960635E-11</v>
      </c>
    </row>
    <row r="21" spans="1:11" x14ac:dyDescent="0.35">
      <c r="A21" s="49" t="s">
        <v>67</v>
      </c>
      <c r="B21" s="31" t="s">
        <v>174</v>
      </c>
      <c r="C21" s="40" t="s">
        <v>50</v>
      </c>
      <c r="D21" s="50">
        <f>'DB ANDILOG'!I146</f>
        <v>0</v>
      </c>
      <c r="E21" s="51">
        <v>2</v>
      </c>
      <c r="F21" s="31">
        <v>50</v>
      </c>
      <c r="G21" s="43">
        <f>D21/E21</f>
        <v>0</v>
      </c>
      <c r="H21" s="31">
        <v>1</v>
      </c>
      <c r="I21" s="43">
        <f>G21*H21</f>
        <v>0</v>
      </c>
      <c r="J21" s="44">
        <f>I21^2</f>
        <v>0</v>
      </c>
      <c r="K21" s="48">
        <f>I21^4/F21</f>
        <v>0</v>
      </c>
    </row>
    <row r="22" spans="1:11" ht="14.25" customHeight="1" x14ac:dyDescent="0.35">
      <c r="A22" s="49"/>
      <c r="B22" s="31"/>
      <c r="C22" s="31"/>
      <c r="D22" s="31"/>
      <c r="E22" s="46"/>
      <c r="F22" s="31"/>
      <c r="G22" s="47"/>
      <c r="H22" s="31"/>
      <c r="I22" s="47"/>
      <c r="J22" s="44"/>
      <c r="K22" s="48"/>
    </row>
    <row r="23" spans="1:11" x14ac:dyDescent="0.35">
      <c r="A23" s="52" t="s">
        <v>52</v>
      </c>
      <c r="B23" s="53"/>
      <c r="C23" s="53"/>
      <c r="D23" s="53"/>
      <c r="E23" s="54"/>
      <c r="F23" s="53"/>
      <c r="G23" s="53"/>
      <c r="H23" s="53"/>
      <c r="I23" s="53"/>
      <c r="J23" s="55">
        <f>SUM(J18:J21)</f>
        <v>8.3371566050296025E-2</v>
      </c>
      <c r="K23" s="56">
        <f>SUM(K18:K21)</f>
        <v>1.3888891812370189E-4</v>
      </c>
    </row>
    <row r="24" spans="1:11" ht="16.5" x14ac:dyDescent="0.45">
      <c r="A24" s="57" t="s">
        <v>53</v>
      </c>
      <c r="B24" s="58"/>
      <c r="C24" s="58"/>
      <c r="D24" s="58"/>
      <c r="E24" s="59"/>
      <c r="F24" s="58"/>
      <c r="G24" s="60" t="s">
        <v>137</v>
      </c>
      <c r="H24" s="58"/>
      <c r="I24" s="58"/>
      <c r="J24" s="61">
        <f>SQRT(J23)</f>
        <v>0.28874134800941831</v>
      </c>
      <c r="K24" s="62"/>
    </row>
    <row r="25" spans="1:11" ht="17.5" x14ac:dyDescent="0.45">
      <c r="A25" s="52" t="s">
        <v>54</v>
      </c>
      <c r="B25" s="53"/>
      <c r="C25" s="53"/>
      <c r="D25" s="53"/>
      <c r="E25" s="54"/>
      <c r="F25" s="53"/>
      <c r="G25" s="24" t="s">
        <v>138</v>
      </c>
      <c r="H25" s="53"/>
      <c r="I25" s="53"/>
      <c r="J25" s="55">
        <f>J24^4/(K23)</f>
        <v>50.045879250698036</v>
      </c>
      <c r="K25" s="63"/>
    </row>
    <row r="26" spans="1:11" x14ac:dyDescent="0.35">
      <c r="A26" s="57" t="s">
        <v>55</v>
      </c>
      <c r="B26" s="58"/>
      <c r="C26" s="58"/>
      <c r="D26" s="58"/>
      <c r="E26" s="59"/>
      <c r="F26" s="58"/>
      <c r="G26" s="21" t="s">
        <v>56</v>
      </c>
      <c r="H26" s="58"/>
      <c r="I26" s="58"/>
      <c r="J26" s="64">
        <f>1.95996+(2.37356/J25)+(2.818745/J25^2)+(2.546662/J25^3)+(1.761829/J25^4)+(0.245458/J25^5)+(1.000764/J25^6)</f>
        <v>2.0085337117865261</v>
      </c>
      <c r="K26" s="62"/>
    </row>
    <row r="27" spans="1:11" x14ac:dyDescent="0.35">
      <c r="A27" s="65" t="s">
        <v>57</v>
      </c>
      <c r="B27" s="66"/>
      <c r="C27" s="66"/>
      <c r="D27" s="66"/>
      <c r="E27" s="67"/>
      <c r="F27" s="66"/>
      <c r="G27" s="68" t="s">
        <v>58</v>
      </c>
      <c r="H27" s="66"/>
      <c r="I27" s="449"/>
      <c r="J27" s="69">
        <f>J24*J26</f>
        <v>0.57994673146360198</v>
      </c>
      <c r="K27" s="70" t="s">
        <v>174</v>
      </c>
    </row>
    <row r="28" spans="1:11" x14ac:dyDescent="0.35">
      <c r="A28" s="19"/>
      <c r="J28" s="453">
        <f>J27/C16*100</f>
        <v>2.8997336573180101</v>
      </c>
      <c r="K28" s="450" t="s">
        <v>284</v>
      </c>
    </row>
    <row r="29" spans="1:11" x14ac:dyDescent="0.35">
      <c r="A29" s="20" t="str">
        <f>A16</f>
        <v>Tekanan Traction</v>
      </c>
      <c r="B29" s="21"/>
      <c r="C29" s="22">
        <f>ID!D35</f>
        <v>30</v>
      </c>
      <c r="D29" s="23" t="s">
        <v>174</v>
      </c>
      <c r="E29" s="24"/>
      <c r="F29" s="24"/>
      <c r="G29" s="24"/>
      <c r="H29" s="24"/>
      <c r="I29" s="24"/>
      <c r="J29" s="24"/>
      <c r="K29" s="63"/>
    </row>
    <row r="30" spans="1:11" x14ac:dyDescent="0.35">
      <c r="A30" s="25" t="s">
        <v>38</v>
      </c>
      <c r="B30" s="26" t="s">
        <v>39</v>
      </c>
      <c r="C30" s="27" t="s">
        <v>40</v>
      </c>
      <c r="D30" s="26" t="s">
        <v>41</v>
      </c>
      <c r="E30" s="28" t="s">
        <v>42</v>
      </c>
      <c r="F30" s="26" t="s">
        <v>43</v>
      </c>
      <c r="G30" s="27" t="s">
        <v>44</v>
      </c>
      <c r="H30" s="26" t="s">
        <v>45</v>
      </c>
      <c r="I30" s="27" t="s">
        <v>46</v>
      </c>
      <c r="J30" s="26" t="s">
        <v>47</v>
      </c>
      <c r="K30" s="29" t="s">
        <v>48</v>
      </c>
    </row>
    <row r="31" spans="1:11" x14ac:dyDescent="0.35">
      <c r="A31" s="30" t="s">
        <v>49</v>
      </c>
      <c r="B31" s="31" t="s">
        <v>174</v>
      </c>
      <c r="C31" s="32" t="s">
        <v>50</v>
      </c>
      <c r="D31" s="33">
        <f>ID!L35</f>
        <v>0</v>
      </c>
      <c r="E31" s="34">
        <f>SQRT(6)</f>
        <v>2.4494897427831779</v>
      </c>
      <c r="F31" s="31">
        <v>5</v>
      </c>
      <c r="G31" s="35">
        <f>D31/E31</f>
        <v>0</v>
      </c>
      <c r="H31" s="36">
        <v>1</v>
      </c>
      <c r="I31" s="35">
        <f>G31*H31</f>
        <v>0</v>
      </c>
      <c r="J31" s="37">
        <f>I31^2</f>
        <v>0</v>
      </c>
      <c r="K31" s="38">
        <f>I31^4/F31</f>
        <v>0</v>
      </c>
    </row>
    <row r="32" spans="1:11" x14ac:dyDescent="0.35">
      <c r="A32" s="39" t="s">
        <v>272</v>
      </c>
      <c r="B32" s="31" t="s">
        <v>174</v>
      </c>
      <c r="C32" s="40" t="s">
        <v>51</v>
      </c>
      <c r="D32" s="41">
        <f>D19</f>
        <v>0.5</v>
      </c>
      <c r="E32" s="42">
        <f>SQRT(3)</f>
        <v>1.7320508075688772</v>
      </c>
      <c r="F32" s="31">
        <v>50</v>
      </c>
      <c r="G32" s="43">
        <f>D32/E32</f>
        <v>0.28867513459481292</v>
      </c>
      <c r="H32" s="31">
        <v>1</v>
      </c>
      <c r="I32" s="43">
        <f>G32*H32</f>
        <v>0.28867513459481292</v>
      </c>
      <c r="J32" s="44">
        <f>I32^2</f>
        <v>8.3333333333333356E-2</v>
      </c>
      <c r="K32" s="45">
        <f>I32^4/F32</f>
        <v>1.3888888888888897E-4</v>
      </c>
    </row>
    <row r="33" spans="1:11" x14ac:dyDescent="0.35">
      <c r="A33" s="30" t="s">
        <v>66</v>
      </c>
      <c r="B33" s="31" t="s">
        <v>174</v>
      </c>
      <c r="C33" s="31" t="s">
        <v>51</v>
      </c>
      <c r="D33" s="46">
        <f>'DB ANDILOG'!L147</f>
        <v>1.1229699710926211E-2</v>
      </c>
      <c r="E33" s="46">
        <f>SQRT(3)</f>
        <v>1.7320508075688772</v>
      </c>
      <c r="F33" s="31">
        <v>50</v>
      </c>
      <c r="G33" s="47">
        <f>D33/E33</f>
        <v>6.483470151021911E-3</v>
      </c>
      <c r="H33" s="31">
        <v>1</v>
      </c>
      <c r="I33" s="47">
        <f>G33*H33</f>
        <v>6.483470151021911E-3</v>
      </c>
      <c r="J33" s="44">
        <f>I33^2</f>
        <v>4.2035385199192083E-5</v>
      </c>
      <c r="K33" s="48">
        <f>I33^4/F33</f>
        <v>3.5339472176889133E-11</v>
      </c>
    </row>
    <row r="34" spans="1:11" x14ac:dyDescent="0.35">
      <c r="A34" s="49" t="s">
        <v>67</v>
      </c>
      <c r="B34" s="31" t="s">
        <v>174</v>
      </c>
      <c r="C34" s="40" t="s">
        <v>50</v>
      </c>
      <c r="D34" s="50">
        <f>'DB ANDILOG'!I147</f>
        <v>0</v>
      </c>
      <c r="E34" s="51">
        <v>2</v>
      </c>
      <c r="F34" s="31">
        <v>50</v>
      </c>
      <c r="G34" s="43">
        <f>D34/E34</f>
        <v>0</v>
      </c>
      <c r="H34" s="31">
        <v>1</v>
      </c>
      <c r="I34" s="43">
        <f>G34*H34</f>
        <v>0</v>
      </c>
      <c r="J34" s="44">
        <f>I34^2</f>
        <v>0</v>
      </c>
      <c r="K34" s="48">
        <f>I34^4/F34</f>
        <v>0</v>
      </c>
    </row>
    <row r="35" spans="1:11" x14ac:dyDescent="0.35">
      <c r="A35" s="49"/>
      <c r="B35" s="31"/>
      <c r="C35" s="31"/>
      <c r="D35" s="31"/>
      <c r="E35" s="46"/>
      <c r="F35" s="31"/>
      <c r="G35" s="47"/>
      <c r="H35" s="31"/>
      <c r="I35" s="47"/>
      <c r="J35" s="44"/>
      <c r="K35" s="48"/>
    </row>
    <row r="36" spans="1:11" x14ac:dyDescent="0.35">
      <c r="A36" s="52" t="s">
        <v>52</v>
      </c>
      <c r="B36" s="53"/>
      <c r="C36" s="53"/>
      <c r="D36" s="53"/>
      <c r="E36" s="54"/>
      <c r="F36" s="53"/>
      <c r="G36" s="53"/>
      <c r="H36" s="53"/>
      <c r="I36" s="53"/>
      <c r="J36" s="55">
        <f>SUM(J31:J34)</f>
        <v>8.3375368718532544E-2</v>
      </c>
      <c r="K36" s="56">
        <f>SUM(K31:K34)</f>
        <v>1.3888892422836115E-4</v>
      </c>
    </row>
    <row r="37" spans="1:11" ht="16.5" x14ac:dyDescent="0.45">
      <c r="A37" s="57" t="s">
        <v>53</v>
      </c>
      <c r="B37" s="58"/>
      <c r="C37" s="58"/>
      <c r="D37" s="58"/>
      <c r="E37" s="59"/>
      <c r="F37" s="58"/>
      <c r="G37" s="60" t="s">
        <v>137</v>
      </c>
      <c r="H37" s="58"/>
      <c r="I37" s="58"/>
      <c r="J37" s="61">
        <f>SQRT(J36)</f>
        <v>0.28874793283854439</v>
      </c>
      <c r="K37" s="62"/>
    </row>
    <row r="38" spans="1:11" ht="17.5" x14ac:dyDescent="0.45">
      <c r="A38" s="52" t="s">
        <v>54</v>
      </c>
      <c r="B38" s="53"/>
      <c r="C38" s="53"/>
      <c r="D38" s="53"/>
      <c r="E38" s="54"/>
      <c r="F38" s="53"/>
      <c r="G38" s="24" t="s">
        <v>138</v>
      </c>
      <c r="H38" s="53"/>
      <c r="I38" s="53"/>
      <c r="J38" s="55">
        <f>J37^4/(K36)</f>
        <v>50.050442449404237</v>
      </c>
      <c r="K38" s="63"/>
    </row>
    <row r="39" spans="1:11" x14ac:dyDescent="0.35">
      <c r="A39" s="57" t="s">
        <v>55</v>
      </c>
      <c r="B39" s="58"/>
      <c r="C39" s="58"/>
      <c r="D39" s="58"/>
      <c r="E39" s="59"/>
      <c r="F39" s="58"/>
      <c r="G39" s="21" t="s">
        <v>56</v>
      </c>
      <c r="H39" s="58"/>
      <c r="I39" s="58"/>
      <c r="J39" s="64">
        <f>1.95996+(2.37356/J38)+(2.818745/J38^2)+(2.546662/J38^3)+(1.761829/J38^4)+(0.245458/J38^5)+(1.000764/J38^6)</f>
        <v>2.0085291768444482</v>
      </c>
      <c r="K39" s="62"/>
    </row>
    <row r="40" spans="1:11" x14ac:dyDescent="0.35">
      <c r="A40" s="65" t="s">
        <v>57</v>
      </c>
      <c r="B40" s="66"/>
      <c r="C40" s="66"/>
      <c r="D40" s="66"/>
      <c r="E40" s="67"/>
      <c r="F40" s="66"/>
      <c r="G40" s="68" t="s">
        <v>58</v>
      </c>
      <c r="H40" s="66"/>
      <c r="I40" s="449"/>
      <c r="J40" s="69">
        <f>J37*J39</f>
        <v>0.57995864785973761</v>
      </c>
      <c r="K40" s="70" t="s">
        <v>174</v>
      </c>
    </row>
    <row r="41" spans="1:11" x14ac:dyDescent="0.35">
      <c r="A41" s="19"/>
      <c r="J41" s="92">
        <f>J40/C29*100</f>
        <v>1.933195492865792</v>
      </c>
      <c r="K41" s="450" t="s">
        <v>284</v>
      </c>
    </row>
    <row r="42" spans="1:11" x14ac:dyDescent="0.35">
      <c r="A42" s="20" t="str">
        <f>A29</f>
        <v>Tekanan Traction</v>
      </c>
      <c r="B42" s="21"/>
      <c r="C42" s="22">
        <f>ID!D36</f>
        <v>40</v>
      </c>
      <c r="D42" s="23" t="s">
        <v>174</v>
      </c>
      <c r="E42" s="24"/>
      <c r="F42" s="24"/>
      <c r="G42" s="24"/>
      <c r="H42" s="24"/>
      <c r="I42" s="24"/>
      <c r="J42" s="24"/>
      <c r="K42" s="63"/>
    </row>
    <row r="43" spans="1:11" x14ac:dyDescent="0.35">
      <c r="A43" s="25" t="s">
        <v>38</v>
      </c>
      <c r="B43" s="26" t="s">
        <v>39</v>
      </c>
      <c r="C43" s="27" t="s">
        <v>40</v>
      </c>
      <c r="D43" s="26" t="s">
        <v>41</v>
      </c>
      <c r="E43" s="28" t="s">
        <v>42</v>
      </c>
      <c r="F43" s="26" t="s">
        <v>43</v>
      </c>
      <c r="G43" s="27" t="s">
        <v>44</v>
      </c>
      <c r="H43" s="26" t="s">
        <v>45</v>
      </c>
      <c r="I43" s="27" t="s">
        <v>46</v>
      </c>
      <c r="J43" s="26" t="s">
        <v>47</v>
      </c>
      <c r="K43" s="29" t="s">
        <v>48</v>
      </c>
    </row>
    <row r="44" spans="1:11" x14ac:dyDescent="0.35">
      <c r="A44" s="30" t="s">
        <v>49</v>
      </c>
      <c r="B44" s="31" t="s">
        <v>174</v>
      </c>
      <c r="C44" s="32" t="s">
        <v>50</v>
      </c>
      <c r="D44" s="33">
        <f>ID!L36</f>
        <v>0</v>
      </c>
      <c r="E44" s="34">
        <f>SQRT(6)</f>
        <v>2.4494897427831779</v>
      </c>
      <c r="F44" s="31">
        <v>5</v>
      </c>
      <c r="G44" s="35">
        <f>D44/E44</f>
        <v>0</v>
      </c>
      <c r="H44" s="36">
        <v>1</v>
      </c>
      <c r="I44" s="35">
        <f>G44*H44</f>
        <v>0</v>
      </c>
      <c r="J44" s="37">
        <f>I44^2</f>
        <v>0</v>
      </c>
      <c r="K44" s="38">
        <f>I44^4/F44</f>
        <v>0</v>
      </c>
    </row>
    <row r="45" spans="1:11" x14ac:dyDescent="0.35">
      <c r="A45" s="39" t="s">
        <v>272</v>
      </c>
      <c r="B45" s="31" t="s">
        <v>174</v>
      </c>
      <c r="C45" s="40" t="s">
        <v>51</v>
      </c>
      <c r="D45" s="41">
        <f>D32</f>
        <v>0.5</v>
      </c>
      <c r="E45" s="42">
        <f>SQRT(3)</f>
        <v>1.7320508075688772</v>
      </c>
      <c r="F45" s="31">
        <v>50</v>
      </c>
      <c r="G45" s="43">
        <f>D45/E45</f>
        <v>0.28867513459481292</v>
      </c>
      <c r="H45" s="31">
        <v>1</v>
      </c>
      <c r="I45" s="43">
        <f>G45*H45</f>
        <v>0.28867513459481292</v>
      </c>
      <c r="J45" s="44">
        <f>I45^2</f>
        <v>8.3333333333333356E-2</v>
      </c>
      <c r="K45" s="45">
        <f>I45^4/F45</f>
        <v>1.3888888888888897E-4</v>
      </c>
    </row>
    <row r="46" spans="1:11" x14ac:dyDescent="0.35">
      <c r="A46" s="30" t="s">
        <v>66</v>
      </c>
      <c r="B46" s="31" t="s">
        <v>174</v>
      </c>
      <c r="C46" s="31" t="s">
        <v>51</v>
      </c>
      <c r="D46" s="46">
        <f>'DB ANDILOG'!L148</f>
        <v>0</v>
      </c>
      <c r="E46" s="46">
        <f>SQRT(3)</f>
        <v>1.7320508075688772</v>
      </c>
      <c r="F46" s="31">
        <v>50</v>
      </c>
      <c r="G46" s="47">
        <f>D46/E46</f>
        <v>0</v>
      </c>
      <c r="H46" s="31">
        <v>1</v>
      </c>
      <c r="I46" s="47">
        <f>G46*H46</f>
        <v>0</v>
      </c>
      <c r="J46" s="44">
        <f>I46^2</f>
        <v>0</v>
      </c>
      <c r="K46" s="48">
        <f>I46^4/F46</f>
        <v>0</v>
      </c>
    </row>
    <row r="47" spans="1:11" x14ac:dyDescent="0.35">
      <c r="A47" s="49" t="s">
        <v>67</v>
      </c>
      <c r="B47" s="31" t="s">
        <v>174</v>
      </c>
      <c r="C47" s="40" t="s">
        <v>50</v>
      </c>
      <c r="D47" s="3">
        <f>'DB ANDILOG'!I148</f>
        <v>0</v>
      </c>
      <c r="E47" s="51">
        <v>2</v>
      </c>
      <c r="F47" s="31">
        <v>50</v>
      </c>
      <c r="G47" s="43">
        <f>D47/E47</f>
        <v>0</v>
      </c>
      <c r="H47" s="31">
        <v>1</v>
      </c>
      <c r="I47" s="43">
        <f>G47*H47</f>
        <v>0</v>
      </c>
      <c r="J47" s="44">
        <f>I47^2</f>
        <v>0</v>
      </c>
      <c r="K47" s="48">
        <f>I47^4/F47</f>
        <v>0</v>
      </c>
    </row>
    <row r="48" spans="1:11" x14ac:dyDescent="0.35">
      <c r="A48" s="49"/>
      <c r="B48" s="31"/>
      <c r="C48" s="31"/>
      <c r="D48" s="31"/>
      <c r="E48" s="46"/>
      <c r="F48" s="31"/>
      <c r="G48" s="47"/>
      <c r="H48" s="31"/>
      <c r="I48" s="47"/>
      <c r="J48" s="44"/>
      <c r="K48" s="48"/>
    </row>
    <row r="49" spans="1:13" x14ac:dyDescent="0.35">
      <c r="A49" s="52" t="s">
        <v>52</v>
      </c>
      <c r="B49" s="53"/>
      <c r="C49" s="53"/>
      <c r="D49" s="53"/>
      <c r="E49" s="54"/>
      <c r="F49" s="53"/>
      <c r="G49" s="53"/>
      <c r="H49" s="53"/>
      <c r="I49" s="53"/>
      <c r="J49" s="55">
        <f>SUM(J44:J47)</f>
        <v>8.3333333333333356E-2</v>
      </c>
      <c r="K49" s="56">
        <f>SUM(K44:K47)</f>
        <v>1.3888888888888897E-4</v>
      </c>
    </row>
    <row r="50" spans="1:13" ht="16.5" x14ac:dyDescent="0.45">
      <c r="A50" s="57" t="s">
        <v>53</v>
      </c>
      <c r="B50" s="58"/>
      <c r="C50" s="58"/>
      <c r="D50" s="58"/>
      <c r="E50" s="59"/>
      <c r="F50" s="58"/>
      <c r="G50" s="60" t="s">
        <v>137</v>
      </c>
      <c r="H50" s="58"/>
      <c r="I50" s="58"/>
      <c r="J50" s="61">
        <f>SQRT(J49)</f>
        <v>0.28867513459481292</v>
      </c>
      <c r="K50" s="62"/>
    </row>
    <row r="51" spans="1:13" ht="17.5" x14ac:dyDescent="0.45">
      <c r="A51" s="52" t="s">
        <v>54</v>
      </c>
      <c r="B51" s="53"/>
      <c r="C51" s="53"/>
      <c r="D51" s="53"/>
      <c r="E51" s="54"/>
      <c r="F51" s="53"/>
      <c r="G51" s="24" t="s">
        <v>138</v>
      </c>
      <c r="H51" s="53"/>
      <c r="I51" s="53"/>
      <c r="J51" s="55">
        <f>J50^4/(K49)</f>
        <v>50</v>
      </c>
      <c r="K51" s="63"/>
    </row>
    <row r="52" spans="1:13" x14ac:dyDescent="0.35">
      <c r="A52" s="57" t="s">
        <v>55</v>
      </c>
      <c r="B52" s="58"/>
      <c r="C52" s="58"/>
      <c r="D52" s="58"/>
      <c r="E52" s="59"/>
      <c r="F52" s="58"/>
      <c r="G52" s="21" t="s">
        <v>56</v>
      </c>
      <c r="H52" s="58"/>
      <c r="I52" s="58"/>
      <c r="J52" s="64">
        <f>1.95996+(2.37356/J51)+(2.818745/J51^2)+(2.546662/J51^3)+(1.761829/J51^4)+(0.245458/J51^5)+(1.000764/J51^6)</f>
        <v>2.008579354038154</v>
      </c>
      <c r="K52" s="62"/>
    </row>
    <row r="53" spans="1:13" x14ac:dyDescent="0.35">
      <c r="A53" s="65" t="s">
        <v>57</v>
      </c>
      <c r="B53" s="66"/>
      <c r="C53" s="66"/>
      <c r="D53" s="66"/>
      <c r="E53" s="67"/>
      <c r="F53" s="66"/>
      <c r="G53" s="68" t="s">
        <v>58</v>
      </c>
      <c r="H53" s="66"/>
      <c r="I53" s="449"/>
      <c r="J53" s="69">
        <f>J50*J52</f>
        <v>0.57982691537132647</v>
      </c>
      <c r="K53" s="70" t="s">
        <v>174</v>
      </c>
    </row>
    <row r="54" spans="1:13" x14ac:dyDescent="0.35">
      <c r="A54" s="19"/>
      <c r="J54" s="92">
        <f>J53/C42*100</f>
        <v>1.4495672884283162</v>
      </c>
      <c r="K54" s="450" t="s">
        <v>284</v>
      </c>
    </row>
    <row r="55" spans="1:13" x14ac:dyDescent="0.35">
      <c r="A55" s="71"/>
    </row>
    <row r="56" spans="1:13" ht="15" thickBot="1" x14ac:dyDescent="0.4">
      <c r="A56" s="71" t="s">
        <v>279</v>
      </c>
      <c r="B56" s="158" t="s">
        <v>337</v>
      </c>
      <c r="C56" s="1">
        <f>ID!D41</f>
        <v>300</v>
      </c>
    </row>
    <row r="57" spans="1:13" x14ac:dyDescent="0.35">
      <c r="A57" s="1277" t="s">
        <v>139</v>
      </c>
      <c r="B57" s="1278"/>
      <c r="C57" s="1278"/>
      <c r="D57" s="1281" t="s">
        <v>39</v>
      </c>
      <c r="E57" s="1281" t="s">
        <v>40</v>
      </c>
      <c r="F57" s="1275" t="s">
        <v>41</v>
      </c>
      <c r="G57" s="1283" t="s">
        <v>42</v>
      </c>
      <c r="H57" s="1275" t="s">
        <v>43</v>
      </c>
      <c r="I57" s="1275" t="s">
        <v>87</v>
      </c>
      <c r="J57" s="1275" t="s">
        <v>81</v>
      </c>
      <c r="K57" s="1275" t="s">
        <v>88</v>
      </c>
      <c r="L57" s="1275" t="s">
        <v>89</v>
      </c>
      <c r="M57" s="1271" t="s">
        <v>90</v>
      </c>
    </row>
    <row r="58" spans="1:13" ht="15" thickBot="1" x14ac:dyDescent="0.4">
      <c r="A58" s="1279"/>
      <c r="B58" s="1280"/>
      <c r="C58" s="1280"/>
      <c r="D58" s="1282"/>
      <c r="E58" s="1282"/>
      <c r="F58" s="1276"/>
      <c r="G58" s="1284"/>
      <c r="H58" s="1276"/>
      <c r="I58" s="1276"/>
      <c r="J58" s="1276"/>
      <c r="K58" s="1276"/>
      <c r="L58" s="1276"/>
      <c r="M58" s="1272"/>
    </row>
    <row r="59" spans="1:13" x14ac:dyDescent="0.35">
      <c r="A59" s="1285" t="s">
        <v>91</v>
      </c>
      <c r="B59" s="1286"/>
      <c r="C59" s="1286"/>
      <c r="D59" s="72" t="s">
        <v>92</v>
      </c>
      <c r="E59" s="72" t="s">
        <v>93</v>
      </c>
      <c r="F59" s="73">
        <f>'DB Stopwatch'!D194</f>
        <v>1</v>
      </c>
      <c r="G59" s="73">
        <f>SQRT(6)</f>
        <v>2.4494897427831779</v>
      </c>
      <c r="H59" s="74">
        <v>2</v>
      </c>
      <c r="I59" s="74">
        <f>F59/G59</f>
        <v>0.40824829046386307</v>
      </c>
      <c r="J59" s="74">
        <v>1</v>
      </c>
      <c r="K59" s="74">
        <f>I59*J59</f>
        <v>0.40824829046386307</v>
      </c>
      <c r="L59" s="74">
        <f>K59^2</f>
        <v>0.16666666666666671</v>
      </c>
      <c r="M59" s="75">
        <f>K59^4/H59</f>
        <v>1.3888888888888897E-2</v>
      </c>
    </row>
    <row r="60" spans="1:13" x14ac:dyDescent="0.35">
      <c r="A60" s="1273" t="s">
        <v>94</v>
      </c>
      <c r="B60" s="1274"/>
      <c r="C60" s="1274"/>
      <c r="D60" s="76" t="s">
        <v>92</v>
      </c>
      <c r="E60" s="76" t="s">
        <v>93</v>
      </c>
      <c r="F60" s="3">
        <f>'DB Stopwatch'!I194</f>
        <v>0.12</v>
      </c>
      <c r="G60" s="2">
        <v>2</v>
      </c>
      <c r="H60" s="2">
        <f>0.5*(100/10)^2</f>
        <v>50</v>
      </c>
      <c r="I60" s="2">
        <f>F60/G60</f>
        <v>0.06</v>
      </c>
      <c r="J60" s="2">
        <v>1</v>
      </c>
      <c r="K60" s="2">
        <f>I60*J60</f>
        <v>0.06</v>
      </c>
      <c r="L60" s="2">
        <f>K60^2</f>
        <v>3.5999999999999999E-3</v>
      </c>
      <c r="M60" s="77">
        <f>K60^4/H60</f>
        <v>2.5919999999999999E-7</v>
      </c>
    </row>
    <row r="61" spans="1:13" x14ac:dyDescent="0.35">
      <c r="A61" s="1273" t="s">
        <v>95</v>
      </c>
      <c r="B61" s="1274"/>
      <c r="C61" s="1274"/>
      <c r="D61" s="76" t="s">
        <v>92</v>
      </c>
      <c r="E61" s="76" t="s">
        <v>140</v>
      </c>
      <c r="F61" s="2">
        <f>'DB Stopwatch'!J194</f>
        <v>0.05</v>
      </c>
      <c r="G61" s="3">
        <f>SQRT(3)</f>
        <v>1.7320508075688772</v>
      </c>
      <c r="H61" s="2">
        <f t="shared" ref="H61:H62" si="0">0.5*(100/10)^2</f>
        <v>50</v>
      </c>
      <c r="I61" s="2">
        <f>F61/G61</f>
        <v>2.8867513459481291E-2</v>
      </c>
      <c r="J61" s="2">
        <v>1</v>
      </c>
      <c r="K61" s="2">
        <f>I61*J61</f>
        <v>2.8867513459481291E-2</v>
      </c>
      <c r="L61" s="2">
        <f>K61^2</f>
        <v>8.333333333333335E-4</v>
      </c>
      <c r="M61" s="99">
        <f>K61^4/H61</f>
        <v>1.3888888888888894E-8</v>
      </c>
    </row>
    <row r="62" spans="1:13" x14ac:dyDescent="0.35">
      <c r="A62" s="1273" t="s">
        <v>96</v>
      </c>
      <c r="B62" s="1274"/>
      <c r="C62" s="1274"/>
      <c r="D62" s="76" t="s">
        <v>92</v>
      </c>
      <c r="E62" s="76" t="s">
        <v>140</v>
      </c>
      <c r="F62" s="78">
        <f>'DB Stopwatch'!K194</f>
        <v>3.9999999999999994E-2</v>
      </c>
      <c r="G62" s="3">
        <f>SQRT(3)</f>
        <v>1.7320508075688772</v>
      </c>
      <c r="H62" s="2">
        <f t="shared" si="0"/>
        <v>50</v>
      </c>
      <c r="I62" s="3">
        <f>F62/G62</f>
        <v>2.3094010767585028E-2</v>
      </c>
      <c r="J62" s="2">
        <v>1</v>
      </c>
      <c r="K62" s="3">
        <f>I62*J62</f>
        <v>2.3094010767585028E-2</v>
      </c>
      <c r="L62" s="3">
        <f>K62^2</f>
        <v>5.3333333333333325E-4</v>
      </c>
      <c r="M62" s="99">
        <f>K62^4/H62</f>
        <v>5.688888888888888E-9</v>
      </c>
    </row>
    <row r="63" spans="1:13" x14ac:dyDescent="0.35">
      <c r="A63" s="79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100"/>
    </row>
    <row r="64" spans="1:13" x14ac:dyDescent="0.35">
      <c r="A64" s="57" t="s">
        <v>97</v>
      </c>
      <c r="B64" s="21"/>
      <c r="C64" s="21"/>
      <c r="D64" s="21"/>
      <c r="E64" s="82"/>
      <c r="F64" s="82"/>
      <c r="G64" s="82"/>
      <c r="H64" s="82"/>
      <c r="I64" s="82"/>
      <c r="J64" s="82"/>
      <c r="K64" s="82"/>
      <c r="L64" s="83">
        <f>SUM(L59:L62)</f>
        <v>0.17163333333333336</v>
      </c>
      <c r="M64" s="99">
        <f>+SUM(M59:M62)</f>
        <v>1.3889167666666676E-2</v>
      </c>
    </row>
    <row r="65" spans="1:13" x14ac:dyDescent="0.35">
      <c r="A65" s="57" t="s">
        <v>98</v>
      </c>
      <c r="B65" s="21"/>
      <c r="C65" s="21"/>
      <c r="D65" s="21"/>
      <c r="E65" s="82"/>
      <c r="F65" s="82"/>
      <c r="G65" s="82"/>
      <c r="H65" s="82"/>
      <c r="I65" s="82"/>
      <c r="J65" s="82"/>
      <c r="K65" s="82"/>
      <c r="L65" s="84">
        <f>SQRT(L64)</f>
        <v>0.41428653530296317</v>
      </c>
      <c r="M65" s="85"/>
    </row>
    <row r="66" spans="1:13" x14ac:dyDescent="0.35">
      <c r="A66" s="57" t="s">
        <v>99</v>
      </c>
      <c r="B66" s="21"/>
      <c r="C66" s="21"/>
      <c r="D66" s="21"/>
      <c r="E66" s="82"/>
      <c r="F66" s="82"/>
      <c r="G66" s="82"/>
      <c r="H66" s="82"/>
      <c r="I66" s="82"/>
      <c r="J66" s="82"/>
      <c r="K66" s="82"/>
      <c r="L66" s="84">
        <f>L65^4/(M64)</f>
        <v>2.1209335086226133</v>
      </c>
      <c r="M66" s="85"/>
    </row>
    <row r="67" spans="1:13" x14ac:dyDescent="0.35">
      <c r="A67" s="57" t="s">
        <v>100</v>
      </c>
      <c r="B67" s="21"/>
      <c r="C67" s="21"/>
      <c r="D67" s="21"/>
      <c r="E67" s="82"/>
      <c r="F67" s="82"/>
      <c r="G67" s="82"/>
      <c r="H67" s="82"/>
      <c r="I67" s="82"/>
      <c r="J67" s="82"/>
      <c r="K67" s="82"/>
      <c r="L67" s="86">
        <f>1.95996+(2.37356/L66)+(2.818745/L66^2)+(2.546662/L66^3)+(1.761829/L66^4)+(0.245458/L66^5)+(1.000764/L66^6)</f>
        <v>4.0763938574624587</v>
      </c>
      <c r="M67" s="85"/>
    </row>
    <row r="68" spans="1:13" ht="15" thickBot="1" x14ac:dyDescent="0.4">
      <c r="A68" s="98" t="s">
        <v>101</v>
      </c>
      <c r="B68" s="87"/>
      <c r="C68" s="87"/>
      <c r="D68" s="87"/>
      <c r="E68" s="88"/>
      <c r="F68" s="88"/>
      <c r="G68" s="88"/>
      <c r="H68" s="88"/>
      <c r="I68" s="88"/>
      <c r="J68" s="88"/>
      <c r="K68" s="88"/>
      <c r="L68" s="452">
        <f>L65*L67</f>
        <v>1.688795087738403</v>
      </c>
      <c r="M68" s="89" t="s">
        <v>92</v>
      </c>
    </row>
    <row r="69" spans="1:13" x14ac:dyDescent="0.35">
      <c r="A69" s="157"/>
      <c r="L69" s="92">
        <f>UNCERT!L68/ID!D41*100</f>
        <v>0.56293169591280101</v>
      </c>
      <c r="M69" s="158" t="s">
        <v>284</v>
      </c>
    </row>
    <row r="70" spans="1:13" x14ac:dyDescent="0.35">
      <c r="A70" s="71"/>
    </row>
    <row r="71" spans="1:13" x14ac:dyDescent="0.35">
      <c r="A71" s="71"/>
    </row>
    <row r="72" spans="1:13" x14ac:dyDescent="0.35">
      <c r="A72" s="71"/>
    </row>
    <row r="73" spans="1:13" x14ac:dyDescent="0.35">
      <c r="A73" s="71"/>
    </row>
    <row r="74" spans="1:13" x14ac:dyDescent="0.35">
      <c r="A74" s="71"/>
    </row>
    <row r="75" spans="1:13" x14ac:dyDescent="0.35">
      <c r="A75" s="71"/>
    </row>
    <row r="76" spans="1:13" x14ac:dyDescent="0.35">
      <c r="A76" s="71"/>
    </row>
    <row r="77" spans="1:13" x14ac:dyDescent="0.35">
      <c r="A77" s="71"/>
    </row>
    <row r="78" spans="1:13" ht="15" thickBot="1" x14ac:dyDescent="0.4">
      <c r="A78" s="71" t="s">
        <v>279</v>
      </c>
      <c r="B78" s="158" t="s">
        <v>338</v>
      </c>
      <c r="C78" s="1">
        <f>ID!D42</f>
        <v>20</v>
      </c>
    </row>
    <row r="79" spans="1:13" x14ac:dyDescent="0.35">
      <c r="A79" s="1277" t="s">
        <v>139</v>
      </c>
      <c r="B79" s="1278"/>
      <c r="C79" s="1278"/>
      <c r="D79" s="1281" t="s">
        <v>39</v>
      </c>
      <c r="E79" s="1281" t="s">
        <v>40</v>
      </c>
      <c r="F79" s="1275" t="s">
        <v>41</v>
      </c>
      <c r="G79" s="1283" t="s">
        <v>42</v>
      </c>
      <c r="H79" s="1275" t="s">
        <v>43</v>
      </c>
      <c r="I79" s="1275" t="s">
        <v>87</v>
      </c>
      <c r="J79" s="1275" t="s">
        <v>81</v>
      </c>
      <c r="K79" s="1275" t="s">
        <v>88</v>
      </c>
      <c r="L79" s="1275" t="s">
        <v>89</v>
      </c>
      <c r="M79" s="1271" t="s">
        <v>90</v>
      </c>
    </row>
    <row r="80" spans="1:13" ht="15" thickBot="1" x14ac:dyDescent="0.4">
      <c r="A80" s="1279"/>
      <c r="B80" s="1280"/>
      <c r="C80" s="1280"/>
      <c r="D80" s="1282"/>
      <c r="E80" s="1282"/>
      <c r="F80" s="1276"/>
      <c r="G80" s="1284"/>
      <c r="H80" s="1276"/>
      <c r="I80" s="1276"/>
      <c r="J80" s="1276"/>
      <c r="K80" s="1276"/>
      <c r="L80" s="1276"/>
      <c r="M80" s="1272"/>
    </row>
    <row r="81" spans="1:13" x14ac:dyDescent="0.35">
      <c r="A81" s="1285" t="s">
        <v>91</v>
      </c>
      <c r="B81" s="1286"/>
      <c r="C81" s="1286"/>
      <c r="D81" s="72" t="s">
        <v>92</v>
      </c>
      <c r="E81" s="72" t="s">
        <v>93</v>
      </c>
      <c r="F81" s="73">
        <f>'DB Stopwatch'!D195</f>
        <v>6.8068592855539706E-2</v>
      </c>
      <c r="G81" s="73">
        <f>SQRT(6)</f>
        <v>2.4494897427831779</v>
      </c>
      <c r="H81" s="74">
        <v>2</v>
      </c>
      <c r="I81" s="74">
        <f>F81/G81</f>
        <v>2.7788886667554809E-2</v>
      </c>
      <c r="J81" s="74">
        <v>1</v>
      </c>
      <c r="K81" s="74">
        <f>I81*J81</f>
        <v>2.7788886667554809E-2</v>
      </c>
      <c r="L81" s="74">
        <f>K81^2</f>
        <v>7.7222222222220541E-4</v>
      </c>
      <c r="M81" s="75">
        <f>K81^4/H81</f>
        <v>2.9816358024690061E-7</v>
      </c>
    </row>
    <row r="82" spans="1:13" x14ac:dyDescent="0.35">
      <c r="A82" s="1273" t="s">
        <v>94</v>
      </c>
      <c r="B82" s="1274"/>
      <c r="C82" s="1274"/>
      <c r="D82" s="76" t="s">
        <v>92</v>
      </c>
      <c r="E82" s="76" t="s">
        <v>93</v>
      </c>
      <c r="F82" s="3">
        <f>'DB Stopwatch'!I195</f>
        <v>0.12</v>
      </c>
      <c r="G82" s="2">
        <v>2</v>
      </c>
      <c r="H82" s="2">
        <f>0.5*(100/10)^2</f>
        <v>50</v>
      </c>
      <c r="I82" s="2">
        <f>F82/G82</f>
        <v>0.06</v>
      </c>
      <c r="J82" s="2">
        <v>1</v>
      </c>
      <c r="K82" s="2">
        <f>I82*J82</f>
        <v>0.06</v>
      </c>
      <c r="L82" s="2">
        <f>K82^2</f>
        <v>3.5999999999999999E-3</v>
      </c>
      <c r="M82" s="77">
        <f>K82^4/H82</f>
        <v>2.5919999999999999E-7</v>
      </c>
    </row>
    <row r="83" spans="1:13" x14ac:dyDescent="0.35">
      <c r="A83" s="1273" t="s">
        <v>95</v>
      </c>
      <c r="B83" s="1274"/>
      <c r="C83" s="1274"/>
      <c r="D83" s="76" t="s">
        <v>92</v>
      </c>
      <c r="E83" s="76" t="s">
        <v>140</v>
      </c>
      <c r="F83" s="2">
        <f>'DB Stopwatch'!J195</f>
        <v>0.05</v>
      </c>
      <c r="G83" s="3">
        <f>SQRT(3)</f>
        <v>1.7320508075688772</v>
      </c>
      <c r="H83" s="2">
        <f t="shared" ref="H83:H84" si="1">0.5*(100/10)^2</f>
        <v>50</v>
      </c>
      <c r="I83" s="2">
        <f>F83/G83</f>
        <v>2.8867513459481291E-2</v>
      </c>
      <c r="J83" s="2">
        <v>1</v>
      </c>
      <c r="K83" s="2">
        <f>I83*J83</f>
        <v>2.8867513459481291E-2</v>
      </c>
      <c r="L83" s="2">
        <f>K83^2</f>
        <v>8.333333333333335E-4</v>
      </c>
      <c r="M83" s="99">
        <f>K83^4/H83</f>
        <v>1.3888888888888894E-8</v>
      </c>
    </row>
    <row r="84" spans="1:13" x14ac:dyDescent="0.35">
      <c r="A84" s="1273" t="s">
        <v>96</v>
      </c>
      <c r="B84" s="1274"/>
      <c r="C84" s="1274"/>
      <c r="D84" s="76" t="s">
        <v>92</v>
      </c>
      <c r="E84" s="76" t="s">
        <v>140</v>
      </c>
      <c r="F84" s="78">
        <f>'DB Stopwatch'!K195</f>
        <v>3.9999999999999994E-2</v>
      </c>
      <c r="G84" s="3">
        <f>SQRT(3)</f>
        <v>1.7320508075688772</v>
      </c>
      <c r="H84" s="2">
        <f t="shared" si="1"/>
        <v>50</v>
      </c>
      <c r="I84" s="3">
        <f>F84/G84</f>
        <v>2.3094010767585028E-2</v>
      </c>
      <c r="J84" s="2">
        <v>1</v>
      </c>
      <c r="K84" s="3">
        <f>I84*J84</f>
        <v>2.3094010767585028E-2</v>
      </c>
      <c r="L84" s="3">
        <f>K84^2</f>
        <v>5.3333333333333325E-4</v>
      </c>
      <c r="M84" s="99">
        <f>K84^4/H84</f>
        <v>5.688888888888888E-9</v>
      </c>
    </row>
    <row r="85" spans="1:13" x14ac:dyDescent="0.35">
      <c r="A85" s="79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1"/>
      <c r="M85" s="100"/>
    </row>
    <row r="86" spans="1:13" x14ac:dyDescent="0.35">
      <c r="A86" s="57" t="s">
        <v>97</v>
      </c>
      <c r="B86" s="21"/>
      <c r="C86" s="21"/>
      <c r="D86" s="21"/>
      <c r="E86" s="82"/>
      <c r="F86" s="82"/>
      <c r="G86" s="82"/>
      <c r="H86" s="82"/>
      <c r="I86" s="82"/>
      <c r="J86" s="82"/>
      <c r="K86" s="82"/>
      <c r="L86" s="83">
        <f>SUM(L81:L84)</f>
        <v>5.7388888888888724E-3</v>
      </c>
      <c r="M86" s="99">
        <f>+SUM(M81:M84)</f>
        <v>5.7694135802467834E-7</v>
      </c>
    </row>
    <row r="87" spans="1:13" x14ac:dyDescent="0.35">
      <c r="A87" s="57" t="s">
        <v>98</v>
      </c>
      <c r="B87" s="21"/>
      <c r="C87" s="21"/>
      <c r="D87" s="21"/>
      <c r="E87" s="82"/>
      <c r="F87" s="82"/>
      <c r="G87" s="82"/>
      <c r="H87" s="82"/>
      <c r="I87" s="82"/>
      <c r="J87" s="82"/>
      <c r="K87" s="82"/>
      <c r="L87" s="84">
        <f>SQRT(L86)</f>
        <v>7.5755454515756632E-2</v>
      </c>
      <c r="M87" s="85"/>
    </row>
    <row r="88" spans="1:13" x14ac:dyDescent="0.35">
      <c r="A88" s="57" t="s">
        <v>99</v>
      </c>
      <c r="B88" s="21"/>
      <c r="C88" s="21"/>
      <c r="D88" s="21"/>
      <c r="E88" s="82"/>
      <c r="F88" s="82"/>
      <c r="G88" s="82"/>
      <c r="H88" s="82"/>
      <c r="I88" s="82"/>
      <c r="J88" s="82"/>
      <c r="K88" s="82"/>
      <c r="L88" s="84">
        <f>L87^4/(M86)</f>
        <v>57.085256969224559</v>
      </c>
      <c r="M88" s="85"/>
    </row>
    <row r="89" spans="1:13" x14ac:dyDescent="0.35">
      <c r="A89" s="57" t="s">
        <v>100</v>
      </c>
      <c r="B89" s="21"/>
      <c r="C89" s="21"/>
      <c r="D89" s="21"/>
      <c r="E89" s="82"/>
      <c r="F89" s="82"/>
      <c r="G89" s="82"/>
      <c r="H89" s="82"/>
      <c r="I89" s="82"/>
      <c r="J89" s="82"/>
      <c r="K89" s="82"/>
      <c r="L89" s="86">
        <f>1.95996+(2.37356/L88)+(2.818745/L88^2)+(2.546662/L88^3)+(1.761829/L88^4)+(0.245458/L88^5)+(1.000764/L88^6)</f>
        <v>2.002418051776842</v>
      </c>
      <c r="M89" s="85"/>
    </row>
    <row r="90" spans="1:13" ht="15" thickBot="1" x14ac:dyDescent="0.4">
      <c r="A90" s="98" t="s">
        <v>101</v>
      </c>
      <c r="B90" s="87"/>
      <c r="C90" s="87"/>
      <c r="D90" s="87"/>
      <c r="E90" s="88"/>
      <c r="F90" s="88"/>
      <c r="G90" s="88"/>
      <c r="H90" s="88"/>
      <c r="I90" s="88"/>
      <c r="J90" s="88"/>
      <c r="K90" s="88"/>
      <c r="L90" s="452">
        <f>L87*L89</f>
        <v>0.15169408964291056</v>
      </c>
      <c r="M90" s="89" t="s">
        <v>92</v>
      </c>
    </row>
    <row r="91" spans="1:13" x14ac:dyDescent="0.35">
      <c r="A91" s="157"/>
      <c r="L91" s="650">
        <f>UNCERT!L90/C78*100</f>
        <v>0.75847044821455278</v>
      </c>
      <c r="M91" s="1" t="s">
        <v>284</v>
      </c>
    </row>
    <row r="92" spans="1:13" ht="15" thickBot="1" x14ac:dyDescent="0.4">
      <c r="A92" s="71" t="s">
        <v>279</v>
      </c>
      <c r="B92" s="158" t="s">
        <v>339</v>
      </c>
      <c r="C92" s="1">
        <f>ID!D43</f>
        <v>20</v>
      </c>
    </row>
    <row r="93" spans="1:13" x14ac:dyDescent="0.35">
      <c r="A93" s="1277" t="s">
        <v>139</v>
      </c>
      <c r="B93" s="1278"/>
      <c r="C93" s="1278"/>
      <c r="D93" s="1281" t="s">
        <v>39</v>
      </c>
      <c r="E93" s="1281" t="s">
        <v>40</v>
      </c>
      <c r="F93" s="1275" t="s">
        <v>41</v>
      </c>
      <c r="G93" s="1283" t="s">
        <v>42</v>
      </c>
      <c r="H93" s="1275" t="s">
        <v>43</v>
      </c>
      <c r="I93" s="1275" t="s">
        <v>87</v>
      </c>
      <c r="J93" s="1275" t="s">
        <v>81</v>
      </c>
      <c r="K93" s="1275" t="s">
        <v>88</v>
      </c>
      <c r="L93" s="1275" t="s">
        <v>89</v>
      </c>
      <c r="M93" s="1271" t="s">
        <v>90</v>
      </c>
    </row>
    <row r="94" spans="1:13" ht="15" thickBot="1" x14ac:dyDescent="0.4">
      <c r="A94" s="1279"/>
      <c r="B94" s="1280"/>
      <c r="C94" s="1280"/>
      <c r="D94" s="1282"/>
      <c r="E94" s="1282"/>
      <c r="F94" s="1276"/>
      <c r="G94" s="1284"/>
      <c r="H94" s="1276"/>
      <c r="I94" s="1276"/>
      <c r="J94" s="1276"/>
      <c r="K94" s="1276"/>
      <c r="L94" s="1276"/>
      <c r="M94" s="1272"/>
    </row>
    <row r="95" spans="1:13" x14ac:dyDescent="0.35">
      <c r="A95" s="1285" t="s">
        <v>91</v>
      </c>
      <c r="B95" s="1286"/>
      <c r="C95" s="1286"/>
      <c r="D95" s="72" t="s">
        <v>92</v>
      </c>
      <c r="E95" s="72" t="s">
        <v>93</v>
      </c>
      <c r="F95" s="73">
        <f>'DB Stopwatch'!D196</f>
        <v>5.5075705472860274E-2</v>
      </c>
      <c r="G95" s="73">
        <f>SQRT(6)</f>
        <v>2.4494897427831779</v>
      </c>
      <c r="H95" s="74">
        <v>2</v>
      </c>
      <c r="I95" s="74">
        <f>F95/G95</f>
        <v>2.2484562605386432E-2</v>
      </c>
      <c r="J95" s="74">
        <v>1</v>
      </c>
      <c r="K95" s="74">
        <f>I95*J95</f>
        <v>2.2484562605386432E-2</v>
      </c>
      <c r="L95" s="74">
        <f>K95^2</f>
        <v>5.0555555555554187E-4</v>
      </c>
      <c r="M95" s="75">
        <f>K95^4/H95</f>
        <v>1.277932098765363E-7</v>
      </c>
    </row>
    <row r="96" spans="1:13" x14ac:dyDescent="0.35">
      <c r="A96" s="1273" t="s">
        <v>94</v>
      </c>
      <c r="B96" s="1274"/>
      <c r="C96" s="1274"/>
      <c r="D96" s="76" t="s">
        <v>92</v>
      </c>
      <c r="E96" s="76" t="s">
        <v>93</v>
      </c>
      <c r="F96" s="3">
        <f>'DB Stopwatch'!I196</f>
        <v>0.12</v>
      </c>
      <c r="G96" s="2">
        <v>2</v>
      </c>
      <c r="H96" s="2">
        <f>0.5*(100/10)^2</f>
        <v>50</v>
      </c>
      <c r="I96" s="2">
        <f>F96/G96</f>
        <v>0.06</v>
      </c>
      <c r="J96" s="2">
        <v>1</v>
      </c>
      <c r="K96" s="2">
        <f>I96*J96</f>
        <v>0.06</v>
      </c>
      <c r="L96" s="2">
        <f>K96^2</f>
        <v>3.5999999999999999E-3</v>
      </c>
      <c r="M96" s="77">
        <f>K96^4/H96</f>
        <v>2.5919999999999999E-7</v>
      </c>
    </row>
    <row r="97" spans="1:14" x14ac:dyDescent="0.35">
      <c r="A97" s="1273" t="s">
        <v>95</v>
      </c>
      <c r="B97" s="1274"/>
      <c r="C97" s="1274"/>
      <c r="D97" s="76" t="s">
        <v>92</v>
      </c>
      <c r="E97" s="76" t="s">
        <v>140</v>
      </c>
      <c r="F97" s="2">
        <f>'DB Stopwatch'!J196</f>
        <v>0.05</v>
      </c>
      <c r="G97" s="3">
        <f>SQRT(3)</f>
        <v>1.7320508075688772</v>
      </c>
      <c r="H97" s="2">
        <f t="shared" ref="H97:H98" si="2">0.5*(100/10)^2</f>
        <v>50</v>
      </c>
      <c r="I97" s="2">
        <f>F97/G97</f>
        <v>2.8867513459481291E-2</v>
      </c>
      <c r="J97" s="2">
        <v>1</v>
      </c>
      <c r="K97" s="2">
        <f>I97*J97</f>
        <v>2.8867513459481291E-2</v>
      </c>
      <c r="L97" s="2">
        <f>K97^2</f>
        <v>8.333333333333335E-4</v>
      </c>
      <c r="M97" s="99">
        <f>K97^4/H97</f>
        <v>1.3888888888888894E-8</v>
      </c>
    </row>
    <row r="98" spans="1:14" ht="16.5" customHeight="1" x14ac:dyDescent="0.35">
      <c r="A98" s="1273" t="s">
        <v>96</v>
      </c>
      <c r="B98" s="1274"/>
      <c r="C98" s="1274"/>
      <c r="D98" s="76" t="s">
        <v>92</v>
      </c>
      <c r="E98" s="76" t="s">
        <v>140</v>
      </c>
      <c r="F98" s="78">
        <f>'DB Stopwatch'!K196</f>
        <v>3.9999999999999994E-2</v>
      </c>
      <c r="G98" s="3">
        <f>SQRT(3)</f>
        <v>1.7320508075688772</v>
      </c>
      <c r="H98" s="2">
        <f t="shared" si="2"/>
        <v>50</v>
      </c>
      <c r="I98" s="3">
        <f>F98/G98</f>
        <v>2.3094010767585028E-2</v>
      </c>
      <c r="J98" s="2">
        <v>1</v>
      </c>
      <c r="K98" s="3">
        <f>I98*J98</f>
        <v>2.3094010767585028E-2</v>
      </c>
      <c r="L98" s="3">
        <f>K98^2</f>
        <v>5.3333333333333325E-4</v>
      </c>
      <c r="M98" s="99">
        <f>K98^4/H98</f>
        <v>5.688888888888888E-9</v>
      </c>
    </row>
    <row r="99" spans="1:14" x14ac:dyDescent="0.35">
      <c r="A99" s="79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1"/>
      <c r="M99" s="100"/>
    </row>
    <row r="100" spans="1:14" x14ac:dyDescent="0.35">
      <c r="A100" s="57" t="s">
        <v>97</v>
      </c>
      <c r="B100" s="21"/>
      <c r="C100" s="21"/>
      <c r="D100" s="21"/>
      <c r="E100" s="82"/>
      <c r="F100" s="82"/>
      <c r="G100" s="82"/>
      <c r="H100" s="82"/>
      <c r="I100" s="82"/>
      <c r="J100" s="82"/>
      <c r="K100" s="82"/>
      <c r="L100" s="83">
        <f>SUM(L95:L98)</f>
        <v>5.4722222222222091E-3</v>
      </c>
      <c r="M100" s="99">
        <f>+SUM(M95:M98)</f>
        <v>4.0657098765431405E-7</v>
      </c>
    </row>
    <row r="101" spans="1:14" x14ac:dyDescent="0.35">
      <c r="A101" s="57" t="s">
        <v>98</v>
      </c>
      <c r="B101" s="21"/>
      <c r="C101" s="21"/>
      <c r="D101" s="21"/>
      <c r="E101" s="82"/>
      <c r="F101" s="82"/>
      <c r="G101" s="82"/>
      <c r="H101" s="82"/>
      <c r="I101" s="82"/>
      <c r="J101" s="82"/>
      <c r="K101" s="82"/>
      <c r="L101" s="84">
        <f>SQRT(L100)</f>
        <v>7.3974470070573728E-2</v>
      </c>
      <c r="M101" s="85"/>
    </row>
    <row r="102" spans="1:14" x14ac:dyDescent="0.35">
      <c r="A102" s="57" t="s">
        <v>99</v>
      </c>
      <c r="B102" s="21"/>
      <c r="C102" s="21"/>
      <c r="D102" s="21"/>
      <c r="E102" s="82"/>
      <c r="F102" s="82"/>
      <c r="G102" s="82"/>
      <c r="H102" s="82"/>
      <c r="I102" s="82"/>
      <c r="J102" s="82"/>
      <c r="K102" s="82"/>
      <c r="L102" s="84">
        <f>L101^4/(M100)</f>
        <v>73.653105997920846</v>
      </c>
      <c r="M102" s="85"/>
    </row>
    <row r="103" spans="1:14" x14ac:dyDescent="0.35">
      <c r="A103" s="57" t="s">
        <v>100</v>
      </c>
      <c r="B103" s="21"/>
      <c r="C103" s="21"/>
      <c r="D103" s="21"/>
      <c r="E103" s="82"/>
      <c r="F103" s="82"/>
      <c r="G103" s="82"/>
      <c r="H103" s="82"/>
      <c r="I103" s="82"/>
      <c r="J103" s="82"/>
      <c r="K103" s="82"/>
      <c r="L103" s="86">
        <f>1.95996+(2.37356/L102)+(2.818745/L102^2)+(2.546662/L102^3)+(1.761829/L102^4)+(0.245458/L102^5)+(1.000764/L102^6)</f>
        <v>1.9927122429249482</v>
      </c>
      <c r="M103" s="85"/>
    </row>
    <row r="104" spans="1:14" ht="15" thickBot="1" x14ac:dyDescent="0.4">
      <c r="A104" s="98" t="s">
        <v>101</v>
      </c>
      <c r="B104" s="87"/>
      <c r="C104" s="87"/>
      <c r="D104" s="87"/>
      <c r="E104" s="88"/>
      <c r="F104" s="88"/>
      <c r="G104" s="88"/>
      <c r="H104" s="88"/>
      <c r="I104" s="88"/>
      <c r="J104" s="88"/>
      <c r="K104" s="88"/>
      <c r="L104" s="452">
        <f>L101*L103</f>
        <v>0.14740983217351741</v>
      </c>
      <c r="M104" s="89" t="s">
        <v>92</v>
      </c>
    </row>
    <row r="105" spans="1:14" x14ac:dyDescent="0.35">
      <c r="A105" s="157"/>
      <c r="L105" s="650">
        <f>UNCERT!L104/C92*100</f>
        <v>0.73704916086758709</v>
      </c>
      <c r="M105" s="1" t="s">
        <v>284</v>
      </c>
    </row>
    <row r="109" spans="1:14" x14ac:dyDescent="0.35">
      <c r="N109" s="19"/>
    </row>
    <row r="122" spans="18:18" x14ac:dyDescent="0.35">
      <c r="R122" s="90"/>
    </row>
    <row r="123" spans="18:18" x14ac:dyDescent="0.35">
      <c r="R123" s="91"/>
    </row>
    <row r="124" spans="18:18" x14ac:dyDescent="0.35">
      <c r="R124" s="93"/>
    </row>
    <row r="125" spans="18:18" x14ac:dyDescent="0.35">
      <c r="R125" s="94"/>
    </row>
    <row r="132" spans="19:19" ht="15" customHeight="1" x14ac:dyDescent="0.35"/>
    <row r="133" spans="19:19" ht="12.75" customHeight="1" x14ac:dyDescent="0.35"/>
    <row r="139" spans="19:19" x14ac:dyDescent="0.35">
      <c r="S139" s="95"/>
    </row>
    <row r="140" spans="19:19" x14ac:dyDescent="0.35">
      <c r="S140" s="95"/>
    </row>
    <row r="141" spans="19:19" ht="17.25" customHeight="1" x14ac:dyDescent="0.35">
      <c r="S141" s="96"/>
    </row>
    <row r="142" spans="19:19" x14ac:dyDescent="0.35">
      <c r="S142" s="97"/>
    </row>
    <row r="143" spans="19:19" x14ac:dyDescent="0.35">
      <c r="S143" s="97"/>
    </row>
    <row r="151" spans="18:18" x14ac:dyDescent="0.35">
      <c r="R151" s="102"/>
    </row>
  </sheetData>
  <mergeCells count="46">
    <mergeCell ref="M79:M80"/>
    <mergeCell ref="A81:C81"/>
    <mergeCell ref="A82:C82"/>
    <mergeCell ref="A83:C83"/>
    <mergeCell ref="A84:C84"/>
    <mergeCell ref="H79:H80"/>
    <mergeCell ref="I79:I80"/>
    <mergeCell ref="J79:J80"/>
    <mergeCell ref="K79:K80"/>
    <mergeCell ref="L79:L80"/>
    <mergeCell ref="A79:C80"/>
    <mergeCell ref="D79:D80"/>
    <mergeCell ref="E79:E80"/>
    <mergeCell ref="F79:F80"/>
    <mergeCell ref="G79:G80"/>
    <mergeCell ref="M93:M94"/>
    <mergeCell ref="A95:C95"/>
    <mergeCell ref="A96:C96"/>
    <mergeCell ref="A97:C97"/>
    <mergeCell ref="A98:C98"/>
    <mergeCell ref="H93:H94"/>
    <mergeCell ref="I93:I94"/>
    <mergeCell ref="J93:J94"/>
    <mergeCell ref="K93:K94"/>
    <mergeCell ref="L93:L94"/>
    <mergeCell ref="A93:C94"/>
    <mergeCell ref="D93:D94"/>
    <mergeCell ref="E93:E94"/>
    <mergeCell ref="F93:F94"/>
    <mergeCell ref="G93:G94"/>
    <mergeCell ref="A1:M1"/>
    <mergeCell ref="M57:M58"/>
    <mergeCell ref="A61:C61"/>
    <mergeCell ref="A62:C62"/>
    <mergeCell ref="H57:H58"/>
    <mergeCell ref="I57:I58"/>
    <mergeCell ref="A57:C58"/>
    <mergeCell ref="D57:D58"/>
    <mergeCell ref="E57:E58"/>
    <mergeCell ref="F57:F58"/>
    <mergeCell ref="G57:G58"/>
    <mergeCell ref="A60:C60"/>
    <mergeCell ref="A59:C59"/>
    <mergeCell ref="J57:J58"/>
    <mergeCell ref="K57:K58"/>
    <mergeCell ref="L57:L58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70" orientation="portrait" horizontalDpi="4294967293" verticalDpi="4294967294" r:id="rId1"/>
  <headerFooter>
    <oddHeader xml:space="preserve">&amp;R&amp;"Times New Roman,Regular"&amp;9GM.UC 053.18
</oddHeader>
  </headerFooter>
  <rowBreaks count="1" manualBreakCount="1">
    <brk id="74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0327-4F24-480B-A08D-070458EE33D8}">
  <sheetPr>
    <tabColor rgb="FFFF0000"/>
  </sheetPr>
  <dimension ref="A1:AC221"/>
  <sheetViews>
    <sheetView view="pageBreakPreview" topLeftCell="A193" zoomScaleNormal="100" zoomScaleSheetLayoutView="100" workbookViewId="0">
      <selection activeCell="C209" sqref="C209"/>
    </sheetView>
  </sheetViews>
  <sheetFormatPr defaultRowHeight="12.5" x14ac:dyDescent="0.25"/>
  <cols>
    <col min="1" max="1" width="11.7265625" customWidth="1"/>
    <col min="3" max="3" width="11" customWidth="1"/>
    <col min="5" max="5" width="17.36328125" customWidth="1"/>
    <col min="6" max="6" width="12.1796875" bestFit="1" customWidth="1"/>
    <col min="7" max="7" width="11.26953125" customWidth="1"/>
    <col min="9" max="9" width="19.36328125" customWidth="1"/>
    <col min="12" max="12" width="10" customWidth="1"/>
    <col min="13" max="13" width="12.26953125" customWidth="1"/>
    <col min="17" max="17" width="15.7265625" customWidth="1"/>
  </cols>
  <sheetData>
    <row r="1" spans="1:29" ht="13.5" thickBot="1" x14ac:dyDescent="0.35">
      <c r="A1" s="186"/>
      <c r="B1" s="173"/>
      <c r="C1" s="187"/>
      <c r="D1" s="187"/>
      <c r="E1" s="187"/>
      <c r="F1" s="188"/>
      <c r="G1" s="171"/>
      <c r="H1" s="186"/>
      <c r="I1" s="173"/>
      <c r="J1" s="187"/>
      <c r="K1" s="187"/>
      <c r="L1" s="187"/>
      <c r="M1" s="188"/>
      <c r="N1" s="171"/>
      <c r="O1" s="171"/>
      <c r="P1" s="171"/>
      <c r="Q1" s="177"/>
    </row>
    <row r="2" spans="1:29" ht="15" x14ac:dyDescent="0.25">
      <c r="A2" s="1090" t="s">
        <v>292</v>
      </c>
      <c r="B2" s="1091"/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  <c r="O2" s="1091"/>
      <c r="P2" s="1091"/>
      <c r="Q2" s="1092"/>
      <c r="R2" s="174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</row>
    <row r="3" spans="1:29" ht="15.75" customHeight="1" x14ac:dyDescent="0.3">
      <c r="A3" s="1093" t="s">
        <v>169</v>
      </c>
      <c r="B3" s="1093"/>
      <c r="C3" s="1093"/>
      <c r="D3" s="1094" t="s">
        <v>63</v>
      </c>
      <c r="E3" s="1095" t="s">
        <v>143</v>
      </c>
      <c r="F3" s="1096"/>
      <c r="G3" s="1098" t="s">
        <v>168</v>
      </c>
      <c r="H3" s="1098"/>
      <c r="I3" s="1098"/>
      <c r="J3" s="1094" t="s">
        <v>63</v>
      </c>
      <c r="K3" s="1095" t="str">
        <f>E3</f>
        <v>U95 STD</v>
      </c>
      <c r="L3" s="176"/>
      <c r="M3" s="1093" t="s">
        <v>170</v>
      </c>
      <c r="N3" s="1093"/>
      <c r="O3" s="1093"/>
      <c r="P3" s="1094" t="str">
        <f>J3</f>
        <v>DRIFT</v>
      </c>
      <c r="Q3" s="1102" t="str">
        <f>K3</f>
        <v>U95 STD</v>
      </c>
      <c r="S3" s="273"/>
      <c r="T3" s="273"/>
      <c r="U3" s="273"/>
      <c r="V3" s="190"/>
      <c r="W3" s="191"/>
      <c r="X3" s="192"/>
      <c r="Y3" s="274"/>
      <c r="Z3" s="274"/>
      <c r="AA3" s="274"/>
      <c r="AB3" s="190"/>
      <c r="AC3" s="191"/>
    </row>
    <row r="4" spans="1:29" ht="12.75" customHeight="1" x14ac:dyDescent="0.25">
      <c r="A4" s="193" t="s">
        <v>304</v>
      </c>
      <c r="B4" s="1094" t="s">
        <v>62</v>
      </c>
      <c r="C4" s="1094"/>
      <c r="D4" s="1094"/>
      <c r="E4" s="1095"/>
      <c r="F4" s="1097"/>
      <c r="G4" s="159" t="str">
        <f>A4</f>
        <v>Massa</v>
      </c>
      <c r="H4" s="1094" t="s">
        <v>62</v>
      </c>
      <c r="I4" s="1094"/>
      <c r="J4" s="1094"/>
      <c r="K4" s="1095"/>
      <c r="L4" s="176"/>
      <c r="M4" s="159" t="str">
        <f>G4</f>
        <v>Massa</v>
      </c>
      <c r="N4" s="1094" t="str">
        <f>H4</f>
        <v>Tahun</v>
      </c>
      <c r="O4" s="1094"/>
      <c r="P4" s="1094"/>
      <c r="Q4" s="1102"/>
      <c r="S4" s="495"/>
      <c r="T4" s="190"/>
      <c r="U4" s="190"/>
      <c r="V4" s="190"/>
      <c r="W4" s="191"/>
      <c r="X4" s="192"/>
      <c r="Y4" s="495"/>
      <c r="Z4" s="190"/>
      <c r="AA4" s="190"/>
      <c r="AB4" s="190"/>
      <c r="AC4" s="191"/>
    </row>
    <row r="5" spans="1:29" ht="12.75" customHeight="1" x14ac:dyDescent="0.25">
      <c r="A5" s="272" t="s">
        <v>174</v>
      </c>
      <c r="B5" s="111">
        <v>2017</v>
      </c>
      <c r="C5" s="111">
        <v>2018</v>
      </c>
      <c r="D5" s="1094"/>
      <c r="E5" s="1095"/>
      <c r="F5" s="1097"/>
      <c r="G5" s="159" t="str">
        <f>A5</f>
        <v>kg</v>
      </c>
      <c r="H5" s="165">
        <v>2015</v>
      </c>
      <c r="I5" s="165">
        <v>2020</v>
      </c>
      <c r="J5" s="1094"/>
      <c r="K5" s="1095"/>
      <c r="L5" s="176"/>
      <c r="M5" s="159" t="str">
        <f>G5</f>
        <v>kg</v>
      </c>
      <c r="N5" s="111">
        <v>2017</v>
      </c>
      <c r="O5" s="111">
        <v>2018</v>
      </c>
      <c r="P5" s="1094"/>
      <c r="Q5" s="1102"/>
      <c r="S5" s="265"/>
      <c r="T5" s="495"/>
      <c r="U5" s="196"/>
      <c r="V5" s="190"/>
      <c r="W5" s="191"/>
      <c r="X5" s="192"/>
      <c r="Y5" s="265"/>
      <c r="Z5" s="495"/>
      <c r="AA5" s="495"/>
      <c r="AB5" s="190"/>
      <c r="AC5" s="191"/>
    </row>
    <row r="6" spans="1:29" ht="13.5" customHeight="1" x14ac:dyDescent="0.25">
      <c r="A6" s="539">
        <v>0</v>
      </c>
      <c r="B6" s="110">
        <v>0</v>
      </c>
      <c r="C6" s="110">
        <v>0</v>
      </c>
      <c r="D6" s="113">
        <f t="shared" ref="D6:D13" si="0">0.5*(MAX(B6:C6)-MIN(B6:C6))</f>
        <v>0</v>
      </c>
      <c r="E6" s="1049">
        <v>0</v>
      </c>
      <c r="F6" s="1097"/>
      <c r="G6" s="539">
        <v>0</v>
      </c>
      <c r="H6" s="168">
        <v>0</v>
      </c>
      <c r="I6" s="168">
        <v>0</v>
      </c>
      <c r="J6" s="677">
        <f>(1/3)*K6</f>
        <v>3.3989999999999997E-3</v>
      </c>
      <c r="K6" s="167">
        <v>1.0196999999999999E-2</v>
      </c>
      <c r="L6" s="176"/>
      <c r="M6" s="539">
        <v>0</v>
      </c>
      <c r="N6" s="110">
        <v>0</v>
      </c>
      <c r="O6" s="118">
        <v>0</v>
      </c>
      <c r="P6" s="113">
        <f>0.5*(MAX(N6:O6)-MIN(N6:O6))</f>
        <v>0</v>
      </c>
      <c r="Q6" s="1050">
        <v>0</v>
      </c>
      <c r="S6" s="203"/>
      <c r="T6" s="204"/>
      <c r="U6" s="205"/>
      <c r="V6" s="206"/>
      <c r="W6" s="207"/>
      <c r="X6" s="192"/>
      <c r="Y6" s="203"/>
      <c r="Z6" s="204"/>
      <c r="AA6" s="207"/>
      <c r="AB6" s="206"/>
      <c r="AC6" s="207"/>
    </row>
    <row r="7" spans="1:29" ht="12.75" customHeight="1" x14ac:dyDescent="0.25">
      <c r="A7" s="540">
        <f>97.7913*0.101972</f>
        <v>9.9719744436000006</v>
      </c>
      <c r="B7" s="169">
        <f>-0.4363*0.101972</f>
        <v>-4.4490383600000002E-2</v>
      </c>
      <c r="C7" s="676">
        <v>-2.5727400000000001E-2</v>
      </c>
      <c r="D7" s="113">
        <f>0.5*(MAX(B7:C7)-MIN(B7:C7))</f>
        <v>9.3814918000000008E-3</v>
      </c>
      <c r="E7" s="1049">
        <v>0</v>
      </c>
      <c r="F7" s="1097"/>
      <c r="G7" s="540">
        <f>100*0.101972</f>
        <v>10.197199999999999</v>
      </c>
      <c r="H7" s="116">
        <v>0</v>
      </c>
      <c r="I7" s="674">
        <v>2.0393999999999999E-2</v>
      </c>
      <c r="J7" s="677">
        <f t="shared" ref="J7:J13" si="1">(1/3)*K7</f>
        <v>3.3989999999999997E-3</v>
      </c>
      <c r="K7" s="167">
        <v>1.0196999999999999E-2</v>
      </c>
      <c r="L7" s="176"/>
      <c r="M7" s="540">
        <f>97.7913*0.101972</f>
        <v>9.9719744436000006</v>
      </c>
      <c r="N7" s="166">
        <f>-0.4313*0.101972</f>
        <v>-4.3980523600000002E-2</v>
      </c>
      <c r="O7" s="118">
        <f>-0.4793*0.101972</f>
        <v>-4.8875179599999999E-2</v>
      </c>
      <c r="P7" s="113">
        <f t="shared" ref="P7:P13" si="2">0.5*(MAX(N7:O7)-MIN(N7:O7))</f>
        <v>2.4473279999999986E-3</v>
      </c>
      <c r="Q7" s="1051">
        <v>0</v>
      </c>
      <c r="S7" s="203"/>
      <c r="T7" s="204"/>
      <c r="U7" s="207"/>
      <c r="V7" s="206"/>
      <c r="W7" s="207"/>
      <c r="X7" s="192"/>
      <c r="Y7" s="203"/>
      <c r="Z7" s="204"/>
      <c r="AA7" s="207"/>
      <c r="AB7" s="206"/>
      <c r="AC7" s="207"/>
    </row>
    <row r="8" spans="1:29" ht="12.75" customHeight="1" x14ac:dyDescent="0.25">
      <c r="A8" s="540">
        <f>195.583*0.101972</f>
        <v>19.943989675999998</v>
      </c>
      <c r="B8" s="169">
        <f>-0.403*0.101972</f>
        <v>-4.1094715999999996E-2</v>
      </c>
      <c r="C8" s="676">
        <v>-1.9681000000000001E-2</v>
      </c>
      <c r="D8" s="113">
        <f t="shared" si="0"/>
        <v>1.0706857999999998E-2</v>
      </c>
      <c r="E8" s="1049">
        <v>0</v>
      </c>
      <c r="F8" s="1097"/>
      <c r="G8" s="540">
        <f>200*0.101972</f>
        <v>20.394399999999997</v>
      </c>
      <c r="H8" s="116">
        <v>0</v>
      </c>
      <c r="I8" s="674">
        <v>-0.15295700000000001</v>
      </c>
      <c r="J8" s="677">
        <f t="shared" si="1"/>
        <v>3.3989999999999997E-3</v>
      </c>
      <c r="K8" s="167">
        <v>1.0196999999999999E-2</v>
      </c>
      <c r="L8" s="176"/>
      <c r="M8" s="540">
        <f>195.583*0.101972</f>
        <v>19.943989675999998</v>
      </c>
      <c r="N8" s="166">
        <f>-0.663*0.101972</f>
        <v>-6.7607435999999993E-2</v>
      </c>
      <c r="O8" s="118">
        <f>-0.463*0.101972</f>
        <v>-4.7213036E-2</v>
      </c>
      <c r="P8" s="113">
        <f t="shared" si="2"/>
        <v>1.0197199999999997E-2</v>
      </c>
      <c r="Q8" s="1051">
        <v>0</v>
      </c>
      <c r="S8" s="203"/>
      <c r="T8" s="204"/>
      <c r="U8" s="207"/>
      <c r="V8" s="206"/>
      <c r="W8" s="207"/>
      <c r="X8" s="192"/>
      <c r="Y8" s="203"/>
      <c r="Z8" s="204"/>
      <c r="AA8" s="207"/>
      <c r="AB8" s="206"/>
      <c r="AC8" s="207"/>
    </row>
    <row r="9" spans="1:29" ht="12.75" customHeight="1" x14ac:dyDescent="0.25">
      <c r="A9" s="540">
        <f>293.374*0.101972</f>
        <v>29.915933528</v>
      </c>
      <c r="B9" s="169">
        <f>-0.514*0.101972</f>
        <v>-5.2413608E-2</v>
      </c>
      <c r="C9" s="676">
        <v>-2.998E-2</v>
      </c>
      <c r="D9" s="113">
        <f t="shared" si="0"/>
        <v>1.1216804E-2</v>
      </c>
      <c r="E9" s="1049">
        <v>0</v>
      </c>
      <c r="F9" s="1097"/>
      <c r="G9" s="540">
        <f>300*0.101972</f>
        <v>30.5916</v>
      </c>
      <c r="H9" s="116">
        <v>0</v>
      </c>
      <c r="I9" s="674">
        <v>-0.16315499999999999</v>
      </c>
      <c r="J9" s="677">
        <f t="shared" si="1"/>
        <v>3.3989999999999997E-3</v>
      </c>
      <c r="K9" s="167">
        <v>1.0196999999999999E-2</v>
      </c>
      <c r="L9" s="176"/>
      <c r="M9" s="540">
        <f>293.374*0.101972</f>
        <v>29.915933528</v>
      </c>
      <c r="N9" s="166">
        <f>-0.707*0.101972</f>
        <v>-7.2094203999999995E-2</v>
      </c>
      <c r="O9" s="118">
        <f>-0.434*0.101972</f>
        <v>-4.4255847999999993E-2</v>
      </c>
      <c r="P9" s="113">
        <f t="shared" si="2"/>
        <v>1.3919178000000001E-2</v>
      </c>
      <c r="Q9" s="1051">
        <v>0</v>
      </c>
      <c r="S9" s="203"/>
      <c r="T9" s="204"/>
      <c r="U9" s="205"/>
      <c r="V9" s="206"/>
      <c r="W9" s="207"/>
      <c r="X9" s="192"/>
      <c r="Y9" s="203"/>
      <c r="Z9" s="204"/>
      <c r="AA9" s="205"/>
      <c r="AB9" s="206"/>
      <c r="AC9" s="207"/>
    </row>
    <row r="10" spans="1:29" ht="12.75" customHeight="1" x14ac:dyDescent="0.25">
      <c r="A10" s="540">
        <f>391.165*0.101972</f>
        <v>39.887877379999999</v>
      </c>
      <c r="B10" s="169">
        <f>-0.465*0.101972</f>
        <v>-4.7416979999999997E-2</v>
      </c>
      <c r="C10" s="676">
        <v>-2.1923999999999999E-2</v>
      </c>
      <c r="D10" s="113">
        <f t="shared" si="0"/>
        <v>1.2746489999999999E-2</v>
      </c>
      <c r="E10" s="1049">
        <v>0</v>
      </c>
      <c r="F10" s="1097"/>
      <c r="G10" s="540">
        <f>400*0.101972</f>
        <v>40.788799999999995</v>
      </c>
      <c r="H10" s="117">
        <v>0</v>
      </c>
      <c r="I10" s="675">
        <v>-0.14276</v>
      </c>
      <c r="J10" s="677">
        <f t="shared" si="1"/>
        <v>3.3989999999999997E-3</v>
      </c>
      <c r="K10" s="167">
        <v>1.0196999999999999E-2</v>
      </c>
      <c r="L10" s="176"/>
      <c r="M10" s="540">
        <f>391.165*0.101972</f>
        <v>39.887877379999999</v>
      </c>
      <c r="N10" s="166">
        <f>-0.605*0.101972</f>
        <v>-6.1693059999999994E-2</v>
      </c>
      <c r="O10" s="166">
        <f>-0.355*0.101972</f>
        <v>-3.6200059999999999E-2</v>
      </c>
      <c r="P10" s="113">
        <f t="shared" si="2"/>
        <v>1.2746499999999997E-2</v>
      </c>
      <c r="Q10" s="1051">
        <v>0</v>
      </c>
      <c r="S10" s="203"/>
      <c r="T10" s="204"/>
      <c r="U10" s="205"/>
      <c r="V10" s="206"/>
      <c r="W10" s="207"/>
      <c r="X10" s="192"/>
      <c r="Y10" s="203"/>
      <c r="Z10" s="204"/>
      <c r="AA10" s="205"/>
      <c r="AB10" s="206"/>
      <c r="AC10" s="207"/>
    </row>
    <row r="11" spans="1:29" ht="12.75" customHeight="1" x14ac:dyDescent="0.25">
      <c r="A11" s="540">
        <f>488.957*0.101972</f>
        <v>49.859923203999998</v>
      </c>
      <c r="B11" s="169">
        <f>-0.517*0.101972</f>
        <v>-5.2719523999999997E-2</v>
      </c>
      <c r="C11" s="676">
        <v>-2.1107999999999998E-2</v>
      </c>
      <c r="D11" s="113">
        <f t="shared" si="0"/>
        <v>1.5805762000000001E-2</v>
      </c>
      <c r="E11" s="1049">
        <v>0</v>
      </c>
      <c r="F11" s="1097"/>
      <c r="G11" s="540">
        <f>500*0.101972</f>
        <v>50.985999999999997</v>
      </c>
      <c r="H11" s="117">
        <v>0</v>
      </c>
      <c r="I11" s="675">
        <v>-0.10197199999999999</v>
      </c>
      <c r="J11" s="677">
        <f t="shared" si="1"/>
        <v>3.3989999999999997E-3</v>
      </c>
      <c r="K11" s="167">
        <v>1.0196999999999999E-2</v>
      </c>
      <c r="L11" s="176"/>
      <c r="M11" s="540">
        <f>488.957*0.101972</f>
        <v>49.859923203999998</v>
      </c>
      <c r="N11" s="166">
        <f>-0.747*0.101972</f>
        <v>-7.6173083999999988E-2</v>
      </c>
      <c r="O11" s="166">
        <f>-0.447*0.101972</f>
        <v>-4.5581483999999999E-2</v>
      </c>
      <c r="P11" s="113">
        <f t="shared" si="2"/>
        <v>1.5295799999999995E-2</v>
      </c>
      <c r="Q11" s="1051">
        <v>0</v>
      </c>
      <c r="S11" s="203"/>
      <c r="T11" s="204"/>
      <c r="U11" s="205"/>
      <c r="V11" s="206"/>
      <c r="W11" s="207"/>
      <c r="X11" s="192"/>
      <c r="Y11" s="203"/>
      <c r="Z11" s="204"/>
      <c r="AA11" s="205"/>
      <c r="AB11" s="206"/>
      <c r="AC11" s="207"/>
    </row>
    <row r="12" spans="1:29" ht="12.75" customHeight="1" x14ac:dyDescent="0.25">
      <c r="A12" s="540">
        <f>586.748*0.101972</f>
        <v>59.831867056</v>
      </c>
      <c r="B12" s="169">
        <f>-0.508*0.101972</f>
        <v>-5.1801775999999994E-2</v>
      </c>
      <c r="C12" s="676">
        <f>-0.388*0.101972</f>
        <v>-3.9565136000000001E-2</v>
      </c>
      <c r="D12" s="113">
        <f t="shared" si="0"/>
        <v>6.1183199999999965E-3</v>
      </c>
      <c r="E12" s="1049">
        <v>0</v>
      </c>
      <c r="F12" s="1097"/>
      <c r="G12" s="540">
        <v>0</v>
      </c>
      <c r="H12" s="117">
        <v>0</v>
      </c>
      <c r="I12" s="675">
        <v>0</v>
      </c>
      <c r="J12" s="677">
        <f t="shared" si="1"/>
        <v>3.3989999999999997E-3</v>
      </c>
      <c r="K12" s="167">
        <v>1.0196999999999999E-2</v>
      </c>
      <c r="L12" s="176"/>
      <c r="M12" s="540">
        <f>586.748*0.101972</f>
        <v>59.831867056</v>
      </c>
      <c r="N12" s="166">
        <f>-0.628*0.101972</f>
        <v>-6.4038416000000001E-2</v>
      </c>
      <c r="O12" s="166">
        <f>-0.328*0.101972</f>
        <v>-3.3446815999999997E-2</v>
      </c>
      <c r="P12" s="113">
        <f t="shared" si="2"/>
        <v>1.5295800000000002E-2</v>
      </c>
      <c r="Q12" s="1051">
        <v>0</v>
      </c>
      <c r="S12" s="203"/>
      <c r="T12" s="204"/>
      <c r="U12" s="205"/>
      <c r="V12" s="206"/>
      <c r="W12" s="207"/>
      <c r="X12" s="192"/>
      <c r="Y12" s="203"/>
      <c r="Z12" s="204"/>
      <c r="AA12" s="205"/>
      <c r="AB12" s="206"/>
      <c r="AC12" s="207"/>
    </row>
    <row r="13" spans="1:29" ht="12.75" customHeight="1" thickBot="1" x14ac:dyDescent="0.3">
      <c r="A13" s="540">
        <v>0</v>
      </c>
      <c r="B13" s="169">
        <v>0</v>
      </c>
      <c r="C13" s="676">
        <v>0</v>
      </c>
      <c r="D13" s="113">
        <f t="shared" si="0"/>
        <v>0</v>
      </c>
      <c r="E13" s="1049">
        <v>0</v>
      </c>
      <c r="F13" s="1097"/>
      <c r="G13" s="540">
        <v>0</v>
      </c>
      <c r="H13" s="116">
        <v>0</v>
      </c>
      <c r="I13" s="674">
        <v>0</v>
      </c>
      <c r="J13" s="677">
        <f t="shared" si="1"/>
        <v>3.3989999999999997E-3</v>
      </c>
      <c r="K13" s="167">
        <v>1.0196999999999999E-2</v>
      </c>
      <c r="L13" s="176"/>
      <c r="M13" s="540">
        <v>0</v>
      </c>
      <c r="N13" s="115">
        <v>0</v>
      </c>
      <c r="O13" s="115">
        <v>0</v>
      </c>
      <c r="P13" s="114">
        <f t="shared" si="2"/>
        <v>0</v>
      </c>
      <c r="Q13" s="1052">
        <v>0</v>
      </c>
      <c r="S13" s="203"/>
      <c r="T13" s="204"/>
      <c r="U13" s="205"/>
      <c r="V13" s="204"/>
      <c r="W13" s="204"/>
      <c r="X13" s="192"/>
      <c r="Y13" s="203"/>
      <c r="Z13" s="204"/>
      <c r="AA13" s="205"/>
      <c r="AB13" s="204"/>
      <c r="AC13" s="204"/>
    </row>
    <row r="14" spans="1:29" ht="12.75" customHeight="1" x14ac:dyDescent="0.25">
      <c r="A14" s="201"/>
      <c r="B14" s="202"/>
      <c r="C14" s="208"/>
      <c r="D14" s="210"/>
      <c r="E14" s="180"/>
      <c r="F14" s="1097"/>
      <c r="G14" s="201"/>
      <c r="H14" s="202"/>
      <c r="I14" s="202"/>
      <c r="J14" s="182"/>
      <c r="K14" s="180"/>
      <c r="L14" s="176"/>
      <c r="M14" s="201"/>
      <c r="N14" s="209"/>
      <c r="O14" s="209"/>
      <c r="P14" s="182"/>
      <c r="Q14" s="180"/>
      <c r="S14" s="203"/>
      <c r="T14" s="204"/>
      <c r="U14" s="205"/>
      <c r="V14" s="204"/>
      <c r="W14" s="204"/>
      <c r="X14" s="192"/>
      <c r="Y14" s="203"/>
      <c r="Z14" s="204"/>
      <c r="AA14" s="205"/>
      <c r="AB14" s="204"/>
      <c r="AC14" s="204"/>
    </row>
    <row r="15" spans="1:29" ht="12.75" customHeight="1" x14ac:dyDescent="0.3">
      <c r="A15" s="1109"/>
      <c r="B15" s="1110"/>
      <c r="C15" s="1110"/>
      <c r="D15" s="1110"/>
      <c r="E15" s="1111"/>
      <c r="F15" s="1097"/>
      <c r="G15" s="1112"/>
      <c r="H15" s="1113"/>
      <c r="I15" s="1113"/>
      <c r="J15" s="1113"/>
      <c r="K15" s="1114"/>
      <c r="L15" s="171"/>
      <c r="M15" s="1115"/>
      <c r="N15" s="1110"/>
      <c r="O15" s="1110"/>
      <c r="P15" s="1110"/>
      <c r="Q15" s="1116"/>
      <c r="S15" s="176"/>
      <c r="T15" s="176"/>
      <c r="U15" s="176"/>
      <c r="V15" s="176"/>
      <c r="W15" s="176"/>
      <c r="X15" s="192"/>
      <c r="Y15" s="171"/>
      <c r="Z15" s="171"/>
      <c r="AA15" s="171"/>
      <c r="AB15" s="171"/>
      <c r="AC15" s="171"/>
    </row>
    <row r="16" spans="1:29" ht="15.75" customHeight="1" x14ac:dyDescent="0.3">
      <c r="A16" s="1093"/>
      <c r="B16" s="1093"/>
      <c r="C16" s="1093"/>
      <c r="D16" s="1094"/>
      <c r="E16" s="1095"/>
      <c r="F16" s="1097"/>
      <c r="G16" s="1099"/>
      <c r="H16" s="1100"/>
      <c r="I16" s="1101"/>
      <c r="J16" s="1094"/>
      <c r="K16" s="1095"/>
      <c r="L16" s="171"/>
      <c r="M16" s="1099"/>
      <c r="N16" s="1100"/>
      <c r="O16" s="1101"/>
      <c r="P16" s="1094"/>
      <c r="Q16" s="1102"/>
      <c r="S16" s="273"/>
      <c r="T16" s="273"/>
      <c r="U16" s="273"/>
      <c r="V16" s="190"/>
      <c r="W16" s="191"/>
      <c r="X16" s="192"/>
      <c r="Y16" s="273"/>
      <c r="Z16" s="273"/>
      <c r="AA16" s="273"/>
      <c r="AB16" s="190"/>
      <c r="AC16" s="191"/>
    </row>
    <row r="17" spans="1:29" ht="12.75" customHeight="1" x14ac:dyDescent="0.3">
      <c r="A17" s="193"/>
      <c r="B17" s="1094"/>
      <c r="C17" s="1094"/>
      <c r="D17" s="1094"/>
      <c r="E17" s="1095"/>
      <c r="F17" s="1097"/>
      <c r="G17" s="159"/>
      <c r="H17" s="1094"/>
      <c r="I17" s="1094"/>
      <c r="J17" s="1094"/>
      <c r="K17" s="1095"/>
      <c r="L17" s="171"/>
      <c r="M17" s="159"/>
      <c r="N17" s="1094"/>
      <c r="O17" s="1094"/>
      <c r="P17" s="1094"/>
      <c r="Q17" s="1102"/>
      <c r="S17" s="495"/>
      <c r="T17" s="190"/>
      <c r="U17" s="190"/>
      <c r="V17" s="190"/>
      <c r="W17" s="191"/>
      <c r="X17" s="192"/>
      <c r="Y17" s="495"/>
      <c r="Z17" s="190"/>
      <c r="AA17" s="190"/>
      <c r="AB17" s="190"/>
      <c r="AC17" s="191"/>
    </row>
    <row r="18" spans="1:29" ht="15" customHeight="1" x14ac:dyDescent="0.3">
      <c r="A18" s="272"/>
      <c r="B18" s="194"/>
      <c r="C18" s="194"/>
      <c r="D18" s="1094"/>
      <c r="E18" s="1095"/>
      <c r="F18" s="1097"/>
      <c r="G18" s="496"/>
      <c r="H18" s="194"/>
      <c r="I18" s="195"/>
      <c r="J18" s="1094"/>
      <c r="K18" s="1095"/>
      <c r="L18" s="171"/>
      <c r="M18" s="496"/>
      <c r="N18" s="194"/>
      <c r="O18" s="195"/>
      <c r="P18" s="1094"/>
      <c r="Q18" s="1102"/>
      <c r="S18" s="265"/>
      <c r="T18" s="495"/>
      <c r="U18" s="495"/>
      <c r="V18" s="190"/>
      <c r="W18" s="191"/>
      <c r="X18" s="192"/>
      <c r="Y18" s="265"/>
      <c r="Z18" s="495"/>
      <c r="AA18" s="495"/>
      <c r="AB18" s="190"/>
      <c r="AC18" s="191"/>
    </row>
    <row r="19" spans="1:29" ht="12.75" customHeight="1" x14ac:dyDescent="0.3">
      <c r="A19" s="197"/>
      <c r="B19" s="202"/>
      <c r="C19" s="202"/>
      <c r="D19" s="200"/>
      <c r="E19" s="180"/>
      <c r="F19" s="1097"/>
      <c r="G19" s="197"/>
      <c r="H19" s="202"/>
      <c r="I19" s="202"/>
      <c r="J19" s="200"/>
      <c r="K19" s="180"/>
      <c r="L19" s="171"/>
      <c r="M19" s="197"/>
      <c r="N19" s="209"/>
      <c r="O19" s="208"/>
      <c r="P19" s="180"/>
      <c r="Q19" s="181"/>
      <c r="S19" s="203"/>
      <c r="T19" s="204"/>
      <c r="U19" s="207"/>
      <c r="V19" s="206"/>
      <c r="W19" s="207"/>
      <c r="X19" s="192"/>
      <c r="Y19" s="203"/>
      <c r="Z19" s="204"/>
      <c r="AA19" s="207"/>
      <c r="AB19" s="206"/>
      <c r="AC19" s="207"/>
    </row>
    <row r="20" spans="1:29" ht="12.75" customHeight="1" x14ac:dyDescent="0.3">
      <c r="A20" s="201"/>
      <c r="B20" s="202"/>
      <c r="C20" s="202"/>
      <c r="D20" s="200"/>
      <c r="E20" s="180"/>
      <c r="F20" s="1097"/>
      <c r="G20" s="201"/>
      <c r="H20" s="202"/>
      <c r="I20" s="202"/>
      <c r="J20" s="200"/>
      <c r="K20" s="180"/>
      <c r="L20" s="171"/>
      <c r="M20" s="201"/>
      <c r="N20" s="209"/>
      <c r="O20" s="202"/>
      <c r="P20" s="180"/>
      <c r="Q20" s="181"/>
      <c r="S20" s="203"/>
      <c r="T20" s="204"/>
      <c r="U20" s="207"/>
      <c r="V20" s="206"/>
      <c r="W20" s="207"/>
      <c r="X20" s="192"/>
      <c r="Y20" s="203"/>
      <c r="Z20" s="204"/>
      <c r="AA20" s="207"/>
      <c r="AB20" s="206"/>
      <c r="AC20" s="207"/>
    </row>
    <row r="21" spans="1:29" ht="12.75" customHeight="1" x14ac:dyDescent="0.3">
      <c r="A21" s="201"/>
      <c r="B21" s="202"/>
      <c r="C21" s="202"/>
      <c r="D21" s="200"/>
      <c r="E21" s="180"/>
      <c r="F21" s="1097"/>
      <c r="G21" s="201"/>
      <c r="H21" s="202"/>
      <c r="I21" s="202"/>
      <c r="J21" s="200"/>
      <c r="K21" s="180"/>
      <c r="L21" s="171"/>
      <c r="M21" s="201"/>
      <c r="N21" s="209"/>
      <c r="O21" s="202"/>
      <c r="P21" s="180"/>
      <c r="Q21" s="181"/>
      <c r="S21" s="203"/>
      <c r="T21" s="204"/>
      <c r="U21" s="207"/>
      <c r="V21" s="206"/>
      <c r="W21" s="207"/>
      <c r="X21" s="192"/>
      <c r="Y21" s="203"/>
      <c r="Z21" s="204"/>
      <c r="AA21" s="207"/>
      <c r="AB21" s="206"/>
      <c r="AC21" s="207"/>
    </row>
    <row r="22" spans="1:29" ht="12.75" customHeight="1" x14ac:dyDescent="0.3">
      <c r="A22" s="201"/>
      <c r="B22" s="202"/>
      <c r="C22" s="202"/>
      <c r="D22" s="200"/>
      <c r="E22" s="180"/>
      <c r="F22" s="1097"/>
      <c r="G22" s="201"/>
      <c r="H22" s="202"/>
      <c r="I22" s="208"/>
      <c r="J22" s="200"/>
      <c r="K22" s="180"/>
      <c r="L22" s="171"/>
      <c r="M22" s="201"/>
      <c r="N22" s="209"/>
      <c r="O22" s="208"/>
      <c r="P22" s="180"/>
      <c r="Q22" s="181"/>
      <c r="S22" s="203"/>
      <c r="T22" s="204"/>
      <c r="U22" s="205"/>
      <c r="V22" s="206"/>
      <c r="W22" s="207"/>
      <c r="X22" s="192"/>
      <c r="Y22" s="203"/>
      <c r="Z22" s="204"/>
      <c r="AA22" s="205"/>
      <c r="AB22" s="206"/>
      <c r="AC22" s="207"/>
    </row>
    <row r="23" spans="1:29" ht="12.75" customHeight="1" x14ac:dyDescent="0.3">
      <c r="A23" s="201"/>
      <c r="B23" s="208"/>
      <c r="C23" s="202"/>
      <c r="D23" s="200"/>
      <c r="E23" s="180"/>
      <c r="F23" s="1097"/>
      <c r="G23" s="201"/>
      <c r="H23" s="202"/>
      <c r="I23" s="208"/>
      <c r="J23" s="200"/>
      <c r="K23" s="180"/>
      <c r="L23" s="171"/>
      <c r="M23" s="201"/>
      <c r="N23" s="208"/>
      <c r="O23" s="208"/>
      <c r="P23" s="180"/>
      <c r="Q23" s="181"/>
      <c r="S23" s="203"/>
      <c r="T23" s="204"/>
      <c r="U23" s="205"/>
      <c r="V23" s="206"/>
      <c r="W23" s="207"/>
      <c r="X23" s="192"/>
      <c r="Y23" s="203"/>
      <c r="Z23" s="204"/>
      <c r="AA23" s="205"/>
      <c r="AB23" s="206"/>
      <c r="AC23" s="207"/>
    </row>
    <row r="24" spans="1:29" ht="12.75" customHeight="1" x14ac:dyDescent="0.3">
      <c r="A24" s="201"/>
      <c r="B24" s="208"/>
      <c r="C24" s="202"/>
      <c r="D24" s="200"/>
      <c r="E24" s="180"/>
      <c r="F24" s="1097"/>
      <c r="G24" s="201"/>
      <c r="H24" s="202"/>
      <c r="I24" s="208"/>
      <c r="J24" s="200"/>
      <c r="K24" s="180"/>
      <c r="L24" s="171"/>
      <c r="M24" s="201"/>
      <c r="N24" s="208"/>
      <c r="O24" s="208"/>
      <c r="P24" s="180"/>
      <c r="Q24" s="181"/>
      <c r="S24" s="203"/>
      <c r="T24" s="204"/>
      <c r="U24" s="205"/>
      <c r="V24" s="206"/>
      <c r="W24" s="207"/>
      <c r="X24" s="192"/>
      <c r="Y24" s="203"/>
      <c r="Z24" s="204"/>
      <c r="AA24" s="205"/>
      <c r="AB24" s="206"/>
      <c r="AC24" s="207"/>
    </row>
    <row r="25" spans="1:29" ht="12.75" customHeight="1" x14ac:dyDescent="0.3">
      <c r="A25" s="201"/>
      <c r="B25" s="208"/>
      <c r="C25" s="202"/>
      <c r="D25" s="200"/>
      <c r="E25" s="180"/>
      <c r="F25" s="1097"/>
      <c r="G25" s="201"/>
      <c r="H25" s="202"/>
      <c r="I25" s="208"/>
      <c r="J25" s="200"/>
      <c r="K25" s="180"/>
      <c r="L25" s="171"/>
      <c r="M25" s="201"/>
      <c r="N25" s="208"/>
      <c r="O25" s="208"/>
      <c r="P25" s="180"/>
      <c r="Q25" s="181"/>
      <c r="S25" s="203"/>
      <c r="T25" s="204"/>
      <c r="U25" s="205"/>
      <c r="V25" s="206"/>
      <c r="W25" s="207"/>
      <c r="X25" s="192"/>
      <c r="Y25" s="203"/>
      <c r="Z25" s="204"/>
      <c r="AA25" s="205"/>
      <c r="AB25" s="206"/>
      <c r="AC25" s="207"/>
    </row>
    <row r="26" spans="1:29" ht="12.75" customHeight="1" x14ac:dyDescent="0.3">
      <c r="A26" s="201"/>
      <c r="B26" s="208"/>
      <c r="C26" s="202"/>
      <c r="D26" s="182"/>
      <c r="E26" s="180"/>
      <c r="F26" s="1097"/>
      <c r="G26" s="201"/>
      <c r="H26" s="202"/>
      <c r="I26" s="208"/>
      <c r="J26" s="182"/>
      <c r="K26" s="180"/>
      <c r="L26" s="171"/>
      <c r="M26" s="201"/>
      <c r="N26" s="208"/>
      <c r="O26" s="208"/>
      <c r="P26" s="180"/>
      <c r="Q26" s="181"/>
      <c r="S26" s="203"/>
      <c r="T26" s="204"/>
      <c r="U26" s="205"/>
      <c r="V26" s="204"/>
      <c r="W26" s="204"/>
      <c r="X26" s="192"/>
      <c r="Y26" s="203"/>
      <c r="Z26" s="204"/>
      <c r="AA26" s="205"/>
      <c r="AB26" s="204"/>
      <c r="AC26" s="204"/>
    </row>
    <row r="27" spans="1:29" ht="12.75" customHeight="1" x14ac:dyDescent="0.3">
      <c r="A27" s="201"/>
      <c r="B27" s="208"/>
      <c r="C27" s="202"/>
      <c r="D27" s="182"/>
      <c r="E27" s="180"/>
      <c r="F27" s="1097"/>
      <c r="G27" s="201"/>
      <c r="H27" s="202"/>
      <c r="I27" s="208"/>
      <c r="J27" s="182"/>
      <c r="K27" s="180"/>
      <c r="L27" s="171"/>
      <c r="M27" s="201"/>
      <c r="N27" s="208"/>
      <c r="O27" s="208"/>
      <c r="P27" s="180"/>
      <c r="Q27" s="181"/>
      <c r="S27" s="203"/>
      <c r="T27" s="204"/>
      <c r="U27" s="205"/>
      <c r="V27" s="204"/>
      <c r="W27" s="204"/>
      <c r="X27" s="211"/>
      <c r="Y27" s="203"/>
      <c r="Z27" s="204"/>
      <c r="AA27" s="205"/>
      <c r="AB27" s="204"/>
      <c r="AC27" s="204"/>
    </row>
    <row r="28" spans="1:29" ht="12.75" customHeight="1" x14ac:dyDescent="0.25">
      <c r="A28" s="212"/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13"/>
      <c r="M28" s="214"/>
      <c r="N28" s="176"/>
      <c r="O28" s="176"/>
      <c r="P28" s="176"/>
      <c r="Q28" s="183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</row>
    <row r="29" spans="1:29" ht="13" x14ac:dyDescent="0.3">
      <c r="A29" s="215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1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</row>
    <row r="30" spans="1:29" ht="15.75" customHeight="1" x14ac:dyDescent="0.3">
      <c r="A30" s="1099"/>
      <c r="B30" s="1100"/>
      <c r="C30" s="1101"/>
      <c r="D30" s="1094"/>
      <c r="E30" s="1095"/>
      <c r="F30" s="1096"/>
      <c r="G30" s="1099"/>
      <c r="H30" s="1100"/>
      <c r="I30" s="1101"/>
      <c r="J30" s="1094"/>
      <c r="K30" s="1095"/>
      <c r="L30" s="170"/>
      <c r="Q30" s="217"/>
      <c r="S30" s="273"/>
      <c r="T30" s="273"/>
      <c r="U30" s="273"/>
      <c r="V30" s="190"/>
      <c r="W30" s="191"/>
      <c r="X30" s="192"/>
      <c r="Y30" s="274"/>
      <c r="Z30" s="274"/>
      <c r="AA30" s="274"/>
      <c r="AB30" s="190"/>
      <c r="AC30" s="191"/>
    </row>
    <row r="31" spans="1:29" ht="12.75" customHeight="1" x14ac:dyDescent="0.3">
      <c r="A31" s="193"/>
      <c r="B31" s="1094"/>
      <c r="C31" s="1094"/>
      <c r="D31" s="1094"/>
      <c r="E31" s="1095"/>
      <c r="F31" s="1097"/>
      <c r="G31" s="159"/>
      <c r="H31" s="1094"/>
      <c r="I31" s="1094"/>
      <c r="J31" s="1094"/>
      <c r="K31" s="1095"/>
      <c r="L31" s="170"/>
      <c r="Q31" s="217"/>
      <c r="S31" s="495"/>
      <c r="T31" s="190"/>
      <c r="U31" s="190"/>
      <c r="V31" s="190"/>
      <c r="W31" s="191"/>
      <c r="X31" s="192"/>
      <c r="Y31" s="495"/>
      <c r="Z31" s="190"/>
      <c r="AA31" s="190"/>
      <c r="AB31" s="190"/>
      <c r="AC31" s="191"/>
    </row>
    <row r="32" spans="1:29" ht="15" customHeight="1" x14ac:dyDescent="0.3">
      <c r="A32" s="272"/>
      <c r="B32" s="194"/>
      <c r="C32" s="195"/>
      <c r="D32" s="1094"/>
      <c r="E32" s="1095"/>
      <c r="F32" s="1097"/>
      <c r="G32" s="496"/>
      <c r="H32" s="194"/>
      <c r="I32" s="195"/>
      <c r="J32" s="1094"/>
      <c r="K32" s="1095"/>
      <c r="L32" s="170"/>
      <c r="Q32" s="217"/>
      <c r="S32" s="265"/>
      <c r="T32" s="495"/>
      <c r="U32" s="196"/>
      <c r="V32" s="190"/>
      <c r="W32" s="191"/>
      <c r="X32" s="192"/>
      <c r="Y32" s="265"/>
      <c r="Z32" s="495"/>
      <c r="AA32" s="495"/>
      <c r="AB32" s="190"/>
      <c r="AC32" s="191"/>
    </row>
    <row r="33" spans="1:29" ht="12.75" customHeight="1" x14ac:dyDescent="0.3">
      <c r="A33" s="197"/>
      <c r="B33" s="209"/>
      <c r="C33" s="198"/>
      <c r="D33" s="200"/>
      <c r="E33" s="180"/>
      <c r="F33" s="1097"/>
      <c r="G33" s="197"/>
      <c r="H33" s="209"/>
      <c r="I33" s="199"/>
      <c r="J33" s="200"/>
      <c r="K33" s="180"/>
      <c r="L33" s="170"/>
      <c r="Q33" s="217"/>
      <c r="S33" s="203"/>
      <c r="T33" s="204"/>
      <c r="U33" s="205"/>
      <c r="V33" s="206"/>
      <c r="W33" s="207"/>
      <c r="X33" s="192"/>
      <c r="Y33" s="203"/>
      <c r="Z33" s="204"/>
      <c r="AA33" s="207"/>
      <c r="AB33" s="206"/>
      <c r="AC33" s="207"/>
    </row>
    <row r="34" spans="1:29" ht="12.75" customHeight="1" x14ac:dyDescent="0.3">
      <c r="A34" s="201"/>
      <c r="B34" s="209"/>
      <c r="C34" s="199"/>
      <c r="D34" s="200"/>
      <c r="E34" s="180"/>
      <c r="F34" s="1097"/>
      <c r="G34" s="201"/>
      <c r="H34" s="209"/>
      <c r="I34" s="199"/>
      <c r="J34" s="200"/>
      <c r="K34" s="180"/>
      <c r="L34" s="170"/>
      <c r="Q34" s="217"/>
      <c r="S34" s="203"/>
      <c r="T34" s="204"/>
      <c r="U34" s="207"/>
      <c r="V34" s="206"/>
      <c r="W34" s="207"/>
      <c r="X34" s="192"/>
      <c r="Y34" s="203"/>
      <c r="Z34" s="204"/>
      <c r="AA34" s="207"/>
      <c r="AB34" s="206"/>
      <c r="AC34" s="207"/>
    </row>
    <row r="35" spans="1:29" ht="12.75" customHeight="1" x14ac:dyDescent="0.3">
      <c r="A35" s="201"/>
      <c r="B35" s="209"/>
      <c r="C35" s="199"/>
      <c r="D35" s="200"/>
      <c r="E35" s="180"/>
      <c r="F35" s="1097"/>
      <c r="G35" s="201"/>
      <c r="H35" s="209"/>
      <c r="I35" s="199"/>
      <c r="J35" s="200"/>
      <c r="K35" s="180"/>
      <c r="L35" s="170"/>
      <c r="Q35" s="217"/>
      <c r="S35" s="203"/>
      <c r="T35" s="204"/>
      <c r="U35" s="207"/>
      <c r="V35" s="206"/>
      <c r="W35" s="207"/>
      <c r="X35" s="192"/>
      <c r="Y35" s="203"/>
      <c r="Z35" s="204"/>
      <c r="AA35" s="207"/>
      <c r="AB35" s="206"/>
      <c r="AC35" s="207"/>
    </row>
    <row r="36" spans="1:29" ht="12.75" customHeight="1" x14ac:dyDescent="0.3">
      <c r="A36" s="201"/>
      <c r="B36" s="209"/>
      <c r="C36" s="198"/>
      <c r="D36" s="200"/>
      <c r="E36" s="180"/>
      <c r="F36" s="1097"/>
      <c r="G36" s="201"/>
      <c r="H36" s="209"/>
      <c r="I36" s="198"/>
      <c r="J36" s="200"/>
      <c r="K36" s="180"/>
      <c r="L36" s="170"/>
      <c r="Q36" s="217"/>
      <c r="S36" s="203"/>
      <c r="T36" s="204"/>
      <c r="U36" s="205"/>
      <c r="V36" s="206"/>
      <c r="W36" s="207"/>
      <c r="X36" s="192"/>
      <c r="Y36" s="203"/>
      <c r="Z36" s="204"/>
      <c r="AA36" s="205"/>
      <c r="AB36" s="206"/>
      <c r="AC36" s="207"/>
    </row>
    <row r="37" spans="1:29" ht="12.75" customHeight="1" x14ac:dyDescent="0.3">
      <c r="A37" s="201"/>
      <c r="B37" s="209"/>
      <c r="C37" s="198"/>
      <c r="D37" s="200"/>
      <c r="E37" s="180"/>
      <c r="F37" s="1097"/>
      <c r="G37" s="201"/>
      <c r="H37" s="209"/>
      <c r="I37" s="198"/>
      <c r="J37" s="200"/>
      <c r="K37" s="180"/>
      <c r="L37" s="170"/>
      <c r="Q37" s="217"/>
      <c r="S37" s="203"/>
      <c r="T37" s="204"/>
      <c r="U37" s="205"/>
      <c r="V37" s="206"/>
      <c r="W37" s="207"/>
      <c r="X37" s="192"/>
      <c r="Y37" s="203"/>
      <c r="Z37" s="204"/>
      <c r="AA37" s="205"/>
      <c r="AB37" s="206"/>
      <c r="AC37" s="207"/>
    </row>
    <row r="38" spans="1:29" ht="12.75" customHeight="1" x14ac:dyDescent="0.3">
      <c r="A38" s="201"/>
      <c r="B38" s="209"/>
      <c r="C38" s="198"/>
      <c r="D38" s="200"/>
      <c r="E38" s="180"/>
      <c r="F38" s="1097"/>
      <c r="G38" s="201"/>
      <c r="H38" s="209"/>
      <c r="I38" s="198"/>
      <c r="J38" s="200"/>
      <c r="K38" s="180"/>
      <c r="L38" s="170"/>
      <c r="Q38" s="217"/>
      <c r="S38" s="203"/>
      <c r="T38" s="204"/>
      <c r="U38" s="205"/>
      <c r="V38" s="206"/>
      <c r="W38" s="207"/>
      <c r="X38" s="192"/>
      <c r="Y38" s="203"/>
      <c r="Z38" s="204"/>
      <c r="AA38" s="205"/>
      <c r="AB38" s="206"/>
      <c r="AC38" s="207"/>
    </row>
    <row r="39" spans="1:29" ht="12.75" customHeight="1" x14ac:dyDescent="0.3">
      <c r="A39" s="201"/>
      <c r="B39" s="209"/>
      <c r="C39" s="198"/>
      <c r="D39" s="200"/>
      <c r="E39" s="180"/>
      <c r="F39" s="1097"/>
      <c r="G39" s="201"/>
      <c r="H39" s="209"/>
      <c r="I39" s="198"/>
      <c r="J39" s="200"/>
      <c r="K39" s="180"/>
      <c r="L39" s="170"/>
      <c r="Q39" s="217"/>
      <c r="S39" s="203"/>
      <c r="T39" s="204"/>
      <c r="U39" s="205"/>
      <c r="V39" s="206"/>
      <c r="W39" s="207"/>
      <c r="X39" s="192"/>
      <c r="Y39" s="203"/>
      <c r="Z39" s="204"/>
      <c r="AA39" s="205"/>
      <c r="AB39" s="206"/>
      <c r="AC39" s="207"/>
    </row>
    <row r="40" spans="1:29" ht="13.5" customHeight="1" x14ac:dyDescent="0.3">
      <c r="A40" s="201"/>
      <c r="B40" s="209"/>
      <c r="C40" s="198"/>
      <c r="D40" s="200"/>
      <c r="E40" s="180"/>
      <c r="F40" s="1097"/>
      <c r="G40" s="201"/>
      <c r="H40" s="209"/>
      <c r="I40" s="198"/>
      <c r="J40" s="200"/>
      <c r="K40" s="180"/>
      <c r="L40" s="170"/>
      <c r="Q40" s="217"/>
      <c r="S40" s="203"/>
      <c r="T40" s="204"/>
      <c r="U40" s="205"/>
      <c r="V40" s="206"/>
      <c r="W40" s="207"/>
      <c r="X40" s="192"/>
      <c r="Y40" s="203"/>
      <c r="Z40" s="204"/>
      <c r="AA40" s="205"/>
      <c r="AB40" s="206"/>
      <c r="AC40" s="207"/>
    </row>
    <row r="41" spans="1:29" ht="13.5" customHeight="1" x14ac:dyDescent="0.3">
      <c r="A41" s="201"/>
      <c r="B41" s="209"/>
      <c r="C41" s="198"/>
      <c r="D41" s="200"/>
      <c r="E41" s="180"/>
      <c r="F41" s="1097"/>
      <c r="G41" s="201"/>
      <c r="H41" s="209"/>
      <c r="I41" s="198"/>
      <c r="J41" s="200"/>
      <c r="K41" s="180"/>
      <c r="L41" s="170"/>
      <c r="Q41" s="217"/>
      <c r="S41" s="203"/>
      <c r="T41" s="204"/>
      <c r="U41" s="205"/>
      <c r="V41" s="206"/>
      <c r="W41" s="207"/>
      <c r="X41" s="192"/>
      <c r="Y41" s="203"/>
      <c r="Z41" s="204"/>
      <c r="AA41" s="205"/>
      <c r="AB41" s="206"/>
      <c r="AC41" s="207"/>
    </row>
    <row r="42" spans="1:29" ht="13.5" customHeight="1" x14ac:dyDescent="0.3">
      <c r="A42" s="1103"/>
      <c r="B42" s="1104"/>
      <c r="C42" s="1104"/>
      <c r="D42" s="1104"/>
      <c r="E42" s="1105"/>
      <c r="F42" s="1097"/>
      <c r="G42" s="1106"/>
      <c r="H42" s="1107"/>
      <c r="I42" s="1107"/>
      <c r="J42" s="1107"/>
      <c r="K42" s="1108"/>
      <c r="L42" s="170"/>
      <c r="Q42" s="217"/>
      <c r="S42" s="176"/>
      <c r="T42" s="176"/>
      <c r="U42" s="176"/>
      <c r="V42" s="176"/>
      <c r="W42" s="176"/>
      <c r="X42" s="192"/>
      <c r="Y42" s="171"/>
      <c r="Z42" s="171"/>
      <c r="AA42" s="171"/>
      <c r="AB42" s="171"/>
      <c r="AC42" s="171"/>
    </row>
    <row r="43" spans="1:29" ht="15.75" customHeight="1" x14ac:dyDescent="0.3">
      <c r="A43" s="1099"/>
      <c r="B43" s="1100"/>
      <c r="C43" s="1101"/>
      <c r="D43" s="1094"/>
      <c r="E43" s="1095"/>
      <c r="F43" s="1097"/>
      <c r="G43" s="1099"/>
      <c r="H43" s="1100"/>
      <c r="I43" s="1101"/>
      <c r="J43" s="1094"/>
      <c r="K43" s="1095"/>
      <c r="L43" s="170"/>
      <c r="M43" s="270"/>
      <c r="N43" s="270"/>
      <c r="O43" s="270"/>
      <c r="P43" s="270"/>
      <c r="Q43" s="271"/>
      <c r="S43" s="273"/>
      <c r="T43" s="273"/>
      <c r="U43" s="273"/>
      <c r="V43" s="190"/>
      <c r="W43" s="191"/>
      <c r="X43" s="192"/>
      <c r="Y43" s="273"/>
      <c r="Z43" s="273"/>
      <c r="AA43" s="273"/>
      <c r="AB43" s="190"/>
      <c r="AC43" s="191"/>
    </row>
    <row r="44" spans="1:29" ht="12.75" customHeight="1" x14ac:dyDescent="0.3">
      <c r="A44" s="193"/>
      <c r="B44" s="1094"/>
      <c r="C44" s="1094"/>
      <c r="D44" s="1094"/>
      <c r="E44" s="1095"/>
      <c r="F44" s="1097"/>
      <c r="G44" s="159"/>
      <c r="H44" s="1094"/>
      <c r="I44" s="1094"/>
      <c r="J44" s="1094"/>
      <c r="K44" s="1095"/>
      <c r="L44" s="170"/>
      <c r="M44" s="270"/>
      <c r="N44" s="270"/>
      <c r="O44" s="270"/>
      <c r="P44" s="270"/>
      <c r="Q44" s="271"/>
      <c r="S44" s="495"/>
      <c r="T44" s="190"/>
      <c r="U44" s="190"/>
      <c r="V44" s="190"/>
      <c r="W44" s="191"/>
      <c r="X44" s="192"/>
      <c r="Y44" s="495"/>
      <c r="Z44" s="190"/>
      <c r="AA44" s="190"/>
      <c r="AB44" s="190"/>
      <c r="AC44" s="191"/>
    </row>
    <row r="45" spans="1:29" ht="15" customHeight="1" x14ac:dyDescent="0.3">
      <c r="A45" s="272"/>
      <c r="B45" s="194"/>
      <c r="C45" s="195"/>
      <c r="D45" s="1094"/>
      <c r="E45" s="1095"/>
      <c r="F45" s="1097"/>
      <c r="G45" s="496"/>
      <c r="H45" s="194"/>
      <c r="I45" s="195"/>
      <c r="J45" s="1094"/>
      <c r="K45" s="1095"/>
      <c r="L45" s="170"/>
      <c r="M45" s="270"/>
      <c r="N45" s="270"/>
      <c r="O45" s="270"/>
      <c r="P45" s="270"/>
      <c r="Q45" s="271"/>
      <c r="S45" s="265"/>
      <c r="T45" s="495"/>
      <c r="U45" s="495"/>
      <c r="V45" s="190"/>
      <c r="W45" s="191"/>
      <c r="X45" s="192"/>
      <c r="Y45" s="265"/>
      <c r="Z45" s="495"/>
      <c r="AA45" s="495"/>
      <c r="AB45" s="190"/>
      <c r="AC45" s="191"/>
    </row>
    <row r="46" spans="1:29" ht="12.75" customHeight="1" x14ac:dyDescent="0.3">
      <c r="A46" s="197"/>
      <c r="B46" s="209"/>
      <c r="C46" s="202"/>
      <c r="D46" s="200"/>
      <c r="E46" s="180"/>
      <c r="F46" s="1097"/>
      <c r="G46" s="197"/>
      <c r="H46" s="209"/>
      <c r="I46" s="199"/>
      <c r="J46" s="200"/>
      <c r="K46" s="180"/>
      <c r="L46" s="170"/>
      <c r="M46" s="270"/>
      <c r="N46" s="270"/>
      <c r="O46" s="270"/>
      <c r="P46" s="270"/>
      <c r="Q46" s="271"/>
      <c r="S46" s="203"/>
      <c r="T46" s="204"/>
      <c r="U46" s="207"/>
      <c r="V46" s="206"/>
      <c r="W46" s="207"/>
      <c r="X46" s="192"/>
      <c r="Y46" s="203"/>
      <c r="Z46" s="204"/>
      <c r="AA46" s="207"/>
      <c r="AB46" s="206"/>
      <c r="AC46" s="207"/>
    </row>
    <row r="47" spans="1:29" ht="12.75" customHeight="1" x14ac:dyDescent="0.3">
      <c r="A47" s="201"/>
      <c r="B47" s="209"/>
      <c r="C47" s="202"/>
      <c r="D47" s="200"/>
      <c r="E47" s="180"/>
      <c r="F47" s="1097"/>
      <c r="G47" s="201"/>
      <c r="H47" s="209"/>
      <c r="I47" s="199"/>
      <c r="J47" s="200"/>
      <c r="K47" s="180"/>
      <c r="L47" s="170"/>
      <c r="M47" s="270"/>
      <c r="N47" s="270"/>
      <c r="O47" s="270"/>
      <c r="P47" s="270"/>
      <c r="Q47" s="271"/>
      <c r="S47" s="203"/>
      <c r="T47" s="204"/>
      <c r="U47" s="207"/>
      <c r="V47" s="206"/>
      <c r="W47" s="207"/>
      <c r="X47" s="192"/>
      <c r="Y47" s="203"/>
      <c r="Z47" s="204"/>
      <c r="AA47" s="207"/>
      <c r="AB47" s="206"/>
      <c r="AC47" s="207"/>
    </row>
    <row r="48" spans="1:29" ht="12.75" customHeight="1" x14ac:dyDescent="0.3">
      <c r="A48" s="201"/>
      <c r="B48" s="209"/>
      <c r="C48" s="202"/>
      <c r="D48" s="200"/>
      <c r="E48" s="180"/>
      <c r="F48" s="1097"/>
      <c r="G48" s="201"/>
      <c r="H48" s="209"/>
      <c r="I48" s="199"/>
      <c r="J48" s="200"/>
      <c r="K48" s="180"/>
      <c r="L48" s="170"/>
      <c r="M48" s="270"/>
      <c r="N48" s="270"/>
      <c r="O48" s="270"/>
      <c r="P48" s="270"/>
      <c r="Q48" s="271"/>
      <c r="S48" s="203"/>
      <c r="T48" s="204"/>
      <c r="U48" s="207"/>
      <c r="V48" s="206"/>
      <c r="W48" s="207"/>
      <c r="X48" s="192"/>
      <c r="Y48" s="203"/>
      <c r="Z48" s="204"/>
      <c r="AA48" s="207"/>
      <c r="AB48" s="206"/>
      <c r="AC48" s="207"/>
    </row>
    <row r="49" spans="1:29" ht="12.75" customHeight="1" x14ac:dyDescent="0.3">
      <c r="A49" s="201"/>
      <c r="B49" s="209"/>
      <c r="C49" s="208"/>
      <c r="D49" s="200"/>
      <c r="E49" s="180"/>
      <c r="F49" s="1097"/>
      <c r="G49" s="201"/>
      <c r="H49" s="209"/>
      <c r="I49" s="198"/>
      <c r="J49" s="200"/>
      <c r="K49" s="180"/>
      <c r="L49" s="170"/>
      <c r="M49" s="270"/>
      <c r="N49" s="270"/>
      <c r="O49" s="270"/>
      <c r="P49" s="270"/>
      <c r="Q49" s="271"/>
      <c r="S49" s="203"/>
      <c r="T49" s="204"/>
      <c r="U49" s="205"/>
      <c r="V49" s="206"/>
      <c r="W49" s="207"/>
      <c r="X49" s="192"/>
      <c r="Y49" s="203"/>
      <c r="Z49" s="204"/>
      <c r="AA49" s="205"/>
      <c r="AB49" s="206"/>
      <c r="AC49" s="207"/>
    </row>
    <row r="50" spans="1:29" ht="12.75" customHeight="1" x14ac:dyDescent="0.3">
      <c r="A50" s="201"/>
      <c r="B50" s="209"/>
      <c r="C50" s="208"/>
      <c r="D50" s="200"/>
      <c r="E50" s="180"/>
      <c r="F50" s="1097"/>
      <c r="G50" s="201"/>
      <c r="H50" s="209"/>
      <c r="I50" s="198"/>
      <c r="J50" s="200"/>
      <c r="K50" s="180"/>
      <c r="L50" s="170"/>
      <c r="M50" s="270"/>
      <c r="N50" s="270"/>
      <c r="O50" s="270"/>
      <c r="P50" s="270"/>
      <c r="Q50" s="271"/>
      <c r="S50" s="203"/>
      <c r="T50" s="204"/>
      <c r="U50" s="205"/>
      <c r="V50" s="206"/>
      <c r="W50" s="207"/>
      <c r="X50" s="192"/>
      <c r="Y50" s="203"/>
      <c r="Z50" s="204"/>
      <c r="AA50" s="205"/>
      <c r="AB50" s="206"/>
      <c r="AC50" s="207"/>
    </row>
    <row r="51" spans="1:29" ht="12.75" customHeight="1" x14ac:dyDescent="0.3">
      <c r="A51" s="201"/>
      <c r="B51" s="209"/>
      <c r="C51" s="208"/>
      <c r="D51" s="200"/>
      <c r="E51" s="180"/>
      <c r="F51" s="1097"/>
      <c r="G51" s="201"/>
      <c r="H51" s="209"/>
      <c r="I51" s="198"/>
      <c r="J51" s="200"/>
      <c r="K51" s="180"/>
      <c r="L51" s="170"/>
      <c r="M51" s="270"/>
      <c r="N51" s="270"/>
      <c r="O51" s="270"/>
      <c r="P51" s="270"/>
      <c r="Q51" s="271"/>
      <c r="S51" s="203"/>
      <c r="T51" s="204"/>
      <c r="U51" s="205"/>
      <c r="V51" s="206"/>
      <c r="W51" s="207"/>
      <c r="X51" s="192"/>
      <c r="Y51" s="203"/>
      <c r="Z51" s="204"/>
      <c r="AA51" s="205"/>
      <c r="AB51" s="206"/>
      <c r="AC51" s="207"/>
    </row>
    <row r="52" spans="1:29" ht="12.75" customHeight="1" x14ac:dyDescent="0.3">
      <c r="A52" s="201"/>
      <c r="B52" s="209"/>
      <c r="C52" s="208"/>
      <c r="D52" s="200"/>
      <c r="E52" s="180"/>
      <c r="F52" s="1097"/>
      <c r="G52" s="201"/>
      <c r="H52" s="209"/>
      <c r="I52" s="198"/>
      <c r="J52" s="200"/>
      <c r="K52" s="180"/>
      <c r="L52" s="170"/>
      <c r="M52" s="270"/>
      <c r="N52" s="270"/>
      <c r="O52" s="270"/>
      <c r="P52" s="270"/>
      <c r="Q52" s="271"/>
      <c r="S52" s="203"/>
      <c r="T52" s="204"/>
      <c r="U52" s="205"/>
      <c r="V52" s="206"/>
      <c r="W52" s="207"/>
      <c r="X52" s="192"/>
      <c r="Y52" s="203"/>
      <c r="Z52" s="204"/>
      <c r="AA52" s="205"/>
      <c r="AB52" s="206"/>
      <c r="AC52" s="207"/>
    </row>
    <row r="53" spans="1:29" ht="13.5" customHeight="1" x14ac:dyDescent="0.3">
      <c r="A53" s="201"/>
      <c r="B53" s="209"/>
      <c r="C53" s="208"/>
      <c r="D53" s="200"/>
      <c r="E53" s="180"/>
      <c r="F53" s="1097"/>
      <c r="G53" s="201"/>
      <c r="H53" s="209"/>
      <c r="I53" s="198"/>
      <c r="J53" s="200"/>
      <c r="K53" s="180"/>
      <c r="L53" s="170"/>
      <c r="M53" s="270"/>
      <c r="N53" s="270"/>
      <c r="O53" s="270"/>
      <c r="P53" s="270"/>
      <c r="Q53" s="271"/>
      <c r="S53" s="203"/>
      <c r="T53" s="204"/>
      <c r="U53" s="205"/>
      <c r="V53" s="206"/>
      <c r="W53" s="207"/>
      <c r="X53" s="192"/>
      <c r="Y53" s="203"/>
      <c r="Z53" s="204"/>
      <c r="AA53" s="205"/>
      <c r="AB53" s="206"/>
      <c r="AC53" s="207"/>
    </row>
    <row r="54" spans="1:29" ht="13.5" customHeight="1" x14ac:dyDescent="0.3">
      <c r="A54" s="201"/>
      <c r="B54" s="209"/>
      <c r="C54" s="208"/>
      <c r="D54" s="200"/>
      <c r="E54" s="180"/>
      <c r="F54" s="1097"/>
      <c r="G54" s="201"/>
      <c r="H54" s="209"/>
      <c r="I54" s="198"/>
      <c r="J54" s="200"/>
      <c r="K54" s="180"/>
      <c r="L54" s="170"/>
      <c r="M54" s="270"/>
      <c r="N54" s="270"/>
      <c r="O54" s="270"/>
      <c r="P54" s="270"/>
      <c r="Q54" s="271"/>
      <c r="S54" s="203"/>
      <c r="T54" s="204"/>
      <c r="U54" s="205"/>
      <c r="V54" s="206"/>
      <c r="W54" s="207"/>
      <c r="X54" s="211"/>
      <c r="Y54" s="203"/>
      <c r="Z54" s="204"/>
      <c r="AA54" s="205"/>
      <c r="AB54" s="206"/>
      <c r="AC54" s="207"/>
    </row>
    <row r="55" spans="1:29" ht="13.5" customHeight="1" thickBot="1" x14ac:dyDescent="0.3">
      <c r="A55" s="1125"/>
      <c r="B55" s="1126"/>
      <c r="C55" s="1126"/>
      <c r="D55" s="1126"/>
      <c r="E55" s="1126"/>
      <c r="F55" s="1126"/>
      <c r="G55" s="1126"/>
      <c r="H55" s="1126"/>
      <c r="I55" s="1126"/>
      <c r="J55" s="1126"/>
      <c r="K55" s="1126"/>
      <c r="L55" s="1126"/>
      <c r="M55" s="1126"/>
      <c r="N55" s="1126"/>
      <c r="O55" s="1126"/>
      <c r="P55" s="1126"/>
      <c r="Q55" s="1127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</row>
    <row r="56" spans="1:29" ht="12.75" customHeight="1" x14ac:dyDescent="0.3">
      <c r="A56" s="212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170"/>
      <c r="M56" s="270"/>
      <c r="N56" s="270"/>
      <c r="O56" s="270"/>
      <c r="P56" s="270"/>
      <c r="Q56" s="270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</row>
    <row r="57" spans="1:29" ht="13.5" thickBot="1" x14ac:dyDescent="0.35">
      <c r="A57" s="215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</row>
    <row r="58" spans="1:29" ht="12.75" customHeight="1" x14ac:dyDescent="0.25">
      <c r="A58" s="1128" t="s">
        <v>235</v>
      </c>
      <c r="B58" s="1117"/>
      <c r="C58" s="1119" t="s">
        <v>304</v>
      </c>
      <c r="D58" s="1121" t="s">
        <v>62</v>
      </c>
      <c r="E58" s="1121"/>
      <c r="F58" s="490" t="s">
        <v>63</v>
      </c>
      <c r="G58" s="1119" t="s">
        <v>64</v>
      </c>
      <c r="H58" s="1123"/>
      <c r="I58" s="174"/>
      <c r="J58" s="1128" t="str">
        <f>A58</f>
        <v>No Urut Titik Ukur</v>
      </c>
      <c r="K58" s="1117"/>
      <c r="L58" s="1119" t="s">
        <v>304</v>
      </c>
      <c r="M58" s="1121" t="s">
        <v>62</v>
      </c>
      <c r="N58" s="1121"/>
      <c r="O58" s="490" t="s">
        <v>63</v>
      </c>
      <c r="P58" s="1119" t="s">
        <v>64</v>
      </c>
      <c r="Q58" s="1123"/>
    </row>
    <row r="59" spans="1:29" ht="12.75" customHeight="1" x14ac:dyDescent="0.25">
      <c r="A59" s="1129"/>
      <c r="B59" s="1118"/>
      <c r="C59" s="1120"/>
      <c r="D59" s="1122"/>
      <c r="E59" s="1122"/>
      <c r="F59" s="491"/>
      <c r="G59" s="1120"/>
      <c r="H59" s="1124"/>
      <c r="J59" s="1129"/>
      <c r="K59" s="1118"/>
      <c r="L59" s="1120"/>
      <c r="M59" s="1122"/>
      <c r="N59" s="1122"/>
      <c r="O59" s="491"/>
      <c r="P59" s="1120"/>
      <c r="Q59" s="1124"/>
    </row>
    <row r="60" spans="1:29" ht="14.5" thickBot="1" x14ac:dyDescent="0.3">
      <c r="A60" s="1129"/>
      <c r="B60" s="1118"/>
      <c r="C60" s="269" t="s">
        <v>174</v>
      </c>
      <c r="D60" s="491"/>
      <c r="E60" s="491"/>
      <c r="F60" s="491"/>
      <c r="G60" s="1120"/>
      <c r="H60" s="1124"/>
      <c r="J60" s="1129"/>
      <c r="K60" s="1118"/>
      <c r="L60" s="269" t="s">
        <v>174</v>
      </c>
      <c r="M60" s="491"/>
      <c r="N60" s="491"/>
      <c r="O60" s="491"/>
      <c r="P60" s="1120"/>
      <c r="Q60" s="1124"/>
    </row>
    <row r="61" spans="1:29" ht="13" x14ac:dyDescent="0.25">
      <c r="A61" s="1130" t="s">
        <v>5</v>
      </c>
      <c r="B61" s="218">
        <v>1</v>
      </c>
      <c r="C61" s="219">
        <f>A6</f>
        <v>0</v>
      </c>
      <c r="D61" s="219">
        <f t="shared" ref="D61:G61" si="3">B6</f>
        <v>0</v>
      </c>
      <c r="E61" s="219">
        <f t="shared" si="3"/>
        <v>0</v>
      </c>
      <c r="F61" s="219">
        <f t="shared" si="3"/>
        <v>0</v>
      </c>
      <c r="G61" s="219">
        <f t="shared" si="3"/>
        <v>0</v>
      </c>
      <c r="H61" s="1131"/>
      <c r="J61" s="1132" t="s">
        <v>10</v>
      </c>
      <c r="K61" s="220">
        <v>1</v>
      </c>
      <c r="L61" s="221">
        <f>A11</f>
        <v>49.859923203999998</v>
      </c>
      <c r="M61" s="221">
        <f t="shared" ref="M61:P61" si="4">B11</f>
        <v>-5.2719523999999997E-2</v>
      </c>
      <c r="N61" s="221">
        <f t="shared" si="4"/>
        <v>-2.1107999999999998E-2</v>
      </c>
      <c r="O61" s="221">
        <f t="shared" si="4"/>
        <v>1.5805762000000001E-2</v>
      </c>
      <c r="P61" s="221">
        <f t="shared" si="4"/>
        <v>0</v>
      </c>
      <c r="Q61" s="493"/>
    </row>
    <row r="62" spans="1:29" ht="13" x14ac:dyDescent="0.25">
      <c r="A62" s="1130"/>
      <c r="B62" s="218">
        <v>2</v>
      </c>
      <c r="C62" s="219">
        <f>G6</f>
        <v>0</v>
      </c>
      <c r="D62" s="219">
        <f t="shared" ref="D62:G62" si="5">H6</f>
        <v>0</v>
      </c>
      <c r="E62" s="219">
        <f t="shared" si="5"/>
        <v>0</v>
      </c>
      <c r="F62" s="219">
        <f t="shared" si="5"/>
        <v>3.3989999999999997E-3</v>
      </c>
      <c r="G62" s="219">
        <f t="shared" si="5"/>
        <v>1.0196999999999999E-2</v>
      </c>
      <c r="H62" s="1131"/>
      <c r="J62" s="1133"/>
      <c r="K62" s="218">
        <v>2</v>
      </c>
      <c r="L62" s="219">
        <f>G11</f>
        <v>50.985999999999997</v>
      </c>
      <c r="M62" s="219">
        <f t="shared" ref="M62:P62" si="6">H11</f>
        <v>0</v>
      </c>
      <c r="N62" s="219">
        <f t="shared" si="6"/>
        <v>-0.10197199999999999</v>
      </c>
      <c r="O62" s="219">
        <f t="shared" si="6"/>
        <v>3.3989999999999997E-3</v>
      </c>
      <c r="P62" s="219">
        <f t="shared" si="6"/>
        <v>1.0196999999999999E-2</v>
      </c>
      <c r="Q62" s="492"/>
    </row>
    <row r="63" spans="1:29" ht="13" x14ac:dyDescent="0.25">
      <c r="A63" s="1130"/>
      <c r="B63" s="218">
        <v>3</v>
      </c>
      <c r="C63" s="219">
        <f>M6</f>
        <v>0</v>
      </c>
      <c r="D63" s="219">
        <f t="shared" ref="D63:G63" si="7">N6</f>
        <v>0</v>
      </c>
      <c r="E63" s="219">
        <f t="shared" si="7"/>
        <v>0</v>
      </c>
      <c r="F63" s="219">
        <f t="shared" si="7"/>
        <v>0</v>
      </c>
      <c r="G63" s="219">
        <f t="shared" si="7"/>
        <v>0</v>
      </c>
      <c r="H63" s="1131"/>
      <c r="J63" s="1133"/>
      <c r="K63" s="218">
        <v>3</v>
      </c>
      <c r="L63" s="219">
        <f>M11</f>
        <v>49.859923203999998</v>
      </c>
      <c r="M63" s="219">
        <f t="shared" ref="M63:P63" si="8">N11</f>
        <v>-7.6173083999999988E-2</v>
      </c>
      <c r="N63" s="219">
        <f t="shared" si="8"/>
        <v>-4.5581483999999999E-2</v>
      </c>
      <c r="O63" s="219">
        <f t="shared" si="8"/>
        <v>1.5295799999999995E-2</v>
      </c>
      <c r="P63" s="219">
        <f t="shared" si="8"/>
        <v>0</v>
      </c>
      <c r="Q63" s="492"/>
    </row>
    <row r="64" spans="1:29" ht="13" x14ac:dyDescent="0.25">
      <c r="A64" s="1130"/>
      <c r="B64" s="218">
        <v>4</v>
      </c>
      <c r="C64" s="219">
        <f>A19</f>
        <v>0</v>
      </c>
      <c r="D64" s="219">
        <f t="shared" ref="D64:G64" si="9">B19</f>
        <v>0</v>
      </c>
      <c r="E64" s="219">
        <f t="shared" si="9"/>
        <v>0</v>
      </c>
      <c r="F64" s="219">
        <f t="shared" si="9"/>
        <v>0</v>
      </c>
      <c r="G64" s="219">
        <f t="shared" si="9"/>
        <v>0</v>
      </c>
      <c r="H64" s="1131"/>
      <c r="J64" s="1133"/>
      <c r="K64" s="218">
        <v>4</v>
      </c>
      <c r="L64" s="219">
        <f>A24</f>
        <v>0</v>
      </c>
      <c r="M64" s="219">
        <f t="shared" ref="M64:P64" si="10">B24</f>
        <v>0</v>
      </c>
      <c r="N64" s="219">
        <f t="shared" si="10"/>
        <v>0</v>
      </c>
      <c r="O64" s="219">
        <f t="shared" si="10"/>
        <v>0</v>
      </c>
      <c r="P64" s="219">
        <f t="shared" si="10"/>
        <v>0</v>
      </c>
      <c r="Q64" s="492"/>
    </row>
    <row r="65" spans="1:17" ht="13" x14ac:dyDescent="0.25">
      <c r="A65" s="1130"/>
      <c r="B65" s="218">
        <v>5</v>
      </c>
      <c r="C65" s="219">
        <f>G19</f>
        <v>0</v>
      </c>
      <c r="D65" s="219">
        <f t="shared" ref="D65:G65" si="11">H19</f>
        <v>0</v>
      </c>
      <c r="E65" s="219">
        <f t="shared" si="11"/>
        <v>0</v>
      </c>
      <c r="F65" s="219">
        <f t="shared" si="11"/>
        <v>0</v>
      </c>
      <c r="G65" s="219">
        <f t="shared" si="11"/>
        <v>0</v>
      </c>
      <c r="H65" s="222"/>
      <c r="J65" s="1133"/>
      <c r="K65" s="218">
        <v>5</v>
      </c>
      <c r="L65" s="219">
        <f>G24</f>
        <v>0</v>
      </c>
      <c r="M65" s="219">
        <f t="shared" ref="M65:P65" si="12">H24</f>
        <v>0</v>
      </c>
      <c r="N65" s="219">
        <f t="shared" si="12"/>
        <v>0</v>
      </c>
      <c r="O65" s="219">
        <f t="shared" si="12"/>
        <v>0</v>
      </c>
      <c r="P65" s="219">
        <f t="shared" si="12"/>
        <v>0</v>
      </c>
      <c r="Q65" s="222"/>
    </row>
    <row r="66" spans="1:17" ht="13" x14ac:dyDescent="0.25">
      <c r="A66" s="1130"/>
      <c r="B66" s="218">
        <v>6</v>
      </c>
      <c r="C66" s="219">
        <f>M19</f>
        <v>0</v>
      </c>
      <c r="D66" s="219">
        <f t="shared" ref="D66:G66" si="13">N19</f>
        <v>0</v>
      </c>
      <c r="E66" s="219">
        <f t="shared" si="13"/>
        <v>0</v>
      </c>
      <c r="F66" s="219">
        <f t="shared" si="13"/>
        <v>0</v>
      </c>
      <c r="G66" s="219">
        <f t="shared" si="13"/>
        <v>0</v>
      </c>
      <c r="H66" s="1131"/>
      <c r="J66" s="1133"/>
      <c r="K66" s="218">
        <v>6</v>
      </c>
      <c r="L66" s="219">
        <f>M24</f>
        <v>0</v>
      </c>
      <c r="M66" s="219">
        <f t="shared" ref="M66:P66" si="14">N24</f>
        <v>0</v>
      </c>
      <c r="N66" s="219">
        <f t="shared" si="14"/>
        <v>0</v>
      </c>
      <c r="O66" s="219">
        <f t="shared" si="14"/>
        <v>0</v>
      </c>
      <c r="P66" s="219">
        <f t="shared" si="14"/>
        <v>0</v>
      </c>
      <c r="Q66" s="492"/>
    </row>
    <row r="67" spans="1:17" ht="13" x14ac:dyDescent="0.25">
      <c r="A67" s="1130"/>
      <c r="B67" s="218">
        <v>7</v>
      </c>
      <c r="C67" s="219">
        <f>A33</f>
        <v>0</v>
      </c>
      <c r="D67" s="219">
        <f t="shared" ref="D67:G67" si="15">B33</f>
        <v>0</v>
      </c>
      <c r="E67" s="219">
        <f t="shared" si="15"/>
        <v>0</v>
      </c>
      <c r="F67" s="219">
        <f t="shared" si="15"/>
        <v>0</v>
      </c>
      <c r="G67" s="219">
        <f t="shared" si="15"/>
        <v>0</v>
      </c>
      <c r="H67" s="1131"/>
      <c r="J67" s="1133"/>
      <c r="K67" s="218">
        <v>7</v>
      </c>
      <c r="L67" s="219">
        <f>A38</f>
        <v>0</v>
      </c>
      <c r="M67" s="219">
        <f t="shared" ref="M67:P67" si="16">B38</f>
        <v>0</v>
      </c>
      <c r="N67" s="219">
        <f t="shared" si="16"/>
        <v>0</v>
      </c>
      <c r="O67" s="219">
        <f t="shared" si="16"/>
        <v>0</v>
      </c>
      <c r="P67" s="219">
        <f t="shared" si="16"/>
        <v>0</v>
      </c>
      <c r="Q67" s="492"/>
    </row>
    <row r="68" spans="1:17" ht="13" x14ac:dyDescent="0.25">
      <c r="A68" s="1130"/>
      <c r="B68" s="218">
        <v>8</v>
      </c>
      <c r="C68" s="219">
        <f>G33</f>
        <v>0</v>
      </c>
      <c r="D68" s="219">
        <f t="shared" ref="D68:G68" si="17">H33</f>
        <v>0</v>
      </c>
      <c r="E68" s="219">
        <f t="shared" si="17"/>
        <v>0</v>
      </c>
      <c r="F68" s="219">
        <f t="shared" si="17"/>
        <v>0</v>
      </c>
      <c r="G68" s="219">
        <f t="shared" si="17"/>
        <v>0</v>
      </c>
      <c r="H68" s="1131"/>
      <c r="J68" s="1133"/>
      <c r="K68" s="218">
        <v>8</v>
      </c>
      <c r="L68" s="219">
        <f>G38</f>
        <v>0</v>
      </c>
      <c r="M68" s="219">
        <f t="shared" ref="M68:P68" si="18">H38</f>
        <v>0</v>
      </c>
      <c r="N68" s="219">
        <f t="shared" si="18"/>
        <v>0</v>
      </c>
      <c r="O68" s="219">
        <f t="shared" si="18"/>
        <v>0</v>
      </c>
      <c r="P68" s="219">
        <f t="shared" si="18"/>
        <v>0</v>
      </c>
      <c r="Q68" s="492"/>
    </row>
    <row r="69" spans="1:17" ht="13" x14ac:dyDescent="0.25">
      <c r="A69" s="1130"/>
      <c r="B69" s="218">
        <v>9</v>
      </c>
      <c r="C69" s="219">
        <f>A46</f>
        <v>0</v>
      </c>
      <c r="D69" s="219">
        <f t="shared" ref="D69:G69" si="19">B46</f>
        <v>0</v>
      </c>
      <c r="E69" s="219">
        <f t="shared" si="19"/>
        <v>0</v>
      </c>
      <c r="F69" s="219">
        <f t="shared" si="19"/>
        <v>0</v>
      </c>
      <c r="G69" s="219">
        <f t="shared" si="19"/>
        <v>0</v>
      </c>
      <c r="H69" s="1131"/>
      <c r="J69" s="1133"/>
      <c r="K69" s="218">
        <v>9</v>
      </c>
      <c r="L69" s="219">
        <f>A51</f>
        <v>0</v>
      </c>
      <c r="M69" s="219">
        <f t="shared" ref="M69:P69" si="20">B51</f>
        <v>0</v>
      </c>
      <c r="N69" s="219">
        <f t="shared" si="20"/>
        <v>0</v>
      </c>
      <c r="O69" s="219">
        <f t="shared" si="20"/>
        <v>0</v>
      </c>
      <c r="P69" s="219">
        <f t="shared" si="20"/>
        <v>0</v>
      </c>
      <c r="Q69" s="492"/>
    </row>
    <row r="70" spans="1:17" ht="13.5" thickBot="1" x14ac:dyDescent="0.3">
      <c r="A70" s="1130"/>
      <c r="B70" s="218">
        <v>10</v>
      </c>
      <c r="C70" s="219">
        <f>G46</f>
        <v>0</v>
      </c>
      <c r="D70" s="219">
        <f t="shared" ref="D70:G70" si="21">H46</f>
        <v>0</v>
      </c>
      <c r="E70" s="219">
        <f t="shared" si="21"/>
        <v>0</v>
      </c>
      <c r="F70" s="219">
        <f t="shared" si="21"/>
        <v>0</v>
      </c>
      <c r="G70" s="219">
        <f t="shared" si="21"/>
        <v>0</v>
      </c>
      <c r="H70" s="492"/>
      <c r="J70" s="1133"/>
      <c r="K70" s="218">
        <v>10</v>
      </c>
      <c r="L70" s="219">
        <f>G51</f>
        <v>0</v>
      </c>
      <c r="M70" s="219">
        <f t="shared" ref="M70:P70" si="22">H51</f>
        <v>0</v>
      </c>
      <c r="N70" s="219">
        <f t="shared" si="22"/>
        <v>0</v>
      </c>
      <c r="O70" s="219">
        <f t="shared" si="22"/>
        <v>0</v>
      </c>
      <c r="P70" s="219">
        <f t="shared" si="22"/>
        <v>0</v>
      </c>
      <c r="Q70" s="492"/>
    </row>
    <row r="71" spans="1:17" ht="13" x14ac:dyDescent="0.25">
      <c r="A71" s="1134" t="s">
        <v>6</v>
      </c>
      <c r="B71" s="220">
        <v>1</v>
      </c>
      <c r="C71" s="221">
        <f>A7</f>
        <v>9.9719744436000006</v>
      </c>
      <c r="D71" s="221">
        <f t="shared" ref="D71:G71" si="23">B7</f>
        <v>-4.4490383600000002E-2</v>
      </c>
      <c r="E71" s="221">
        <f t="shared" si="23"/>
        <v>-2.5727400000000001E-2</v>
      </c>
      <c r="F71" s="221">
        <f t="shared" si="23"/>
        <v>9.3814918000000008E-3</v>
      </c>
      <c r="G71" s="221">
        <f t="shared" si="23"/>
        <v>0</v>
      </c>
      <c r="H71" s="1135"/>
      <c r="J71" s="1132" t="s">
        <v>238</v>
      </c>
      <c r="K71" s="220">
        <v>1</v>
      </c>
      <c r="L71" s="221">
        <f>A12</f>
        <v>59.831867056</v>
      </c>
      <c r="M71" s="221">
        <f t="shared" ref="M71:P71" si="24">B12</f>
        <v>-5.1801775999999994E-2</v>
      </c>
      <c r="N71" s="221">
        <f t="shared" si="24"/>
        <v>-3.9565136000000001E-2</v>
      </c>
      <c r="O71" s="221">
        <f t="shared" si="24"/>
        <v>6.1183199999999965E-3</v>
      </c>
      <c r="P71" s="221">
        <f t="shared" si="24"/>
        <v>0</v>
      </c>
      <c r="Q71" s="493"/>
    </row>
    <row r="72" spans="1:17" ht="13" x14ac:dyDescent="0.25">
      <c r="A72" s="1130"/>
      <c r="B72" s="218">
        <v>2</v>
      </c>
      <c r="C72" s="219">
        <f>G7</f>
        <v>10.197199999999999</v>
      </c>
      <c r="D72" s="219">
        <f t="shared" ref="D72:G72" si="25">H7</f>
        <v>0</v>
      </c>
      <c r="E72" s="219">
        <f t="shared" si="25"/>
        <v>2.0393999999999999E-2</v>
      </c>
      <c r="F72" s="219">
        <f t="shared" si="25"/>
        <v>3.3989999999999997E-3</v>
      </c>
      <c r="G72" s="219">
        <f t="shared" si="25"/>
        <v>1.0196999999999999E-2</v>
      </c>
      <c r="H72" s="1131"/>
      <c r="J72" s="1133"/>
      <c r="K72" s="218">
        <v>2</v>
      </c>
      <c r="L72" s="219">
        <f>G12</f>
        <v>0</v>
      </c>
      <c r="M72" s="219">
        <f t="shared" ref="M72:P72" si="26">H12</f>
        <v>0</v>
      </c>
      <c r="N72" s="219">
        <f t="shared" si="26"/>
        <v>0</v>
      </c>
      <c r="O72" s="219">
        <f t="shared" si="26"/>
        <v>3.3989999999999997E-3</v>
      </c>
      <c r="P72" s="219">
        <f t="shared" si="26"/>
        <v>1.0196999999999999E-2</v>
      </c>
      <c r="Q72" s="492"/>
    </row>
    <row r="73" spans="1:17" ht="13" x14ac:dyDescent="0.25">
      <c r="A73" s="1130"/>
      <c r="B73" s="218">
        <v>3</v>
      </c>
      <c r="C73" s="219">
        <f>M7</f>
        <v>9.9719744436000006</v>
      </c>
      <c r="D73" s="219">
        <f t="shared" ref="D73:G73" si="27">N7</f>
        <v>-4.3980523600000002E-2</v>
      </c>
      <c r="E73" s="219">
        <f t="shared" si="27"/>
        <v>-4.8875179599999999E-2</v>
      </c>
      <c r="F73" s="219">
        <f t="shared" si="27"/>
        <v>2.4473279999999986E-3</v>
      </c>
      <c r="G73" s="219">
        <f t="shared" si="27"/>
        <v>0</v>
      </c>
      <c r="H73" s="1131"/>
      <c r="J73" s="1133"/>
      <c r="K73" s="218">
        <v>3</v>
      </c>
      <c r="L73" s="219">
        <f>M12</f>
        <v>59.831867056</v>
      </c>
      <c r="M73" s="219">
        <f t="shared" ref="M73:P73" si="28">N12</f>
        <v>-6.4038416000000001E-2</v>
      </c>
      <c r="N73" s="219">
        <f t="shared" si="28"/>
        <v>-3.3446815999999997E-2</v>
      </c>
      <c r="O73" s="219">
        <f t="shared" si="28"/>
        <v>1.5295800000000002E-2</v>
      </c>
      <c r="P73" s="219">
        <f t="shared" si="28"/>
        <v>0</v>
      </c>
      <c r="Q73" s="492"/>
    </row>
    <row r="74" spans="1:17" ht="13" x14ac:dyDescent="0.25">
      <c r="A74" s="1130"/>
      <c r="B74" s="218">
        <v>4</v>
      </c>
      <c r="C74" s="219">
        <f>A20</f>
        <v>0</v>
      </c>
      <c r="D74" s="219">
        <f t="shared" ref="D74:G74" si="29">B20</f>
        <v>0</v>
      </c>
      <c r="E74" s="219">
        <f t="shared" si="29"/>
        <v>0</v>
      </c>
      <c r="F74" s="219">
        <f t="shared" si="29"/>
        <v>0</v>
      </c>
      <c r="G74" s="219">
        <f t="shared" si="29"/>
        <v>0</v>
      </c>
      <c r="H74" s="1131"/>
      <c r="J74" s="1133"/>
      <c r="K74" s="218">
        <v>4</v>
      </c>
      <c r="L74" s="219">
        <f>A25</f>
        <v>0</v>
      </c>
      <c r="M74" s="219">
        <f t="shared" ref="M74:P74" si="30">B25</f>
        <v>0</v>
      </c>
      <c r="N74" s="219">
        <f t="shared" si="30"/>
        <v>0</v>
      </c>
      <c r="O74" s="219">
        <f t="shared" si="30"/>
        <v>0</v>
      </c>
      <c r="P74" s="219">
        <f t="shared" si="30"/>
        <v>0</v>
      </c>
      <c r="Q74" s="492"/>
    </row>
    <row r="75" spans="1:17" ht="13" x14ac:dyDescent="0.25">
      <c r="A75" s="1130"/>
      <c r="B75" s="218">
        <v>5</v>
      </c>
      <c r="C75" s="219">
        <f>G20</f>
        <v>0</v>
      </c>
      <c r="D75" s="219">
        <f t="shared" ref="D75:G75" si="31">H20</f>
        <v>0</v>
      </c>
      <c r="E75" s="219">
        <f t="shared" si="31"/>
        <v>0</v>
      </c>
      <c r="F75" s="219">
        <f t="shared" si="31"/>
        <v>0</v>
      </c>
      <c r="G75" s="219">
        <f t="shared" si="31"/>
        <v>0</v>
      </c>
      <c r="H75" s="222"/>
      <c r="J75" s="1133"/>
      <c r="K75" s="218">
        <v>5</v>
      </c>
      <c r="L75" s="219">
        <f>G25</f>
        <v>0</v>
      </c>
      <c r="M75" s="219">
        <f t="shared" ref="M75:P75" si="32">H25</f>
        <v>0</v>
      </c>
      <c r="N75" s="219">
        <f t="shared" si="32"/>
        <v>0</v>
      </c>
      <c r="O75" s="219">
        <f t="shared" si="32"/>
        <v>0</v>
      </c>
      <c r="P75" s="219">
        <f t="shared" si="32"/>
        <v>0</v>
      </c>
      <c r="Q75" s="222"/>
    </row>
    <row r="76" spans="1:17" ht="13" x14ac:dyDescent="0.25">
      <c r="A76" s="1130"/>
      <c r="B76" s="218">
        <v>6</v>
      </c>
      <c r="C76" s="219">
        <f>M20</f>
        <v>0</v>
      </c>
      <c r="D76" s="219">
        <f>N20</f>
        <v>0</v>
      </c>
      <c r="E76" s="219">
        <f>O20</f>
        <v>0</v>
      </c>
      <c r="F76" s="219">
        <f>P20</f>
        <v>0</v>
      </c>
      <c r="G76" s="219">
        <f>Q20</f>
        <v>0</v>
      </c>
      <c r="H76" s="1131"/>
      <c r="J76" s="1133"/>
      <c r="K76" s="218">
        <v>6</v>
      </c>
      <c r="L76" s="219">
        <f>M25</f>
        <v>0</v>
      </c>
      <c r="M76" s="219">
        <f t="shared" ref="M76:P76" si="33">N25</f>
        <v>0</v>
      </c>
      <c r="N76" s="219">
        <f t="shared" si="33"/>
        <v>0</v>
      </c>
      <c r="O76" s="219">
        <f t="shared" si="33"/>
        <v>0</v>
      </c>
      <c r="P76" s="219">
        <f t="shared" si="33"/>
        <v>0</v>
      </c>
      <c r="Q76" s="492"/>
    </row>
    <row r="77" spans="1:17" ht="13" x14ac:dyDescent="0.25">
      <c r="A77" s="1130"/>
      <c r="B77" s="218">
        <v>7</v>
      </c>
      <c r="C77" s="219">
        <f>A34</f>
        <v>0</v>
      </c>
      <c r="D77" s="219">
        <f t="shared" ref="D77:G77" si="34">B34</f>
        <v>0</v>
      </c>
      <c r="E77" s="219">
        <f t="shared" si="34"/>
        <v>0</v>
      </c>
      <c r="F77" s="219">
        <f t="shared" si="34"/>
        <v>0</v>
      </c>
      <c r="G77" s="219">
        <f t="shared" si="34"/>
        <v>0</v>
      </c>
      <c r="H77" s="1131"/>
      <c r="J77" s="1133"/>
      <c r="K77" s="218">
        <v>7</v>
      </c>
      <c r="L77" s="219">
        <f>A39</f>
        <v>0</v>
      </c>
      <c r="M77" s="219">
        <f t="shared" ref="M77:P77" si="35">B39</f>
        <v>0</v>
      </c>
      <c r="N77" s="219">
        <f t="shared" si="35"/>
        <v>0</v>
      </c>
      <c r="O77" s="219">
        <f t="shared" si="35"/>
        <v>0</v>
      </c>
      <c r="P77" s="219">
        <f t="shared" si="35"/>
        <v>0</v>
      </c>
      <c r="Q77" s="492"/>
    </row>
    <row r="78" spans="1:17" ht="13" x14ac:dyDescent="0.25">
      <c r="A78" s="1130"/>
      <c r="B78" s="218">
        <v>8</v>
      </c>
      <c r="C78" s="219">
        <f>G34</f>
        <v>0</v>
      </c>
      <c r="D78" s="219">
        <f t="shared" ref="D78:G78" si="36">H34</f>
        <v>0</v>
      </c>
      <c r="E78" s="219">
        <f t="shared" si="36"/>
        <v>0</v>
      </c>
      <c r="F78" s="219">
        <f t="shared" si="36"/>
        <v>0</v>
      </c>
      <c r="G78" s="219">
        <f t="shared" si="36"/>
        <v>0</v>
      </c>
      <c r="H78" s="1131"/>
      <c r="J78" s="1133"/>
      <c r="K78" s="218">
        <v>8</v>
      </c>
      <c r="L78" s="219">
        <f>G39</f>
        <v>0</v>
      </c>
      <c r="M78" s="219">
        <f t="shared" ref="M78:P78" si="37">H39</f>
        <v>0</v>
      </c>
      <c r="N78" s="219">
        <f t="shared" si="37"/>
        <v>0</v>
      </c>
      <c r="O78" s="219">
        <f t="shared" si="37"/>
        <v>0</v>
      </c>
      <c r="P78" s="219">
        <f t="shared" si="37"/>
        <v>0</v>
      </c>
      <c r="Q78" s="492"/>
    </row>
    <row r="79" spans="1:17" ht="13" x14ac:dyDescent="0.25">
      <c r="A79" s="1130"/>
      <c r="B79" s="218">
        <v>9</v>
      </c>
      <c r="C79" s="219">
        <f>A47</f>
        <v>0</v>
      </c>
      <c r="D79" s="219">
        <f t="shared" ref="D79:G79" si="38">B47</f>
        <v>0</v>
      </c>
      <c r="E79" s="219">
        <f t="shared" si="38"/>
        <v>0</v>
      </c>
      <c r="F79" s="219">
        <f t="shared" si="38"/>
        <v>0</v>
      </c>
      <c r="G79" s="219">
        <f t="shared" si="38"/>
        <v>0</v>
      </c>
      <c r="H79" s="1131"/>
      <c r="J79" s="1133"/>
      <c r="K79" s="218">
        <v>9</v>
      </c>
      <c r="L79" s="219">
        <f>A52</f>
        <v>0</v>
      </c>
      <c r="M79" s="219">
        <f t="shared" ref="M79:P79" si="39">B52</f>
        <v>0</v>
      </c>
      <c r="N79" s="219">
        <f t="shared" si="39"/>
        <v>0</v>
      </c>
      <c r="O79" s="219">
        <f t="shared" si="39"/>
        <v>0</v>
      </c>
      <c r="P79" s="219">
        <f t="shared" si="39"/>
        <v>0</v>
      </c>
      <c r="Q79" s="492"/>
    </row>
    <row r="80" spans="1:17" ht="13.5" thickBot="1" x14ac:dyDescent="0.3">
      <c r="A80" s="1130"/>
      <c r="B80" s="218">
        <v>10</v>
      </c>
      <c r="C80" s="219">
        <f>G47</f>
        <v>0</v>
      </c>
      <c r="D80" s="219">
        <f t="shared" ref="D80:G80" si="40">AH47</f>
        <v>0</v>
      </c>
      <c r="E80" s="219">
        <f t="shared" si="40"/>
        <v>0</v>
      </c>
      <c r="F80" s="219">
        <f t="shared" si="40"/>
        <v>0</v>
      </c>
      <c r="G80" s="219">
        <f t="shared" si="40"/>
        <v>0</v>
      </c>
      <c r="H80" s="492"/>
      <c r="J80" s="1133"/>
      <c r="K80" s="218">
        <v>10</v>
      </c>
      <c r="L80" s="219">
        <f>G52</f>
        <v>0</v>
      </c>
      <c r="M80" s="219">
        <f t="shared" ref="M80:P80" si="41">H52</f>
        <v>0</v>
      </c>
      <c r="N80" s="219">
        <f t="shared" si="41"/>
        <v>0</v>
      </c>
      <c r="O80" s="219">
        <f t="shared" si="41"/>
        <v>0</v>
      </c>
      <c r="P80" s="219">
        <f t="shared" si="41"/>
        <v>0</v>
      </c>
      <c r="Q80" s="492"/>
    </row>
    <row r="81" spans="1:17" ht="13" x14ac:dyDescent="0.25">
      <c r="A81" s="1134" t="s">
        <v>7</v>
      </c>
      <c r="B81" s="220">
        <v>1</v>
      </c>
      <c r="C81" s="221">
        <f>A8</f>
        <v>19.943989675999998</v>
      </c>
      <c r="D81" s="221">
        <f t="shared" ref="D81:G81" si="42">B8</f>
        <v>-4.1094715999999996E-2</v>
      </c>
      <c r="E81" s="221">
        <f t="shared" si="42"/>
        <v>-1.9681000000000001E-2</v>
      </c>
      <c r="F81" s="221">
        <f t="shared" si="42"/>
        <v>1.0706857999999998E-2</v>
      </c>
      <c r="G81" s="221">
        <f t="shared" si="42"/>
        <v>0</v>
      </c>
      <c r="H81" s="1135"/>
      <c r="J81" s="1136" t="s">
        <v>239</v>
      </c>
      <c r="K81" s="220">
        <v>1</v>
      </c>
      <c r="L81" s="221">
        <f>A13</f>
        <v>0</v>
      </c>
      <c r="M81" s="221">
        <f t="shared" ref="M81:P81" si="43">B13</f>
        <v>0</v>
      </c>
      <c r="N81" s="221">
        <f t="shared" si="43"/>
        <v>0</v>
      </c>
      <c r="O81" s="221">
        <f t="shared" si="43"/>
        <v>0</v>
      </c>
      <c r="P81" s="221">
        <f t="shared" si="43"/>
        <v>0</v>
      </c>
      <c r="Q81" s="1135"/>
    </row>
    <row r="82" spans="1:17" ht="13" x14ac:dyDescent="0.25">
      <c r="A82" s="1130"/>
      <c r="B82" s="218">
        <v>2</v>
      </c>
      <c r="C82" s="219">
        <f>G8</f>
        <v>20.394399999999997</v>
      </c>
      <c r="D82" s="219">
        <f t="shared" ref="D82:G82" si="44">H8</f>
        <v>0</v>
      </c>
      <c r="E82" s="219">
        <f t="shared" si="44"/>
        <v>-0.15295700000000001</v>
      </c>
      <c r="F82" s="219">
        <f t="shared" si="44"/>
        <v>3.3989999999999997E-3</v>
      </c>
      <c r="G82" s="219">
        <f t="shared" si="44"/>
        <v>1.0196999999999999E-2</v>
      </c>
      <c r="H82" s="1131"/>
      <c r="J82" s="1137"/>
      <c r="K82" s="218">
        <v>2</v>
      </c>
      <c r="L82" s="219">
        <f>G13</f>
        <v>0</v>
      </c>
      <c r="M82" s="219">
        <f t="shared" ref="M82:P82" si="45">H13</f>
        <v>0</v>
      </c>
      <c r="N82" s="219">
        <f t="shared" si="45"/>
        <v>0</v>
      </c>
      <c r="O82" s="219">
        <f t="shared" si="45"/>
        <v>3.3989999999999997E-3</v>
      </c>
      <c r="P82" s="219">
        <f t="shared" si="45"/>
        <v>1.0196999999999999E-2</v>
      </c>
      <c r="Q82" s="1131"/>
    </row>
    <row r="83" spans="1:17" ht="13" x14ac:dyDescent="0.25">
      <c r="A83" s="1130"/>
      <c r="B83" s="218">
        <v>3</v>
      </c>
      <c r="C83" s="219">
        <f>M8</f>
        <v>19.943989675999998</v>
      </c>
      <c r="D83" s="219">
        <f t="shared" ref="D83:G83" si="46">N8</f>
        <v>-6.7607435999999993E-2</v>
      </c>
      <c r="E83" s="219">
        <f t="shared" si="46"/>
        <v>-4.7213036E-2</v>
      </c>
      <c r="F83" s="219">
        <f t="shared" si="46"/>
        <v>1.0197199999999997E-2</v>
      </c>
      <c r="G83" s="219">
        <f t="shared" si="46"/>
        <v>0</v>
      </c>
      <c r="H83" s="1131"/>
      <c r="J83" s="1137"/>
      <c r="K83" s="218">
        <v>3</v>
      </c>
      <c r="L83" s="219">
        <f>M13</f>
        <v>0</v>
      </c>
      <c r="M83" s="219">
        <f t="shared" ref="M83:P83" si="47">N13</f>
        <v>0</v>
      </c>
      <c r="N83" s="219">
        <f t="shared" si="47"/>
        <v>0</v>
      </c>
      <c r="O83" s="219">
        <f t="shared" si="47"/>
        <v>0</v>
      </c>
      <c r="P83" s="219">
        <f t="shared" si="47"/>
        <v>0</v>
      </c>
      <c r="Q83" s="1131"/>
    </row>
    <row r="84" spans="1:17" ht="13" x14ac:dyDescent="0.25">
      <c r="A84" s="1130"/>
      <c r="B84" s="218">
        <v>4</v>
      </c>
      <c r="C84" s="219">
        <f>A21</f>
        <v>0</v>
      </c>
      <c r="D84" s="219">
        <f t="shared" ref="D84:G84" si="48">B21</f>
        <v>0</v>
      </c>
      <c r="E84" s="219">
        <f t="shared" si="48"/>
        <v>0</v>
      </c>
      <c r="F84" s="219">
        <f t="shared" si="48"/>
        <v>0</v>
      </c>
      <c r="G84" s="219">
        <f t="shared" si="48"/>
        <v>0</v>
      </c>
      <c r="H84" s="1131"/>
      <c r="J84" s="1137"/>
      <c r="K84" s="218">
        <v>4</v>
      </c>
      <c r="L84" s="219">
        <f>A26</f>
        <v>0</v>
      </c>
      <c r="M84" s="219">
        <f t="shared" ref="M84:P84" si="49">B26</f>
        <v>0</v>
      </c>
      <c r="N84" s="219">
        <f t="shared" si="49"/>
        <v>0</v>
      </c>
      <c r="O84" s="219">
        <f t="shared" si="49"/>
        <v>0</v>
      </c>
      <c r="P84" s="219">
        <f t="shared" si="49"/>
        <v>0</v>
      </c>
      <c r="Q84" s="1131"/>
    </row>
    <row r="85" spans="1:17" ht="13" x14ac:dyDescent="0.25">
      <c r="A85" s="1130"/>
      <c r="B85" s="218">
        <v>5</v>
      </c>
      <c r="C85" s="219">
        <f>G21</f>
        <v>0</v>
      </c>
      <c r="D85" s="219">
        <f t="shared" ref="D85:G85" si="50">H21</f>
        <v>0</v>
      </c>
      <c r="E85" s="219">
        <f t="shared" si="50"/>
        <v>0</v>
      </c>
      <c r="F85" s="219">
        <f t="shared" si="50"/>
        <v>0</v>
      </c>
      <c r="G85" s="219">
        <f t="shared" si="50"/>
        <v>0</v>
      </c>
      <c r="H85" s="222"/>
      <c r="J85" s="1137"/>
      <c r="K85" s="218">
        <v>5</v>
      </c>
      <c r="L85" s="219">
        <f>G26</f>
        <v>0</v>
      </c>
      <c r="M85" s="219">
        <f t="shared" ref="M85:P85" si="51">H26</f>
        <v>0</v>
      </c>
      <c r="N85" s="219">
        <f t="shared" si="51"/>
        <v>0</v>
      </c>
      <c r="O85" s="219">
        <f t="shared" si="51"/>
        <v>0</v>
      </c>
      <c r="P85" s="219">
        <f t="shared" si="51"/>
        <v>0</v>
      </c>
      <c r="Q85" s="222"/>
    </row>
    <row r="86" spans="1:17" ht="13" x14ac:dyDescent="0.25">
      <c r="A86" s="1130"/>
      <c r="B86" s="218">
        <v>6</v>
      </c>
      <c r="C86" s="219">
        <f>M21</f>
        <v>0</v>
      </c>
      <c r="D86" s="219">
        <f t="shared" ref="D86:G86" si="52">N21</f>
        <v>0</v>
      </c>
      <c r="E86" s="219">
        <f t="shared" si="52"/>
        <v>0</v>
      </c>
      <c r="F86" s="219">
        <f t="shared" si="52"/>
        <v>0</v>
      </c>
      <c r="G86" s="219">
        <f t="shared" si="52"/>
        <v>0</v>
      </c>
      <c r="H86" s="1131"/>
      <c r="J86" s="1137"/>
      <c r="K86" s="218">
        <v>6</v>
      </c>
      <c r="L86" s="219">
        <f>M26</f>
        <v>0</v>
      </c>
      <c r="M86" s="219">
        <f t="shared" ref="M86:P86" si="53">N26</f>
        <v>0</v>
      </c>
      <c r="N86" s="219">
        <f t="shared" si="53"/>
        <v>0</v>
      </c>
      <c r="O86" s="219">
        <f t="shared" si="53"/>
        <v>0</v>
      </c>
      <c r="P86" s="219">
        <f t="shared" si="53"/>
        <v>0</v>
      </c>
      <c r="Q86" s="1131"/>
    </row>
    <row r="87" spans="1:17" ht="13" x14ac:dyDescent="0.25">
      <c r="A87" s="1130"/>
      <c r="B87" s="218">
        <v>7</v>
      </c>
      <c r="C87" s="219">
        <f>A35</f>
        <v>0</v>
      </c>
      <c r="D87" s="219">
        <f t="shared" ref="D87:G87" si="54">B35</f>
        <v>0</v>
      </c>
      <c r="E87" s="219">
        <f t="shared" si="54"/>
        <v>0</v>
      </c>
      <c r="F87" s="219">
        <f t="shared" si="54"/>
        <v>0</v>
      </c>
      <c r="G87" s="219">
        <f t="shared" si="54"/>
        <v>0</v>
      </c>
      <c r="H87" s="1131"/>
      <c r="J87" s="1137"/>
      <c r="K87" s="218">
        <v>7</v>
      </c>
      <c r="L87" s="219">
        <f>A40</f>
        <v>0</v>
      </c>
      <c r="M87" s="219">
        <f t="shared" ref="M87:P87" si="55">B40</f>
        <v>0</v>
      </c>
      <c r="N87" s="219">
        <f t="shared" si="55"/>
        <v>0</v>
      </c>
      <c r="O87" s="219">
        <f t="shared" si="55"/>
        <v>0</v>
      </c>
      <c r="P87" s="219">
        <f t="shared" si="55"/>
        <v>0</v>
      </c>
      <c r="Q87" s="1131"/>
    </row>
    <row r="88" spans="1:17" ht="13" x14ac:dyDescent="0.25">
      <c r="A88" s="1130"/>
      <c r="B88" s="218">
        <v>8</v>
      </c>
      <c r="C88" s="219">
        <f>G35</f>
        <v>0</v>
      </c>
      <c r="D88" s="219">
        <f t="shared" ref="D88:G88" si="56">H35</f>
        <v>0</v>
      </c>
      <c r="E88" s="219">
        <f t="shared" si="56"/>
        <v>0</v>
      </c>
      <c r="F88" s="219">
        <f t="shared" si="56"/>
        <v>0</v>
      </c>
      <c r="G88" s="219">
        <f t="shared" si="56"/>
        <v>0</v>
      </c>
      <c r="H88" s="1131"/>
      <c r="J88" s="1137"/>
      <c r="K88" s="218">
        <v>8</v>
      </c>
      <c r="L88" s="219">
        <f>G40</f>
        <v>0</v>
      </c>
      <c r="M88" s="219">
        <f t="shared" ref="M88:P88" si="57">H40</f>
        <v>0</v>
      </c>
      <c r="N88" s="219">
        <f t="shared" si="57"/>
        <v>0</v>
      </c>
      <c r="O88" s="219">
        <f t="shared" si="57"/>
        <v>0</v>
      </c>
      <c r="P88" s="219">
        <f t="shared" si="57"/>
        <v>0</v>
      </c>
      <c r="Q88" s="1131"/>
    </row>
    <row r="89" spans="1:17" ht="13" x14ac:dyDescent="0.25">
      <c r="A89" s="1130"/>
      <c r="B89" s="218">
        <v>9</v>
      </c>
      <c r="C89" s="219">
        <f>A48</f>
        <v>0</v>
      </c>
      <c r="D89" s="219">
        <f t="shared" ref="D89:G89" si="58">B48</f>
        <v>0</v>
      </c>
      <c r="E89" s="219">
        <f t="shared" si="58"/>
        <v>0</v>
      </c>
      <c r="F89" s="219">
        <f t="shared" si="58"/>
        <v>0</v>
      </c>
      <c r="G89" s="219">
        <f t="shared" si="58"/>
        <v>0</v>
      </c>
      <c r="H89" s="1131"/>
      <c r="J89" s="1137"/>
      <c r="K89" s="218">
        <v>9</v>
      </c>
      <c r="L89" s="219">
        <f>A53</f>
        <v>0</v>
      </c>
      <c r="M89" s="219">
        <f t="shared" ref="M89:P89" si="59">B53</f>
        <v>0</v>
      </c>
      <c r="N89" s="219">
        <f t="shared" si="59"/>
        <v>0</v>
      </c>
      <c r="O89" s="219">
        <f t="shared" si="59"/>
        <v>0</v>
      </c>
      <c r="P89" s="219">
        <f t="shared" si="59"/>
        <v>0</v>
      </c>
      <c r="Q89" s="1131"/>
    </row>
    <row r="90" spans="1:17" ht="13.5" thickBot="1" x14ac:dyDescent="0.3">
      <c r="A90" s="1130"/>
      <c r="B90" s="218">
        <v>10</v>
      </c>
      <c r="C90" s="219">
        <f>G48</f>
        <v>0</v>
      </c>
      <c r="D90" s="219">
        <f t="shared" ref="D90:G90" si="60">H48</f>
        <v>0</v>
      </c>
      <c r="E90" s="219">
        <f t="shared" si="60"/>
        <v>0</v>
      </c>
      <c r="F90" s="219">
        <f t="shared" si="60"/>
        <v>0</v>
      </c>
      <c r="G90" s="219">
        <f t="shared" si="60"/>
        <v>0</v>
      </c>
      <c r="H90" s="492"/>
      <c r="J90" s="1137"/>
      <c r="K90" s="218">
        <v>10</v>
      </c>
      <c r="L90" s="219">
        <f>G53</f>
        <v>0</v>
      </c>
      <c r="M90" s="219">
        <f t="shared" ref="M90:P90" si="61">H53</f>
        <v>0</v>
      </c>
      <c r="N90" s="219">
        <f t="shared" si="61"/>
        <v>0</v>
      </c>
      <c r="O90" s="219">
        <f t="shared" si="61"/>
        <v>0</v>
      </c>
      <c r="P90" s="219">
        <f t="shared" si="61"/>
        <v>0</v>
      </c>
      <c r="Q90" s="492"/>
    </row>
    <row r="91" spans="1:17" ht="13" x14ac:dyDescent="0.25">
      <c r="A91" s="1136" t="s">
        <v>8</v>
      </c>
      <c r="B91" s="220">
        <v>1</v>
      </c>
      <c r="C91" s="221">
        <f>A9</f>
        <v>29.915933528</v>
      </c>
      <c r="D91" s="221">
        <f t="shared" ref="D91:G91" si="62">B9</f>
        <v>-5.2413608E-2</v>
      </c>
      <c r="E91" s="221">
        <f t="shared" si="62"/>
        <v>-2.998E-2</v>
      </c>
      <c r="F91" s="221">
        <f t="shared" si="62"/>
        <v>1.1216804E-2</v>
      </c>
      <c r="G91" s="221">
        <f t="shared" si="62"/>
        <v>0</v>
      </c>
      <c r="H91" s="1135"/>
      <c r="J91" s="1136" t="s">
        <v>240</v>
      </c>
      <c r="K91" s="220">
        <v>1</v>
      </c>
      <c r="L91" s="221">
        <f>A14</f>
        <v>0</v>
      </c>
      <c r="M91" s="221">
        <f t="shared" ref="M91:P91" si="63">B14</f>
        <v>0</v>
      </c>
      <c r="N91" s="221">
        <f t="shared" si="63"/>
        <v>0</v>
      </c>
      <c r="O91" s="221">
        <f t="shared" si="63"/>
        <v>0</v>
      </c>
      <c r="P91" s="221">
        <f t="shared" si="63"/>
        <v>0</v>
      </c>
      <c r="Q91" s="1135"/>
    </row>
    <row r="92" spans="1:17" ht="13" x14ac:dyDescent="0.25">
      <c r="A92" s="1137"/>
      <c r="B92" s="218">
        <v>2</v>
      </c>
      <c r="C92" s="219">
        <f>G9</f>
        <v>30.5916</v>
      </c>
      <c r="D92" s="219">
        <f t="shared" ref="D92:G92" si="64">H9</f>
        <v>0</v>
      </c>
      <c r="E92" s="219">
        <f t="shared" si="64"/>
        <v>-0.16315499999999999</v>
      </c>
      <c r="F92" s="219">
        <f t="shared" si="64"/>
        <v>3.3989999999999997E-3</v>
      </c>
      <c r="G92" s="219">
        <f t="shared" si="64"/>
        <v>1.0196999999999999E-2</v>
      </c>
      <c r="H92" s="1131"/>
      <c r="J92" s="1137"/>
      <c r="K92" s="218">
        <v>2</v>
      </c>
      <c r="L92" s="219">
        <f>G14</f>
        <v>0</v>
      </c>
      <c r="M92" s="219">
        <f t="shared" ref="M92:P92" si="65">H14</f>
        <v>0</v>
      </c>
      <c r="N92" s="219">
        <f t="shared" si="65"/>
        <v>0</v>
      </c>
      <c r="O92" s="219">
        <f t="shared" si="65"/>
        <v>0</v>
      </c>
      <c r="P92" s="219">
        <f t="shared" si="65"/>
        <v>0</v>
      </c>
      <c r="Q92" s="1131"/>
    </row>
    <row r="93" spans="1:17" ht="13" x14ac:dyDescent="0.25">
      <c r="A93" s="1137"/>
      <c r="B93" s="218">
        <v>3</v>
      </c>
      <c r="C93" s="219">
        <f>M9</f>
        <v>29.915933528</v>
      </c>
      <c r="D93" s="219">
        <f t="shared" ref="D93:G93" si="66">N9</f>
        <v>-7.2094203999999995E-2</v>
      </c>
      <c r="E93" s="219">
        <f t="shared" si="66"/>
        <v>-4.4255847999999993E-2</v>
      </c>
      <c r="F93" s="219">
        <f t="shared" si="66"/>
        <v>1.3919178000000001E-2</v>
      </c>
      <c r="G93" s="219">
        <f t="shared" si="66"/>
        <v>0</v>
      </c>
      <c r="H93" s="1131"/>
      <c r="J93" s="1137"/>
      <c r="K93" s="218">
        <v>3</v>
      </c>
      <c r="L93" s="219">
        <f>M14</f>
        <v>0</v>
      </c>
      <c r="M93" s="219">
        <f t="shared" ref="M93:P93" si="67">N14</f>
        <v>0</v>
      </c>
      <c r="N93" s="219">
        <f t="shared" si="67"/>
        <v>0</v>
      </c>
      <c r="O93" s="219">
        <f t="shared" si="67"/>
        <v>0</v>
      </c>
      <c r="P93" s="219">
        <f t="shared" si="67"/>
        <v>0</v>
      </c>
      <c r="Q93" s="1131"/>
    </row>
    <row r="94" spans="1:17" ht="13" x14ac:dyDescent="0.25">
      <c r="A94" s="1137"/>
      <c r="B94" s="218">
        <v>4</v>
      </c>
      <c r="C94" s="219">
        <f>A22</f>
        <v>0</v>
      </c>
      <c r="D94" s="219">
        <f t="shared" ref="D94:G94" si="68">B22</f>
        <v>0</v>
      </c>
      <c r="E94" s="219">
        <f t="shared" si="68"/>
        <v>0</v>
      </c>
      <c r="F94" s="219">
        <f t="shared" si="68"/>
        <v>0</v>
      </c>
      <c r="G94" s="219">
        <f t="shared" si="68"/>
        <v>0</v>
      </c>
      <c r="H94" s="1131"/>
      <c r="J94" s="1137"/>
      <c r="K94" s="218">
        <v>4</v>
      </c>
      <c r="L94" s="219">
        <f>A27</f>
        <v>0</v>
      </c>
      <c r="M94" s="219">
        <f t="shared" ref="M94:P94" si="69">B27</f>
        <v>0</v>
      </c>
      <c r="N94" s="219">
        <f t="shared" si="69"/>
        <v>0</v>
      </c>
      <c r="O94" s="219">
        <f t="shared" si="69"/>
        <v>0</v>
      </c>
      <c r="P94" s="219">
        <f t="shared" si="69"/>
        <v>0</v>
      </c>
      <c r="Q94" s="1131"/>
    </row>
    <row r="95" spans="1:17" ht="13" x14ac:dyDescent="0.25">
      <c r="A95" s="1137"/>
      <c r="B95" s="218">
        <v>5</v>
      </c>
      <c r="C95" s="219">
        <f>G22</f>
        <v>0</v>
      </c>
      <c r="D95" s="219">
        <f t="shared" ref="D95:G95" si="70">H22</f>
        <v>0</v>
      </c>
      <c r="E95" s="219">
        <f t="shared" si="70"/>
        <v>0</v>
      </c>
      <c r="F95" s="219">
        <f t="shared" si="70"/>
        <v>0</v>
      </c>
      <c r="G95" s="219">
        <f t="shared" si="70"/>
        <v>0</v>
      </c>
      <c r="H95" s="222"/>
      <c r="J95" s="1137"/>
      <c r="K95" s="218">
        <v>5</v>
      </c>
      <c r="L95" s="219">
        <f>G27</f>
        <v>0</v>
      </c>
      <c r="M95" s="219">
        <f t="shared" ref="M95:P95" si="71">H27</f>
        <v>0</v>
      </c>
      <c r="N95" s="219">
        <f t="shared" si="71"/>
        <v>0</v>
      </c>
      <c r="O95" s="219">
        <f t="shared" si="71"/>
        <v>0</v>
      </c>
      <c r="P95" s="219">
        <f t="shared" si="71"/>
        <v>0</v>
      </c>
      <c r="Q95" s="222"/>
    </row>
    <row r="96" spans="1:17" ht="13" x14ac:dyDescent="0.25">
      <c r="A96" s="1137"/>
      <c r="B96" s="218">
        <v>6</v>
      </c>
      <c r="C96" s="219">
        <f>M22</f>
        <v>0</v>
      </c>
      <c r="D96" s="219">
        <f t="shared" ref="D96:G96" si="72">N22</f>
        <v>0</v>
      </c>
      <c r="E96" s="219">
        <f t="shared" si="72"/>
        <v>0</v>
      </c>
      <c r="F96" s="219">
        <f t="shared" si="72"/>
        <v>0</v>
      </c>
      <c r="G96" s="219">
        <f t="shared" si="72"/>
        <v>0</v>
      </c>
      <c r="H96" s="1131"/>
      <c r="J96" s="1137"/>
      <c r="K96" s="218">
        <v>6</v>
      </c>
      <c r="L96" s="219">
        <f>M27</f>
        <v>0</v>
      </c>
      <c r="M96" s="219">
        <f t="shared" ref="M96:P96" si="73">N27</f>
        <v>0</v>
      </c>
      <c r="N96" s="219">
        <f t="shared" si="73"/>
        <v>0</v>
      </c>
      <c r="O96" s="219">
        <f t="shared" si="73"/>
        <v>0</v>
      </c>
      <c r="P96" s="219">
        <f t="shared" si="73"/>
        <v>0</v>
      </c>
      <c r="Q96" s="1131"/>
    </row>
    <row r="97" spans="1:17" ht="13" x14ac:dyDescent="0.25">
      <c r="A97" s="1137"/>
      <c r="B97" s="218">
        <v>7</v>
      </c>
      <c r="C97" s="219">
        <f>A36</f>
        <v>0</v>
      </c>
      <c r="D97" s="219">
        <f t="shared" ref="D97:G97" si="74">B36</f>
        <v>0</v>
      </c>
      <c r="E97" s="219">
        <f t="shared" si="74"/>
        <v>0</v>
      </c>
      <c r="F97" s="219">
        <f t="shared" si="74"/>
        <v>0</v>
      </c>
      <c r="G97" s="219">
        <f t="shared" si="74"/>
        <v>0</v>
      </c>
      <c r="H97" s="1131"/>
      <c r="J97" s="1137"/>
      <c r="K97" s="218">
        <v>7</v>
      </c>
      <c r="L97" s="219">
        <f>A41</f>
        <v>0</v>
      </c>
      <c r="M97" s="219">
        <f t="shared" ref="M97:P97" si="75">B41</f>
        <v>0</v>
      </c>
      <c r="N97" s="219">
        <f t="shared" si="75"/>
        <v>0</v>
      </c>
      <c r="O97" s="219">
        <f t="shared" si="75"/>
        <v>0</v>
      </c>
      <c r="P97" s="219">
        <f t="shared" si="75"/>
        <v>0</v>
      </c>
      <c r="Q97" s="1131"/>
    </row>
    <row r="98" spans="1:17" ht="13" x14ac:dyDescent="0.25">
      <c r="A98" s="1137"/>
      <c r="B98" s="218">
        <v>8</v>
      </c>
      <c r="C98" s="219">
        <f>G36</f>
        <v>0</v>
      </c>
      <c r="D98" s="219">
        <f t="shared" ref="D98:G98" si="76">H36</f>
        <v>0</v>
      </c>
      <c r="E98" s="219">
        <f t="shared" si="76"/>
        <v>0</v>
      </c>
      <c r="F98" s="219">
        <f t="shared" si="76"/>
        <v>0</v>
      </c>
      <c r="G98" s="219">
        <f t="shared" si="76"/>
        <v>0</v>
      </c>
      <c r="H98" s="1131"/>
      <c r="J98" s="1137"/>
      <c r="K98" s="218">
        <v>8</v>
      </c>
      <c r="L98" s="219">
        <f>G41</f>
        <v>0</v>
      </c>
      <c r="M98" s="219">
        <f t="shared" ref="M98:P98" si="77">H41</f>
        <v>0</v>
      </c>
      <c r="N98" s="219">
        <f t="shared" si="77"/>
        <v>0</v>
      </c>
      <c r="O98" s="219">
        <f t="shared" si="77"/>
        <v>0</v>
      </c>
      <c r="P98" s="219">
        <f t="shared" si="77"/>
        <v>0</v>
      </c>
      <c r="Q98" s="1131"/>
    </row>
    <row r="99" spans="1:17" ht="13" x14ac:dyDescent="0.25">
      <c r="A99" s="1137"/>
      <c r="B99" s="218">
        <v>9</v>
      </c>
      <c r="C99" s="219">
        <f>A49</f>
        <v>0</v>
      </c>
      <c r="D99" s="219">
        <f t="shared" ref="D99:G99" si="78">B49</f>
        <v>0</v>
      </c>
      <c r="E99" s="219">
        <f t="shared" si="78"/>
        <v>0</v>
      </c>
      <c r="F99" s="219">
        <f t="shared" si="78"/>
        <v>0</v>
      </c>
      <c r="G99" s="219">
        <f t="shared" si="78"/>
        <v>0</v>
      </c>
      <c r="H99" s="1131"/>
      <c r="J99" s="1137"/>
      <c r="K99" s="218">
        <v>9</v>
      </c>
      <c r="L99" s="219">
        <f>A54</f>
        <v>0</v>
      </c>
      <c r="M99" s="219">
        <f t="shared" ref="M99:P99" si="79">B54</f>
        <v>0</v>
      </c>
      <c r="N99" s="219">
        <f t="shared" si="79"/>
        <v>0</v>
      </c>
      <c r="O99" s="219">
        <f t="shared" si="79"/>
        <v>0</v>
      </c>
      <c r="P99" s="219">
        <f t="shared" si="79"/>
        <v>0</v>
      </c>
      <c r="Q99" s="1131"/>
    </row>
    <row r="100" spans="1:17" ht="13.5" thickBot="1" x14ac:dyDescent="0.3">
      <c r="A100" s="1137"/>
      <c r="B100" s="218">
        <v>10</v>
      </c>
      <c r="C100" s="219">
        <f>G49</f>
        <v>0</v>
      </c>
      <c r="D100" s="219">
        <f t="shared" ref="D100:G100" si="80">H49</f>
        <v>0</v>
      </c>
      <c r="E100" s="219">
        <f t="shared" si="80"/>
        <v>0</v>
      </c>
      <c r="F100" s="219">
        <f t="shared" si="80"/>
        <v>0</v>
      </c>
      <c r="G100" s="219">
        <f t="shared" si="80"/>
        <v>0</v>
      </c>
      <c r="H100" s="492"/>
      <c r="J100" s="1137"/>
      <c r="K100" s="218">
        <v>10</v>
      </c>
      <c r="L100" s="219">
        <f>G54</f>
        <v>0</v>
      </c>
      <c r="M100" s="219">
        <f t="shared" ref="M100:P100" si="81">H54</f>
        <v>0</v>
      </c>
      <c r="N100" s="219">
        <f t="shared" si="81"/>
        <v>0</v>
      </c>
      <c r="O100" s="219">
        <f t="shared" si="81"/>
        <v>0</v>
      </c>
      <c r="P100" s="219">
        <f t="shared" si="81"/>
        <v>0</v>
      </c>
      <c r="Q100" s="492"/>
    </row>
    <row r="101" spans="1:17" ht="13" x14ac:dyDescent="0.25">
      <c r="A101" s="1137" t="s">
        <v>9</v>
      </c>
      <c r="B101" s="218">
        <v>1</v>
      </c>
      <c r="C101" s="221">
        <f>A10</f>
        <v>39.887877379999999</v>
      </c>
      <c r="D101" s="221">
        <f t="shared" ref="D101:G101" si="82">B10</f>
        <v>-4.7416979999999997E-2</v>
      </c>
      <c r="E101" s="221">
        <f t="shared" si="82"/>
        <v>-2.1923999999999999E-2</v>
      </c>
      <c r="F101" s="221">
        <f t="shared" si="82"/>
        <v>1.2746489999999999E-2</v>
      </c>
      <c r="G101" s="221">
        <f t="shared" si="82"/>
        <v>0</v>
      </c>
      <c r="H101" s="1131"/>
      <c r="J101" s="223"/>
      <c r="K101" s="224"/>
      <c r="L101" s="204"/>
      <c r="M101" s="204"/>
      <c r="N101" s="204"/>
      <c r="O101" s="204"/>
      <c r="P101" s="204"/>
      <c r="Q101" s="225"/>
    </row>
    <row r="102" spans="1:17" ht="13" x14ac:dyDescent="0.25">
      <c r="A102" s="1137"/>
      <c r="B102" s="218">
        <v>2</v>
      </c>
      <c r="C102" s="219">
        <f>G10</f>
        <v>40.788799999999995</v>
      </c>
      <c r="D102" s="219">
        <f t="shared" ref="D102:G102" si="83">H10</f>
        <v>0</v>
      </c>
      <c r="E102" s="219">
        <f t="shared" si="83"/>
        <v>-0.14276</v>
      </c>
      <c r="F102" s="219">
        <f t="shared" si="83"/>
        <v>3.3989999999999997E-3</v>
      </c>
      <c r="G102" s="219">
        <f t="shared" si="83"/>
        <v>1.0196999999999999E-2</v>
      </c>
      <c r="H102" s="1131"/>
      <c r="J102" s="223"/>
      <c r="K102" s="224"/>
      <c r="L102" s="204"/>
      <c r="M102" s="204"/>
      <c r="N102" s="204"/>
      <c r="O102" s="204"/>
      <c r="P102" s="204"/>
      <c r="Q102" s="225"/>
    </row>
    <row r="103" spans="1:17" ht="13" x14ac:dyDescent="0.25">
      <c r="A103" s="1137"/>
      <c r="B103" s="218">
        <v>3</v>
      </c>
      <c r="C103" s="219">
        <f>M10</f>
        <v>39.887877379999999</v>
      </c>
      <c r="D103" s="219">
        <f t="shared" ref="D103:G103" si="84">N10</f>
        <v>-6.1693059999999994E-2</v>
      </c>
      <c r="E103" s="219">
        <f t="shared" si="84"/>
        <v>-3.6200059999999999E-2</v>
      </c>
      <c r="F103" s="219">
        <f t="shared" si="84"/>
        <v>1.2746499999999997E-2</v>
      </c>
      <c r="G103" s="219">
        <f t="shared" si="84"/>
        <v>0</v>
      </c>
      <c r="H103" s="1131"/>
      <c r="J103" s="223"/>
      <c r="K103" s="224"/>
      <c r="L103" s="204"/>
      <c r="M103" s="204"/>
      <c r="N103" s="204"/>
      <c r="O103" s="204"/>
      <c r="P103" s="204"/>
      <c r="Q103" s="225"/>
    </row>
    <row r="104" spans="1:17" ht="13" x14ac:dyDescent="0.25">
      <c r="A104" s="1137"/>
      <c r="B104" s="218">
        <v>4</v>
      </c>
      <c r="C104" s="219">
        <f>A23</f>
        <v>0</v>
      </c>
      <c r="D104" s="219">
        <f t="shared" ref="D104:G104" si="85">B23</f>
        <v>0</v>
      </c>
      <c r="E104" s="219">
        <f t="shared" si="85"/>
        <v>0</v>
      </c>
      <c r="F104" s="219">
        <f t="shared" si="85"/>
        <v>0</v>
      </c>
      <c r="G104" s="219">
        <f t="shared" si="85"/>
        <v>0</v>
      </c>
      <c r="H104" s="1131"/>
      <c r="J104" s="223"/>
      <c r="K104" s="224"/>
      <c r="L104" s="204"/>
      <c r="M104" s="204"/>
      <c r="N104" s="204"/>
      <c r="O104" s="204"/>
      <c r="P104" s="204"/>
      <c r="Q104" s="225"/>
    </row>
    <row r="105" spans="1:17" ht="13" x14ac:dyDescent="0.25">
      <c r="A105" s="1137"/>
      <c r="B105" s="218">
        <v>5</v>
      </c>
      <c r="C105" s="219">
        <f>G23</f>
        <v>0</v>
      </c>
      <c r="D105" s="219">
        <f t="shared" ref="D105:G105" si="86">H23</f>
        <v>0</v>
      </c>
      <c r="E105" s="219">
        <f t="shared" si="86"/>
        <v>0</v>
      </c>
      <c r="F105" s="219">
        <f t="shared" si="86"/>
        <v>0</v>
      </c>
      <c r="G105" s="219">
        <f t="shared" si="86"/>
        <v>0</v>
      </c>
      <c r="H105" s="222"/>
      <c r="J105" s="223"/>
      <c r="K105" s="224"/>
      <c r="L105" s="204"/>
      <c r="M105" s="204"/>
      <c r="N105" s="204"/>
      <c r="O105" s="204"/>
      <c r="P105" s="204"/>
      <c r="Q105" s="225"/>
    </row>
    <row r="106" spans="1:17" ht="13" x14ac:dyDescent="0.25">
      <c r="A106" s="1137"/>
      <c r="B106" s="218">
        <v>6</v>
      </c>
      <c r="C106" s="219">
        <f>M23</f>
        <v>0</v>
      </c>
      <c r="D106" s="219">
        <f t="shared" ref="D106:G106" si="87">N23</f>
        <v>0</v>
      </c>
      <c r="E106" s="219">
        <f t="shared" si="87"/>
        <v>0</v>
      </c>
      <c r="F106" s="219">
        <f t="shared" si="87"/>
        <v>0</v>
      </c>
      <c r="G106" s="219">
        <f t="shared" si="87"/>
        <v>0</v>
      </c>
      <c r="H106" s="1131"/>
      <c r="J106" s="223"/>
      <c r="K106" s="224"/>
      <c r="L106" s="204"/>
      <c r="M106" s="204"/>
      <c r="N106" s="204"/>
      <c r="O106" s="204"/>
      <c r="P106" s="204"/>
      <c r="Q106" s="225"/>
    </row>
    <row r="107" spans="1:17" ht="13" x14ac:dyDescent="0.25">
      <c r="A107" s="1137"/>
      <c r="B107" s="218">
        <v>7</v>
      </c>
      <c r="C107" s="219">
        <f>A37</f>
        <v>0</v>
      </c>
      <c r="D107" s="219">
        <f t="shared" ref="D107:G107" si="88">B37</f>
        <v>0</v>
      </c>
      <c r="E107" s="219">
        <f t="shared" si="88"/>
        <v>0</v>
      </c>
      <c r="F107" s="219">
        <f t="shared" si="88"/>
        <v>0</v>
      </c>
      <c r="G107" s="219">
        <f t="shared" si="88"/>
        <v>0</v>
      </c>
      <c r="H107" s="1131"/>
      <c r="J107" s="223"/>
      <c r="K107" s="224"/>
      <c r="L107" s="204"/>
      <c r="M107" s="204"/>
      <c r="N107" s="204"/>
      <c r="O107" s="204"/>
      <c r="P107" s="204"/>
      <c r="Q107" s="225"/>
    </row>
    <row r="108" spans="1:17" ht="13" x14ac:dyDescent="0.25">
      <c r="A108" s="1137"/>
      <c r="B108" s="218">
        <v>8</v>
      </c>
      <c r="C108" s="219">
        <f>G37</f>
        <v>0</v>
      </c>
      <c r="D108" s="219">
        <f t="shared" ref="D108:G108" si="89">H37</f>
        <v>0</v>
      </c>
      <c r="E108" s="219">
        <f t="shared" si="89"/>
        <v>0</v>
      </c>
      <c r="F108" s="219">
        <f t="shared" si="89"/>
        <v>0</v>
      </c>
      <c r="G108" s="219">
        <f t="shared" si="89"/>
        <v>0</v>
      </c>
      <c r="H108" s="1131"/>
      <c r="J108" s="223"/>
      <c r="K108" s="224"/>
      <c r="L108" s="204"/>
      <c r="M108" s="204"/>
      <c r="N108" s="204"/>
      <c r="O108" s="204"/>
      <c r="P108" s="204"/>
      <c r="Q108" s="225"/>
    </row>
    <row r="109" spans="1:17" ht="13" x14ac:dyDescent="0.25">
      <c r="A109" s="1137"/>
      <c r="B109" s="218">
        <v>9</v>
      </c>
      <c r="C109" s="219">
        <f>A50</f>
        <v>0</v>
      </c>
      <c r="D109" s="219">
        <f t="shared" ref="D109:G109" si="90">B50</f>
        <v>0</v>
      </c>
      <c r="E109" s="219">
        <f t="shared" si="90"/>
        <v>0</v>
      </c>
      <c r="F109" s="219">
        <f t="shared" si="90"/>
        <v>0</v>
      </c>
      <c r="G109" s="219">
        <f t="shared" si="90"/>
        <v>0</v>
      </c>
      <c r="H109" s="1131"/>
      <c r="J109" s="223"/>
      <c r="K109" s="224"/>
      <c r="L109" s="204"/>
      <c r="M109" s="204"/>
      <c r="N109" s="204"/>
      <c r="O109" s="204"/>
      <c r="P109" s="204"/>
      <c r="Q109" s="225"/>
    </row>
    <row r="110" spans="1:17" ht="13" x14ac:dyDescent="0.25">
      <c r="A110" s="1137"/>
      <c r="B110" s="218">
        <v>10</v>
      </c>
      <c r="C110" s="219">
        <f>G50</f>
        <v>0</v>
      </c>
      <c r="D110" s="219">
        <f t="shared" ref="D110:G110" si="91">H50</f>
        <v>0</v>
      </c>
      <c r="E110" s="219">
        <f t="shared" si="91"/>
        <v>0</v>
      </c>
      <c r="F110" s="219">
        <f t="shared" si="91"/>
        <v>0</v>
      </c>
      <c r="G110" s="219">
        <f t="shared" si="91"/>
        <v>0</v>
      </c>
      <c r="H110" s="492"/>
      <c r="J110" s="223"/>
      <c r="K110" s="224"/>
      <c r="L110" s="204"/>
      <c r="M110" s="204"/>
      <c r="N110" s="204"/>
      <c r="O110" s="204"/>
      <c r="P110" s="204"/>
      <c r="Q110" s="225"/>
    </row>
    <row r="111" spans="1:17" ht="13" x14ac:dyDescent="0.25">
      <c r="A111" s="172"/>
      <c r="B111" s="224"/>
      <c r="C111" s="188"/>
      <c r="D111" s="226"/>
      <c r="E111" s="226"/>
      <c r="F111" s="226"/>
      <c r="G111" s="226"/>
    </row>
    <row r="112" spans="1:17" ht="13" x14ac:dyDescent="0.3">
      <c r="A112" s="215"/>
      <c r="B112" s="170"/>
      <c r="C112" s="170"/>
      <c r="D112" s="170"/>
      <c r="E112" s="170"/>
      <c r="F112" s="170"/>
      <c r="G112" s="170"/>
      <c r="H112" s="170"/>
      <c r="I112" s="170"/>
      <c r="J112" s="184"/>
      <c r="K112" s="185"/>
      <c r="L112" s="184"/>
      <c r="M112" s="227"/>
      <c r="N112" s="171"/>
      <c r="O112" s="184"/>
      <c r="P112" s="185"/>
      <c r="Q112" s="184"/>
    </row>
    <row r="113" spans="1:24" ht="28.5" customHeight="1" x14ac:dyDescent="0.3">
      <c r="A113" s="268">
        <f>A161</f>
        <v>1</v>
      </c>
      <c r="B113" s="1145" t="str">
        <f>A150</f>
        <v>Digital Force Gauge, Merek : ANDILOG, Model : CENTOR FIRST SN : N 160229</v>
      </c>
      <c r="C113" s="1145"/>
      <c r="D113" s="1145"/>
      <c r="E113" s="1145"/>
      <c r="F113" s="266"/>
      <c r="G113" s="267"/>
      <c r="H113" s="1146"/>
      <c r="I113" s="1146"/>
      <c r="J113" s="1146"/>
      <c r="K113" s="1146"/>
      <c r="L113" s="176"/>
      <c r="M113" s="266"/>
      <c r="N113" s="171"/>
      <c r="O113" s="185"/>
      <c r="P113" s="184"/>
      <c r="Q113" s="227"/>
      <c r="X113" s="228"/>
    </row>
    <row r="114" spans="1:24" ht="13.5" x14ac:dyDescent="0.3">
      <c r="A114" s="494" t="s">
        <v>304</v>
      </c>
      <c r="B114" s="1147" t="s">
        <v>62</v>
      </c>
      <c r="C114" s="1147"/>
      <c r="D114" s="494" t="s">
        <v>63</v>
      </c>
      <c r="E114" s="1148" t="s">
        <v>64</v>
      </c>
      <c r="F114" s="176"/>
      <c r="G114" s="495"/>
      <c r="H114" s="1149"/>
      <c r="I114" s="1149"/>
      <c r="J114" s="495"/>
      <c r="K114" s="1150"/>
      <c r="L114" s="176"/>
      <c r="M114" s="176"/>
      <c r="N114" s="171"/>
      <c r="O114" s="184"/>
      <c r="P114" s="185"/>
      <c r="Q114" s="184"/>
    </row>
    <row r="115" spans="1:24" ht="14" x14ac:dyDescent="0.3">
      <c r="A115" s="496" t="s">
        <v>329</v>
      </c>
      <c r="B115" s="494">
        <f>VLOOKUP(B113,A151:K160,9,FALSE)</f>
        <v>2017</v>
      </c>
      <c r="C115" s="494">
        <f>VLOOKUP(B113,A151:K160,10,FALSE)</f>
        <v>2018</v>
      </c>
      <c r="D115" s="494"/>
      <c r="E115" s="1148"/>
      <c r="F115" s="176"/>
      <c r="G115" s="265"/>
      <c r="H115" s="495"/>
      <c r="I115" s="495"/>
      <c r="J115" s="495"/>
      <c r="K115" s="1150"/>
      <c r="L115" s="176"/>
      <c r="M115" s="176"/>
      <c r="N115" s="171"/>
      <c r="O115" s="170"/>
      <c r="P115" s="170"/>
      <c r="Q115" s="170"/>
    </row>
    <row r="116" spans="1:24" ht="15" x14ac:dyDescent="0.3">
      <c r="A116" s="229">
        <f>VLOOKUP(A113,B61:G70,2)</f>
        <v>0</v>
      </c>
      <c r="B116" s="229">
        <f>VLOOKUP(A113,B61:G70,3,FALSE)</f>
        <v>0</v>
      </c>
      <c r="C116" s="229">
        <f>VLOOKUP($A$113,B61:G70,4,FALSE)</f>
        <v>0</v>
      </c>
      <c r="D116" s="229">
        <f>VLOOKUP($A$113,B61:G70,5,FALSE)</f>
        <v>0</v>
      </c>
      <c r="E116" s="1048">
        <f>VLOOKUP($A$113,B61:G70,6,FALSE)</f>
        <v>0</v>
      </c>
      <c r="F116" s="176"/>
      <c r="G116" s="204"/>
      <c r="H116" s="204"/>
      <c r="I116" s="204"/>
      <c r="J116" s="204"/>
      <c r="K116" s="189"/>
      <c r="L116" s="189"/>
      <c r="M116" s="189"/>
      <c r="N116" s="171"/>
      <c r="O116" s="170"/>
      <c r="P116" s="170"/>
      <c r="Q116" s="170"/>
    </row>
    <row r="117" spans="1:24" ht="13" x14ac:dyDescent="0.3">
      <c r="A117" s="229">
        <f>VLOOKUP(A113,B71:G80,2)</f>
        <v>9.9719744436000006</v>
      </c>
      <c r="B117" s="229">
        <f>VLOOKUP(A113,B71:G80,3,FALSE)</f>
        <v>-4.4490383600000002E-2</v>
      </c>
      <c r="C117" s="229">
        <f>VLOOKUP($A$113,B71:G80,4,FALSE)</f>
        <v>-2.5727400000000001E-2</v>
      </c>
      <c r="D117" s="229">
        <f>VLOOKUP($A$113,B71:G80,5,FALSE)</f>
        <v>9.3814918000000008E-3</v>
      </c>
      <c r="E117" s="1048">
        <f>VLOOKUP($A$113,B71:G80,6,FALSE)</f>
        <v>0</v>
      </c>
      <c r="F117" s="176"/>
      <c r="G117" s="204"/>
      <c r="H117" s="204"/>
      <c r="I117" s="204"/>
      <c r="J117" s="204"/>
      <c r="L117" s="1053"/>
      <c r="M117" s="1053"/>
      <c r="N117" s="171"/>
      <c r="O117" s="170"/>
      <c r="P117" s="170"/>
      <c r="Q117" s="170"/>
    </row>
    <row r="118" spans="1:24" ht="13" x14ac:dyDescent="0.3">
      <c r="A118" s="229">
        <f>VLOOKUP(A113,B81:G90,2)</f>
        <v>19.943989675999998</v>
      </c>
      <c r="B118" s="229">
        <f>VLOOKUP(A113,B81:G90,3,FALSE)</f>
        <v>-4.1094715999999996E-2</v>
      </c>
      <c r="C118" s="229">
        <f>VLOOKUP($A$113,B81:G90,4,FALSE)</f>
        <v>-1.9681000000000001E-2</v>
      </c>
      <c r="D118" s="229">
        <f>VLOOKUP($A$113,B81:G90,5,FALSE)</f>
        <v>1.0706857999999998E-2</v>
      </c>
      <c r="E118" s="1048">
        <f>VLOOKUP($A$113,B81:G90,6,FALSE)</f>
        <v>0</v>
      </c>
      <c r="F118" s="176"/>
      <c r="G118" s="204"/>
      <c r="H118" s="204"/>
      <c r="I118" s="204"/>
      <c r="J118" s="204"/>
      <c r="K118" s="204"/>
      <c r="L118" s="171"/>
      <c r="M118" s="171"/>
      <c r="N118" s="171"/>
      <c r="O118" s="170"/>
      <c r="P118" s="170"/>
      <c r="Q118" s="170"/>
    </row>
    <row r="119" spans="1:24" ht="13" x14ac:dyDescent="0.3">
      <c r="A119" s="229">
        <f>VLOOKUP(A113,B91:G100,2)</f>
        <v>29.915933528</v>
      </c>
      <c r="B119" s="229">
        <f>VLOOKUP(A113,B91:G100,3,FALSE)</f>
        <v>-5.2413608E-2</v>
      </c>
      <c r="C119" s="229">
        <f>VLOOKUP($A$113,B91:G100,4,FALSE)</f>
        <v>-2.998E-2</v>
      </c>
      <c r="D119" s="229">
        <f>VLOOKUP($A$113,B91:G100,5,FALSE)</f>
        <v>1.1216804E-2</v>
      </c>
      <c r="E119" s="1048">
        <f>VLOOKUP($A$113,B91:G100,6,FALSE)</f>
        <v>0</v>
      </c>
      <c r="F119" s="176"/>
      <c r="G119" s="204"/>
      <c r="H119" s="204"/>
      <c r="I119" s="204"/>
      <c r="J119" s="204"/>
      <c r="K119" s="204"/>
      <c r="L119" s="171"/>
      <c r="M119" s="171"/>
      <c r="N119" s="171"/>
      <c r="O119" s="170"/>
      <c r="P119" s="170"/>
      <c r="Q119" s="170"/>
    </row>
    <row r="120" spans="1:24" ht="13" x14ac:dyDescent="0.3">
      <c r="A120" s="229">
        <f>VLOOKUP(A113,B101:G110,2)</f>
        <v>39.887877379999999</v>
      </c>
      <c r="B120" s="229">
        <f>VLOOKUP(A113,B101:G110,3,FALSE)</f>
        <v>-4.7416979999999997E-2</v>
      </c>
      <c r="C120" s="229">
        <f>VLOOKUP($A$113,B101:G110,4,FALSE)</f>
        <v>-2.1923999999999999E-2</v>
      </c>
      <c r="D120" s="229">
        <f>VLOOKUP($A$113,B101:G110,5,FALSE)</f>
        <v>1.2746489999999999E-2</v>
      </c>
      <c r="E120" s="1048">
        <f>VLOOKUP($A$113,B101:G110,6,FALSE)</f>
        <v>0</v>
      </c>
      <c r="F120" s="176"/>
      <c r="G120" s="204"/>
      <c r="H120" s="204"/>
      <c r="I120" s="204"/>
      <c r="J120" s="204"/>
      <c r="K120" s="204"/>
      <c r="L120" s="171"/>
      <c r="M120" s="171"/>
      <c r="N120" s="171"/>
      <c r="O120" s="170"/>
      <c r="P120" s="170"/>
      <c r="Q120" s="170"/>
    </row>
    <row r="121" spans="1:24" ht="13" x14ac:dyDescent="0.3">
      <c r="A121" s="229">
        <f>VLOOKUP(A113,K61:P70,2)</f>
        <v>49.859923203999998</v>
      </c>
      <c r="B121" s="229">
        <f>VLOOKUP(A113,K61:P70,3,FALSE)</f>
        <v>-5.2719523999999997E-2</v>
      </c>
      <c r="C121" s="229">
        <f>VLOOKUP($A$113,K61:P70,4,FALSE)</f>
        <v>-2.1107999999999998E-2</v>
      </c>
      <c r="D121" s="229">
        <f>VLOOKUP($A$113,K61:P70,5,FALSE)</f>
        <v>1.5805762000000001E-2</v>
      </c>
      <c r="E121" s="1048">
        <f>VLOOKUP($A$113,K61:P70,6,FALSE)</f>
        <v>0</v>
      </c>
      <c r="F121" s="176"/>
      <c r="G121" s="204"/>
      <c r="H121" s="230"/>
      <c r="I121" s="230"/>
      <c r="J121" s="230"/>
      <c r="K121" s="230"/>
      <c r="L121" s="171"/>
      <c r="M121" s="171"/>
      <c r="N121" s="171"/>
      <c r="O121" s="170"/>
      <c r="P121" s="170"/>
      <c r="Q121" s="170"/>
    </row>
    <row r="122" spans="1:24" ht="13" x14ac:dyDescent="0.3">
      <c r="A122" s="229">
        <f>VLOOKUP(A113,K71:P80,2)</f>
        <v>59.831867056</v>
      </c>
      <c r="B122" s="229">
        <f>VLOOKUP(A113,K71:P80,3,FALSE)</f>
        <v>-5.1801775999999994E-2</v>
      </c>
      <c r="C122" s="229">
        <f>VLOOKUP($A$113,K71:P80,4,FALSE)</f>
        <v>-3.9565136000000001E-2</v>
      </c>
      <c r="D122" s="229">
        <f>VLOOKUP($A$113,K71:P80,5,FALSE)</f>
        <v>6.1183199999999965E-3</v>
      </c>
      <c r="E122" s="1048">
        <f>VLOOKUP($A$113,K71:P80,6,FALSE)</f>
        <v>0</v>
      </c>
      <c r="F122" s="176"/>
      <c r="G122" s="204"/>
      <c r="H122" s="230"/>
      <c r="I122" s="230"/>
      <c r="J122" s="230"/>
      <c r="K122" s="230"/>
      <c r="L122" s="171"/>
      <c r="M122" s="171"/>
      <c r="N122" s="171"/>
      <c r="O122" s="170"/>
      <c r="P122" s="170"/>
      <c r="Q122" s="170"/>
    </row>
    <row r="123" spans="1:24" ht="13" x14ac:dyDescent="0.3">
      <c r="A123" s="229">
        <f>VLOOKUP(A113,K81:P90,2)</f>
        <v>0</v>
      </c>
      <c r="B123" s="229">
        <f>VLOOKUP(A113,K81:P90,3,FALSE)</f>
        <v>0</v>
      </c>
      <c r="C123" s="229">
        <f>VLOOKUP($A$113,K81:P90,4,FALSE)</f>
        <v>0</v>
      </c>
      <c r="D123" s="229">
        <f>VLOOKUP($A$113,K81:P90,5,FALSE)</f>
        <v>0</v>
      </c>
      <c r="E123" s="1048">
        <f>VLOOKUP($A$113,K81:P90,6,FALSE)</f>
        <v>0</v>
      </c>
      <c r="F123" s="176"/>
      <c r="G123" s="204"/>
      <c r="H123" s="230"/>
      <c r="I123" s="230"/>
      <c r="J123" s="230"/>
      <c r="K123" s="230"/>
      <c r="L123" s="171"/>
      <c r="M123" s="171"/>
      <c r="N123" s="171"/>
      <c r="O123" s="170"/>
      <c r="P123" s="170"/>
      <c r="Q123" s="170"/>
    </row>
    <row r="124" spans="1:24" ht="13" x14ac:dyDescent="0.3">
      <c r="A124" s="229">
        <f>VLOOKUP(A113,K91:P100,2)</f>
        <v>0</v>
      </c>
      <c r="B124" s="229">
        <f>VLOOKUP(A113,K91:P100,3,FALSE)</f>
        <v>0</v>
      </c>
      <c r="C124" s="229">
        <f>VLOOKUP($A$113,K91:P100,4,FALSE)</f>
        <v>0</v>
      </c>
      <c r="D124" s="229">
        <f>VLOOKUP($A$113,K91:P100,5,FALSE)</f>
        <v>0</v>
      </c>
      <c r="E124" s="1048">
        <f>VLOOKUP($A$113,K91:P100,6,FALSE)</f>
        <v>0</v>
      </c>
      <c r="F124" s="176"/>
      <c r="G124" s="204"/>
      <c r="H124" s="230"/>
      <c r="I124" s="230"/>
      <c r="J124" s="230"/>
      <c r="K124" s="230"/>
      <c r="L124" s="171"/>
      <c r="M124" s="171"/>
      <c r="N124" s="171"/>
      <c r="O124" s="170"/>
      <c r="P124" s="170"/>
      <c r="Q124" s="170"/>
    </row>
    <row r="125" spans="1:24" ht="13.5" thickBot="1" x14ac:dyDescent="0.35">
      <c r="A125" s="231"/>
      <c r="B125" s="226"/>
      <c r="C125" s="226"/>
      <c r="D125" s="226"/>
      <c r="E125" s="226"/>
      <c r="F125" s="176"/>
      <c r="G125" s="204"/>
      <c r="H125" s="230"/>
      <c r="I125" s="230"/>
      <c r="J125" s="230"/>
      <c r="K125" s="230"/>
      <c r="L125" s="171"/>
      <c r="M125" s="171"/>
      <c r="N125" s="171"/>
      <c r="O125" s="170"/>
      <c r="P125" s="170"/>
      <c r="Q125" s="170"/>
    </row>
    <row r="126" spans="1:24" ht="15" x14ac:dyDescent="0.3">
      <c r="A126" s="1138" t="s">
        <v>241</v>
      </c>
      <c r="B126" s="1139"/>
      <c r="C126" s="1139"/>
      <c r="D126" s="1140"/>
      <c r="E126" s="175"/>
      <c r="F126" s="1141" t="s">
        <v>242</v>
      </c>
      <c r="G126" s="1142"/>
      <c r="H126" s="1142"/>
      <c r="I126" s="1143"/>
      <c r="J126" s="171"/>
      <c r="K126" s="189"/>
      <c r="L126" s="189"/>
      <c r="M126" s="189"/>
      <c r="N126" s="189"/>
      <c r="P126" s="170"/>
      <c r="Q126" s="170"/>
    </row>
    <row r="127" spans="1:24" ht="13" x14ac:dyDescent="0.3">
      <c r="A127" s="178"/>
      <c r="B127" s="234">
        <f>IF(A128&lt;=$A$117,$A$116,IF(A128&lt;=$A$118,$A$117,IF(A128&lt;=$A$119,$A$118,IF(A128&lt;=$A$120,$A$119,IF(A128&lt;=$A$121,$A$120,IF(A128&lt;=$A$122,$A$121,IF(A128&lt;=$A$123,$A$122,IF(A128&lt;=$A$124,$A$123))))))))</f>
        <v>9.9719744436000006</v>
      </c>
      <c r="C127" s="234"/>
      <c r="D127" s="237">
        <f>IF(A128&lt;=$A$117,$B$116,IF(A128&lt;=$A$118,$B$117,IF(A128&lt;=$A$119,$B$118,IF(A128&lt;=$A$120,$B$119,IF(A128&lt;=$A$121,$B$120,IF(A128&lt;=$A$122,$B$121,IF(A128&lt;=$A$123,$B$122,IF(A128&lt;=$A$124,$B$123))))))))</f>
        <v>-4.4490383600000002E-2</v>
      </c>
      <c r="E127" s="171"/>
      <c r="F127" s="178"/>
      <c r="G127" s="234">
        <f>IF(F128&lt;=$A$117,$A$116,IF(F128&lt;=$A$118,$A$117,IF(F128&lt;=$A$119,$A$118,IF(F128&lt;=$A$120,$A$119,IF(F128&lt;=$A$121,$A$120,IF(F128&lt;=$A$122,$A$121,IF(F128&lt;=$A$123,$A$122,IF(F128&lt;=$A$124,$A$123))))))))</f>
        <v>9.9719744436000006</v>
      </c>
      <c r="H127" s="234"/>
      <c r="I127" s="235">
        <f>IF(F128&lt;=$A$117,$D$116,IF(F128&lt;=$A$118,$D$117,IF(F128&lt;=$A$119,$D$118,IF(F128&lt;=$A$120,$D$119,IF(F128&lt;=$A$121,$D$120,IF(F128&lt;=$A$122,$D$121,IF(F128&lt;=$A$123,$D$122,IF(F128&lt;=$A$124,$D$123))))))))</f>
        <v>9.3814918000000008E-3</v>
      </c>
      <c r="J127" s="171"/>
      <c r="K127" s="184"/>
      <c r="L127" s="184"/>
      <c r="M127" s="184"/>
      <c r="N127" s="233"/>
      <c r="P127" s="170"/>
      <c r="Q127" s="170"/>
    </row>
    <row r="128" spans="1:24" ht="13" x14ac:dyDescent="0.3">
      <c r="A128" s="179">
        <f>B145</f>
        <v>10</v>
      </c>
      <c r="B128" s="234"/>
      <c r="C128" s="236">
        <f>((A128-B127)/(B129-B127)*(D129-D127)+D127)</f>
        <v>-4.448084034604164E-2</v>
      </c>
      <c r="D128" s="237"/>
      <c r="E128" s="171"/>
      <c r="F128" s="179">
        <f>B145</f>
        <v>10</v>
      </c>
      <c r="G128" s="234"/>
      <c r="H128" s="236">
        <f>((F128-G127)/(G129-G127)*(I129-I127)+I127)</f>
        <v>9.3852166363869397E-3</v>
      </c>
      <c r="I128" s="235"/>
      <c r="J128" s="171"/>
      <c r="K128" s="185"/>
      <c r="L128" s="232"/>
      <c r="M128" s="498"/>
      <c r="N128" s="233"/>
      <c r="P128" s="170"/>
      <c r="Q128" s="170"/>
    </row>
    <row r="129" spans="1:18" ht="13.5" thickBot="1" x14ac:dyDescent="0.35">
      <c r="A129" s="178"/>
      <c r="B129" s="234">
        <f>IF(A128&lt;=$A$117,$A$117,IF(A128&lt;=$A$118,$A$118,IF(A128&lt;=$A$119,$A$119,IF(A128&lt;=$A$120,$A$120,IF(A128&lt;=$A$121,$A$121,IF(A128&lt;=$A$122,$A$122,IF(A128&lt;=$A$123,$A$123,IF(A128&lt;=$A$124,$A$124))))))))</f>
        <v>19.943989675999998</v>
      </c>
      <c r="C129" s="234"/>
      <c r="D129" s="237">
        <f>IF(A128&lt;=$A$117,$B$117,IF(A128&lt;=$A$118,$B$118,IF(A128&lt;=$A$119,$B$119,IF(A128&lt;=$A$120,$B$120,IF(A128&lt;=$A$121,$B$121,IF(A128&lt;=$A$122,$B$122,IF(A128&lt;=$A$123,$B$123,IF(A128&lt;=$A$124,$B$124))))))))</f>
        <v>-4.1094715999999996E-2</v>
      </c>
      <c r="E129" s="171"/>
      <c r="F129" s="178"/>
      <c r="G129" s="234">
        <f>IF(F128&lt;=$A$117,$A$117,IF(F128&lt;=$A$118,$A$118,IF(F128&lt;=$A$119,$A$119,IF(F128&lt;=$A$120,$A$120,IF(F128&lt;=$A$121,$A$121,IF(F128&lt;=$A$122,$A$122,IF(F128&lt;=$A$123,$A$123,IF(F128&lt;=$A$124,$A$124))))))))</f>
        <v>19.943989675999998</v>
      </c>
      <c r="H129" s="234"/>
      <c r="I129" s="235">
        <f>IF(F128&lt;=$A$117,$D$117,IF(F128&lt;=$A$118,$D$118,IF(F128&lt;=$A$119,$D$119,IF(F128&lt;=$A$120,$D$120,IF(F128&lt;=$A$121,$D$121,IF(F128&lt;=$A$122,$D$122,IF(F128&lt;=$A$123,$D$123,IF(F128&lt;=$A$124,$D$124))))))))</f>
        <v>1.0706857999999998E-2</v>
      </c>
      <c r="J129" s="171"/>
      <c r="K129" s="184"/>
      <c r="L129" s="232"/>
      <c r="M129" s="232"/>
      <c r="N129" s="233"/>
      <c r="P129" s="170"/>
      <c r="Q129" s="170"/>
    </row>
    <row r="130" spans="1:18" ht="15" x14ac:dyDescent="0.3">
      <c r="A130" s="1138" t="s">
        <v>241</v>
      </c>
      <c r="B130" s="1139"/>
      <c r="C130" s="1139"/>
      <c r="D130" s="1140"/>
      <c r="E130" s="171"/>
      <c r="F130" s="1141" t="s">
        <v>242</v>
      </c>
      <c r="G130" s="1142"/>
      <c r="H130" s="1142"/>
      <c r="I130" s="1143"/>
      <c r="J130" s="171"/>
      <c r="K130" s="1144"/>
      <c r="L130" s="1144"/>
      <c r="M130" s="1144"/>
      <c r="N130" s="1144"/>
      <c r="P130" s="170"/>
      <c r="Q130" s="170"/>
    </row>
    <row r="131" spans="1:18" ht="13" x14ac:dyDescent="0.3">
      <c r="A131" s="178"/>
      <c r="B131" s="234">
        <f>IF(A132&lt;=$A$117,$A$116,IF(A132&lt;=$A$118,$A$117,IF(A132&lt;=$A$119,$A$118,IF(A132&lt;=$A$120,$A$119,IF(A132&lt;=$A$121,$A$120,IF(A132&lt;=$A$122,$A$121,IF(A132&lt;=$A$123,$A$122,IF(A132&lt;=$A$124,$A$123))))))))</f>
        <v>19.943989675999998</v>
      </c>
      <c r="C131" s="234"/>
      <c r="D131" s="237">
        <f>IF(A132&lt;=$A$117,$B$116,IF(A132&lt;=$A$118,$B$117,IF(A132&lt;=$A$119,$B$118,IF(A132&lt;=$A$120,$B$119,IF(A132&lt;=$A$121,$B$120,IF(A132&lt;=$A$122,$B$121,IF(A132&lt;=$A$123,$B$122,IF(A132&lt;=$A$124,$B$123))))))))</f>
        <v>-4.1094715999999996E-2</v>
      </c>
      <c r="E131" s="171"/>
      <c r="F131" s="178"/>
      <c r="G131" s="234">
        <f>IF(F132&lt;=$A$117,$A$116,IF(F132&lt;=$A$118,$A$117,IF(F132&lt;=$A$119,$A$118,IF(F132&lt;=$A$120,$A$119,IF(F132&lt;=$A$121,$A$120,IF(F132&lt;=$A$122,$A$121,IF(F132&lt;=$A$123,$A$122,IF(F132&lt;=$A$124,$A$123))))))))</f>
        <v>19.943989675999998</v>
      </c>
      <c r="H131" s="234"/>
      <c r="I131" s="235">
        <f>IF(F132&lt;=$A$117,$D$116,IF(F132&lt;=$A$118,$D$117,IF(F132&lt;=$A$119,$D$118,IF(F132&lt;=$A$120,$D$119,IF(F132&lt;=$A$121,$D$120,IF(F132&lt;=$A$122,$D$121,IF(F132&lt;=$A$123,$D$122,IF(F132&lt;=$A$124,$D$123))))))))</f>
        <v>1.0706857999999998E-2</v>
      </c>
      <c r="J131" s="171"/>
      <c r="K131" s="184"/>
      <c r="L131" s="232"/>
      <c r="M131" s="232"/>
      <c r="N131" s="233"/>
      <c r="P131" s="170"/>
      <c r="Q131" s="170"/>
    </row>
    <row r="132" spans="1:18" ht="13" x14ac:dyDescent="0.3">
      <c r="A132" s="179">
        <f>B146</f>
        <v>20</v>
      </c>
      <c r="B132" s="234"/>
      <c r="C132" s="236">
        <f>((A132-B131)/(B133-B131)*(D133-D131)+D131)</f>
        <v>-4.115829185017026E-2</v>
      </c>
      <c r="D132" s="237"/>
      <c r="E132" s="171"/>
      <c r="F132" s="179">
        <f>B146</f>
        <v>20</v>
      </c>
      <c r="G132" s="234"/>
      <c r="H132" s="236">
        <f>((F132-G131)/(G133-G131)*(I133-I131)+I131)</f>
        <v>1.0709722260078717E-2</v>
      </c>
      <c r="I132" s="235"/>
      <c r="J132" s="171"/>
      <c r="K132" s="185"/>
      <c r="L132" s="232"/>
      <c r="M132" s="498"/>
      <c r="N132" s="233"/>
      <c r="P132" s="170"/>
      <c r="Q132" s="170"/>
    </row>
    <row r="133" spans="1:18" ht="13.5" thickBot="1" x14ac:dyDescent="0.35">
      <c r="A133" s="178"/>
      <c r="B133" s="234">
        <f>IF(A132&lt;=$A$117,$A$117,IF(A132&lt;=$A$118,$A$118,IF(A132&lt;=$A$119,$A$119,IF(A132&lt;=$A$120,$A$120,IF(A132&lt;=$A$121,$A$121,IF(A132&lt;=$A$122,$A$122,IF(A132&lt;=$A$123,$A$123,IF(A132&lt;=$A$124,$A$124))))))))</f>
        <v>29.915933528</v>
      </c>
      <c r="C133" s="234"/>
      <c r="D133" s="237">
        <f>IF(A132&lt;=$A$117,$B$117,IF(A132&lt;=$A$118,$B$118,IF(A132&lt;=$A$119,$B$119,IF(A132&lt;=$A$120,$B$120,IF(A132&lt;=$A$121,$B$121,IF(A132&lt;=$A$122,$B$122,IF(A132&lt;=$A$123,$B$123,IF(A132&lt;=$A$124,$B$124))))))))</f>
        <v>-5.2413608E-2</v>
      </c>
      <c r="E133" s="171"/>
      <c r="F133" s="178"/>
      <c r="G133" s="234">
        <f>IF(F132&lt;=$A$117,$A$117,IF(F132&lt;=$A$118,$A$118,IF(F132&lt;=$A$119,$A$119,IF(F132&lt;=$A$120,$A$120,IF(F132&lt;=$A$121,$A$121,IF(F132&lt;=$A$122,$A$122,IF(F132&lt;=$A$123,$A$123,IF(F132&lt;=$A$124,$A$124))))))))</f>
        <v>29.915933528</v>
      </c>
      <c r="H133" s="234"/>
      <c r="I133" s="235">
        <f>IF(F132&lt;=$A$117,$D$117,IF(F132&lt;=$A$118,$D$118,IF(F132&lt;=$A$119,$D$119,IF(F132&lt;=$A$120,$D$120,IF(F132&lt;=$A$121,$D$121,IF(F132&lt;=$A$122,$D$122,IF(F132&lt;=$A$123,$D$123,IF(F132&lt;=$A$124,$D$124))))))))</f>
        <v>1.1216804E-2</v>
      </c>
      <c r="J133" s="171"/>
      <c r="K133" s="184"/>
      <c r="L133" s="232"/>
      <c r="M133" s="232"/>
      <c r="N133" s="233"/>
      <c r="P133" s="170"/>
      <c r="Q133" s="170"/>
    </row>
    <row r="134" spans="1:18" ht="15" x14ac:dyDescent="0.3">
      <c r="A134" s="1138" t="s">
        <v>241</v>
      </c>
      <c r="B134" s="1139"/>
      <c r="C134" s="1139"/>
      <c r="D134" s="1140"/>
      <c r="E134" s="171"/>
      <c r="F134" s="1141" t="s">
        <v>242</v>
      </c>
      <c r="G134" s="1142"/>
      <c r="H134" s="1142"/>
      <c r="I134" s="1143"/>
      <c r="J134" s="171"/>
      <c r="K134" s="1144"/>
      <c r="L134" s="1144"/>
      <c r="M134" s="1144"/>
      <c r="N134" s="1144"/>
      <c r="P134" s="170"/>
      <c r="Q134" s="170"/>
    </row>
    <row r="135" spans="1:18" ht="13" x14ac:dyDescent="0.3">
      <c r="A135" s="178"/>
      <c r="B135" s="234">
        <f>IF(A136&lt;=$A$117,$A$116,IF(A136&lt;=$A$118,$A$117,IF(A136&lt;=$A$119,$A$118,IF(A136&lt;=$A$120,$A$119,IF(A136&lt;=$A$121,$A$120,IF(A136&lt;=$A$122,$A$121,IF(A136&lt;=$A$123,$A$122,IF(A136&lt;=$A$124,$A$123))))))))</f>
        <v>29.915933528</v>
      </c>
      <c r="C135" s="234"/>
      <c r="D135" s="237">
        <f>IF(A136&lt;=$A$117,$B$116,IF(A136&lt;=$A$118,$B$117,IF(A136&lt;=$A$119,$B$118,IF(A136&lt;=$A$120,$B$119,IF(A136&lt;=$A$121,$B$120,IF(A136&lt;=$A$122,$B$121,IF(A136&lt;=$A$123,$B$122,IF(A136&lt;=$A$124,$B$123))))))))</f>
        <v>-5.2413608E-2</v>
      </c>
      <c r="E135" s="171"/>
      <c r="F135" s="178"/>
      <c r="G135" s="234">
        <f>IF(F136&lt;=$A$117,$A$116,IF(F136&lt;=$A$118,$A$117,IF(F136&lt;=$A$119,$A$118,IF(F136&lt;=$A$120,$A$119,IF(F136&lt;=$A$121,$A$120,IF(F136&lt;=$A$122,$A$121,IF(F136&lt;=$A$123,$A$122,IF(F136&lt;=$A$124,$A$123))))))))</f>
        <v>29.915933528</v>
      </c>
      <c r="H135" s="234"/>
      <c r="I135" s="235">
        <f>IF(F136&lt;=$A$117,$D$116,IF(F136&lt;=$A$118,$D$117,IF(F136&lt;=$A$119,$D$118,IF(F136&lt;=$A$120,$D$119,IF(F136&lt;=$A$121,$D$120,IF(F136&lt;=$A$122,$D$121,IF(F136&lt;=$A$123,$D$122,IF(F136&lt;=$A$124,$D$123))))))))</f>
        <v>1.1216804E-2</v>
      </c>
      <c r="J135" s="171"/>
      <c r="K135" s="184"/>
      <c r="L135" s="232"/>
      <c r="M135" s="232"/>
      <c r="N135" s="233"/>
      <c r="P135" s="170"/>
      <c r="Q135" s="170"/>
    </row>
    <row r="136" spans="1:18" ht="13" x14ac:dyDescent="0.3">
      <c r="A136" s="179">
        <f>B147</f>
        <v>30</v>
      </c>
      <c r="B136" s="234"/>
      <c r="C136" s="236">
        <f>((A136-B135)/(B137-B135)*(D137-D135)+D135)</f>
        <v>-5.2371484930106044E-2</v>
      </c>
      <c r="D136" s="237"/>
      <c r="E136" s="171"/>
      <c r="F136" s="179">
        <f>B147</f>
        <v>30</v>
      </c>
      <c r="G136" s="234"/>
      <c r="H136" s="236">
        <f>((F136-G135)/(G137-G135)*(I137-I135)+I135)</f>
        <v>1.1229699710926211E-2</v>
      </c>
      <c r="I136" s="235"/>
      <c r="J136" s="171"/>
      <c r="K136" s="185"/>
      <c r="L136" s="232"/>
      <c r="M136" s="498"/>
      <c r="N136" s="233"/>
      <c r="P136" s="170"/>
      <c r="Q136" s="170"/>
    </row>
    <row r="137" spans="1:18" ht="13.5" thickBot="1" x14ac:dyDescent="0.35">
      <c r="A137" s="178"/>
      <c r="B137" s="234">
        <f>IF(A136&lt;=$A$117,$A$117,IF(A136&lt;=$A$118,$A$118,IF(A136&lt;=$A$119,$A$119,IF(A136&lt;=$A$120,$A$120,IF(A136&lt;=$A$121,$A$121,IF(A136&lt;=$A$122,$A$122,IF(A136&lt;=$A$123,$A$123,IF(A136&lt;=$A$124,$A$124))))))))</f>
        <v>39.887877379999999</v>
      </c>
      <c r="C137" s="234"/>
      <c r="D137" s="237">
        <f>IF(A136&lt;=$A$117,$B$117,IF(A136&lt;=$A$118,$B$118,IF(A136&lt;=$A$119,$B$119,IF(A136&lt;=$A$120,$B$120,IF(A136&lt;=$A$121,$B$121,IF(A136&lt;=$A$122,$B$122,IF(A136&lt;=$A$123,$B$123,IF(A136&lt;=$A$124,$B$124))))))))</f>
        <v>-4.7416979999999997E-2</v>
      </c>
      <c r="E137" s="171"/>
      <c r="F137" s="178"/>
      <c r="G137" s="234">
        <f>IF(F136&lt;=$A$117,$A$117,IF(F136&lt;=$A$118,$A$118,IF(F136&lt;=$A$119,$A$119,IF(F136&lt;=$A$120,$A$120,IF(F136&lt;=$A$121,$A$121,IF(F136&lt;=$A$122,$A$122,IF(F136&lt;=$A$123,$A$123,IF(F136&lt;=$A$124,$A$124))))))))</f>
        <v>39.887877379999999</v>
      </c>
      <c r="H137" s="234"/>
      <c r="I137" s="235">
        <f>IF(F136&lt;=$A$117,$D$117,IF(F136&lt;=$A$118,$D$118,IF(F136&lt;=$A$119,$D$119,IF(F136&lt;=$A$120,$D$120,IF(F136&lt;=$A$121,$D$121,IF(F136&lt;=$A$122,$D$122,IF(F136&lt;=$A$123,$D$123,IF(F136&lt;=$A$124,$D$124))))))))</f>
        <v>1.2746489999999999E-2</v>
      </c>
      <c r="J137" s="171"/>
      <c r="K137" s="184"/>
      <c r="L137" s="232"/>
      <c r="M137" s="232"/>
      <c r="N137" s="233"/>
      <c r="P137" s="170"/>
      <c r="Q137" s="170"/>
    </row>
    <row r="138" spans="1:18" ht="15" x14ac:dyDescent="0.3">
      <c r="A138" s="1138" t="s">
        <v>241</v>
      </c>
      <c r="B138" s="1139"/>
      <c r="C138" s="1139"/>
      <c r="D138" s="1140"/>
      <c r="E138" s="171"/>
      <c r="F138" s="1141" t="s">
        <v>242</v>
      </c>
      <c r="G138" s="1142"/>
      <c r="H138" s="1142"/>
      <c r="I138" s="1143"/>
      <c r="J138" s="171"/>
      <c r="K138" s="184"/>
      <c r="L138" s="232"/>
      <c r="M138" s="232"/>
      <c r="N138" s="233"/>
      <c r="P138" s="170"/>
      <c r="Q138" s="170"/>
    </row>
    <row r="139" spans="1:18" ht="13" x14ac:dyDescent="0.3">
      <c r="A139" s="178"/>
      <c r="B139" s="234">
        <f>IF(A140&lt;=$A$117,$A$116,IF(A140&lt;=$A$118,$A$117,IF(A140&lt;=$A$119,$A$118,IF(A140&lt;=$A$120,$A$119,IF(A140&lt;=$A$121,$A$120,IF(A140&lt;=$A$122,$A$121,IF(A140&lt;=$A$123,$A$122,IF(A140&lt;=$A$124,$A$123))))))))</f>
        <v>39.887877379999999</v>
      </c>
      <c r="C139" s="234"/>
      <c r="D139" s="237">
        <f>IF(A140&lt;=$A$117,$B$116,IF(A140&lt;=$A$118,$B$117,IF(A140&lt;=$A$119,$B$118,IF(A140&lt;=$A$120,$B$119,IF(A140&lt;=$A$121,$B$120,IF(A140&lt;=$A$122,$B$121,IF(A140&lt;=$A$123,$B$122,IF(A140&lt;=$A$124,$B$123))))))))</f>
        <v>-4.7416979999999997E-2</v>
      </c>
      <c r="E139" s="171"/>
      <c r="F139" s="178"/>
      <c r="G139" s="234">
        <f>IF(F140&lt;=$A$117,$A$116,IF(F140&lt;=$A$118,$A$117,IF(F140&lt;=$A$119,$A$118,IF(F140&lt;=$A$120,$A$119,IF(F140&lt;=$A$121,$A$120,IF(F140&lt;=$A$122,$A$121,IF(F140&lt;=$A$123,$A$122,IF(F140&lt;=$A$124,$A$123))))))))</f>
        <v>39.887877379999999</v>
      </c>
      <c r="H139" s="234"/>
      <c r="I139" s="235">
        <f>IF(F140&lt;=$A$117,$D$116,IF(F140&lt;=$A$118,$D$117,IF(F140&lt;=$A$119,$D$118,IF(F140&lt;=$A$120,$D$119,IF(F140&lt;=$A$121,$D$120,IF(F140&lt;=$A$122,$D$121,IF(F140&lt;=$A$123,$D$122,IF(F140&lt;=$A$124,$D$123))))))))</f>
        <v>1.2746489999999999E-2</v>
      </c>
      <c r="J139" s="171"/>
      <c r="K139" s="184"/>
      <c r="L139" s="232"/>
      <c r="M139" s="232"/>
      <c r="N139" s="233"/>
      <c r="P139" s="170"/>
      <c r="Q139" s="170"/>
    </row>
    <row r="140" spans="1:18" ht="13" x14ac:dyDescent="0.3">
      <c r="A140" s="179">
        <f>A148</f>
        <v>40</v>
      </c>
      <c r="B140" s="234"/>
      <c r="C140" s="236">
        <f>((A140-B139)/(B141-B139)*(D141-D139)+D139)</f>
        <v>-4.7476600175883503E-2</v>
      </c>
      <c r="D140" s="237"/>
      <c r="E140" s="171"/>
      <c r="F140" s="179">
        <f>A148</f>
        <v>40</v>
      </c>
      <c r="G140" s="234"/>
      <c r="H140" s="236">
        <f>((F140-G139)/(G141-G139)*(I141-I139)+I139)</f>
        <v>1.2780887514611003E-2</v>
      </c>
      <c r="I140" s="235"/>
      <c r="J140" s="171"/>
      <c r="K140" s="184"/>
      <c r="L140" s="232"/>
      <c r="M140" s="232"/>
      <c r="N140" s="233"/>
      <c r="P140" s="170"/>
      <c r="Q140" s="170"/>
    </row>
    <row r="141" spans="1:18" ht="13" x14ac:dyDescent="0.3">
      <c r="A141" s="178"/>
      <c r="B141" s="234">
        <f>IF(A140&lt;=$A$117,$A$117,IF(A140&lt;=$A$118,$A$118,IF(A140&lt;=$A$119,$A$119,IF(A140&lt;=$A$120,$A$120,IF(A140&lt;=$A$121,$A$121,IF(A140&lt;=$A$122,$A$122,IF(A140&lt;=$A$123,$A$123,IF(A140&lt;=$A$124,$A$124))))))))</f>
        <v>49.859923203999998</v>
      </c>
      <c r="C141" s="234"/>
      <c r="D141" s="237">
        <f>IF(A140&lt;=$A$117,$B$117,IF(A140&lt;=$A$118,$B$118,IF(A140&lt;=$A$119,$B$119,IF(A140&lt;=$A$120,$B$120,IF(A140&lt;=$A$121,$B$121,IF(A140&lt;=$A$122,$B$122,IF(A140&lt;=$A$123,$B$123,IF(A140&lt;=$A$124,$B$124))))))))</f>
        <v>-5.2719523999999997E-2</v>
      </c>
      <c r="E141" s="171"/>
      <c r="F141" s="178"/>
      <c r="G141" s="234">
        <f>IF(F140&lt;=$A$117,$A$117,IF(F140&lt;=$A$118,$A$118,IF(F140&lt;=$A$119,$A$119,IF(F140&lt;=$A$120,$A$120,IF(F140&lt;=$A$121,$A$121,IF(F140&lt;=$A$122,$A$122,IF(F140&lt;=$A$123,$A$123,IF(F140&lt;=$A$124,$A$124))))))))</f>
        <v>49.859923203999998</v>
      </c>
      <c r="H141" s="234"/>
      <c r="I141" s="235">
        <f>IF(F140&lt;=$A$117,$D$117,IF(F140&lt;=$A$118,$D$118,IF(F140&lt;=$A$119,$D$119,IF(F140&lt;=$A$120,$D$120,IF(F140&lt;=$A$121,$D$121,IF(F140&lt;=$A$122,$D$122,IF(F140&lt;=$A$123,$D$123,IF(F140&lt;=$A$124,$D$124))))))))</f>
        <v>1.5805762000000001E-2</v>
      </c>
      <c r="J141" s="171"/>
      <c r="K141" s="184"/>
      <c r="L141" s="232"/>
      <c r="M141" s="232"/>
      <c r="N141" s="233"/>
      <c r="P141" s="170"/>
      <c r="Q141" s="170"/>
    </row>
    <row r="142" spans="1:18" ht="13" x14ac:dyDescent="0.3">
      <c r="A142" s="238"/>
      <c r="B142" s="232"/>
      <c r="C142" s="232"/>
      <c r="D142" s="232"/>
      <c r="E142" s="171"/>
      <c r="F142" s="184"/>
      <c r="G142" s="232"/>
      <c r="H142" s="232"/>
      <c r="I142" s="233"/>
      <c r="J142" s="171"/>
      <c r="K142" s="184"/>
      <c r="L142" s="232"/>
      <c r="M142" s="232"/>
      <c r="N142" s="233"/>
      <c r="P142" s="170"/>
      <c r="Q142" s="170"/>
    </row>
    <row r="143" spans="1:18" ht="13.5" thickBot="1" x14ac:dyDescent="0.35">
      <c r="A143" s="175"/>
      <c r="B143" s="171"/>
      <c r="C143" s="171"/>
      <c r="D143" s="171"/>
      <c r="E143" s="171"/>
      <c r="F143" s="171"/>
      <c r="G143" s="171"/>
      <c r="H143" s="171"/>
      <c r="I143" s="171"/>
      <c r="J143" s="171"/>
      <c r="L143" s="160"/>
      <c r="M143" s="160"/>
      <c r="P143" s="239"/>
      <c r="Q143" s="170"/>
    </row>
    <row r="144" spans="1:18" ht="48.75" customHeight="1" x14ac:dyDescent="0.3">
      <c r="A144" s="497" t="s">
        <v>136</v>
      </c>
      <c r="B144" s="240" t="s">
        <v>190</v>
      </c>
      <c r="C144" s="241" t="s">
        <v>191</v>
      </c>
      <c r="D144" s="241" t="s">
        <v>33</v>
      </c>
      <c r="E144" s="241" t="s">
        <v>243</v>
      </c>
      <c r="F144" s="242" t="s">
        <v>244</v>
      </c>
      <c r="G144" s="499" t="s">
        <v>30</v>
      </c>
      <c r="H144" s="243" t="s">
        <v>293</v>
      </c>
      <c r="I144" s="244" t="s">
        <v>245</v>
      </c>
      <c r="J144" s="244" t="s">
        <v>246</v>
      </c>
      <c r="K144" s="500" t="s">
        <v>294</v>
      </c>
      <c r="L144" s="264" t="s">
        <v>259</v>
      </c>
      <c r="M144" s="171"/>
      <c r="N144" s="223"/>
      <c r="O144" s="171"/>
      <c r="P144" s="170"/>
      <c r="Q144" s="170"/>
      <c r="R144" s="170"/>
    </row>
    <row r="145" spans="1:27" ht="13" x14ac:dyDescent="0.3">
      <c r="A145" s="651">
        <f>ID!D33</f>
        <v>10</v>
      </c>
      <c r="B145" s="501">
        <f>ID!J33</f>
        <v>10</v>
      </c>
      <c r="C145" s="502">
        <f>B145+C128</f>
        <v>9.9555191596539583</v>
      </c>
      <c r="D145" s="502">
        <f>STDEV(ID!E33:I33)</f>
        <v>0</v>
      </c>
      <c r="E145" s="502">
        <f>A145-C145</f>
        <v>4.4480840346041717E-2</v>
      </c>
      <c r="F145" s="502">
        <f>(E145/A145)*100</f>
        <v>0.44480840346041717</v>
      </c>
      <c r="G145" s="502">
        <f>C145-A145</f>
        <v>-4.4480840346041717E-2</v>
      </c>
      <c r="H145" s="503">
        <f>(C145-A145)/A145*100</f>
        <v>-0.44480840346041717</v>
      </c>
      <c r="I145" s="652">
        <f>E118</f>
        <v>0</v>
      </c>
      <c r="J145" s="1162">
        <f>ID!E7</f>
        <v>1</v>
      </c>
      <c r="K145" s="229">
        <f>H128</f>
        <v>9.3852166363869397E-3</v>
      </c>
      <c r="L145" s="653">
        <f>IF(C118="-",1/3*I145,K145)</f>
        <v>9.3852166363869397E-3</v>
      </c>
      <c r="M145" s="171"/>
      <c r="N145" s="171"/>
      <c r="O145" s="171"/>
      <c r="P145" s="170"/>
      <c r="Q145" s="170"/>
      <c r="R145" s="170"/>
    </row>
    <row r="146" spans="1:27" ht="13" x14ac:dyDescent="0.3">
      <c r="A146" s="651">
        <f>ID!D34</f>
        <v>20</v>
      </c>
      <c r="B146" s="501">
        <f>ID!J34</f>
        <v>20</v>
      </c>
      <c r="C146" s="502">
        <f>B146+C132</f>
        <v>19.95884170814983</v>
      </c>
      <c r="D146" s="502">
        <f>STDEV(ID!E34:I34)</f>
        <v>0</v>
      </c>
      <c r="E146" s="502">
        <f>A146-C146</f>
        <v>4.1158291850170059E-2</v>
      </c>
      <c r="F146" s="502">
        <f>(E146/A146)*100</f>
        <v>0.20579145925085029</v>
      </c>
      <c r="G146" s="502">
        <f>C146-A146</f>
        <v>-4.1158291850170059E-2</v>
      </c>
      <c r="H146" s="503">
        <f>(C146-A146)/A146*100</f>
        <v>-0.20579145925085029</v>
      </c>
      <c r="I146" s="652">
        <f>E119</f>
        <v>0</v>
      </c>
      <c r="J146" s="1162"/>
      <c r="K146" s="229">
        <f>H132</f>
        <v>1.0709722260078717E-2</v>
      </c>
      <c r="L146" s="653">
        <f>IF(C119="-",1/3*I146,K146)</f>
        <v>1.0709722260078717E-2</v>
      </c>
      <c r="M146" s="171"/>
      <c r="N146" s="171"/>
      <c r="O146" s="171"/>
      <c r="P146" s="170"/>
      <c r="Q146" s="170"/>
      <c r="R146" s="170"/>
    </row>
    <row r="147" spans="1:27" ht="13" x14ac:dyDescent="0.3">
      <c r="A147" s="651">
        <f>ID!D35</f>
        <v>30</v>
      </c>
      <c r="B147" s="501">
        <f>ID!J35</f>
        <v>30</v>
      </c>
      <c r="C147" s="502">
        <f>B147+C136</f>
        <v>29.947628515069894</v>
      </c>
      <c r="D147" s="502">
        <f>STDEV(ID!E35:I35)</f>
        <v>0</v>
      </c>
      <c r="E147" s="502">
        <f>A147-C147</f>
        <v>5.2371484930105794E-2</v>
      </c>
      <c r="F147" s="502">
        <f>(E147/A147)*100</f>
        <v>0.17457161643368599</v>
      </c>
      <c r="G147" s="502">
        <f>C147-A147</f>
        <v>-5.2371484930105794E-2</v>
      </c>
      <c r="H147" s="503">
        <f>(C147-A147)/A147*100</f>
        <v>-0.17457161643368599</v>
      </c>
      <c r="I147" s="652">
        <f>E120</f>
        <v>0</v>
      </c>
      <c r="J147" s="1162"/>
      <c r="K147" s="229">
        <f>H136</f>
        <v>1.1229699710926211E-2</v>
      </c>
      <c r="L147" s="653">
        <f>IF(C120="-",1/3*I147,K147)</f>
        <v>1.1229699710926211E-2</v>
      </c>
      <c r="M147" s="171"/>
      <c r="N147" s="171"/>
      <c r="O147" s="171"/>
      <c r="P147" s="170"/>
    </row>
    <row r="148" spans="1:27" ht="13" x14ac:dyDescent="0.25">
      <c r="A148" s="651">
        <f>ID!D36</f>
        <v>40</v>
      </c>
      <c r="B148" s="501">
        <f>ID!J36</f>
        <v>40</v>
      </c>
      <c r="C148" s="502">
        <f>B148+C140</f>
        <v>39.952523399824116</v>
      </c>
      <c r="D148" s="502">
        <f>STDEV(ID!E36:I36)</f>
        <v>0</v>
      </c>
      <c r="E148" s="502">
        <f>A148-C148</f>
        <v>4.7476600175883732E-2</v>
      </c>
      <c r="F148" s="502">
        <f>(E148/A148)*100</f>
        <v>0.11869150043970933</v>
      </c>
      <c r="G148" s="502">
        <f>C148-A148</f>
        <v>-4.7476600175883732E-2</v>
      </c>
      <c r="H148" s="503">
        <f>(C148-A148)/A148*100</f>
        <v>-0.11869150043970933</v>
      </c>
      <c r="I148" s="652">
        <f>E121</f>
        <v>0</v>
      </c>
      <c r="J148" s="1162"/>
      <c r="K148" s="229">
        <f>H137</f>
        <v>0</v>
      </c>
      <c r="L148" s="653">
        <f>IF(C121="-",1/3*I148,K148)</f>
        <v>0</v>
      </c>
      <c r="M148" s="176"/>
      <c r="N148" s="176"/>
    </row>
    <row r="149" spans="1:27" ht="13" thickBot="1" x14ac:dyDescent="0.3"/>
    <row r="150" spans="1:27" ht="15" thickBot="1" x14ac:dyDescent="0.4">
      <c r="A150" s="245" t="str">
        <f>ID!B53</f>
        <v>Digital Force Gauge, Merek : ANDILOG, Model : CENTOR FIRST SN : N 160229</v>
      </c>
      <c r="B150" s="246"/>
      <c r="C150" s="246"/>
      <c r="D150" s="246"/>
      <c r="E150" s="246"/>
      <c r="F150" s="246"/>
      <c r="G150" s="246"/>
      <c r="H150" s="246"/>
      <c r="I150" s="1151" t="s">
        <v>247</v>
      </c>
      <c r="J150" s="1152"/>
      <c r="K150" s="247"/>
      <c r="L150" s="1153" t="s">
        <v>295</v>
      </c>
      <c r="M150" s="1154"/>
      <c r="N150" s="162"/>
      <c r="O150" s="162"/>
      <c r="P150" s="1155">
        <f>A161</f>
        <v>1</v>
      </c>
      <c r="Q150" s="1156"/>
      <c r="R150" s="1156"/>
      <c r="S150" s="1156"/>
      <c r="T150" s="1156"/>
      <c r="U150" s="1156"/>
      <c r="V150" s="1156"/>
      <c r="W150" s="1156"/>
      <c r="X150" s="1156"/>
      <c r="Y150" s="1156"/>
      <c r="Z150" s="1156"/>
      <c r="AA150" s="1157"/>
    </row>
    <row r="151" spans="1:27" ht="14" x14ac:dyDescent="0.3">
      <c r="A151" s="122" t="s">
        <v>275</v>
      </c>
      <c r="B151" s="248"/>
      <c r="C151" s="248"/>
      <c r="D151" s="248"/>
      <c r="E151" s="248"/>
      <c r="F151" s="248"/>
      <c r="G151" s="248"/>
      <c r="H151" s="248"/>
      <c r="I151" s="249">
        <f>B5</f>
        <v>2017</v>
      </c>
      <c r="J151" s="249">
        <f>C5</f>
        <v>2018</v>
      </c>
      <c r="K151" s="250">
        <v>1</v>
      </c>
      <c r="L151" s="1158">
        <f>0.5*1</f>
        <v>0.5</v>
      </c>
      <c r="M151" s="1159"/>
      <c r="N151" s="162"/>
      <c r="O151" s="162"/>
      <c r="P151" s="647">
        <v>1</v>
      </c>
      <c r="Q151" s="648" t="s">
        <v>400</v>
      </c>
      <c r="R151" s="620"/>
      <c r="S151" s="620"/>
      <c r="T151" s="620"/>
      <c r="U151" s="620"/>
      <c r="V151" s="620"/>
      <c r="W151" s="620"/>
      <c r="X151" s="620"/>
      <c r="Y151" s="620"/>
      <c r="Z151" s="620"/>
      <c r="AA151" s="621"/>
    </row>
    <row r="152" spans="1:27" ht="14" x14ac:dyDescent="0.3">
      <c r="A152" s="122" t="s">
        <v>276</v>
      </c>
      <c r="B152" s="253"/>
      <c r="C152" s="253"/>
      <c r="D152" s="253"/>
      <c r="E152" s="253"/>
      <c r="F152" s="253"/>
      <c r="G152" s="253"/>
      <c r="H152" s="253"/>
      <c r="I152" s="254">
        <f>H5</f>
        <v>2015</v>
      </c>
      <c r="J152" s="254">
        <f>I5</f>
        <v>2020</v>
      </c>
      <c r="K152" s="255">
        <v>2</v>
      </c>
      <c r="L152" s="1160">
        <f t="shared" ref="L152:L153" si="92">0.5*1</f>
        <v>0.5</v>
      </c>
      <c r="M152" s="1161"/>
      <c r="N152" s="162"/>
      <c r="O152" s="162"/>
      <c r="P152" s="647">
        <v>2</v>
      </c>
      <c r="Q152" s="648" t="s">
        <v>401</v>
      </c>
      <c r="R152" s="620"/>
      <c r="S152" s="620"/>
      <c r="T152" s="620"/>
      <c r="U152" s="620"/>
      <c r="V152" s="620"/>
      <c r="W152" s="620"/>
      <c r="X152" s="620"/>
      <c r="Y152" s="620"/>
      <c r="Z152" s="620"/>
      <c r="AA152" s="621"/>
    </row>
    <row r="153" spans="1:27" ht="14" x14ac:dyDescent="0.3">
      <c r="A153" s="122" t="s">
        <v>277</v>
      </c>
      <c r="B153" s="256"/>
      <c r="C153" s="256"/>
      <c r="D153" s="256"/>
      <c r="E153" s="256"/>
      <c r="F153" s="256"/>
      <c r="G153" s="256"/>
      <c r="H153" s="256"/>
      <c r="I153" s="254">
        <f>N5</f>
        <v>2017</v>
      </c>
      <c r="J153" s="254">
        <f>O5</f>
        <v>2018</v>
      </c>
      <c r="K153" s="250">
        <v>3</v>
      </c>
      <c r="L153" s="1160">
        <f t="shared" si="92"/>
        <v>0.5</v>
      </c>
      <c r="M153" s="1161"/>
      <c r="N153" s="162"/>
      <c r="O153" s="162"/>
      <c r="P153" s="647">
        <v>3</v>
      </c>
      <c r="Q153" s="648" t="s">
        <v>400</v>
      </c>
      <c r="R153" s="620"/>
      <c r="S153" s="620"/>
      <c r="T153" s="620"/>
      <c r="U153" s="620"/>
      <c r="V153" s="620"/>
      <c r="W153" s="620"/>
      <c r="X153" s="620"/>
      <c r="Y153" s="620"/>
      <c r="Z153" s="620"/>
      <c r="AA153" s="621"/>
    </row>
    <row r="154" spans="1:27" ht="14" x14ac:dyDescent="0.3">
      <c r="A154" s="122" t="s">
        <v>278</v>
      </c>
      <c r="B154" s="256"/>
      <c r="C154" s="256"/>
      <c r="D154" s="256"/>
      <c r="E154" s="256"/>
      <c r="F154" s="256"/>
      <c r="G154" s="256"/>
      <c r="H154" s="256"/>
      <c r="I154" s="254">
        <f>B18</f>
        <v>0</v>
      </c>
      <c r="J154" s="254">
        <f>C18</f>
        <v>0</v>
      </c>
      <c r="K154" s="255">
        <v>4</v>
      </c>
      <c r="L154" s="1160">
        <f>0.5*1</f>
        <v>0.5</v>
      </c>
      <c r="M154" s="1161"/>
      <c r="N154" s="162"/>
      <c r="O154" s="162"/>
      <c r="P154" s="647">
        <v>4</v>
      </c>
      <c r="Q154" s="648" t="s">
        <v>65</v>
      </c>
      <c r="R154" s="620"/>
      <c r="S154" s="620"/>
      <c r="T154" s="620"/>
      <c r="U154" s="620"/>
      <c r="V154" s="620"/>
      <c r="W154" s="620"/>
      <c r="X154" s="620"/>
      <c r="Y154" s="620"/>
      <c r="Z154" s="620"/>
      <c r="AA154" s="621"/>
    </row>
    <row r="155" spans="1:27" ht="14" x14ac:dyDescent="0.3">
      <c r="A155" s="122" t="s">
        <v>278</v>
      </c>
      <c r="B155" s="256"/>
      <c r="C155" s="256"/>
      <c r="D155" s="256"/>
      <c r="E155" s="256"/>
      <c r="F155" s="256"/>
      <c r="G155" s="256"/>
      <c r="H155" s="256"/>
      <c r="I155" s="254">
        <f>H18</f>
        <v>0</v>
      </c>
      <c r="J155" s="254">
        <f>I18</f>
        <v>0</v>
      </c>
      <c r="K155" s="250">
        <v>5</v>
      </c>
      <c r="L155" s="1160">
        <f t="shared" ref="L155:L157" si="93">0.5*0.1</f>
        <v>0.05</v>
      </c>
      <c r="M155" s="1161"/>
      <c r="N155" s="162"/>
      <c r="O155" s="162"/>
      <c r="P155" s="504">
        <v>5</v>
      </c>
      <c r="Q155" s="505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2"/>
    </row>
    <row r="156" spans="1:27" ht="14" x14ac:dyDescent="0.3">
      <c r="A156" s="122" t="s">
        <v>278</v>
      </c>
      <c r="B156" s="256"/>
      <c r="C156" s="256"/>
      <c r="D156" s="256"/>
      <c r="E156" s="256"/>
      <c r="F156" s="256"/>
      <c r="G156" s="256"/>
      <c r="H156" s="256"/>
      <c r="I156" s="254">
        <f>N18</f>
        <v>0</v>
      </c>
      <c r="J156" s="254">
        <f>O18</f>
        <v>0</v>
      </c>
      <c r="K156" s="255">
        <v>6</v>
      </c>
      <c r="L156" s="1160">
        <f t="shared" si="93"/>
        <v>0.05</v>
      </c>
      <c r="M156" s="1161"/>
      <c r="N156" s="162"/>
      <c r="O156" s="162"/>
      <c r="P156" s="504">
        <v>6</v>
      </c>
      <c r="Q156" s="505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2"/>
    </row>
    <row r="157" spans="1:27" ht="14" x14ac:dyDescent="0.3">
      <c r="A157" s="122" t="s">
        <v>278</v>
      </c>
      <c r="B157" s="256"/>
      <c r="C157" s="256"/>
      <c r="D157" s="256"/>
      <c r="E157" s="256"/>
      <c r="F157" s="256"/>
      <c r="G157" s="256"/>
      <c r="H157" s="256"/>
      <c r="I157" s="254">
        <f>B32</f>
        <v>0</v>
      </c>
      <c r="J157" s="254">
        <f>C32</f>
        <v>0</v>
      </c>
      <c r="K157" s="250">
        <v>7</v>
      </c>
      <c r="L157" s="1160">
        <f t="shared" si="93"/>
        <v>0.05</v>
      </c>
      <c r="M157" s="1161"/>
      <c r="N157" s="162"/>
      <c r="O157" s="162"/>
      <c r="P157" s="504">
        <v>7</v>
      </c>
      <c r="Q157" s="505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2"/>
    </row>
    <row r="158" spans="1:27" ht="14" x14ac:dyDescent="0.3">
      <c r="A158" s="506" t="s">
        <v>296</v>
      </c>
      <c r="B158" s="256"/>
      <c r="C158" s="256"/>
      <c r="D158" s="256"/>
      <c r="E158" s="256"/>
      <c r="F158" s="256"/>
      <c r="G158" s="256"/>
      <c r="H158" s="256"/>
      <c r="I158" s="254">
        <f>H32</f>
        <v>0</v>
      </c>
      <c r="J158" s="254">
        <f>I32</f>
        <v>0</v>
      </c>
      <c r="K158" s="255">
        <v>8</v>
      </c>
      <c r="L158" s="1160">
        <v>0</v>
      </c>
      <c r="M158" s="1161"/>
      <c r="N158" s="162"/>
      <c r="O158" s="162"/>
      <c r="P158" s="504">
        <v>8</v>
      </c>
      <c r="Q158" s="505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2"/>
    </row>
    <row r="159" spans="1:27" ht="14" x14ac:dyDescent="0.3">
      <c r="A159" s="506" t="s">
        <v>296</v>
      </c>
      <c r="B159" s="256"/>
      <c r="C159" s="256"/>
      <c r="D159" s="256"/>
      <c r="E159" s="256"/>
      <c r="F159" s="256"/>
      <c r="G159" s="256"/>
      <c r="H159" s="256"/>
      <c r="I159" s="254">
        <f>B45</f>
        <v>0</v>
      </c>
      <c r="J159" s="254">
        <f>C45</f>
        <v>0</v>
      </c>
      <c r="K159" s="250">
        <v>9</v>
      </c>
      <c r="L159" s="1160">
        <v>0</v>
      </c>
      <c r="M159" s="1161"/>
      <c r="N159" s="162"/>
      <c r="O159" s="162"/>
      <c r="P159" s="504">
        <v>9</v>
      </c>
      <c r="Q159" s="505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2"/>
    </row>
    <row r="160" spans="1:27" ht="14.5" thickBot="1" x14ac:dyDescent="0.35">
      <c r="A160" s="506" t="s">
        <v>296</v>
      </c>
      <c r="B160" s="256"/>
      <c r="C160" s="256"/>
      <c r="D160" s="256"/>
      <c r="E160" s="256"/>
      <c r="F160" s="256"/>
      <c r="G160" s="256"/>
      <c r="H160" s="256"/>
      <c r="I160" s="254">
        <f>H45</f>
        <v>0</v>
      </c>
      <c r="J160" s="254">
        <f>I45</f>
        <v>0</v>
      </c>
      <c r="K160" s="255">
        <v>10</v>
      </c>
      <c r="L160" s="1163">
        <v>0</v>
      </c>
      <c r="M160" s="1164"/>
      <c r="N160" s="162"/>
      <c r="O160" s="162"/>
      <c r="P160" s="1170" t="str">
        <f>VLOOKUP(P150,P151:AA159,2,FALSE)</f>
        <v>Hasil pengujian kinerja traction control tertelusur ke Satuan Internasional ( SI ) melalui METRIX PRECISION PTE LTD</v>
      </c>
      <c r="Q160" s="1171"/>
      <c r="R160" s="1171"/>
      <c r="S160" s="1171"/>
      <c r="T160" s="1171"/>
      <c r="U160" s="1171"/>
      <c r="V160" s="1171"/>
      <c r="W160" s="1171"/>
      <c r="X160" s="1171"/>
      <c r="Y160" s="1171"/>
      <c r="Z160" s="1171"/>
      <c r="AA160" s="1171"/>
    </row>
    <row r="161" spans="1:25" ht="13.5" thickBot="1" x14ac:dyDescent="0.3">
      <c r="A161" s="1165">
        <f>VLOOKUP(A150,A151:K160,11,(FALSE))</f>
        <v>1</v>
      </c>
      <c r="B161" s="1166"/>
      <c r="C161" s="1166"/>
      <c r="D161" s="1166"/>
      <c r="E161" s="1166"/>
      <c r="F161" s="1166"/>
      <c r="G161" s="1166"/>
      <c r="H161" s="1166"/>
      <c r="I161" s="1166"/>
      <c r="J161" s="1166"/>
      <c r="K161" s="1167"/>
      <c r="L161" s="1168">
        <f>VLOOKUP(A161,K151:M160,2,FALSE)</f>
        <v>0.5</v>
      </c>
      <c r="M161" s="1169"/>
      <c r="N161" s="507"/>
      <c r="O161" s="507"/>
    </row>
    <row r="162" spans="1:25" ht="14.5" x14ac:dyDescent="0.35">
      <c r="A162" s="257"/>
      <c r="B162" s="258"/>
      <c r="C162" s="171"/>
      <c r="D162" s="171"/>
      <c r="E162" s="171"/>
      <c r="F162" s="171"/>
      <c r="G162" s="176"/>
      <c r="H162" s="176"/>
      <c r="I162" s="176"/>
      <c r="J162" s="176"/>
      <c r="K162" s="257"/>
    </row>
    <row r="164" spans="1:25" ht="14.5" x14ac:dyDescent="0.35">
      <c r="A164" s="1"/>
      <c r="F164" s="112" t="s">
        <v>212</v>
      </c>
      <c r="Y164" s="163"/>
    </row>
    <row r="165" spans="1:25" ht="13" x14ac:dyDescent="0.3">
      <c r="A165" s="508"/>
      <c r="F165" s="112" t="s">
        <v>29</v>
      </c>
      <c r="Y165" s="163"/>
    </row>
    <row r="166" spans="1:25" ht="13" x14ac:dyDescent="0.3">
      <c r="A166" s="160"/>
      <c r="F166" s="112" t="s">
        <v>84</v>
      </c>
    </row>
    <row r="167" spans="1:25" ht="13" x14ac:dyDescent="0.3">
      <c r="A167" s="170"/>
      <c r="F167" s="112" t="s">
        <v>82</v>
      </c>
    </row>
    <row r="168" spans="1:25" ht="13" x14ac:dyDescent="0.3">
      <c r="A168" s="215"/>
      <c r="F168" s="112" t="s">
        <v>213</v>
      </c>
    </row>
    <row r="169" spans="1:25" ht="13" x14ac:dyDescent="0.3">
      <c r="A169" s="215"/>
      <c r="F169" s="112" t="s">
        <v>214</v>
      </c>
    </row>
    <row r="170" spans="1:25" ht="13" x14ac:dyDescent="0.3">
      <c r="A170" s="215"/>
      <c r="F170" s="112" t="s">
        <v>215</v>
      </c>
    </row>
    <row r="171" spans="1:25" ht="13" x14ac:dyDescent="0.3">
      <c r="A171" s="215"/>
      <c r="F171" s="112" t="s">
        <v>216</v>
      </c>
    </row>
    <row r="172" spans="1:25" ht="13" x14ac:dyDescent="0.3">
      <c r="A172" s="215"/>
      <c r="F172" s="112" t="s">
        <v>145</v>
      </c>
    </row>
    <row r="173" spans="1:25" ht="13" x14ac:dyDescent="0.3">
      <c r="A173" s="215"/>
      <c r="F173" s="112" t="s">
        <v>85</v>
      </c>
    </row>
    <row r="174" spans="1:25" ht="13" x14ac:dyDescent="0.3">
      <c r="A174" s="215"/>
      <c r="F174" s="112" t="s">
        <v>130</v>
      </c>
      <c r="P174" s="163"/>
      <c r="Q174" s="163"/>
      <c r="R174" s="163"/>
      <c r="S174" s="163"/>
      <c r="T174" s="163"/>
      <c r="U174" s="163"/>
      <c r="V174" s="163"/>
      <c r="W174" s="163"/>
    </row>
    <row r="175" spans="1:25" ht="13" x14ac:dyDescent="0.3">
      <c r="A175" s="215"/>
      <c r="F175" s="112" t="s">
        <v>217</v>
      </c>
      <c r="N175" s="164"/>
      <c r="O175" s="163"/>
      <c r="P175" s="176"/>
      <c r="Q175" s="176"/>
      <c r="R175" s="176"/>
      <c r="S175" s="176"/>
      <c r="T175" s="176"/>
      <c r="U175" s="176"/>
      <c r="V175" s="176"/>
      <c r="W175" s="176"/>
    </row>
    <row r="176" spans="1:25" ht="13" x14ac:dyDescent="0.3">
      <c r="A176" s="170"/>
      <c r="F176" s="112" t="s">
        <v>218</v>
      </c>
      <c r="N176" s="164"/>
      <c r="O176" s="163"/>
      <c r="P176" s="176"/>
      <c r="Q176" s="176"/>
      <c r="R176" s="176"/>
      <c r="S176" s="176"/>
      <c r="T176" s="176"/>
      <c r="U176" s="176"/>
      <c r="V176" s="176"/>
      <c r="W176" s="176"/>
    </row>
    <row r="177" spans="1:25" ht="13" x14ac:dyDescent="0.3">
      <c r="A177" s="160" t="s">
        <v>70</v>
      </c>
      <c r="F177" s="112" t="s">
        <v>103</v>
      </c>
      <c r="N177" s="164"/>
      <c r="O177" s="163"/>
      <c r="P177" s="176"/>
      <c r="Q177" s="176"/>
      <c r="R177" s="176"/>
      <c r="S177" s="176"/>
      <c r="T177" s="176"/>
      <c r="U177" s="176"/>
      <c r="V177" s="176"/>
      <c r="W177" s="176"/>
    </row>
    <row r="178" spans="1:25" ht="13" x14ac:dyDescent="0.3">
      <c r="A178" s="160" t="s">
        <v>144</v>
      </c>
      <c r="F178" s="112" t="s">
        <v>83</v>
      </c>
      <c r="N178" s="164"/>
      <c r="O178" s="163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</row>
    <row r="179" spans="1:25" ht="13" x14ac:dyDescent="0.3">
      <c r="A179" s="160"/>
      <c r="F179" s="112" t="s">
        <v>219</v>
      </c>
      <c r="N179" s="164"/>
      <c r="O179" s="163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</row>
    <row r="180" spans="1:25" ht="13" x14ac:dyDescent="0.3">
      <c r="A180" s="160" t="s">
        <v>70</v>
      </c>
      <c r="F180" s="112" t="s">
        <v>220</v>
      </c>
      <c r="N180" s="164"/>
      <c r="O180" s="163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</row>
    <row r="181" spans="1:25" ht="13" x14ac:dyDescent="0.3">
      <c r="A181" s="160" t="s">
        <v>144</v>
      </c>
      <c r="F181" s="112" t="s">
        <v>221</v>
      </c>
      <c r="N181" s="164"/>
      <c r="O181" s="163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</row>
    <row r="182" spans="1:25" ht="13" x14ac:dyDescent="0.3">
      <c r="A182" s="160"/>
      <c r="F182" s="112" t="s">
        <v>222</v>
      </c>
      <c r="N182" s="164"/>
      <c r="O182" s="163"/>
    </row>
    <row r="183" spans="1:25" ht="13" x14ac:dyDescent="0.3">
      <c r="A183" s="160"/>
      <c r="F183" s="112"/>
    </row>
    <row r="184" spans="1:25" x14ac:dyDescent="0.25">
      <c r="A184" s="160"/>
    </row>
    <row r="185" spans="1:25" ht="13" thickBot="1" x14ac:dyDescent="0.3">
      <c r="A185" s="160"/>
    </row>
    <row r="186" spans="1:25" ht="13.5" thickBot="1" x14ac:dyDescent="0.35">
      <c r="A186" s="509" t="str">
        <f>'[1]INPUT DATA'!F2</f>
        <v>Nomor Sertifikat : 10 /</v>
      </c>
      <c r="B186" s="510"/>
      <c r="C186" s="510"/>
      <c r="D186" s="511"/>
      <c r="E186" s="511"/>
      <c r="F186" s="511"/>
      <c r="G186" s="511"/>
      <c r="H186" s="511"/>
      <c r="I186" s="511"/>
      <c r="J186" s="512"/>
      <c r="K186" s="513"/>
    </row>
    <row r="187" spans="1:25" ht="13" x14ac:dyDescent="0.3">
      <c r="A187" s="514" t="s">
        <v>297</v>
      </c>
      <c r="B187" s="515"/>
      <c r="C187" s="515"/>
      <c r="D187" s="514"/>
      <c r="E187" s="514"/>
      <c r="F187" s="514"/>
      <c r="G187" s="514"/>
      <c r="H187" s="514"/>
      <c r="I187" s="514"/>
      <c r="J187" s="516"/>
      <c r="K187" s="517">
        <v>1</v>
      </c>
    </row>
    <row r="188" spans="1:25" ht="13.5" thickBot="1" x14ac:dyDescent="0.35">
      <c r="A188" s="518" t="s">
        <v>298</v>
      </c>
      <c r="B188" s="519"/>
      <c r="C188" s="519"/>
      <c r="D188" s="518"/>
      <c r="E188" s="518"/>
      <c r="F188" s="518"/>
      <c r="G188" s="518"/>
      <c r="H188" s="518"/>
      <c r="I188" s="518"/>
      <c r="J188" s="520"/>
      <c r="K188" s="521">
        <v>2</v>
      </c>
    </row>
    <row r="189" spans="1:25" ht="13.5" thickBot="1" x14ac:dyDescent="0.35">
      <c r="A189" s="1172">
        <f>VLOOKUP(A186,A187:K188,11,FALSE)</f>
        <v>1</v>
      </c>
      <c r="B189" s="1173"/>
      <c r="C189" s="1173"/>
      <c r="D189" s="1173"/>
      <c r="E189" s="1173"/>
      <c r="F189" s="1173"/>
      <c r="G189" s="1173"/>
      <c r="H189" s="1173"/>
      <c r="I189" s="1173"/>
      <c r="J189" s="1174"/>
      <c r="K189" s="513"/>
    </row>
    <row r="190" spans="1:25" ht="13.5" thickBot="1" x14ac:dyDescent="0.35">
      <c r="A190" s="162"/>
      <c r="B190" s="161"/>
      <c r="C190" s="161"/>
      <c r="D190" s="162"/>
      <c r="E190" s="162"/>
      <c r="F190" s="162"/>
      <c r="G190" s="162"/>
      <c r="H190" s="162"/>
      <c r="I190" s="162"/>
      <c r="J190" s="162"/>
      <c r="K190" s="162"/>
    </row>
    <row r="191" spans="1:25" ht="13.5" thickBot="1" x14ac:dyDescent="0.35">
      <c r="A191" s="1175">
        <f>A189</f>
        <v>1</v>
      </c>
      <c r="B191" s="1176"/>
      <c r="C191" s="1176"/>
      <c r="D191" s="1176"/>
      <c r="E191" s="1176"/>
      <c r="F191" s="1176"/>
      <c r="G191" s="1176"/>
      <c r="H191" s="1176"/>
      <c r="I191" s="1177"/>
      <c r="J191" s="162"/>
      <c r="K191" s="162"/>
    </row>
    <row r="192" spans="1:25" ht="13" x14ac:dyDescent="0.3">
      <c r="A192" s="522">
        <v>1</v>
      </c>
      <c r="B192" s="523" t="s">
        <v>299</v>
      </c>
      <c r="C192" s="515"/>
      <c r="D192" s="514"/>
      <c r="E192" s="514"/>
      <c r="F192" s="514"/>
      <c r="G192" s="514"/>
      <c r="H192" s="514"/>
      <c r="I192" s="524"/>
      <c r="J192" s="162"/>
      <c r="K192" s="162"/>
    </row>
    <row r="193" spans="1:11" ht="13.5" thickBot="1" x14ac:dyDescent="0.35">
      <c r="A193" s="525">
        <v>2</v>
      </c>
      <c r="B193" s="526" t="s">
        <v>300</v>
      </c>
      <c r="C193" s="519"/>
      <c r="D193" s="518"/>
      <c r="E193" s="518"/>
      <c r="F193" s="518"/>
      <c r="G193" s="518"/>
      <c r="H193" s="518"/>
      <c r="I193" s="527"/>
      <c r="J193" s="162"/>
      <c r="K193" s="162"/>
    </row>
    <row r="194" spans="1:11" ht="13.5" thickBot="1" x14ac:dyDescent="0.35">
      <c r="A194" s="509" t="str">
        <f>VLOOKUP(A191,A192:G193,2,FALSE)</f>
        <v>Alat yang dikalibrasi dalam batas toleransi dan dinyatakan LAIK PAKAI, dimana hasil atau skor akhir sama dengan atau melampaui 70% berdasarkan Keputusan Direktur Jenderal Pelayanan Kesehatan No : HK.02.02/V/5771/2018</v>
      </c>
      <c r="B194" s="528"/>
      <c r="C194" s="528"/>
      <c r="D194" s="529"/>
      <c r="E194" s="529"/>
      <c r="F194" s="529"/>
      <c r="G194" s="529"/>
      <c r="H194" s="529"/>
      <c r="I194" s="530"/>
      <c r="J194" s="162"/>
      <c r="K194" s="162"/>
    </row>
    <row r="198" spans="1:11" ht="13" x14ac:dyDescent="0.25">
      <c r="A198" s="523" t="s">
        <v>301</v>
      </c>
    </row>
    <row r="199" spans="1:11" ht="13" x14ac:dyDescent="0.25">
      <c r="A199" s="526" t="s">
        <v>302</v>
      </c>
    </row>
    <row r="201" spans="1:11" x14ac:dyDescent="0.25">
      <c r="A201" s="160" t="s">
        <v>303</v>
      </c>
    </row>
    <row r="205" spans="1:11" x14ac:dyDescent="0.25">
      <c r="A205" s="281" t="str">
        <f>'[1]INPUT DATA'!C30</f>
        <v>Arus bocor peralatan untuk peralatan elektromedik kelas II</v>
      </c>
    </row>
    <row r="206" spans="1:11" ht="13" x14ac:dyDescent="0.25">
      <c r="A206" s="531" t="s">
        <v>274</v>
      </c>
      <c r="B206" s="281"/>
      <c r="C206" s="281"/>
      <c r="D206" s="281"/>
      <c r="E206" s="281"/>
      <c r="F206" s="281"/>
      <c r="G206" s="532">
        <v>500</v>
      </c>
    </row>
    <row r="207" spans="1:11" ht="13" x14ac:dyDescent="0.25">
      <c r="A207" s="531" t="s">
        <v>265</v>
      </c>
      <c r="B207" s="281"/>
      <c r="C207" s="281"/>
      <c r="D207" s="281"/>
      <c r="E207" s="281"/>
      <c r="F207" s="281"/>
      <c r="G207" s="532">
        <v>100</v>
      </c>
    </row>
    <row r="208" spans="1:11" x14ac:dyDescent="0.25">
      <c r="A208" s="281">
        <f>VLOOKUP(A205,A206:G207,7,FALSE)</f>
        <v>100</v>
      </c>
    </row>
    <row r="209" spans="1:10" ht="13" thickBot="1" x14ac:dyDescent="0.3"/>
    <row r="210" spans="1:10" x14ac:dyDescent="0.25">
      <c r="A210" s="1181"/>
      <c r="B210" s="1182"/>
      <c r="C210" s="1182"/>
      <c r="D210" s="1182"/>
      <c r="E210" s="1182"/>
      <c r="F210" s="1182"/>
      <c r="G210" s="1182"/>
      <c r="H210" s="1182"/>
      <c r="I210" s="1183"/>
      <c r="J210" s="281"/>
    </row>
    <row r="211" spans="1:10" ht="15" customHeight="1" x14ac:dyDescent="0.25">
      <c r="A211" s="1184"/>
      <c r="B211" s="1185"/>
      <c r="C211" s="1185"/>
      <c r="D211" s="1185"/>
      <c r="E211" s="1185"/>
      <c r="F211" s="1185"/>
      <c r="G211" s="1185"/>
      <c r="H211" s="1185"/>
      <c r="I211" s="1186"/>
      <c r="J211" s="281"/>
    </row>
    <row r="212" spans="1:10" ht="15" customHeight="1" x14ac:dyDescent="0.25">
      <c r="A212" s="1184"/>
      <c r="B212" s="1185"/>
      <c r="C212" s="1185"/>
      <c r="D212" s="1185"/>
      <c r="E212" s="1185"/>
      <c r="F212" s="1185"/>
      <c r="G212" s="1185"/>
      <c r="H212" s="1185"/>
      <c r="I212" s="1186"/>
      <c r="J212" s="281"/>
    </row>
    <row r="213" spans="1:10" ht="15" customHeight="1" x14ac:dyDescent="0.25">
      <c r="A213" s="1184"/>
      <c r="B213" s="1185"/>
      <c r="C213" s="1185"/>
      <c r="D213" s="1185"/>
      <c r="E213" s="1185"/>
      <c r="F213" s="1185"/>
      <c r="G213" s="1185"/>
      <c r="H213" s="1185"/>
      <c r="I213" s="1186"/>
      <c r="J213" s="281"/>
    </row>
    <row r="214" spans="1:10" ht="15" customHeight="1" x14ac:dyDescent="0.25">
      <c r="A214" s="1178"/>
      <c r="B214" s="1179"/>
      <c r="C214" s="1179"/>
      <c r="D214" s="1179"/>
      <c r="E214" s="1179"/>
      <c r="F214" s="1179"/>
      <c r="G214" s="1179"/>
      <c r="H214" s="1179"/>
      <c r="I214" s="1180"/>
      <c r="J214" s="281"/>
    </row>
    <row r="215" spans="1:10" ht="15" customHeight="1" x14ac:dyDescent="0.25">
      <c r="A215" s="1178"/>
      <c r="B215" s="1179"/>
      <c r="C215" s="1179"/>
      <c r="D215" s="1179"/>
      <c r="E215" s="1179"/>
      <c r="F215" s="1179"/>
      <c r="G215" s="1179"/>
      <c r="H215" s="1179"/>
      <c r="I215" s="1180"/>
      <c r="J215" s="281"/>
    </row>
    <row r="216" spans="1:10" ht="15" customHeight="1" x14ac:dyDescent="0.25">
      <c r="A216" s="1178"/>
      <c r="B216" s="1179"/>
      <c r="C216" s="1179"/>
      <c r="D216" s="1179"/>
      <c r="E216" s="1179"/>
      <c r="F216" s="1179"/>
      <c r="G216" s="1179"/>
      <c r="H216" s="1179"/>
      <c r="I216" s="1180"/>
      <c r="J216" s="281"/>
    </row>
    <row r="217" spans="1:10" ht="15" customHeight="1" x14ac:dyDescent="0.25">
      <c r="A217" s="1178"/>
      <c r="B217" s="1179"/>
      <c r="C217" s="1179"/>
      <c r="D217" s="1179"/>
      <c r="E217" s="1179"/>
      <c r="F217" s="1179"/>
      <c r="G217" s="1179"/>
      <c r="H217" s="1179"/>
      <c r="I217" s="1180"/>
      <c r="J217" s="281"/>
    </row>
    <row r="218" spans="1:10" ht="15" customHeight="1" x14ac:dyDescent="0.25">
      <c r="A218" s="1178"/>
      <c r="B218" s="1179"/>
      <c r="C218" s="1179"/>
      <c r="D218" s="1179"/>
      <c r="E218" s="1179"/>
      <c r="F218" s="1179"/>
      <c r="G218" s="1179"/>
      <c r="H218" s="1179"/>
      <c r="I218" s="1180"/>
      <c r="J218" s="281"/>
    </row>
    <row r="219" spans="1:10" ht="15" customHeight="1" x14ac:dyDescent="0.25">
      <c r="A219" s="1178"/>
      <c r="B219" s="1179"/>
      <c r="C219" s="1179"/>
      <c r="D219" s="1179"/>
      <c r="E219" s="1179"/>
      <c r="F219" s="1179"/>
      <c r="G219" s="1179"/>
      <c r="H219" s="1179"/>
      <c r="I219" s="1180"/>
      <c r="J219" s="281"/>
    </row>
    <row r="220" spans="1:10" ht="13" thickBot="1" x14ac:dyDescent="0.3">
      <c r="A220" s="533"/>
      <c r="B220" s="534"/>
      <c r="C220" s="534"/>
      <c r="D220" s="534"/>
      <c r="E220" s="534"/>
      <c r="F220" s="534"/>
      <c r="G220" s="534"/>
      <c r="H220" s="534"/>
      <c r="I220" s="534"/>
      <c r="J220" s="535"/>
    </row>
    <row r="221" spans="1:10" ht="13" thickBot="1" x14ac:dyDescent="0.3">
      <c r="A221" s="536"/>
      <c r="B221" s="537"/>
      <c r="C221" s="537"/>
      <c r="D221" s="537"/>
      <c r="E221" s="537"/>
      <c r="F221" s="537"/>
      <c r="G221" s="537"/>
      <c r="H221" s="537"/>
      <c r="I221" s="537"/>
      <c r="J221" s="538"/>
    </row>
  </sheetData>
  <mergeCells count="129">
    <mergeCell ref="A216:I216"/>
    <mergeCell ref="A217:I217"/>
    <mergeCell ref="A218:I218"/>
    <mergeCell ref="A219:I219"/>
    <mergeCell ref="A210:I210"/>
    <mergeCell ref="A211:I211"/>
    <mergeCell ref="A212:I212"/>
    <mergeCell ref="A213:I213"/>
    <mergeCell ref="A214:I214"/>
    <mergeCell ref="A215:I215"/>
    <mergeCell ref="L160:M160"/>
    <mergeCell ref="A161:K161"/>
    <mergeCell ref="L161:M161"/>
    <mergeCell ref="P160:AA160"/>
    <mergeCell ref="A189:J189"/>
    <mergeCell ref="A191:I191"/>
    <mergeCell ref="L154:M154"/>
    <mergeCell ref="L155:M155"/>
    <mergeCell ref="L156:M156"/>
    <mergeCell ref="L157:M157"/>
    <mergeCell ref="L158:M158"/>
    <mergeCell ref="L159:M159"/>
    <mergeCell ref="I150:J150"/>
    <mergeCell ref="L150:M150"/>
    <mergeCell ref="P150:AA150"/>
    <mergeCell ref="L151:M151"/>
    <mergeCell ref="L152:M152"/>
    <mergeCell ref="L153:M153"/>
    <mergeCell ref="A134:D134"/>
    <mergeCell ref="F134:I134"/>
    <mergeCell ref="K134:N134"/>
    <mergeCell ref="J145:J148"/>
    <mergeCell ref="A138:D138"/>
    <mergeCell ref="F138:I138"/>
    <mergeCell ref="A126:D126"/>
    <mergeCell ref="F126:I126"/>
    <mergeCell ref="A130:D130"/>
    <mergeCell ref="F130:I130"/>
    <mergeCell ref="K130:N130"/>
    <mergeCell ref="A101:A110"/>
    <mergeCell ref="H101:H104"/>
    <mergeCell ref="H106:H109"/>
    <mergeCell ref="B113:E113"/>
    <mergeCell ref="H113:K113"/>
    <mergeCell ref="B114:C114"/>
    <mergeCell ref="E114:E115"/>
    <mergeCell ref="H114:I114"/>
    <mergeCell ref="K114:K115"/>
    <mergeCell ref="A91:A100"/>
    <mergeCell ref="H91:H94"/>
    <mergeCell ref="J91:J100"/>
    <mergeCell ref="Q91:Q94"/>
    <mergeCell ref="H96:H99"/>
    <mergeCell ref="Q96:Q99"/>
    <mergeCell ref="A81:A90"/>
    <mergeCell ref="H81:H84"/>
    <mergeCell ref="J81:J90"/>
    <mergeCell ref="Q81:Q84"/>
    <mergeCell ref="H86:H89"/>
    <mergeCell ref="Q86:Q89"/>
    <mergeCell ref="A61:A70"/>
    <mergeCell ref="H61:H64"/>
    <mergeCell ref="J61:J70"/>
    <mergeCell ref="H66:H69"/>
    <mergeCell ref="A71:A80"/>
    <mergeCell ref="H71:H74"/>
    <mergeCell ref="J71:J80"/>
    <mergeCell ref="H76:H79"/>
    <mergeCell ref="J58:J60"/>
    <mergeCell ref="K58:K60"/>
    <mergeCell ref="L58:L59"/>
    <mergeCell ref="M58:N59"/>
    <mergeCell ref="P58:P60"/>
    <mergeCell ref="Q58:Q60"/>
    <mergeCell ref="K43:K45"/>
    <mergeCell ref="B44:C44"/>
    <mergeCell ref="H44:I44"/>
    <mergeCell ref="A55:Q55"/>
    <mergeCell ref="A58:A60"/>
    <mergeCell ref="B58:B60"/>
    <mergeCell ref="C58:C59"/>
    <mergeCell ref="D58:E59"/>
    <mergeCell ref="G58:G60"/>
    <mergeCell ref="H58:H60"/>
    <mergeCell ref="A43:C43"/>
    <mergeCell ref="D43:D45"/>
    <mergeCell ref="E43:E45"/>
    <mergeCell ref="G43:I43"/>
    <mergeCell ref="J43:J45"/>
    <mergeCell ref="K30:K32"/>
    <mergeCell ref="B31:C31"/>
    <mergeCell ref="H31:I31"/>
    <mergeCell ref="A42:E42"/>
    <mergeCell ref="G42:K42"/>
    <mergeCell ref="Q3:Q5"/>
    <mergeCell ref="B4:C4"/>
    <mergeCell ref="H4:I4"/>
    <mergeCell ref="N4:O4"/>
    <mergeCell ref="A15:E15"/>
    <mergeCell ref="G15:K15"/>
    <mergeCell ref="M15:Q15"/>
    <mergeCell ref="A30:C30"/>
    <mergeCell ref="D30:D32"/>
    <mergeCell ref="E30:E32"/>
    <mergeCell ref="F30:F54"/>
    <mergeCell ref="G30:I30"/>
    <mergeCell ref="J30:J32"/>
    <mergeCell ref="D16:D18"/>
    <mergeCell ref="E16:E18"/>
    <mergeCell ref="G16:I16"/>
    <mergeCell ref="J16:J18"/>
    <mergeCell ref="A2:Q2"/>
    <mergeCell ref="A3:C3"/>
    <mergeCell ref="D3:D5"/>
    <mergeCell ref="E3:E5"/>
    <mergeCell ref="F3:F27"/>
    <mergeCell ref="G3:I3"/>
    <mergeCell ref="J3:J5"/>
    <mergeCell ref="K3:K5"/>
    <mergeCell ref="M3:O3"/>
    <mergeCell ref="P3:P5"/>
    <mergeCell ref="M16:O16"/>
    <mergeCell ref="P16:P18"/>
    <mergeCell ref="Q16:Q18"/>
    <mergeCell ref="B17:C17"/>
    <mergeCell ref="H17:I17"/>
    <mergeCell ref="N17:O17"/>
    <mergeCell ref="A16:C16"/>
    <mergeCell ref="K16:K18"/>
  </mergeCells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F64"/>
  <sheetViews>
    <sheetView showGridLines="0" view="pageBreakPreview" topLeftCell="A21" zoomScaleNormal="100" zoomScaleSheetLayoutView="100" workbookViewId="0">
      <selection activeCell="J25" sqref="J25"/>
    </sheetView>
  </sheetViews>
  <sheetFormatPr defaultColWidth="9.1796875" defaultRowHeight="15.5" x14ac:dyDescent="0.35"/>
  <cols>
    <col min="1" max="1" width="4.1796875" style="454" customWidth="1"/>
    <col min="2" max="2" width="6.81640625" style="454" customWidth="1"/>
    <col min="3" max="3" width="15.1796875" style="454" customWidth="1"/>
    <col min="4" max="4" width="10.26953125" style="454" customWidth="1"/>
    <col min="5" max="5" width="8.453125" style="454" customWidth="1"/>
    <col min="6" max="6" width="7.7265625" style="454" customWidth="1"/>
    <col min="7" max="7" width="6.7265625" style="454" customWidth="1"/>
    <col min="8" max="8" width="13.1796875" style="454" customWidth="1"/>
    <col min="9" max="9" width="6.7265625" style="454" customWidth="1"/>
    <col min="10" max="10" width="7.7265625" style="454" customWidth="1"/>
    <col min="11" max="11" width="6.7265625" style="454" customWidth="1"/>
    <col min="12" max="12" width="6.26953125" style="454" customWidth="1"/>
    <col min="13" max="13" width="7.54296875" style="454" customWidth="1"/>
    <col min="14" max="14" width="11.26953125" style="454" customWidth="1"/>
    <col min="15" max="15" width="4.1796875" style="454" customWidth="1"/>
    <col min="16" max="16" width="5.54296875" style="454" customWidth="1"/>
    <col min="17" max="17" width="7" style="454" customWidth="1"/>
    <col min="18" max="18" width="7.81640625" style="454" hidden="1" customWidth="1"/>
    <col min="19" max="19" width="6.7265625" style="454" hidden="1" customWidth="1"/>
    <col min="20" max="20" width="6.7265625" style="454" customWidth="1"/>
    <col min="21" max="21" width="9.7265625" style="454" customWidth="1"/>
    <col min="22" max="22" width="9.54296875" style="454" customWidth="1"/>
    <col min="23" max="26" width="6.7265625" style="454" customWidth="1"/>
    <col min="27" max="16384" width="9.1796875" style="454"/>
  </cols>
  <sheetData>
    <row r="1" spans="1:20" ht="18" x14ac:dyDescent="0.4">
      <c r="A1" s="1226" t="s">
        <v>365</v>
      </c>
      <c r="B1" s="1226"/>
      <c r="C1" s="1226"/>
      <c r="D1" s="1226"/>
      <c r="E1" s="1226"/>
      <c r="F1" s="1226"/>
      <c r="G1" s="1226"/>
      <c r="H1" s="1226"/>
      <c r="I1" s="1226"/>
      <c r="J1" s="1226"/>
      <c r="K1" s="1226"/>
      <c r="L1" s="1226"/>
      <c r="M1" s="1226"/>
      <c r="N1" s="1226"/>
      <c r="O1" s="1226"/>
      <c r="P1" s="1226"/>
      <c r="Q1" s="860"/>
    </row>
    <row r="2" spans="1:20" ht="16.5" x14ac:dyDescent="0.35">
      <c r="A2" s="1218" t="str">
        <f>Q2&amp;ID!C2&amp;ID!I2&amp;ID!J2</f>
        <v xml:space="preserve">   Nomor Sertifikat : 52 / 1 / III - 20 / E - 00-00 DL</v>
      </c>
      <c r="B2" s="1218"/>
      <c r="C2" s="1218"/>
      <c r="D2" s="1218"/>
      <c r="E2" s="1218"/>
      <c r="F2" s="1218"/>
      <c r="G2" s="1218"/>
      <c r="H2" s="1218"/>
      <c r="I2" s="1218"/>
      <c r="J2" s="1218"/>
      <c r="K2" s="1218"/>
      <c r="L2" s="1218"/>
      <c r="M2" s="1218"/>
      <c r="N2" s="1218"/>
      <c r="O2" s="1218"/>
      <c r="P2" s="1218"/>
      <c r="Q2" s="861" t="s">
        <v>357</v>
      </c>
    </row>
    <row r="3" spans="1:20" ht="15.75" customHeight="1" x14ac:dyDescent="0.35"/>
    <row r="4" spans="1:20" x14ac:dyDescent="0.35">
      <c r="A4" s="345" t="s">
        <v>25</v>
      </c>
      <c r="D4" s="862" t="s">
        <v>61</v>
      </c>
      <c r="E4" s="863" t="str">
        <f>ID!E4</f>
        <v>BTL</v>
      </c>
      <c r="F4" s="863"/>
      <c r="G4" s="863"/>
      <c r="K4" s="862"/>
      <c r="L4" s="1231"/>
      <c r="M4" s="1231"/>
      <c r="N4" s="1231"/>
      <c r="O4" s="1231"/>
    </row>
    <row r="5" spans="1:20" x14ac:dyDescent="0.35">
      <c r="A5" s="345" t="s">
        <v>24</v>
      </c>
      <c r="D5" s="862" t="s">
        <v>61</v>
      </c>
      <c r="E5" s="863" t="str">
        <f>ID!E5</f>
        <v>BTL - 16 Plus</v>
      </c>
      <c r="F5" s="863"/>
      <c r="G5" s="863"/>
      <c r="K5" s="862"/>
      <c r="L5" s="1231"/>
      <c r="M5" s="1231"/>
      <c r="N5" s="1231"/>
      <c r="O5" s="1231"/>
      <c r="T5" s="454" t="s">
        <v>159</v>
      </c>
    </row>
    <row r="6" spans="1:20" x14ac:dyDescent="0.35">
      <c r="A6" s="345" t="s">
        <v>0</v>
      </c>
      <c r="D6" s="862" t="s">
        <v>61</v>
      </c>
      <c r="E6" s="863" t="str">
        <f>ID!E6</f>
        <v>IC3121005</v>
      </c>
      <c r="F6" s="863"/>
      <c r="G6" s="863"/>
      <c r="K6" s="862"/>
      <c r="L6" s="1231"/>
      <c r="M6" s="1231"/>
      <c r="N6" s="1231"/>
      <c r="O6" s="1231"/>
    </row>
    <row r="7" spans="1:20" x14ac:dyDescent="0.35">
      <c r="A7" s="345" t="s">
        <v>252</v>
      </c>
      <c r="D7" s="862" t="s">
        <v>61</v>
      </c>
      <c r="E7" s="864">
        <f>ID!E7</f>
        <v>1</v>
      </c>
      <c r="F7" s="863"/>
      <c r="G7" s="863"/>
      <c r="K7" s="862"/>
      <c r="L7" s="865"/>
      <c r="M7" s="865"/>
      <c r="N7" s="865"/>
      <c r="O7" s="865"/>
    </row>
    <row r="8" spans="1:20" x14ac:dyDescent="0.35">
      <c r="A8" s="345" t="str">
        <f>ID!A8</f>
        <v>Tanggal Penerimaan Alat</v>
      </c>
      <c r="D8" s="862" t="s">
        <v>61</v>
      </c>
      <c r="E8" s="1225">
        <f>ID!E8</f>
        <v>44572</v>
      </c>
      <c r="F8" s="1225"/>
      <c r="G8" s="1225"/>
      <c r="K8" s="862"/>
      <c r="L8" s="865"/>
      <c r="M8" s="865"/>
      <c r="N8" s="865"/>
      <c r="O8" s="865"/>
    </row>
    <row r="9" spans="1:20" x14ac:dyDescent="0.35">
      <c r="A9" s="348" t="s">
        <v>14</v>
      </c>
      <c r="D9" s="862" t="s">
        <v>61</v>
      </c>
      <c r="E9" s="1225">
        <f>ID!E9</f>
        <v>44572</v>
      </c>
      <c r="F9" s="1225"/>
      <c r="G9" s="1225"/>
      <c r="K9" s="862"/>
      <c r="L9" s="865"/>
    </row>
    <row r="10" spans="1:20" x14ac:dyDescent="0.35">
      <c r="A10" s="348" t="s">
        <v>15</v>
      </c>
      <c r="D10" s="862" t="s">
        <v>61</v>
      </c>
      <c r="E10" s="863" t="str">
        <f>ID!E10</f>
        <v>Disini</v>
      </c>
      <c r="F10" s="866"/>
      <c r="G10" s="866"/>
    </row>
    <row r="11" spans="1:20" ht="15.75" customHeight="1" x14ac:dyDescent="0.35">
      <c r="A11" s="348" t="s">
        <v>27</v>
      </c>
      <c r="D11" s="862" t="s">
        <v>61</v>
      </c>
      <c r="E11" s="863" t="str">
        <f>ID!E11</f>
        <v>Disana</v>
      </c>
    </row>
    <row r="12" spans="1:20" ht="15.75" customHeight="1" x14ac:dyDescent="0.35">
      <c r="A12" s="345" t="s">
        <v>16</v>
      </c>
      <c r="D12" s="862" t="s">
        <v>61</v>
      </c>
      <c r="E12" s="863" t="str">
        <f>ID!E12</f>
        <v>MK 053 - 18</v>
      </c>
    </row>
    <row r="13" spans="1:20" ht="15.75" customHeight="1" x14ac:dyDescent="0.35"/>
    <row r="14" spans="1:20" ht="16.5" customHeight="1" x14ac:dyDescent="0.35">
      <c r="A14" s="363" t="s">
        <v>17</v>
      </c>
      <c r="B14" s="363" t="s">
        <v>18</v>
      </c>
      <c r="C14" s="362"/>
    </row>
    <row r="15" spans="1:20" x14ac:dyDescent="0.35">
      <c r="B15" s="454" t="s">
        <v>26</v>
      </c>
      <c r="D15" s="862" t="s">
        <v>61</v>
      </c>
      <c r="E15" s="867" t="str">
        <f>'DB Thermohygro (2)'!L345</f>
        <v>( 27.3 ± 0.5 ) °C</v>
      </c>
      <c r="F15" s="868"/>
    </row>
    <row r="16" spans="1:20" x14ac:dyDescent="0.35">
      <c r="B16" s="454" t="s">
        <v>132</v>
      </c>
      <c r="D16" s="862" t="s">
        <v>61</v>
      </c>
      <c r="E16" s="867" t="str">
        <f>'DB Thermohygro (2)'!L346</f>
        <v>( 58.9 ± 2.6 ) %RH</v>
      </c>
      <c r="F16" s="868"/>
    </row>
    <row r="17" spans="1:32" x14ac:dyDescent="0.35">
      <c r="B17" s="454" t="s">
        <v>124</v>
      </c>
      <c r="D17" s="862" t="s">
        <v>61</v>
      </c>
      <c r="E17" s="465">
        <f>'DB Kelistrikan'!O268</f>
        <v>199.99005</v>
      </c>
      <c r="F17" s="345" t="s">
        <v>119</v>
      </c>
      <c r="G17" s="869"/>
      <c r="H17" s="869"/>
      <c r="I17" s="869"/>
    </row>
    <row r="18" spans="1:32" ht="15.75" customHeight="1" x14ac:dyDescent="0.35"/>
    <row r="19" spans="1:32" x14ac:dyDescent="0.35">
      <c r="A19" s="870" t="s">
        <v>19</v>
      </c>
      <c r="B19" s="871" t="s">
        <v>260</v>
      </c>
      <c r="C19" s="870"/>
      <c r="D19" s="870"/>
      <c r="E19" s="870"/>
      <c r="F19" s="870"/>
      <c r="G19" s="870"/>
      <c r="H19" s="870"/>
      <c r="O19" s="1191" t="s">
        <v>267</v>
      </c>
      <c r="P19" s="1191"/>
    </row>
    <row r="20" spans="1:32" x14ac:dyDescent="0.35">
      <c r="B20" s="454" t="s">
        <v>20</v>
      </c>
      <c r="D20" s="862" t="s">
        <v>61</v>
      </c>
      <c r="E20" s="454" t="str">
        <f>ID!E20</f>
        <v>Baik</v>
      </c>
      <c r="O20" s="1192">
        <f>IF(E20="Baik",5,0)</f>
        <v>5</v>
      </c>
      <c r="P20" s="1192"/>
    </row>
    <row r="21" spans="1:32" x14ac:dyDescent="0.35">
      <c r="B21" s="454" t="s">
        <v>1</v>
      </c>
      <c r="D21" s="862" t="s">
        <v>61</v>
      </c>
      <c r="E21" s="454" t="str">
        <f>ID!E21</f>
        <v>Baik</v>
      </c>
      <c r="O21" s="1192">
        <f>IF(E21="Baik",5,0)</f>
        <v>5</v>
      </c>
      <c r="P21" s="1192"/>
    </row>
    <row r="22" spans="1:32" ht="15.75" customHeight="1" x14ac:dyDescent="0.35"/>
    <row r="23" spans="1:32" x14ac:dyDescent="0.35">
      <c r="A23" s="870" t="s">
        <v>2</v>
      </c>
      <c r="B23" s="870" t="str">
        <f>ID!B23</f>
        <v xml:space="preserve">Pengujian Keselamatan Listrik </v>
      </c>
      <c r="C23" s="870"/>
      <c r="D23" s="870"/>
      <c r="E23" s="870"/>
      <c r="F23" s="870"/>
    </row>
    <row r="24" spans="1:32" ht="41.15" customHeight="1" x14ac:dyDescent="0.35">
      <c r="B24" s="851" t="s">
        <v>262</v>
      </c>
      <c r="C24" s="1223" t="s">
        <v>4</v>
      </c>
      <c r="D24" s="1232"/>
      <c r="E24" s="1232"/>
      <c r="F24" s="1232"/>
      <c r="G24" s="1232"/>
      <c r="H24" s="1224"/>
      <c r="I24" s="1223" t="s">
        <v>78</v>
      </c>
      <c r="J24" s="1224"/>
      <c r="K24" s="1223" t="s">
        <v>121</v>
      </c>
      <c r="L24" s="1224"/>
      <c r="M24" s="1230"/>
      <c r="N24" s="1230"/>
      <c r="O24" s="1197" t="s">
        <v>267</v>
      </c>
      <c r="P24" s="1197"/>
    </row>
    <row r="25" spans="1:32" ht="16.5" customHeight="1" x14ac:dyDescent="0.35">
      <c r="B25" s="852">
        <v>1</v>
      </c>
      <c r="C25" s="853" t="str">
        <f>ID!C25</f>
        <v>Resistansi isolasi</v>
      </c>
      <c r="D25" s="854"/>
      <c r="E25" s="854"/>
      <c r="F25" s="854"/>
      <c r="G25" s="854"/>
      <c r="H25" s="854"/>
      <c r="I25" s="1528">
        <f>'DB Kelistrikan'!O269</f>
        <v>5.0474495153061225</v>
      </c>
      <c r="J25" s="943" t="s">
        <v>263</v>
      </c>
      <c r="K25" s="1524">
        <v>2</v>
      </c>
      <c r="L25" s="1233"/>
      <c r="M25" s="1203"/>
      <c r="N25" s="1203"/>
      <c r="O25" s="1198">
        <f>IF(I25="-",10,IF(I25="OL",10,IF(I25="NC",10,IF(I25&gt;K25,10,0))))</f>
        <v>10</v>
      </c>
      <c r="P25" s="1198"/>
      <c r="R25" s="1236"/>
      <c r="T25" s="1228">
        <f>IF(I27="-",40,VLOOKUP(B48,W25:AC28,7,FALSE))</f>
        <v>40</v>
      </c>
      <c r="U25" s="1228"/>
      <c r="V25" s="1229"/>
      <c r="W25" s="1227" t="s">
        <v>349</v>
      </c>
      <c r="X25" s="1227"/>
      <c r="Y25" s="1227"/>
      <c r="Z25" s="1227"/>
      <c r="AA25" s="872" t="s">
        <v>346</v>
      </c>
      <c r="AB25" s="872">
        <f>ID!AX21</f>
        <v>20</v>
      </c>
      <c r="AC25" s="1227">
        <f>IF(I27&lt;=K27,SUM(O25:P27),0)</f>
        <v>40</v>
      </c>
    </row>
    <row r="26" spans="1:32" ht="16.5" customHeight="1" x14ac:dyDescent="0.35">
      <c r="B26" s="311">
        <v>2</v>
      </c>
      <c r="C26" s="312" t="str">
        <f>ID!C26</f>
        <v>Resistansi pembumian protektif</v>
      </c>
      <c r="D26" s="313"/>
      <c r="E26" s="314"/>
      <c r="F26" s="314"/>
      <c r="G26" s="314"/>
      <c r="H26" s="315"/>
      <c r="I26" s="1529">
        <f>'DB Kelistrikan'!O270</f>
        <v>0.10540602335966358</v>
      </c>
      <c r="J26" s="944" t="s">
        <v>264</v>
      </c>
      <c r="K26" s="1525">
        <v>0.2</v>
      </c>
      <c r="L26" s="1235"/>
      <c r="M26" s="1204"/>
      <c r="N26" s="1204"/>
      <c r="O26" s="1198">
        <f>IF(I26="-",10,IF(I26="OL",10,IF(I26="NC",10,IF(I26&lt;=K26,10,0))))</f>
        <v>10</v>
      </c>
      <c r="P26" s="1198"/>
      <c r="R26" s="1208"/>
      <c r="T26" s="1228"/>
      <c r="U26" s="1228"/>
      <c r="V26" s="1229"/>
      <c r="W26" s="1227"/>
      <c r="X26" s="1227"/>
      <c r="Y26" s="1227"/>
      <c r="Z26" s="1227"/>
      <c r="AA26" s="872" t="s">
        <v>347</v>
      </c>
      <c r="AB26" s="872">
        <f>ID!S26</f>
        <v>20</v>
      </c>
      <c r="AC26" s="1227"/>
      <c r="AE26" s="454">
        <f>IF(I26&lt;=K26,1,0)</f>
        <v>1</v>
      </c>
      <c r="AF26" s="1208" t="s">
        <v>405</v>
      </c>
    </row>
    <row r="27" spans="1:32" ht="16.5" customHeight="1" x14ac:dyDescent="0.35">
      <c r="B27" s="321">
        <v>3</v>
      </c>
      <c r="C27" s="1219" t="str">
        <f>ID!C27</f>
        <v>Arus bocor peralatan untuk peralatan elektromedik kelas I</v>
      </c>
      <c r="D27" s="1220"/>
      <c r="E27" s="1220"/>
      <c r="F27" s="1220"/>
      <c r="G27" s="1220"/>
      <c r="H27" s="1220"/>
      <c r="I27" s="1530">
        <f>'DB Kelistrikan'!O271</f>
        <v>20.400000588000012</v>
      </c>
      <c r="J27" s="322" t="s">
        <v>118</v>
      </c>
      <c r="K27" s="1526">
        <f>ID!K27</f>
        <v>500</v>
      </c>
      <c r="L27" s="1207"/>
      <c r="M27" s="1204"/>
      <c r="N27" s="1204"/>
      <c r="O27" s="1198">
        <f>IF(I27="-",20,IF(I27="OL",20,IF(I27="NC",20,IF(I27&lt;=K27,20,IF(ID!S26&lt;=100,20,0)))))</f>
        <v>20</v>
      </c>
      <c r="P27" s="1198"/>
      <c r="R27" s="1208"/>
      <c r="T27" s="1228"/>
      <c r="U27" s="1228"/>
      <c r="V27" s="1229"/>
      <c r="W27" s="1227" t="s">
        <v>65</v>
      </c>
      <c r="X27" s="1227"/>
      <c r="Y27" s="1227"/>
      <c r="Z27" s="1227"/>
      <c r="AA27" s="872" t="s">
        <v>348</v>
      </c>
      <c r="AB27" s="872">
        <f>AB25</f>
        <v>20</v>
      </c>
      <c r="AC27" s="1227">
        <f>IF(AB27&lt;=K27,SUM(O25:P27),IF(AB28&lt;=100,SUM(O25:P27),0))</f>
        <v>40</v>
      </c>
      <c r="AE27" s="454">
        <f>IF(I27&lt;=K27,1,0)</f>
        <v>1</v>
      </c>
      <c r="AF27" s="1208"/>
    </row>
    <row r="28" spans="1:32" ht="15.75" customHeight="1" x14ac:dyDescent="0.35">
      <c r="A28" s="873"/>
      <c r="H28" s="874"/>
      <c r="I28" s="875"/>
      <c r="N28" s="869"/>
      <c r="O28" s="869"/>
      <c r="T28" s="1228"/>
      <c r="U28" s="1228"/>
      <c r="V28" s="1229"/>
      <c r="W28" s="1227"/>
      <c r="X28" s="1227"/>
      <c r="Y28" s="1227"/>
      <c r="Z28" s="1227"/>
      <c r="AA28" s="872" t="s">
        <v>347</v>
      </c>
      <c r="AB28" s="872">
        <f>AB26</f>
        <v>20</v>
      </c>
      <c r="AC28" s="1227"/>
    </row>
    <row r="29" spans="1:32" x14ac:dyDescent="0.35">
      <c r="A29" s="876" t="s">
        <v>3</v>
      </c>
      <c r="B29" s="876" t="str">
        <f>ID!B29</f>
        <v xml:space="preserve">Pengujian Kinerja </v>
      </c>
      <c r="C29" s="876"/>
      <c r="D29" s="876"/>
      <c r="E29" s="876"/>
      <c r="F29" s="863"/>
      <c r="G29" s="863"/>
      <c r="H29" s="863"/>
      <c r="I29" s="863"/>
      <c r="J29" s="877"/>
      <c r="K29" s="877"/>
      <c r="L29" s="877"/>
      <c r="M29" s="863"/>
      <c r="N29" s="863"/>
      <c r="O29" s="863"/>
    </row>
    <row r="30" spans="1:32" x14ac:dyDescent="0.35">
      <c r="A30" s="876"/>
      <c r="B30" s="876" t="str">
        <f>ID!B30</f>
        <v>A. Tekanan traksi</v>
      </c>
      <c r="C30" s="876"/>
      <c r="D30" s="876"/>
      <c r="E30" s="876"/>
      <c r="F30" s="863"/>
      <c r="G30" s="863"/>
      <c r="H30" s="863"/>
      <c r="I30" s="863"/>
      <c r="J30" s="877"/>
      <c r="K30" s="877"/>
      <c r="L30" s="877"/>
      <c r="M30" s="863"/>
      <c r="N30" s="863"/>
      <c r="O30" s="863"/>
    </row>
    <row r="31" spans="1:32" ht="41.25" customHeight="1" x14ac:dyDescent="0.35">
      <c r="B31" s="878" t="s">
        <v>21</v>
      </c>
      <c r="C31" s="879" t="s">
        <v>4</v>
      </c>
      <c r="D31" s="850" t="s">
        <v>135</v>
      </c>
      <c r="E31" s="1205" t="str">
        <f>LOOKUP(C32,'Cetik - Cetik'!I20:I21,'Cetik - Cetik'!I23:I24)</f>
        <v>Pembacaan Standar (Kg)</v>
      </c>
      <c r="F31" s="1205"/>
      <c r="G31" s="1205" t="s">
        <v>30</v>
      </c>
      <c r="H31" s="1205"/>
      <c r="I31" s="1205" t="s">
        <v>122</v>
      </c>
      <c r="J31" s="1205"/>
      <c r="K31" s="1205" t="s">
        <v>75</v>
      </c>
      <c r="L31" s="1205"/>
      <c r="M31" s="1206" t="s">
        <v>285</v>
      </c>
      <c r="N31" s="1206"/>
      <c r="U31" s="880" t="s">
        <v>267</v>
      </c>
      <c r="V31" s="881" t="s">
        <v>385</v>
      </c>
    </row>
    <row r="32" spans="1:32" ht="15.75" customHeight="1" x14ac:dyDescent="0.35">
      <c r="B32" s="397">
        <f>ID!B33</f>
        <v>1</v>
      </c>
      <c r="C32" s="1222" t="str">
        <f>ID!C33</f>
        <v>Traction           Control                  ( Kg )</v>
      </c>
      <c r="D32" s="882">
        <f>ID!D33</f>
        <v>10</v>
      </c>
      <c r="E32" s="1202">
        <f>ID!J33</f>
        <v>10</v>
      </c>
      <c r="F32" s="1202"/>
      <c r="G32" s="1202">
        <f>E32-D32</f>
        <v>0</v>
      </c>
      <c r="H32" s="1202"/>
      <c r="I32" s="1202">
        <f>(E32-D32)/D32*100</f>
        <v>0</v>
      </c>
      <c r="J32" s="1202"/>
      <c r="K32" s="1209">
        <v>10</v>
      </c>
      <c r="L32" s="1209"/>
      <c r="M32" s="469" t="s">
        <v>163</v>
      </c>
      <c r="N32" s="471">
        <f>UNCERT!J15</f>
        <v>5.7991892902930848</v>
      </c>
      <c r="R32" s="1208">
        <f>IF(T32=4,40,IF(T32=3,30,0))</f>
        <v>40</v>
      </c>
      <c r="S32" s="1188">
        <f>IF(T32&lt;20,0,T32)</f>
        <v>0</v>
      </c>
      <c r="T32" s="1187">
        <f>IF(SUM(U32:U35)&lt;=2,0,(SUM(U32:U35)))</f>
        <v>4</v>
      </c>
      <c r="U32" s="902">
        <f>IF(V32&lt;=K32,1,0)</f>
        <v>1</v>
      </c>
      <c r="V32" s="872">
        <f>ABS(I32)</f>
        <v>0</v>
      </c>
    </row>
    <row r="33" spans="1:22" x14ac:dyDescent="0.35">
      <c r="B33" s="397">
        <f>ID!B34</f>
        <v>2</v>
      </c>
      <c r="C33" s="1222"/>
      <c r="D33" s="882">
        <f>ID!D34</f>
        <v>20</v>
      </c>
      <c r="E33" s="1202">
        <f>ID!J34</f>
        <v>20</v>
      </c>
      <c r="F33" s="1202"/>
      <c r="G33" s="1202">
        <f>E33-D33</f>
        <v>0</v>
      </c>
      <c r="H33" s="1202"/>
      <c r="I33" s="1202">
        <f>(E33-D33)/D33*100</f>
        <v>0</v>
      </c>
      <c r="J33" s="1202"/>
      <c r="K33" s="1209"/>
      <c r="L33" s="1209"/>
      <c r="M33" s="469" t="s">
        <v>163</v>
      </c>
      <c r="N33" s="471">
        <f>UNCERT!J28</f>
        <v>2.8997336573180101</v>
      </c>
      <c r="R33" s="1208"/>
      <c r="S33" s="1188"/>
      <c r="T33" s="1187"/>
      <c r="U33" s="902">
        <f>IF(V33&lt;=K32,1,0)</f>
        <v>1</v>
      </c>
      <c r="V33" s="872">
        <f>ABS(I33)</f>
        <v>0</v>
      </c>
    </row>
    <row r="34" spans="1:22" x14ac:dyDescent="0.35">
      <c r="B34" s="397">
        <f>ID!B35</f>
        <v>3</v>
      </c>
      <c r="C34" s="1222"/>
      <c r="D34" s="882">
        <f>ID!D35</f>
        <v>30</v>
      </c>
      <c r="E34" s="1202">
        <f>ID!J35</f>
        <v>30</v>
      </c>
      <c r="F34" s="1202"/>
      <c r="G34" s="1202">
        <f>E34-D34</f>
        <v>0</v>
      </c>
      <c r="H34" s="1202"/>
      <c r="I34" s="1202">
        <f>(E34-D34)/D34*100</f>
        <v>0</v>
      </c>
      <c r="J34" s="1202"/>
      <c r="K34" s="1209"/>
      <c r="L34" s="1209"/>
      <c r="M34" s="469" t="s">
        <v>163</v>
      </c>
      <c r="N34" s="471">
        <f>UNCERT!J41</f>
        <v>1.933195492865792</v>
      </c>
      <c r="R34" s="1208"/>
      <c r="S34" s="1188"/>
      <c r="T34" s="1187"/>
      <c r="U34" s="902">
        <f>IF(V34&lt;=K32,1,0)</f>
        <v>1</v>
      </c>
      <c r="V34" s="872">
        <f t="shared" ref="V34:V35" si="0">ABS(I34)</f>
        <v>0</v>
      </c>
    </row>
    <row r="35" spans="1:22" x14ac:dyDescent="0.35">
      <c r="B35" s="397">
        <v>4</v>
      </c>
      <c r="C35" s="1222"/>
      <c r="D35" s="882">
        <f>ID!D36</f>
        <v>40</v>
      </c>
      <c r="E35" s="1202">
        <f>ID!J36</f>
        <v>40</v>
      </c>
      <c r="F35" s="1202"/>
      <c r="G35" s="1202">
        <f>E35-D35</f>
        <v>0</v>
      </c>
      <c r="H35" s="1202"/>
      <c r="I35" s="1202">
        <f>(E35-D35)/D35*100</f>
        <v>0</v>
      </c>
      <c r="J35" s="1202"/>
      <c r="K35" s="1209"/>
      <c r="L35" s="1209"/>
      <c r="M35" s="469" t="s">
        <v>163</v>
      </c>
      <c r="N35" s="471">
        <f>UNCERT!J54</f>
        <v>1.4495672884283162</v>
      </c>
      <c r="R35" s="1208"/>
      <c r="S35" s="1188"/>
      <c r="T35" s="1187"/>
      <c r="U35" s="902">
        <f>IF(V35&lt;=K32,1,0)</f>
        <v>1</v>
      </c>
      <c r="V35" s="872">
        <f t="shared" si="0"/>
        <v>0</v>
      </c>
    </row>
    <row r="36" spans="1:22" ht="15.75" customHeight="1" x14ac:dyDescent="0.35">
      <c r="A36" s="405"/>
      <c r="O36" s="1217" t="s">
        <v>267</v>
      </c>
      <c r="P36" s="1217"/>
      <c r="Q36" s="883"/>
      <c r="R36" s="884"/>
    </row>
    <row r="37" spans="1:22" ht="15.75" customHeight="1" x14ac:dyDescent="0.35">
      <c r="A37" s="405"/>
      <c r="B37" s="870" t="str">
        <f>ID!B38</f>
        <v>B. Waktu Traksi</v>
      </c>
      <c r="O37" s="1216">
        <f>IF(T38=1,R43,0)</f>
        <v>50</v>
      </c>
      <c r="P37" s="1216"/>
      <c r="Q37" s="883"/>
      <c r="R37" s="884"/>
    </row>
    <row r="38" spans="1:22" ht="44.5" customHeight="1" x14ac:dyDescent="0.35">
      <c r="B38" s="879" t="s">
        <v>21</v>
      </c>
      <c r="C38" s="878" t="str">
        <f>ID!C39</f>
        <v>Parameter Waktu (s)</v>
      </c>
      <c r="D38" s="850" t="s">
        <v>135</v>
      </c>
      <c r="E38" s="1215" t="s">
        <v>120</v>
      </c>
      <c r="F38" s="1215"/>
      <c r="G38" s="1215" t="s">
        <v>30</v>
      </c>
      <c r="H38" s="1215"/>
      <c r="I38" s="1205" t="s">
        <v>123</v>
      </c>
      <c r="J38" s="1205"/>
      <c r="K38" s="1205" t="s">
        <v>75</v>
      </c>
      <c r="L38" s="1205"/>
      <c r="M38" s="1214" t="s">
        <v>285</v>
      </c>
      <c r="N38" s="1214"/>
      <c r="Q38" s="883"/>
      <c r="R38" s="454">
        <f>IF(T38=1,10,0)</f>
        <v>10</v>
      </c>
      <c r="T38" s="1208">
        <f>IF(U39=1,1,0)</f>
        <v>1</v>
      </c>
      <c r="U38" s="880" t="s">
        <v>267</v>
      </c>
      <c r="V38" s="881" t="s">
        <v>385</v>
      </c>
    </row>
    <row r="39" spans="1:22" s="345" customFormat="1" ht="14.15" customHeight="1" x14ac:dyDescent="0.35">
      <c r="B39" s="397">
        <v>1</v>
      </c>
      <c r="C39" s="411" t="str">
        <f>ID!C41</f>
        <v>Terapy</v>
      </c>
      <c r="D39" s="411">
        <f>IFERROR(ID!D41,"-")</f>
        <v>300</v>
      </c>
      <c r="E39" s="1211">
        <f>IFERROR('DB Stopwatch'!C194,"-")</f>
        <v>300.98</v>
      </c>
      <c r="F39" s="1211"/>
      <c r="G39" s="1212">
        <f>IFERROR(ID!L41,"-")</f>
        <v>1</v>
      </c>
      <c r="H39" s="1212"/>
      <c r="I39" s="1213">
        <f>'DB Stopwatch'!F194</f>
        <v>-0.32666666666667271</v>
      </c>
      <c r="J39" s="1213"/>
      <c r="K39" s="1209">
        <v>10</v>
      </c>
      <c r="L39" s="1210"/>
      <c r="M39" s="469" t="s">
        <v>163</v>
      </c>
      <c r="N39" s="856">
        <f>UNCERT!L69</f>
        <v>0.56293169591280101</v>
      </c>
      <c r="T39" s="1208"/>
      <c r="U39" s="903">
        <f>IF(V39&lt;=K39,1,0)</f>
        <v>1</v>
      </c>
      <c r="V39" s="886">
        <f>(ABS(I39))+N39</f>
        <v>0.88959836257947367</v>
      </c>
    </row>
    <row r="40" spans="1:22" s="345" customFormat="1" ht="14.15" hidden="1" customHeight="1" x14ac:dyDescent="0.35">
      <c r="B40" s="397">
        <v>2</v>
      </c>
      <c r="C40" s="411" t="str">
        <f>ID!C42</f>
        <v>Hold</v>
      </c>
      <c r="D40" s="411">
        <f>IFERROR(ID!D42,"-")</f>
        <v>20</v>
      </c>
      <c r="E40" s="1211">
        <f>IFERROR('DB Stopwatch'!C195,"-")</f>
        <v>20.08666666666667</v>
      </c>
      <c r="F40" s="1211"/>
      <c r="G40" s="1212">
        <f>IFERROR(ID!L42,"-")</f>
        <v>-6.695555555555557E-3</v>
      </c>
      <c r="H40" s="1212"/>
      <c r="I40" s="1213">
        <f>'DB Stopwatch'!F195</f>
        <v>-0.43333333333334778</v>
      </c>
      <c r="J40" s="1213"/>
      <c r="K40" s="1209">
        <v>10</v>
      </c>
      <c r="L40" s="1210"/>
      <c r="M40" s="469" t="s">
        <v>163</v>
      </c>
      <c r="N40" s="856">
        <f>UNCERT!L91</f>
        <v>0.75847044821455278</v>
      </c>
      <c r="P40" s="885">
        <f>IF(Q40&lt;=K40,2,0)</f>
        <v>2</v>
      </c>
      <c r="Q40" s="883">
        <f t="shared" ref="Q40:Q41" si="1">(ABS(I40))+N40</f>
        <v>1.1918037815479006</v>
      </c>
      <c r="T40" s="1208"/>
    </row>
    <row r="41" spans="1:22" s="345" customFormat="1" ht="14.15" hidden="1" customHeight="1" x14ac:dyDescent="0.35">
      <c r="B41" s="397">
        <v>3</v>
      </c>
      <c r="C41" s="411" t="str">
        <f>ID!C43</f>
        <v>Rest</v>
      </c>
      <c r="D41" s="411">
        <f>IFERROR(ID!D43,"-")</f>
        <v>20</v>
      </c>
      <c r="E41" s="1211">
        <f>IFERROR('DB Stopwatch'!C196,"-")</f>
        <v>20.246666666666666</v>
      </c>
      <c r="F41" s="1211"/>
      <c r="G41" s="1212">
        <f>IFERROR(ID!L43,"-")</f>
        <v>-6.7488888888888885E-3</v>
      </c>
      <c r="H41" s="1212"/>
      <c r="I41" s="1213">
        <f>'DB Stopwatch'!F196</f>
        <v>-1.2333333333333307</v>
      </c>
      <c r="J41" s="1213"/>
      <c r="K41" s="1209">
        <v>10</v>
      </c>
      <c r="L41" s="1210"/>
      <c r="M41" s="887" t="s">
        <v>163</v>
      </c>
      <c r="N41" s="888">
        <f>UNCERT!L105</f>
        <v>0.73704916086758709</v>
      </c>
      <c r="P41" s="885">
        <f>IF(Q41&lt;=K41,2,0)</f>
        <v>2</v>
      </c>
      <c r="Q41" s="883">
        <f t="shared" si="1"/>
        <v>1.9703824942009178</v>
      </c>
    </row>
    <row r="42" spans="1:22" ht="12.75" customHeight="1" x14ac:dyDescent="0.35">
      <c r="A42" s="405"/>
      <c r="B42" s="472"/>
      <c r="C42" s="405"/>
      <c r="J42" s="889"/>
      <c r="K42" s="889"/>
      <c r="L42" s="890"/>
      <c r="M42" s="884"/>
      <c r="N42" s="884"/>
      <c r="O42" s="884"/>
      <c r="P42" s="408"/>
      <c r="Q42" s="891"/>
      <c r="R42" s="884"/>
    </row>
    <row r="43" spans="1:22" ht="13.5" customHeight="1" x14ac:dyDescent="0.35">
      <c r="A43" s="892" t="s">
        <v>11</v>
      </c>
      <c r="B43" s="892" t="str">
        <f>ID!B45</f>
        <v xml:space="preserve">Keterangan </v>
      </c>
      <c r="C43" s="458"/>
      <c r="D43" s="455"/>
      <c r="E43" s="455"/>
      <c r="F43" s="455"/>
      <c r="G43" s="455"/>
      <c r="H43" s="455"/>
      <c r="I43" s="455"/>
      <c r="J43" s="455"/>
      <c r="K43" s="455"/>
      <c r="L43" s="456"/>
      <c r="M43" s="455"/>
      <c r="N43" s="893"/>
      <c r="O43" s="894"/>
      <c r="P43" s="455"/>
      <c r="R43" s="454">
        <f>SUM(R32,R38)</f>
        <v>50</v>
      </c>
    </row>
    <row r="44" spans="1:22" ht="13.5" customHeight="1" x14ac:dyDescent="0.35">
      <c r="A44" s="457"/>
      <c r="B44" s="457" t="str">
        <f>ID!B46</f>
        <v>Ketidakpastian pengukuran dilaporkan pada tingkat kepercayaan 95% dengan faktor cakupan k= 2</v>
      </c>
      <c r="C44" s="458"/>
      <c r="D44" s="895"/>
      <c r="E44" s="895"/>
      <c r="F44" s="455"/>
      <c r="G44" s="455"/>
      <c r="H44" s="455"/>
      <c r="I44" s="455"/>
      <c r="J44" s="455"/>
      <c r="K44" s="455"/>
      <c r="L44" s="456"/>
      <c r="M44" s="455"/>
      <c r="N44" s="455"/>
      <c r="O44" s="459"/>
      <c r="P44" s="455"/>
    </row>
    <row r="45" spans="1:22" ht="13.5" customHeight="1" x14ac:dyDescent="0.35">
      <c r="A45" s="457"/>
      <c r="B45" s="457" t="str">
        <f>ID!B47</f>
        <v>Hasil pengukuran keselamatan listrik tertelusur ke Satuan Internasional ( SI ) melalui PT. Kaliman (LK-032-IDN)</v>
      </c>
      <c r="C45" s="458"/>
      <c r="D45" s="895"/>
      <c r="E45" s="895"/>
      <c r="F45" s="455"/>
      <c r="G45" s="455"/>
      <c r="H45" s="455"/>
      <c r="I45" s="455"/>
      <c r="J45" s="455"/>
      <c r="K45" s="455"/>
      <c r="L45" s="456"/>
      <c r="M45" s="455"/>
      <c r="N45" s="455"/>
      <c r="O45" s="459"/>
      <c r="P45" s="455"/>
    </row>
    <row r="46" spans="1:22" ht="13.5" customHeight="1" x14ac:dyDescent="0.35">
      <c r="A46" s="457"/>
      <c r="B46" s="457" t="str">
        <f>ID!B48</f>
        <v>Hasil pengujian kinerja traction control tertelusur ke Satuan Internasional ( SI ) melalui METRIX PRECISION PTE LTD</v>
      </c>
      <c r="C46" s="458"/>
      <c r="D46" s="895"/>
      <c r="E46" s="895"/>
      <c r="F46" s="455"/>
      <c r="G46" s="455"/>
      <c r="H46" s="455"/>
      <c r="I46" s="455"/>
      <c r="J46" s="455"/>
      <c r="K46" s="455"/>
      <c r="L46" s="456"/>
      <c r="M46" s="455"/>
      <c r="N46" s="455"/>
      <c r="O46" s="459"/>
      <c r="P46" s="455"/>
    </row>
    <row r="47" spans="1:22" ht="13.5" customHeight="1" x14ac:dyDescent="0.35">
      <c r="A47" s="457"/>
      <c r="B47" s="457" t="str">
        <f>ID!B49</f>
        <v>Hasil pengujian kinerja waktu tertelusur ke Satuan Internasional ( SI ) melalui PT KALIMAN</v>
      </c>
      <c r="C47" s="458"/>
      <c r="D47" s="895"/>
      <c r="E47" s="895"/>
      <c r="F47" s="455"/>
      <c r="G47" s="455"/>
      <c r="H47" s="455"/>
      <c r="I47" s="455"/>
      <c r="J47" s="455"/>
      <c r="K47" s="455"/>
      <c r="L47" s="456"/>
      <c r="M47" s="455"/>
      <c r="N47" s="455"/>
      <c r="O47" s="459"/>
      <c r="P47" s="455"/>
    </row>
    <row r="48" spans="1:22" ht="13.5" customHeight="1" x14ac:dyDescent="0.35">
      <c r="A48" s="457"/>
      <c r="B48" s="457" t="str">
        <f>ID!B50</f>
        <v>-</v>
      </c>
      <c r="C48" s="458"/>
      <c r="D48" s="895"/>
      <c r="E48" s="895"/>
      <c r="F48" s="455"/>
      <c r="G48" s="455"/>
      <c r="H48" s="455"/>
      <c r="I48" s="455"/>
      <c r="J48" s="455"/>
      <c r="K48" s="455"/>
      <c r="L48" s="456"/>
      <c r="M48" s="455"/>
      <c r="N48" s="455"/>
      <c r="O48" s="459"/>
      <c r="P48" s="455"/>
    </row>
    <row r="49" spans="1:17" ht="13.5" customHeight="1" x14ac:dyDescent="0.35">
      <c r="A49" s="457"/>
      <c r="B49" s="834" t="str">
        <f>ID!B51</f>
        <v>-</v>
      </c>
      <c r="C49" s="458"/>
      <c r="D49" s="895"/>
      <c r="E49" s="895"/>
      <c r="F49" s="455"/>
      <c r="G49" s="455"/>
      <c r="H49" s="455"/>
      <c r="I49" s="455"/>
      <c r="J49" s="455"/>
      <c r="K49" s="455"/>
      <c r="L49" s="456"/>
      <c r="M49" s="455"/>
      <c r="N49" s="455"/>
      <c r="O49" s="459"/>
      <c r="P49" s="455"/>
    </row>
    <row r="50" spans="1:17" x14ac:dyDescent="0.35">
      <c r="A50" s="896" t="s">
        <v>12</v>
      </c>
      <c r="B50" s="896" t="str">
        <f>ID!B52</f>
        <v xml:space="preserve">Alat ukur yang digunakan </v>
      </c>
      <c r="C50" s="896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</row>
    <row r="51" spans="1:17" ht="14.15" customHeight="1" x14ac:dyDescent="0.35">
      <c r="A51" s="455"/>
      <c r="B51" s="897" t="str">
        <f>ID!B53</f>
        <v>Digital Force Gauge, Merek : ANDILOG, Model : CENTOR FIRST SN : N 160229</v>
      </c>
      <c r="C51" s="89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</row>
    <row r="52" spans="1:17" ht="14.15" customHeight="1" x14ac:dyDescent="0.35">
      <c r="A52" s="455"/>
      <c r="B52" s="897" t="str">
        <f>ID!A54&amp;ID!B54</f>
        <v>Electrical Safety Analyzer, Merek : Fluke, Model : ESA 620, SN : 1834020</v>
      </c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</row>
    <row r="53" spans="1:17" ht="14.15" customHeight="1" x14ac:dyDescent="0.35">
      <c r="A53" s="455"/>
      <c r="B53" s="897" t="str">
        <f>ID!A55&amp;ID!B55</f>
        <v>Stopwatch, Merek : EXTECH, Model : 365535, SN :001382</v>
      </c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</row>
    <row r="54" spans="1:17" ht="6" customHeight="1" x14ac:dyDescent="0.35">
      <c r="A54" s="455"/>
      <c r="B54" s="89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</row>
    <row r="55" spans="1:17" ht="12.75" customHeight="1" x14ac:dyDescent="0.35">
      <c r="A55" s="896" t="s">
        <v>22</v>
      </c>
      <c r="B55" s="898" t="s">
        <v>31</v>
      </c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</row>
    <row r="56" spans="1:17" ht="12.75" customHeight="1" x14ac:dyDescent="0.35">
      <c r="A56" s="455"/>
      <c r="B56" s="1193" t="str">
        <f>ID!B59</f>
        <v>Alat yang dikalibrasi dalam batas toleransi dan dinyatakan LAIK PAKAI, dimana hasil atau skor akhir sama dengan atau melampaui 70 % berdasarkan Keputusan Direktur Jenderal Pelayanan Kesehatan No : HK.02.02/V/0412/2020</v>
      </c>
      <c r="C56" s="1193"/>
      <c r="D56" s="1193"/>
      <c r="E56" s="1193"/>
      <c r="F56" s="1193"/>
      <c r="G56" s="1193"/>
      <c r="H56" s="1193"/>
      <c r="I56" s="1193"/>
      <c r="J56" s="1193"/>
      <c r="K56" s="1193"/>
      <c r="L56" s="1193"/>
      <c r="M56" s="1193"/>
      <c r="N56" s="1193"/>
      <c r="O56" s="1193"/>
      <c r="P56" s="455"/>
    </row>
    <row r="57" spans="1:17" ht="32.25" customHeight="1" x14ac:dyDescent="0.35">
      <c r="A57" s="455"/>
      <c r="B57" s="1193"/>
      <c r="C57" s="1193"/>
      <c r="D57" s="1193"/>
      <c r="E57" s="1193"/>
      <c r="F57" s="1193"/>
      <c r="G57" s="1193"/>
      <c r="H57" s="1193"/>
      <c r="I57" s="1193"/>
      <c r="J57" s="1193"/>
      <c r="K57" s="1193"/>
      <c r="L57" s="1193"/>
      <c r="M57" s="1193"/>
      <c r="N57" s="1193"/>
      <c r="O57" s="1193"/>
      <c r="P57" s="455"/>
    </row>
    <row r="58" spans="1:17" x14ac:dyDescent="0.35">
      <c r="A58" s="896" t="s">
        <v>32</v>
      </c>
      <c r="B58" s="896" t="str">
        <f>ID!B61</f>
        <v>Petugas Kalibrasi</v>
      </c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</row>
    <row r="59" spans="1:17" x14ac:dyDescent="0.35">
      <c r="A59" s="455"/>
      <c r="B59" s="457" t="str">
        <f>ID!B62</f>
        <v>Rangga Setya Hantoko</v>
      </c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</row>
    <row r="60" spans="1:17" x14ac:dyDescent="0.35">
      <c r="A60" s="455"/>
      <c r="B60" s="1194" t="s">
        <v>34</v>
      </c>
      <c r="C60" s="1194"/>
      <c r="D60" s="1194"/>
      <c r="E60" s="1194"/>
      <c r="F60" s="1194"/>
      <c r="G60" s="1194" t="s">
        <v>35</v>
      </c>
      <c r="H60" s="1194"/>
      <c r="I60" s="460" t="s">
        <v>36</v>
      </c>
      <c r="J60" s="1199" t="s">
        <v>287</v>
      </c>
      <c r="K60" s="1199"/>
      <c r="L60" s="455"/>
      <c r="M60" s="455"/>
      <c r="N60" s="455"/>
      <c r="O60" s="455"/>
      <c r="P60" s="455"/>
    </row>
    <row r="61" spans="1:17" x14ac:dyDescent="0.35">
      <c r="A61" s="455"/>
      <c r="B61" s="1195" t="str">
        <f>B64&amp;ID!B62</f>
        <v>Dibuat        : Rangga Setya Hantoko</v>
      </c>
      <c r="C61" s="1195"/>
      <c r="D61" s="1195"/>
      <c r="E61" s="1195"/>
      <c r="F61" s="1195"/>
      <c r="G61" s="1200" t="str">
        <f>ID!B64</f>
        <v>29 Agustus 2020</v>
      </c>
      <c r="H61" s="1201"/>
      <c r="I61" s="461"/>
      <c r="J61" s="1189">
        <f>SUM(O37,T25,O21,O20)</f>
        <v>100</v>
      </c>
      <c r="K61" s="1190"/>
      <c r="L61" s="455"/>
      <c r="M61" s="455"/>
      <c r="N61" s="455"/>
      <c r="O61" s="455"/>
      <c r="P61" s="455"/>
    </row>
    <row r="62" spans="1:17" x14ac:dyDescent="0.35">
      <c r="A62" s="455"/>
      <c r="B62" s="1196" t="s">
        <v>288</v>
      </c>
      <c r="C62" s="1196"/>
      <c r="D62" s="1196"/>
      <c r="E62" s="1196"/>
      <c r="F62" s="1196"/>
      <c r="G62" s="1200"/>
      <c r="H62" s="1201"/>
      <c r="I62" s="461"/>
      <c r="J62" s="1190"/>
      <c r="K62" s="1190"/>
      <c r="L62" s="455"/>
      <c r="M62" s="455"/>
      <c r="N62" s="455"/>
      <c r="O62" s="455"/>
      <c r="P62" s="455"/>
    </row>
    <row r="63" spans="1:17" x14ac:dyDescent="0.35">
      <c r="A63" s="455"/>
      <c r="B63" s="455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</row>
    <row r="64" spans="1:17" x14ac:dyDescent="0.35">
      <c r="B64" s="454" t="s">
        <v>289</v>
      </c>
    </row>
  </sheetData>
  <sheetProtection formatCells="0" formatColumns="0" formatRows="0" insertColumns="0" insertRows="0" deleteColumns="0" deleteRows="0"/>
  <mergeCells count="83">
    <mergeCell ref="E9:G9"/>
    <mergeCell ref="A1:P1"/>
    <mergeCell ref="AC25:AC26"/>
    <mergeCell ref="AC27:AC28"/>
    <mergeCell ref="W25:Z26"/>
    <mergeCell ref="W27:Z28"/>
    <mergeCell ref="T25:V28"/>
    <mergeCell ref="M24:N24"/>
    <mergeCell ref="K24:L24"/>
    <mergeCell ref="L4:O4"/>
    <mergeCell ref="L5:O5"/>
    <mergeCell ref="L6:O6"/>
    <mergeCell ref="C24:H24"/>
    <mergeCell ref="K25:L25"/>
    <mergeCell ref="K26:L26"/>
    <mergeCell ref="R25:R27"/>
    <mergeCell ref="AF26:AF27"/>
    <mergeCell ref="O37:P37"/>
    <mergeCell ref="O36:P36"/>
    <mergeCell ref="A2:P2"/>
    <mergeCell ref="I34:J34"/>
    <mergeCell ref="G34:H34"/>
    <mergeCell ref="C27:H27"/>
    <mergeCell ref="C32:C35"/>
    <mergeCell ref="I24:J24"/>
    <mergeCell ref="E31:F31"/>
    <mergeCell ref="G31:H31"/>
    <mergeCell ref="I31:J31"/>
    <mergeCell ref="E8:G8"/>
    <mergeCell ref="T38:T40"/>
    <mergeCell ref="E40:F40"/>
    <mergeCell ref="E41:F41"/>
    <mergeCell ref="G40:H40"/>
    <mergeCell ref="G41:H41"/>
    <mergeCell ref="I40:J40"/>
    <mergeCell ref="I41:J41"/>
    <mergeCell ref="E39:F39"/>
    <mergeCell ref="G39:H39"/>
    <mergeCell ref="I39:J39"/>
    <mergeCell ref="M38:N38"/>
    <mergeCell ref="K38:L38"/>
    <mergeCell ref="I38:J38"/>
    <mergeCell ref="G38:H38"/>
    <mergeCell ref="E38:F38"/>
    <mergeCell ref="G61:H61"/>
    <mergeCell ref="G60:H60"/>
    <mergeCell ref="R32:R35"/>
    <mergeCell ref="E35:F35"/>
    <mergeCell ref="G35:H35"/>
    <mergeCell ref="E32:F32"/>
    <mergeCell ref="E33:F33"/>
    <mergeCell ref="E34:F34"/>
    <mergeCell ref="G32:H32"/>
    <mergeCell ref="G33:H33"/>
    <mergeCell ref="K32:L35"/>
    <mergeCell ref="I35:J35"/>
    <mergeCell ref="K40:L40"/>
    <mergeCell ref="K41:L41"/>
    <mergeCell ref="K39:L39"/>
    <mergeCell ref="I32:J32"/>
    <mergeCell ref="I33:J33"/>
    <mergeCell ref="M25:N25"/>
    <mergeCell ref="M26:N26"/>
    <mergeCell ref="M27:N27"/>
    <mergeCell ref="K31:L31"/>
    <mergeCell ref="M31:N31"/>
    <mergeCell ref="K27:L27"/>
    <mergeCell ref="T32:T35"/>
    <mergeCell ref="S32:S35"/>
    <mergeCell ref="J61:K62"/>
    <mergeCell ref="O19:P19"/>
    <mergeCell ref="O20:P20"/>
    <mergeCell ref="O21:P21"/>
    <mergeCell ref="B56:O57"/>
    <mergeCell ref="B60:F60"/>
    <mergeCell ref="B61:F61"/>
    <mergeCell ref="B62:F62"/>
    <mergeCell ref="O24:P24"/>
    <mergeCell ref="O25:P25"/>
    <mergeCell ref="O26:P26"/>
    <mergeCell ref="O27:P27"/>
    <mergeCell ref="J60:K60"/>
    <mergeCell ref="G62:H62"/>
  </mergeCells>
  <phoneticPr fontId="0" type="noConversion"/>
  <printOptions horizontalCentered="1"/>
  <pageMargins left="0.511811023622047" right="7.8740157480315001E-2" top="0.511811023622047" bottom="0.23622047244094499" header="0.23622047244094499" footer="0.23622047244094499"/>
  <pageSetup paperSize="9" scale="73" orientation="portrait" horizontalDpi="4294967294" verticalDpi="4294967294" r:id="rId1"/>
  <headerFooter>
    <oddHeader xml:space="preserve">&amp;R&amp;"Times New Roman,Regular"&amp;9GM.LP 053.18 
</oddHeader>
    <oddFooter>&amp;R&amp;9&amp;K00-023Traksi 30.12.21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8"/>
  <sheetViews>
    <sheetView showGridLines="0" showWhiteSpace="0" view="pageBreakPreview" topLeftCell="A22" zoomScaleNormal="100" zoomScaleSheetLayoutView="100" workbookViewId="0">
      <selection activeCell="J25" sqref="J25"/>
    </sheetView>
  </sheetViews>
  <sheetFormatPr defaultColWidth="9.1796875" defaultRowHeight="12.5" x14ac:dyDescent="0.25"/>
  <cols>
    <col min="1" max="1" width="4.81640625" style="337" customWidth="1"/>
    <col min="2" max="2" width="5.81640625" style="337" customWidth="1"/>
    <col min="3" max="3" width="11.1796875" style="337" customWidth="1"/>
    <col min="4" max="4" width="10" style="337" customWidth="1"/>
    <col min="5" max="5" width="7.26953125" style="337" customWidth="1"/>
    <col min="6" max="6" width="11.81640625" style="337" customWidth="1"/>
    <col min="7" max="7" width="11.26953125" style="337" customWidth="1"/>
    <col min="8" max="8" width="9.7265625" style="337" customWidth="1"/>
    <col min="9" max="9" width="10.1796875" style="337" customWidth="1"/>
    <col min="10" max="10" width="8.26953125" style="337" customWidth="1"/>
    <col min="11" max="11" width="12.453125" style="337" customWidth="1"/>
    <col min="12" max="12" width="8.54296875" style="337" customWidth="1"/>
    <col min="13" max="13" width="2.81640625" style="337" customWidth="1"/>
    <col min="14" max="14" width="5.1796875" style="337" customWidth="1"/>
    <col min="15" max="16" width="6.7265625" style="337" customWidth="1"/>
    <col min="17" max="17" width="3.54296875" style="337" customWidth="1"/>
    <col min="18" max="19" width="6.7265625" style="337" customWidth="1"/>
    <col min="20" max="20" width="10.54296875" style="337" customWidth="1"/>
    <col min="21" max="30" width="6.7265625" style="337" customWidth="1"/>
    <col min="31" max="31" width="4.7265625" style="337" customWidth="1"/>
    <col min="32" max="32" width="6.7265625" style="337" customWidth="1"/>
    <col min="33" max="16384" width="9.1796875" style="337"/>
  </cols>
  <sheetData>
    <row r="1" spans="1:32" ht="18" x14ac:dyDescent="0.25">
      <c r="A1" s="1226" t="s">
        <v>363</v>
      </c>
      <c r="B1" s="1226"/>
      <c r="C1" s="1226"/>
      <c r="D1" s="1226"/>
      <c r="E1" s="1226"/>
      <c r="F1" s="1226"/>
      <c r="G1" s="1226"/>
      <c r="H1" s="1226"/>
      <c r="I1" s="1226"/>
      <c r="J1" s="1226"/>
      <c r="K1" s="1226"/>
      <c r="L1" s="1226"/>
      <c r="M1" s="1226"/>
      <c r="N1" s="1226"/>
      <c r="O1" s="333"/>
      <c r="P1" s="333"/>
      <c r="Q1" s="333"/>
      <c r="R1" s="333"/>
      <c r="S1" s="333"/>
      <c r="T1" s="333"/>
      <c r="U1" s="333"/>
      <c r="V1" s="333"/>
      <c r="W1" s="334"/>
      <c r="X1" s="334"/>
      <c r="Y1" s="334"/>
      <c r="Z1" s="334"/>
      <c r="AA1" s="334"/>
      <c r="AB1" s="335"/>
      <c r="AC1" s="336"/>
      <c r="AD1" s="336"/>
      <c r="AE1" s="336"/>
    </row>
    <row r="2" spans="1:32" ht="16.5" x14ac:dyDescent="0.25">
      <c r="A2" s="657"/>
      <c r="B2" s="657"/>
      <c r="C2" s="1261" t="str">
        <f>LOOKUP(B59,'Cetik - Cetik'!A11:A12,'Cetik - Cetik'!A7:A8)</f>
        <v xml:space="preserve">Nomor Sertifikat : 52 / </v>
      </c>
      <c r="D2" s="1261"/>
      <c r="E2" s="1261"/>
      <c r="F2" s="1261"/>
      <c r="I2" s="1268" t="s">
        <v>465</v>
      </c>
      <c r="J2" s="1268"/>
      <c r="K2" s="1268"/>
      <c r="L2" s="1268"/>
      <c r="M2" s="657"/>
      <c r="N2" s="657"/>
      <c r="O2" s="338"/>
      <c r="P2" s="338"/>
      <c r="Q2" s="338"/>
      <c r="R2" s="338"/>
      <c r="S2" s="338"/>
      <c r="T2" s="338"/>
      <c r="U2" s="338"/>
      <c r="V2" s="338"/>
      <c r="W2" s="334"/>
      <c r="X2" s="334"/>
      <c r="Y2" s="334"/>
      <c r="Z2" s="334"/>
      <c r="AA2" s="334"/>
      <c r="AB2" s="335"/>
      <c r="AC2" s="334"/>
      <c r="AD2" s="339"/>
      <c r="AE2" s="335"/>
    </row>
    <row r="3" spans="1:32" ht="17.25" customHeight="1" x14ac:dyDescent="0.25">
      <c r="P3" s="340"/>
      <c r="Q3" s="340"/>
      <c r="R3" s="340"/>
      <c r="S3" s="340"/>
      <c r="T3" s="340"/>
      <c r="U3" s="340"/>
      <c r="V3" s="341"/>
      <c r="W3" s="341"/>
      <c r="X3" s="341"/>
      <c r="Y3" s="341"/>
      <c r="Z3" s="341"/>
      <c r="AA3" s="341"/>
      <c r="AB3" s="342"/>
      <c r="AC3" s="343"/>
      <c r="AD3" s="344"/>
      <c r="AE3" s="342"/>
      <c r="AF3" s="342"/>
    </row>
    <row r="4" spans="1:32" ht="15.5" x14ac:dyDescent="0.25">
      <c r="A4" s="345" t="s">
        <v>25</v>
      </c>
      <c r="B4" s="345"/>
      <c r="C4" s="346"/>
      <c r="D4" s="346" t="s">
        <v>61</v>
      </c>
      <c r="E4" s="907" t="s">
        <v>171</v>
      </c>
      <c r="F4" s="347"/>
      <c r="G4" s="348"/>
      <c r="H4" s="346"/>
      <c r="I4" s="346"/>
      <c r="J4" s="436"/>
      <c r="K4" s="439"/>
      <c r="L4" s="358"/>
      <c r="M4" s="358"/>
      <c r="N4" s="438"/>
      <c r="P4" s="340"/>
      <c r="Q4" s="340"/>
      <c r="R4" s="340"/>
      <c r="S4" s="340"/>
      <c r="T4" s="340"/>
      <c r="U4" s="340"/>
      <c r="V4" s="349"/>
      <c r="W4" s="350"/>
      <c r="X4" s="350"/>
      <c r="Y4" s="350"/>
      <c r="Z4" s="351"/>
      <c r="AA4" s="351"/>
      <c r="AB4" s="352"/>
      <c r="AC4" s="353"/>
      <c r="AD4" s="354"/>
      <c r="AE4" s="335"/>
      <c r="AF4" s="335"/>
    </row>
    <row r="5" spans="1:32" ht="15.5" x14ac:dyDescent="0.25">
      <c r="A5" s="345" t="s">
        <v>24</v>
      </c>
      <c r="B5" s="345"/>
      <c r="C5" s="346"/>
      <c r="D5" s="346" t="s">
        <v>61</v>
      </c>
      <c r="E5" s="907" t="s">
        <v>172</v>
      </c>
      <c r="F5" s="347"/>
      <c r="G5" s="348"/>
      <c r="H5" s="345"/>
      <c r="I5" s="346"/>
      <c r="J5" s="437"/>
      <c r="K5" s="439"/>
      <c r="L5" s="358"/>
      <c r="M5" s="358"/>
      <c r="N5" s="438"/>
      <c r="Q5" s="355"/>
      <c r="R5" s="355"/>
      <c r="S5" s="355"/>
      <c r="T5" s="355"/>
      <c r="U5" s="355"/>
      <c r="V5" s="355"/>
      <c r="W5" s="355"/>
      <c r="X5" s="355"/>
      <c r="Y5" s="355"/>
      <c r="Z5" s="355"/>
      <c r="AA5" s="355"/>
      <c r="AB5" s="352"/>
      <c r="AC5" s="356"/>
      <c r="AD5" s="357"/>
      <c r="AE5" s="352"/>
      <c r="AF5" s="352"/>
    </row>
    <row r="6" spans="1:32" ht="15.5" x14ac:dyDescent="0.25">
      <c r="A6" s="345" t="s">
        <v>0</v>
      </c>
      <c r="B6" s="345"/>
      <c r="C6" s="346"/>
      <c r="D6" s="346" t="s">
        <v>61</v>
      </c>
      <c r="E6" s="907" t="s">
        <v>173</v>
      </c>
      <c r="F6" s="347"/>
      <c r="G6" s="348"/>
      <c r="H6" s="345"/>
      <c r="I6" s="346"/>
      <c r="J6" s="437"/>
      <c r="K6" s="439"/>
      <c r="L6" s="358"/>
      <c r="M6" s="358"/>
      <c r="N6" s="438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55"/>
      <c r="AB6" s="352"/>
      <c r="AC6" s="356"/>
      <c r="AD6" s="357"/>
      <c r="AE6" s="352"/>
      <c r="AF6" s="352"/>
    </row>
    <row r="7" spans="1:32" ht="15.5" x14ac:dyDescent="0.25">
      <c r="A7" s="345" t="s">
        <v>252</v>
      </c>
      <c r="B7" s="345"/>
      <c r="C7" s="346"/>
      <c r="D7" s="346" t="s">
        <v>61</v>
      </c>
      <c r="E7" s="945">
        <v>1</v>
      </c>
      <c r="F7" s="347" t="s">
        <v>329</v>
      </c>
      <c r="G7" s="348"/>
      <c r="H7" s="345"/>
      <c r="I7" s="346"/>
      <c r="J7" s="437"/>
      <c r="K7" s="439"/>
      <c r="L7" s="358"/>
      <c r="M7" s="358"/>
      <c r="N7" s="438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2"/>
      <c r="AC7" s="356"/>
      <c r="AD7" s="357"/>
      <c r="AE7" s="352"/>
      <c r="AF7" s="352"/>
    </row>
    <row r="8" spans="1:32" ht="15.5" x14ac:dyDescent="0.25">
      <c r="A8" s="345" t="s">
        <v>424</v>
      </c>
      <c r="B8" s="486"/>
      <c r="C8" s="940"/>
      <c r="D8" s="940" t="s">
        <v>61</v>
      </c>
      <c r="E8" s="1269">
        <v>44572</v>
      </c>
      <c r="F8" s="1269"/>
      <c r="G8" s="348"/>
      <c r="H8" s="345"/>
      <c r="I8" s="346"/>
      <c r="J8" s="437"/>
      <c r="K8" s="439"/>
      <c r="L8" s="358"/>
      <c r="M8" s="358"/>
      <c r="N8" s="438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  <c r="AB8" s="352"/>
      <c r="AC8" s="356"/>
      <c r="AD8" s="357"/>
      <c r="AE8" s="352"/>
      <c r="AF8" s="352"/>
    </row>
    <row r="9" spans="1:32" ht="15.5" x14ac:dyDescent="0.25">
      <c r="A9" s="348" t="s">
        <v>14</v>
      </c>
      <c r="B9" s="345"/>
      <c r="C9" s="346"/>
      <c r="D9" s="346" t="s">
        <v>61</v>
      </c>
      <c r="E9" s="1269">
        <v>44572</v>
      </c>
      <c r="F9" s="1269"/>
      <c r="G9" s="345"/>
      <c r="H9" s="345"/>
      <c r="I9" s="345"/>
      <c r="J9" s="438"/>
      <c r="K9" s="438"/>
      <c r="L9" s="438"/>
      <c r="M9" s="438"/>
      <c r="N9" s="438"/>
      <c r="R9" s="361"/>
      <c r="S9" s="361"/>
      <c r="T9" s="361"/>
      <c r="U9" s="355"/>
      <c r="V9" s="355"/>
      <c r="W9" s="355"/>
      <c r="X9" s="355"/>
      <c r="Y9" s="355"/>
      <c r="Z9" s="355"/>
      <c r="AA9" s="355"/>
      <c r="AB9" s="352"/>
      <c r="AC9" s="356"/>
      <c r="AD9" s="357"/>
      <c r="AE9" s="352"/>
      <c r="AF9" s="352"/>
    </row>
    <row r="10" spans="1:32" ht="15.5" x14ac:dyDescent="0.25">
      <c r="A10" s="348" t="s">
        <v>15</v>
      </c>
      <c r="B10" s="345"/>
      <c r="C10" s="346"/>
      <c r="D10" s="346" t="s">
        <v>61</v>
      </c>
      <c r="E10" s="906" t="s">
        <v>280</v>
      </c>
      <c r="F10" s="347"/>
      <c r="G10" s="345"/>
      <c r="H10" s="345"/>
      <c r="I10" s="345"/>
      <c r="J10" s="438"/>
      <c r="K10" s="438"/>
      <c r="L10" s="438"/>
      <c r="M10" s="438"/>
      <c r="N10" s="438"/>
      <c r="R10" s="361"/>
      <c r="S10" s="361"/>
      <c r="T10" s="361"/>
      <c r="U10" s="355"/>
      <c r="V10" s="355"/>
      <c r="W10" s="355"/>
      <c r="X10" s="355"/>
      <c r="Y10" s="355"/>
      <c r="Z10" s="355"/>
      <c r="AA10" s="355"/>
      <c r="AB10" s="352"/>
      <c r="AC10" s="356"/>
      <c r="AD10" s="357"/>
      <c r="AE10" s="352"/>
      <c r="AF10" s="352"/>
    </row>
    <row r="11" spans="1:32" ht="15.5" x14ac:dyDescent="0.25">
      <c r="A11" s="348" t="s">
        <v>27</v>
      </c>
      <c r="B11" s="345"/>
      <c r="C11" s="346"/>
      <c r="D11" s="346" t="s">
        <v>61</v>
      </c>
      <c r="E11" s="906" t="s">
        <v>281</v>
      </c>
      <c r="F11" s="347"/>
      <c r="G11" s="345"/>
      <c r="H11" s="345"/>
      <c r="I11" s="345"/>
      <c r="J11" s="345"/>
      <c r="K11" s="345"/>
      <c r="L11" s="345"/>
      <c r="M11" s="345"/>
      <c r="N11" s="345"/>
      <c r="R11" s="361"/>
      <c r="S11" s="361"/>
      <c r="T11" s="361"/>
      <c r="U11" s="355"/>
      <c r="V11" s="355"/>
      <c r="W11" s="355"/>
      <c r="X11" s="355"/>
      <c r="Y11" s="355"/>
      <c r="Z11" s="355"/>
      <c r="AA11" s="355"/>
      <c r="AB11" s="352"/>
      <c r="AC11" s="356"/>
      <c r="AD11" s="357"/>
      <c r="AE11" s="352"/>
      <c r="AF11" s="352"/>
    </row>
    <row r="12" spans="1:32" ht="15.5" x14ac:dyDescent="0.25">
      <c r="A12" s="345" t="s">
        <v>16</v>
      </c>
      <c r="B12" s="345"/>
      <c r="C12" s="346"/>
      <c r="D12" s="346" t="s">
        <v>61</v>
      </c>
      <c r="E12" s="360" t="s">
        <v>269</v>
      </c>
      <c r="F12" s="358"/>
      <c r="G12" s="345"/>
      <c r="H12" s="345"/>
      <c r="I12" s="345"/>
      <c r="J12" s="345"/>
      <c r="K12" s="345"/>
      <c r="L12" s="345"/>
      <c r="M12" s="345"/>
      <c r="N12" s="345"/>
      <c r="R12" s="361"/>
      <c r="S12" s="361"/>
      <c r="T12" s="361"/>
      <c r="U12" s="355"/>
      <c r="V12" s="355"/>
      <c r="W12" s="355"/>
      <c r="X12" s="355"/>
      <c r="Y12" s="355"/>
      <c r="Z12" s="355"/>
      <c r="AA12" s="355"/>
      <c r="AB12" s="352"/>
      <c r="AC12" s="356"/>
      <c r="AD12" s="357"/>
      <c r="AE12" s="352"/>
      <c r="AF12" s="352"/>
    </row>
    <row r="13" spans="1:32" ht="15.5" x14ac:dyDescent="0.25">
      <c r="A13" s="345"/>
      <c r="B13" s="345"/>
      <c r="C13" s="346"/>
      <c r="D13" s="360"/>
      <c r="E13" s="358"/>
      <c r="F13" s="358"/>
      <c r="G13" s="345"/>
      <c r="H13" s="345"/>
      <c r="I13" s="345"/>
      <c r="J13" s="345"/>
      <c r="K13" s="345"/>
      <c r="L13" s="345"/>
      <c r="M13" s="345"/>
      <c r="N13" s="345"/>
      <c r="R13" s="361"/>
      <c r="S13" s="361"/>
      <c r="T13" s="361"/>
      <c r="U13" s="355"/>
      <c r="V13" s="355"/>
      <c r="W13" s="355"/>
      <c r="X13" s="355"/>
      <c r="Y13" s="355"/>
      <c r="Z13" s="355"/>
      <c r="AA13" s="355"/>
      <c r="AB13" s="352"/>
      <c r="AC13" s="356"/>
      <c r="AD13" s="357"/>
      <c r="AE13" s="352"/>
      <c r="AF13" s="352"/>
    </row>
    <row r="14" spans="1:32" ht="27" customHeight="1" x14ac:dyDescent="0.25">
      <c r="A14" s="362" t="s">
        <v>17</v>
      </c>
      <c r="B14" s="363" t="str">
        <f>LK!B14</f>
        <v>Kondisi Ruang</v>
      </c>
      <c r="C14" s="362"/>
      <c r="D14" s="364"/>
      <c r="E14" s="365" t="s">
        <v>59</v>
      </c>
      <c r="F14" s="365" t="s">
        <v>60</v>
      </c>
      <c r="G14" s="386"/>
      <c r="H14" s="446"/>
      <c r="I14" s="345"/>
      <c r="J14" s="345"/>
      <c r="K14" s="345"/>
      <c r="L14" s="345"/>
      <c r="M14" s="345"/>
      <c r="N14" s="345"/>
      <c r="P14" s="366"/>
      <c r="Q14" s="366"/>
      <c r="R14" s="366"/>
      <c r="S14" s="367"/>
      <c r="T14" s="367"/>
      <c r="U14" s="368"/>
      <c r="V14" s="369"/>
      <c r="W14" s="369"/>
      <c r="X14" s="370"/>
      <c r="Y14" s="369"/>
      <c r="Z14" s="371"/>
      <c r="AA14" s="369"/>
      <c r="AB14" s="369"/>
    </row>
    <row r="15" spans="1:32" ht="15.5" x14ac:dyDescent="0.25">
      <c r="A15" s="345"/>
      <c r="B15" s="345" t="s">
        <v>26</v>
      </c>
      <c r="C15" s="345"/>
      <c r="D15" s="346" t="s">
        <v>61</v>
      </c>
      <c r="E15" s="946">
        <v>27</v>
      </c>
      <c r="F15" s="946">
        <v>27</v>
      </c>
      <c r="G15" s="447" t="s">
        <v>125</v>
      </c>
      <c r="H15" s="391"/>
      <c r="I15" s="345"/>
      <c r="J15" s="345"/>
      <c r="K15" s="345"/>
      <c r="L15" s="345"/>
      <c r="M15" s="345"/>
      <c r="N15" s="345"/>
      <c r="P15" s="366"/>
      <c r="Q15" s="366"/>
      <c r="R15" s="366"/>
      <c r="S15" s="367"/>
      <c r="T15" s="367"/>
      <c r="U15" s="368"/>
      <c r="V15" s="372"/>
      <c r="W15" s="372"/>
      <c r="X15" s="370"/>
      <c r="Y15" s="373"/>
      <c r="Z15" s="374"/>
      <c r="AA15" s="375"/>
      <c r="AB15" s="375"/>
    </row>
    <row r="16" spans="1:32" ht="15.5" x14ac:dyDescent="0.25">
      <c r="A16" s="345"/>
      <c r="B16" s="345" t="s">
        <v>131</v>
      </c>
      <c r="C16" s="345"/>
      <c r="D16" s="346" t="s">
        <v>61</v>
      </c>
      <c r="E16" s="946">
        <v>65</v>
      </c>
      <c r="F16" s="946">
        <v>55</v>
      </c>
      <c r="G16" s="447" t="s">
        <v>133</v>
      </c>
      <c r="H16" s="391"/>
      <c r="I16" s="345"/>
      <c r="J16" s="345"/>
      <c r="K16" s="345"/>
      <c r="L16" s="345"/>
      <c r="M16" s="345"/>
      <c r="N16" s="345"/>
      <c r="P16" s="366"/>
      <c r="Q16" s="366"/>
      <c r="R16" s="366"/>
      <c r="S16" s="376"/>
      <c r="T16" s="376"/>
      <c r="U16" s="368"/>
      <c r="V16" s="377"/>
      <c r="W16" s="377"/>
      <c r="X16" s="378"/>
      <c r="Y16" s="377"/>
      <c r="Z16" s="379"/>
      <c r="AA16" s="377"/>
      <c r="AB16" s="377"/>
    </row>
    <row r="17" spans="1:51" ht="15.5" x14ac:dyDescent="0.25">
      <c r="A17" s="345"/>
      <c r="B17" s="345" t="s">
        <v>124</v>
      </c>
      <c r="C17" s="345"/>
      <c r="D17" s="346" t="s">
        <v>61</v>
      </c>
      <c r="E17" s="947">
        <v>199.9</v>
      </c>
      <c r="F17" s="380" t="s">
        <v>119</v>
      </c>
      <c r="G17" s="1267"/>
      <c r="H17" s="1267"/>
      <c r="I17" s="1267"/>
      <c r="J17" s="381"/>
      <c r="K17" s="345"/>
      <c r="L17" s="345"/>
      <c r="M17" s="345"/>
      <c r="N17" s="345"/>
      <c r="R17" s="366"/>
      <c r="S17" s="366"/>
      <c r="T17" s="366"/>
      <c r="U17" s="376"/>
      <c r="V17" s="376"/>
      <c r="W17" s="368"/>
      <c r="X17" s="377"/>
      <c r="Y17" s="377"/>
      <c r="Z17" s="378"/>
      <c r="AA17" s="377"/>
      <c r="AB17" s="379"/>
      <c r="AC17" s="377"/>
      <c r="AD17" s="377"/>
    </row>
    <row r="18" spans="1:51" ht="15" customHeight="1" x14ac:dyDescent="0.25">
      <c r="A18" s="345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R18" s="366"/>
      <c r="S18" s="366"/>
      <c r="T18" s="366"/>
      <c r="U18" s="368"/>
      <c r="V18" s="377"/>
      <c r="W18" s="377"/>
      <c r="X18" s="378"/>
      <c r="Y18" s="377"/>
      <c r="Z18" s="379"/>
      <c r="AA18" s="377"/>
      <c r="AB18" s="377"/>
    </row>
    <row r="19" spans="1:51" ht="15.5" x14ac:dyDescent="0.25">
      <c r="A19" s="382" t="s">
        <v>19</v>
      </c>
      <c r="B19" s="382" t="str">
        <f>LK!B20</f>
        <v>Pemeriksaan Kondisi Fisik dan Fungsi Alat</v>
      </c>
      <c r="C19" s="382"/>
      <c r="D19" s="345"/>
      <c r="E19" s="382"/>
      <c r="F19" s="382"/>
      <c r="G19" s="382"/>
      <c r="H19" s="382"/>
      <c r="I19" s="345"/>
      <c r="J19" s="345"/>
      <c r="K19" s="345"/>
      <c r="L19" s="345"/>
      <c r="M19" s="345"/>
      <c r="N19" s="345"/>
      <c r="P19" s="383">
        <f>PENYELIA!J61</f>
        <v>100</v>
      </c>
      <c r="Q19" s="383"/>
      <c r="R19" s="383"/>
      <c r="S19" s="367"/>
      <c r="T19" s="367"/>
      <c r="U19" s="368"/>
      <c r="V19" s="377"/>
      <c r="W19" s="377"/>
      <c r="X19" s="378"/>
      <c r="Y19" s="377"/>
      <c r="Z19" s="379"/>
      <c r="AA19" s="377"/>
      <c r="AB19" s="377"/>
    </row>
    <row r="20" spans="1:51" ht="15.5" x14ac:dyDescent="0.25">
      <c r="A20" s="345"/>
      <c r="B20" s="345" t="s">
        <v>20</v>
      </c>
      <c r="C20" s="345"/>
      <c r="D20" s="346" t="s">
        <v>61</v>
      </c>
      <c r="E20" s="1251" t="s">
        <v>70</v>
      </c>
      <c r="F20" s="1251"/>
      <c r="G20" s="345"/>
      <c r="H20" s="345"/>
      <c r="I20" s="345"/>
      <c r="J20" s="345"/>
      <c r="K20" s="345"/>
      <c r="L20" s="345"/>
      <c r="M20" s="345"/>
      <c r="N20" s="345"/>
      <c r="P20" s="334" t="str">
        <f>PENYELIA!B56</f>
        <v>Alat yang dikalibrasi dalam batas toleransi dan dinyatakan LAIK PAKAI, dimana hasil atau skor akhir sama dengan atau melampaui 70 % berdasarkan Keputusan Direktur Jenderal Pelayanan Kesehatan No : HK.02.02/V/0412/2020</v>
      </c>
      <c r="Q20" s="334"/>
      <c r="R20" s="334"/>
      <c r="S20" s="334"/>
      <c r="T20" s="334"/>
      <c r="U20" s="368"/>
      <c r="V20" s="377"/>
      <c r="W20" s="377"/>
      <c r="X20" s="378"/>
      <c r="Y20" s="377"/>
      <c r="Z20" s="379"/>
      <c r="AA20" s="377"/>
      <c r="AB20" s="377"/>
    </row>
    <row r="21" spans="1:51" ht="15.5" x14ac:dyDescent="0.25">
      <c r="A21" s="345"/>
      <c r="B21" s="345" t="s">
        <v>1</v>
      </c>
      <c r="C21" s="345"/>
      <c r="D21" s="346" t="s">
        <v>61</v>
      </c>
      <c r="E21" s="1251" t="s">
        <v>70</v>
      </c>
      <c r="F21" s="1251"/>
      <c r="G21" s="345"/>
      <c r="H21" s="345"/>
      <c r="I21" s="345"/>
      <c r="J21" s="345"/>
      <c r="K21" s="345"/>
      <c r="L21" s="345"/>
      <c r="M21" s="345"/>
      <c r="N21" s="345"/>
      <c r="P21" s="337" t="str">
        <f>C2</f>
        <v xml:space="preserve">Nomor Sertifikat : 52 / </v>
      </c>
      <c r="AD21" s="335"/>
      <c r="AE21" s="335"/>
      <c r="AU21" s="1262" t="s">
        <v>350</v>
      </c>
      <c r="AV21" s="1262"/>
      <c r="AW21" s="1262"/>
      <c r="AX21" s="1264">
        <f>I27</f>
        <v>20</v>
      </c>
      <c r="AY21" s="1265"/>
    </row>
    <row r="22" spans="1:51" ht="15" customHeight="1" x14ac:dyDescent="0.25">
      <c r="A22" s="382"/>
      <c r="B22" s="382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P22" s="849" t="str">
        <f>B51</f>
        <v>-</v>
      </c>
      <c r="AD22" s="335"/>
      <c r="AE22" s="335"/>
      <c r="AU22" s="1262"/>
      <c r="AV22" s="1262"/>
      <c r="AW22" s="1262"/>
      <c r="AX22" s="1265"/>
      <c r="AY22" s="1265"/>
    </row>
    <row r="23" spans="1:51" ht="15.5" x14ac:dyDescent="0.25">
      <c r="A23" s="382" t="s">
        <v>2</v>
      </c>
      <c r="B23" s="382" t="str">
        <f>LK!B24</f>
        <v xml:space="preserve">Pengujian Keselamatan Listrik </v>
      </c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P23" s="384"/>
      <c r="Q23" s="384"/>
      <c r="R23" s="384"/>
      <c r="S23" s="384"/>
      <c r="T23" s="384"/>
      <c r="U23" s="385"/>
      <c r="V23" s="385"/>
      <c r="W23" s="385"/>
      <c r="X23" s="385"/>
      <c r="Y23" s="384"/>
      <c r="Z23" s="384"/>
      <c r="AA23" s="384"/>
      <c r="AB23" s="384"/>
      <c r="AC23" s="384"/>
      <c r="AD23" s="335"/>
      <c r="AE23" s="335"/>
    </row>
    <row r="24" spans="1:51" ht="30.75" customHeight="1" x14ac:dyDescent="0.25">
      <c r="B24" s="305" t="s">
        <v>262</v>
      </c>
      <c r="C24" s="1085" t="s">
        <v>4</v>
      </c>
      <c r="D24" s="1238"/>
      <c r="E24" s="1238"/>
      <c r="F24" s="1238"/>
      <c r="G24" s="1238"/>
      <c r="H24" s="1086"/>
      <c r="I24" s="1085" t="s">
        <v>78</v>
      </c>
      <c r="J24" s="1086"/>
      <c r="K24" s="1085" t="s">
        <v>121</v>
      </c>
      <c r="L24" s="1086"/>
      <c r="W24" s="376"/>
      <c r="X24" s="376"/>
      <c r="Y24" s="383"/>
      <c r="Z24" s="376"/>
      <c r="AA24" s="376"/>
      <c r="AB24" s="376"/>
      <c r="AC24" s="376"/>
      <c r="AD24" s="335"/>
      <c r="AE24" s="335"/>
    </row>
    <row r="25" spans="1:51" ht="17.25" customHeight="1" x14ac:dyDescent="0.25">
      <c r="B25" s="307">
        <v>1</v>
      </c>
      <c r="C25" s="308" t="s">
        <v>328</v>
      </c>
      <c r="D25" s="309"/>
      <c r="E25" s="309"/>
      <c r="F25" s="309"/>
      <c r="G25" s="309"/>
      <c r="H25" s="309"/>
      <c r="I25" s="948">
        <v>5</v>
      </c>
      <c r="J25" s="943" t="s">
        <v>263</v>
      </c>
      <c r="K25" s="1239">
        <v>2</v>
      </c>
      <c r="L25" s="1240"/>
      <c r="W25" s="376"/>
      <c r="X25" s="376"/>
      <c r="Y25" s="383"/>
      <c r="Z25" s="376"/>
      <c r="AA25" s="376"/>
      <c r="AB25" s="376"/>
      <c r="AC25" s="376"/>
      <c r="AD25" s="342"/>
      <c r="AE25" s="342"/>
    </row>
    <row r="26" spans="1:51" ht="16.5" x14ac:dyDescent="0.25">
      <c r="B26" s="311">
        <v>2</v>
      </c>
      <c r="C26" s="312" t="s">
        <v>223</v>
      </c>
      <c r="D26" s="313"/>
      <c r="E26" s="314"/>
      <c r="F26" s="314"/>
      <c r="G26" s="314"/>
      <c r="H26" s="315"/>
      <c r="I26" s="1042">
        <v>0.1</v>
      </c>
      <c r="J26" s="316" t="s">
        <v>264</v>
      </c>
      <c r="K26" s="1234">
        <v>0.2</v>
      </c>
      <c r="L26" s="1235"/>
      <c r="P26" s="1263" t="s">
        <v>351</v>
      </c>
      <c r="Q26" s="1263"/>
      <c r="R26" s="1263"/>
      <c r="S26" s="1266">
        <v>20</v>
      </c>
      <c r="T26" s="1266"/>
      <c r="W26" s="376"/>
      <c r="X26" s="376"/>
      <c r="Y26" s="383"/>
      <c r="Z26" s="387"/>
      <c r="AA26" s="376"/>
      <c r="AB26" s="376"/>
      <c r="AC26" s="376"/>
      <c r="AD26" s="335"/>
      <c r="AE26" s="335"/>
    </row>
    <row r="27" spans="1:51" ht="14" x14ac:dyDescent="0.25">
      <c r="B27" s="321">
        <v>3</v>
      </c>
      <c r="C27" s="1219" t="s">
        <v>274</v>
      </c>
      <c r="D27" s="1220"/>
      <c r="E27" s="1220"/>
      <c r="F27" s="1220"/>
      <c r="G27" s="1220"/>
      <c r="H27" s="1221"/>
      <c r="I27" s="949">
        <v>20</v>
      </c>
      <c r="J27" s="322" t="s">
        <v>118</v>
      </c>
      <c r="K27" s="1253">
        <f>'Cetik - Cetik'!B2</f>
        <v>500</v>
      </c>
      <c r="L27" s="1254"/>
      <c r="P27" s="1263"/>
      <c r="Q27" s="1263"/>
      <c r="R27" s="1263"/>
      <c r="S27" s="1266"/>
      <c r="T27" s="1266"/>
      <c r="W27" s="376"/>
      <c r="X27" s="376"/>
      <c r="Y27" s="383"/>
      <c r="Z27" s="387"/>
      <c r="AA27" s="376"/>
      <c r="AB27" s="376"/>
      <c r="AC27" s="376"/>
      <c r="AD27" s="352"/>
      <c r="AE27" s="352"/>
    </row>
    <row r="28" spans="1:51" ht="15" customHeight="1" x14ac:dyDescent="0.25">
      <c r="A28" s="390"/>
      <c r="B28" s="345"/>
      <c r="C28" s="345"/>
      <c r="D28" s="345"/>
      <c r="E28" s="345"/>
      <c r="F28" s="345"/>
      <c r="G28" s="345"/>
      <c r="H28" s="391"/>
      <c r="I28" s="392"/>
      <c r="J28" s="345"/>
      <c r="K28" s="345"/>
      <c r="L28" s="345"/>
      <c r="M28" s="345"/>
      <c r="N28" s="348"/>
      <c r="O28" s="388"/>
      <c r="P28" s="1263"/>
      <c r="Q28" s="1263"/>
      <c r="R28" s="1263"/>
      <c r="S28" s="1266"/>
      <c r="T28" s="1266"/>
      <c r="U28" s="387"/>
      <c r="V28" s="376"/>
      <c r="W28" s="389"/>
      <c r="X28" s="389"/>
      <c r="Y28" s="383"/>
      <c r="Z28" s="389"/>
      <c r="AA28" s="376"/>
      <c r="AB28" s="389"/>
      <c r="AC28" s="389"/>
      <c r="AD28" s="352"/>
      <c r="AE28" s="352"/>
    </row>
    <row r="29" spans="1:51" ht="15.5" x14ac:dyDescent="0.25">
      <c r="A29" s="384" t="s">
        <v>3</v>
      </c>
      <c r="B29" s="384" t="str">
        <f>LK!B30</f>
        <v xml:space="preserve">Pengujian Kinerja </v>
      </c>
      <c r="C29" s="384"/>
      <c r="D29" s="384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66"/>
      <c r="T29" s="383"/>
      <c r="U29" s="387"/>
      <c r="V29" s="376"/>
      <c r="W29" s="376"/>
      <c r="X29" s="376"/>
      <c r="Y29" s="383"/>
      <c r="Z29" s="389"/>
      <c r="AA29" s="376"/>
      <c r="AB29" s="376"/>
      <c r="AC29" s="376"/>
      <c r="AD29" s="394"/>
      <c r="AE29" s="335"/>
    </row>
    <row r="30" spans="1:51" ht="15.5" x14ac:dyDescent="0.25">
      <c r="A30" s="384"/>
      <c r="B30" s="384" t="str">
        <f>LK!A31</f>
        <v>A. Tekanan traksi</v>
      </c>
      <c r="C30" s="384"/>
      <c r="D30" s="384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66"/>
      <c r="T30" s="383"/>
      <c r="U30" s="387"/>
      <c r="V30" s="376"/>
      <c r="W30" s="376"/>
      <c r="X30" s="376"/>
      <c r="Y30" s="383"/>
      <c r="Z30" s="389"/>
      <c r="AA30" s="376"/>
      <c r="AB30" s="376"/>
      <c r="AC30" s="376"/>
      <c r="AD30" s="394"/>
      <c r="AE30" s="335"/>
    </row>
    <row r="31" spans="1:51" s="359" customFormat="1" ht="14.25" customHeight="1" x14ac:dyDescent="0.25">
      <c r="B31" s="1243" t="s">
        <v>21</v>
      </c>
      <c r="C31" s="1245" t="s">
        <v>4</v>
      </c>
      <c r="D31" s="1243" t="s">
        <v>77</v>
      </c>
      <c r="E31" s="1255" t="s">
        <v>330</v>
      </c>
      <c r="F31" s="1256"/>
      <c r="G31" s="1256"/>
      <c r="H31" s="1256"/>
      <c r="I31" s="1257"/>
      <c r="J31" s="1243" t="s">
        <v>120</v>
      </c>
      <c r="K31" s="1243" t="s">
        <v>30</v>
      </c>
      <c r="L31" s="1249" t="s">
        <v>33</v>
      </c>
      <c r="M31" s="1249"/>
      <c r="AA31" s="337"/>
      <c r="AB31" s="337"/>
      <c r="AC31" s="395"/>
      <c r="AD31" s="395"/>
    </row>
    <row r="32" spans="1:51" s="359" customFormat="1" ht="30" customHeight="1" x14ac:dyDescent="0.25">
      <c r="B32" s="1243"/>
      <c r="C32" s="1245"/>
      <c r="D32" s="1243"/>
      <c r="E32" s="396" t="s">
        <v>5</v>
      </c>
      <c r="F32" s="396" t="s">
        <v>6</v>
      </c>
      <c r="G32" s="396" t="s">
        <v>7</v>
      </c>
      <c r="H32" s="396" t="s">
        <v>8</v>
      </c>
      <c r="I32" s="396" t="s">
        <v>9</v>
      </c>
      <c r="J32" s="1243"/>
      <c r="K32" s="1243"/>
      <c r="L32" s="1249"/>
      <c r="M32" s="1249"/>
      <c r="AA32" s="395"/>
    </row>
    <row r="33" spans="1:31" ht="15.75" customHeight="1" x14ac:dyDescent="0.25">
      <c r="B33" s="397">
        <v>1</v>
      </c>
      <c r="C33" s="1246" t="str">
        <f>LOOKUP(E31,'Cetik - Cetik'!I17:I18,'Cetik - Cetik'!I20:I21)</f>
        <v>Traction           Control                  ( Kg )</v>
      </c>
      <c r="D33" s="952">
        <v>10</v>
      </c>
      <c r="E33" s="953">
        <v>10</v>
      </c>
      <c r="F33" s="953">
        <v>10</v>
      </c>
      <c r="G33" s="953">
        <v>10</v>
      </c>
      <c r="H33" s="953">
        <v>10</v>
      </c>
      <c r="I33" s="953">
        <v>10</v>
      </c>
      <c r="J33" s="398">
        <f>AVERAGE(E33:I33)</f>
        <v>10</v>
      </c>
      <c r="K33" s="414">
        <f>'DB ANDILOG'!G145</f>
        <v>-4.4480840346041717E-2</v>
      </c>
      <c r="L33" s="1213">
        <f>STDEV(E33:I33)</f>
        <v>0</v>
      </c>
      <c r="M33" s="1213"/>
      <c r="AA33" s="335"/>
    </row>
    <row r="34" spans="1:31" ht="17.149999999999999" customHeight="1" x14ac:dyDescent="0.25">
      <c r="B34" s="397">
        <v>2</v>
      </c>
      <c r="C34" s="1247"/>
      <c r="D34" s="952">
        <v>20</v>
      </c>
      <c r="E34" s="953">
        <v>20</v>
      </c>
      <c r="F34" s="953">
        <v>20</v>
      </c>
      <c r="G34" s="953">
        <v>20</v>
      </c>
      <c r="H34" s="953">
        <v>20</v>
      </c>
      <c r="I34" s="953">
        <v>20</v>
      </c>
      <c r="J34" s="398">
        <f>AVERAGE(E34:I34)</f>
        <v>20</v>
      </c>
      <c r="K34" s="414">
        <f>'DB ANDILOG'!G146</f>
        <v>-4.1158291850170059E-2</v>
      </c>
      <c r="L34" s="1213">
        <f>STDEV(E34:I34)</f>
        <v>0</v>
      </c>
      <c r="M34" s="1213"/>
      <c r="AA34" s="335"/>
    </row>
    <row r="35" spans="1:31" ht="17.149999999999999" customHeight="1" x14ac:dyDescent="0.25">
      <c r="B35" s="397">
        <v>3</v>
      </c>
      <c r="C35" s="1247"/>
      <c r="D35" s="952">
        <v>30</v>
      </c>
      <c r="E35" s="953">
        <v>30</v>
      </c>
      <c r="F35" s="953">
        <v>30</v>
      </c>
      <c r="G35" s="953">
        <v>30</v>
      </c>
      <c r="H35" s="953">
        <v>30</v>
      </c>
      <c r="I35" s="953">
        <v>30</v>
      </c>
      <c r="J35" s="398">
        <f t="shared" ref="J35:J36" si="0">AVERAGE(E35:I35)</f>
        <v>30</v>
      </c>
      <c r="K35" s="414">
        <f>'DB ANDILOG'!G147</f>
        <v>-5.2371484930105794E-2</v>
      </c>
      <c r="L35" s="1213">
        <f>STDEV(E35:I35)</f>
        <v>0</v>
      </c>
      <c r="M35" s="1213"/>
      <c r="AA35" s="335"/>
    </row>
    <row r="36" spans="1:31" ht="17.149999999999999" customHeight="1" x14ac:dyDescent="0.25">
      <c r="B36" s="397">
        <v>4</v>
      </c>
      <c r="C36" s="1248"/>
      <c r="D36" s="952">
        <v>40</v>
      </c>
      <c r="E36" s="953">
        <v>40</v>
      </c>
      <c r="F36" s="953">
        <v>40</v>
      </c>
      <c r="G36" s="953">
        <v>40</v>
      </c>
      <c r="H36" s="953">
        <v>40</v>
      </c>
      <c r="I36" s="953">
        <v>40</v>
      </c>
      <c r="J36" s="398">
        <f t="shared" si="0"/>
        <v>40</v>
      </c>
      <c r="K36" s="414">
        <f>'DB ANDILOG'!G148</f>
        <v>-4.7476600175883732E-2</v>
      </c>
      <c r="L36" s="1213">
        <f>STDEV(E36:I36)</f>
        <v>0</v>
      </c>
      <c r="M36" s="1213"/>
      <c r="AA36" s="335"/>
    </row>
    <row r="37" spans="1:31" ht="16" customHeight="1" x14ac:dyDescent="0.25">
      <c r="A37" s="440">
        <v>4</v>
      </c>
      <c r="B37" s="400"/>
      <c r="C37" s="401"/>
      <c r="D37" s="402"/>
      <c r="E37" s="941"/>
      <c r="F37" s="941"/>
      <c r="G37" s="941"/>
      <c r="H37" s="941"/>
      <c r="I37" s="941"/>
      <c r="J37" s="403"/>
      <c r="K37" s="404"/>
      <c r="L37" s="1258"/>
      <c r="M37" s="1258"/>
      <c r="N37" s="399"/>
      <c r="O37" s="376"/>
      <c r="P37" s="376"/>
      <c r="Q37" s="383"/>
      <c r="R37" s="376"/>
      <c r="S37" s="376"/>
      <c r="T37" s="376"/>
      <c r="U37" s="376"/>
      <c r="V37" s="383"/>
      <c r="W37" s="376"/>
      <c r="X37" s="376"/>
      <c r="Y37" s="376"/>
      <c r="Z37" s="376"/>
      <c r="AA37" s="335"/>
      <c r="AB37" s="335"/>
    </row>
    <row r="38" spans="1:31" ht="18.649999999999999" customHeight="1" x14ac:dyDescent="0.25">
      <c r="A38" s="405"/>
      <c r="B38" s="672" t="str">
        <f>LK!A40</f>
        <v>B. Waktu Traksi</v>
      </c>
      <c r="C38" s="406"/>
      <c r="D38" s="407"/>
      <c r="E38" s="407"/>
      <c r="F38" s="407"/>
      <c r="G38" s="407"/>
      <c r="H38" s="407"/>
      <c r="I38" s="407"/>
      <c r="J38" s="408"/>
      <c r="K38" s="409"/>
      <c r="L38" s="409"/>
      <c r="M38" s="410"/>
      <c r="N38" s="399"/>
      <c r="O38" s="376"/>
      <c r="P38" s="376"/>
      <c r="Q38" s="383"/>
      <c r="R38" s="376"/>
      <c r="S38" s="376"/>
      <c r="T38" s="376"/>
      <c r="U38" s="376"/>
      <c r="V38" s="383"/>
      <c r="W38" s="376"/>
      <c r="X38" s="376"/>
      <c r="Y38" s="376"/>
      <c r="Z38" s="376"/>
      <c r="AA38" s="335"/>
      <c r="AB38" s="335"/>
    </row>
    <row r="39" spans="1:31" ht="13.5" customHeight="1" x14ac:dyDescent="0.25">
      <c r="A39" s="382"/>
      <c r="B39" s="1245" t="s">
        <v>21</v>
      </c>
      <c r="C39" s="1243" t="s">
        <v>336</v>
      </c>
      <c r="D39" s="1243" t="s">
        <v>77</v>
      </c>
      <c r="E39" s="1244" t="s">
        <v>86</v>
      </c>
      <c r="F39" s="1244"/>
      <c r="G39" s="1244"/>
      <c r="H39" s="1244"/>
      <c r="I39" s="1244"/>
      <c r="J39" s="1244"/>
      <c r="K39" s="1242" t="s">
        <v>120</v>
      </c>
      <c r="L39" s="1242" t="s">
        <v>30</v>
      </c>
      <c r="M39" s="1243" t="s">
        <v>33</v>
      </c>
      <c r="N39" s="1243"/>
      <c r="O39" s="376"/>
      <c r="P39" s="376"/>
      <c r="Q39" s="383"/>
      <c r="R39" s="376"/>
      <c r="S39" s="376"/>
      <c r="T39" s="376"/>
      <c r="U39" s="376"/>
      <c r="V39" s="383"/>
      <c r="W39" s="376"/>
      <c r="X39" s="376"/>
      <c r="Y39" s="376"/>
      <c r="Z39" s="376"/>
      <c r="AA39" s="335"/>
      <c r="AB39" s="335"/>
    </row>
    <row r="40" spans="1:31" ht="34.5" customHeight="1" x14ac:dyDescent="0.25">
      <c r="B40" s="1245"/>
      <c r="C40" s="1243"/>
      <c r="D40" s="1243"/>
      <c r="E40" s="1244" t="s">
        <v>5</v>
      </c>
      <c r="F40" s="1244"/>
      <c r="G40" s="1244" t="s">
        <v>6</v>
      </c>
      <c r="H40" s="1244"/>
      <c r="I40" s="1244" t="s">
        <v>7</v>
      </c>
      <c r="J40" s="1244"/>
      <c r="K40" s="1242"/>
      <c r="L40" s="1242"/>
      <c r="M40" s="1243"/>
      <c r="N40" s="1243"/>
    </row>
    <row r="41" spans="1:31" ht="17.5" customHeight="1" x14ac:dyDescent="0.25">
      <c r="B41" s="397">
        <v>1</v>
      </c>
      <c r="C41" s="411" t="s">
        <v>337</v>
      </c>
      <c r="D41" s="954">
        <v>300</v>
      </c>
      <c r="E41" s="1250">
        <v>300</v>
      </c>
      <c r="F41" s="1250"/>
      <c r="G41" s="1250">
        <v>301</v>
      </c>
      <c r="H41" s="1250"/>
      <c r="I41" s="1250">
        <v>302</v>
      </c>
      <c r="J41" s="1250"/>
      <c r="K41" s="413">
        <f>AVERAGE(E41:J41)</f>
        <v>301</v>
      </c>
      <c r="L41" s="414">
        <f>'DB Stopwatch'!D194</f>
        <v>1</v>
      </c>
      <c r="M41" s="1213">
        <f>STDEV(E41:J41)</f>
        <v>1</v>
      </c>
      <c r="N41" s="1213"/>
    </row>
    <row r="42" spans="1:31" ht="17.5" hidden="1" customHeight="1" x14ac:dyDescent="0.25">
      <c r="B42" s="397">
        <v>2</v>
      </c>
      <c r="C42" s="411" t="s">
        <v>338</v>
      </c>
      <c r="D42" s="412">
        <v>20</v>
      </c>
      <c r="E42" s="1259">
        <v>20.11</v>
      </c>
      <c r="F42" s="1259"/>
      <c r="G42" s="1259">
        <v>20.14</v>
      </c>
      <c r="H42" s="1259"/>
      <c r="I42" s="1260">
        <v>20.010000000000002</v>
      </c>
      <c r="J42" s="1260"/>
      <c r="K42" s="413">
        <f t="shared" ref="K42:K43" si="1">AVERAGE(E42:J42)</f>
        <v>20.08666666666667</v>
      </c>
      <c r="L42" s="414">
        <f>'DB Stopwatch'!C189</f>
        <v>-6.695555555555557E-3</v>
      </c>
      <c r="M42" s="1213">
        <f t="shared" ref="M42:M43" si="2">STDEV(E42:J42)</f>
        <v>6.8068592855539706E-2</v>
      </c>
      <c r="N42" s="1213"/>
    </row>
    <row r="43" spans="1:31" ht="17.5" hidden="1" customHeight="1" x14ac:dyDescent="0.25">
      <c r="B43" s="397">
        <v>3</v>
      </c>
      <c r="C43" s="411" t="s">
        <v>339</v>
      </c>
      <c r="D43" s="412">
        <v>20</v>
      </c>
      <c r="E43" s="1259">
        <v>20.309999999999999</v>
      </c>
      <c r="F43" s="1259"/>
      <c r="G43" s="1259">
        <v>20.21</v>
      </c>
      <c r="H43" s="1259"/>
      <c r="I43" s="1260">
        <v>20.22</v>
      </c>
      <c r="J43" s="1260"/>
      <c r="K43" s="413">
        <f t="shared" si="1"/>
        <v>20.246666666666666</v>
      </c>
      <c r="L43" s="414">
        <f>'DB Stopwatch'!I189</f>
        <v>-6.7488888888888885E-3</v>
      </c>
      <c r="M43" s="1213">
        <f t="shared" si="2"/>
        <v>5.5075705472860274E-2</v>
      </c>
      <c r="N43" s="1213"/>
    </row>
    <row r="44" spans="1:31" ht="16" customHeight="1" x14ac:dyDescent="0.25">
      <c r="N44" s="399"/>
    </row>
    <row r="45" spans="1:31" ht="13.5" customHeight="1" x14ac:dyDescent="0.25">
      <c r="A45" s="363" t="s">
        <v>11</v>
      </c>
      <c r="B45" s="363" t="str">
        <f>LK!B47</f>
        <v xml:space="preserve">Keterangan </v>
      </c>
      <c r="C45" s="362"/>
      <c r="D45" s="364"/>
      <c r="E45" s="364"/>
      <c r="F45" s="364"/>
      <c r="G45" s="364"/>
      <c r="H45" s="364"/>
      <c r="I45" s="381"/>
      <c r="J45" s="381"/>
      <c r="K45" s="381"/>
      <c r="L45" s="381"/>
      <c r="M45" s="345"/>
      <c r="N45" s="415"/>
      <c r="O45" s="416"/>
      <c r="P45" s="417"/>
      <c r="Q45" s="376"/>
      <c r="R45" s="389"/>
      <c r="S45" s="389"/>
      <c r="T45" s="383"/>
      <c r="U45" s="389"/>
      <c r="V45" s="376"/>
      <c r="W45" s="389"/>
      <c r="X45" s="389"/>
      <c r="Y45" s="383"/>
      <c r="Z45" s="389"/>
      <c r="AA45" s="376"/>
      <c r="AB45" s="389"/>
      <c r="AC45" s="389"/>
      <c r="AD45" s="335"/>
      <c r="AE45" s="335"/>
    </row>
    <row r="46" spans="1:31" ht="13.5" customHeight="1" x14ac:dyDescent="0.25">
      <c r="A46" s="363"/>
      <c r="B46" s="418" t="s">
        <v>270</v>
      </c>
      <c r="C46" s="419"/>
      <c r="D46" s="420"/>
      <c r="E46" s="420"/>
      <c r="F46" s="420"/>
      <c r="G46" s="420"/>
      <c r="H46" s="420"/>
      <c r="I46" s="421"/>
      <c r="J46" s="421"/>
      <c r="K46" s="421"/>
      <c r="L46" s="421"/>
      <c r="M46" s="422"/>
      <c r="N46" s="345"/>
      <c r="O46" s="423"/>
      <c r="P46" s="417"/>
      <c r="Q46" s="376"/>
      <c r="R46" s="376"/>
      <c r="S46" s="376"/>
      <c r="T46" s="383"/>
      <c r="U46" s="389"/>
      <c r="V46" s="376"/>
      <c r="W46" s="376"/>
      <c r="X46" s="376"/>
      <c r="Y46" s="383"/>
      <c r="Z46" s="389"/>
      <c r="AA46" s="376"/>
      <c r="AB46" s="376"/>
      <c r="AC46" s="376"/>
      <c r="AD46" s="335"/>
      <c r="AE46" s="335"/>
    </row>
    <row r="47" spans="1:31" ht="13.5" customHeight="1" x14ac:dyDescent="0.25">
      <c r="A47" s="363"/>
      <c r="B47" s="1041" t="str">
        <f>'DB Kelistrikan'!N311</f>
        <v>Hasil pengukuran keselamatan listrik tertelusur ke Satuan Internasional ( SI ) melalui PT. Kaliman (LK-032-IDN)</v>
      </c>
      <c r="C47" s="419"/>
      <c r="D47" s="420"/>
      <c r="E47" s="420"/>
      <c r="F47" s="420"/>
      <c r="G47" s="420"/>
      <c r="H47" s="420"/>
      <c r="I47" s="421"/>
      <c r="J47" s="421"/>
      <c r="K47" s="421"/>
      <c r="L47" s="421"/>
      <c r="M47" s="422"/>
      <c r="N47" s="345"/>
      <c r="O47" s="423"/>
      <c r="P47" s="417"/>
      <c r="Q47" s="376"/>
      <c r="R47" s="376"/>
      <c r="S47" s="376"/>
      <c r="T47" s="383"/>
      <c r="U47" s="389"/>
      <c r="V47" s="376"/>
      <c r="W47" s="376"/>
      <c r="X47" s="376"/>
      <c r="Y47" s="383"/>
      <c r="Z47" s="389"/>
      <c r="AA47" s="376"/>
      <c r="AB47" s="376"/>
      <c r="AC47" s="376"/>
      <c r="AD47" s="335"/>
      <c r="AE47" s="335"/>
    </row>
    <row r="48" spans="1:31" ht="13.5" customHeight="1" x14ac:dyDescent="0.25">
      <c r="A48" s="363"/>
      <c r="B48" s="418" t="str">
        <f>'DB ANDILOG'!P160</f>
        <v>Hasil pengujian kinerja traction control tertelusur ke Satuan Internasional ( SI ) melalui METRIX PRECISION PTE LTD</v>
      </c>
      <c r="C48" s="419"/>
      <c r="D48" s="420"/>
      <c r="E48" s="420"/>
      <c r="F48" s="420"/>
      <c r="G48" s="420"/>
      <c r="H48" s="420"/>
      <c r="I48" s="421"/>
      <c r="J48" s="421"/>
      <c r="K48" s="421"/>
      <c r="L48" s="421"/>
      <c r="M48" s="422"/>
      <c r="N48" s="345"/>
      <c r="O48" s="423"/>
      <c r="P48" s="417"/>
      <c r="Q48" s="376"/>
      <c r="R48" s="376"/>
      <c r="S48" s="376"/>
      <c r="T48" s="383"/>
      <c r="U48" s="389"/>
      <c r="V48" s="376"/>
      <c r="W48" s="376"/>
      <c r="X48" s="376"/>
      <c r="Y48" s="383"/>
      <c r="Z48" s="389"/>
      <c r="AA48" s="376"/>
      <c r="AB48" s="376"/>
      <c r="AC48" s="376"/>
      <c r="AD48" s="335"/>
      <c r="AE48" s="335"/>
    </row>
    <row r="49" spans="1:31" ht="13.5" customHeight="1" x14ac:dyDescent="0.25">
      <c r="A49" s="363"/>
      <c r="B49" s="418" t="str">
        <f>'DB Stopwatch'!M215</f>
        <v>Hasil pengujian kinerja waktu tertelusur ke Satuan Internasional ( SI ) melalui PT KALIMAN</v>
      </c>
      <c r="C49" s="419"/>
      <c r="D49" s="420"/>
      <c r="E49" s="420"/>
      <c r="F49" s="420"/>
      <c r="G49" s="420"/>
      <c r="H49" s="420"/>
      <c r="I49" s="421"/>
      <c r="J49" s="421"/>
      <c r="K49" s="421"/>
      <c r="L49" s="421"/>
      <c r="M49" s="422"/>
      <c r="N49" s="345"/>
      <c r="O49" s="423"/>
      <c r="P49" s="417"/>
      <c r="Q49" s="376"/>
      <c r="R49" s="376"/>
      <c r="S49" s="376"/>
      <c r="T49" s="383"/>
      <c r="U49" s="389"/>
      <c r="V49" s="376"/>
      <c r="W49" s="376"/>
      <c r="X49" s="376"/>
      <c r="Y49" s="383"/>
      <c r="Z49" s="389"/>
      <c r="AA49" s="376"/>
      <c r="AB49" s="376"/>
      <c r="AC49" s="376"/>
      <c r="AD49" s="335"/>
      <c r="AE49" s="335"/>
    </row>
    <row r="50" spans="1:31" ht="13.5" customHeight="1" x14ac:dyDescent="0.25">
      <c r="A50" s="363"/>
      <c r="B50" s="418" t="s">
        <v>65</v>
      </c>
      <c r="C50" s="419"/>
      <c r="D50" s="420"/>
      <c r="E50" s="420"/>
      <c r="F50" s="420"/>
      <c r="G50" s="420"/>
      <c r="H50" s="420"/>
      <c r="I50" s="421"/>
      <c r="J50" s="421"/>
      <c r="K50" s="421"/>
      <c r="L50" s="421"/>
      <c r="M50" s="422"/>
      <c r="N50" s="345"/>
      <c r="O50" s="423"/>
      <c r="P50" s="417"/>
      <c r="Q50" s="376" t="s">
        <v>349</v>
      </c>
      <c r="R50" s="376"/>
      <c r="S50" s="376"/>
      <c r="T50" s="383"/>
      <c r="U50" s="389"/>
      <c r="V50" s="376"/>
      <c r="W50" s="376"/>
      <c r="X50" s="376"/>
      <c r="Y50" s="383"/>
      <c r="Z50" s="389"/>
      <c r="AA50" s="376"/>
      <c r="AB50" s="376"/>
      <c r="AC50" s="376"/>
      <c r="AD50" s="335"/>
      <c r="AE50" s="335"/>
    </row>
    <row r="51" spans="1:31" ht="15" customHeight="1" x14ac:dyDescent="0.25">
      <c r="A51" s="382"/>
      <c r="B51" s="833" t="str">
        <f>IF(C27=P71,"-",P70)</f>
        <v>-</v>
      </c>
      <c r="C51" s="422"/>
      <c r="D51" s="422"/>
      <c r="E51" s="422"/>
      <c r="F51" s="422"/>
      <c r="G51" s="422"/>
      <c r="H51" s="422"/>
      <c r="I51" s="422"/>
      <c r="J51" s="421"/>
      <c r="K51" s="421"/>
      <c r="L51" s="381"/>
      <c r="M51" s="424"/>
      <c r="N51" s="345"/>
      <c r="O51" s="359"/>
      <c r="P51" s="425"/>
      <c r="Q51" s="425" t="s">
        <v>65</v>
      </c>
      <c r="R51" s="425"/>
      <c r="S51" s="425"/>
      <c r="T51" s="425"/>
      <c r="U51" s="425"/>
      <c r="V51" s="425"/>
      <c r="AD51" s="335"/>
      <c r="AE51" s="335"/>
    </row>
    <row r="52" spans="1:31" ht="15.5" x14ac:dyDescent="0.25">
      <c r="A52" s="382" t="s">
        <v>12</v>
      </c>
      <c r="B52" s="382" t="str">
        <f>LK!B51</f>
        <v xml:space="preserve">Alat ukur yang digunakan </v>
      </c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59"/>
      <c r="P52" s="426"/>
      <c r="Q52" s="426"/>
      <c r="R52" s="426"/>
      <c r="S52" s="426"/>
      <c r="T52" s="426"/>
      <c r="U52" s="426"/>
      <c r="V52" s="426"/>
      <c r="AD52" s="427"/>
      <c r="AE52" s="428"/>
    </row>
    <row r="53" spans="1:31" ht="15.5" x14ac:dyDescent="0.25">
      <c r="A53" s="345"/>
      <c r="B53" s="1252" t="s">
        <v>275</v>
      </c>
      <c r="C53" s="1252"/>
      <c r="D53" s="1252"/>
      <c r="E53" s="1252"/>
      <c r="F53" s="1252"/>
      <c r="G53" s="1252"/>
      <c r="H53" s="1252"/>
      <c r="I53" s="1252"/>
      <c r="J53" s="1252"/>
      <c r="K53" s="429"/>
      <c r="L53" s="345"/>
      <c r="M53" s="345"/>
      <c r="N53" s="345"/>
      <c r="O53" s="359"/>
      <c r="P53" s="426"/>
      <c r="Q53" s="426"/>
      <c r="R53" s="426"/>
      <c r="S53" s="426"/>
      <c r="T53" s="426"/>
      <c r="U53" s="426"/>
      <c r="V53" s="426"/>
      <c r="AD53" s="428"/>
      <c r="AE53" s="417"/>
    </row>
    <row r="54" spans="1:31" ht="15.5" x14ac:dyDescent="0.25">
      <c r="A54" s="430"/>
      <c r="B54" s="955" t="s">
        <v>489</v>
      </c>
      <c r="C54" s="955"/>
      <c r="D54" s="955"/>
      <c r="E54" s="955"/>
      <c r="F54" s="955"/>
      <c r="G54" s="955"/>
      <c r="H54" s="955"/>
      <c r="I54" s="955"/>
      <c r="J54" s="955"/>
      <c r="K54" s="431"/>
      <c r="L54" s="431"/>
      <c r="M54" s="431"/>
      <c r="N54" s="345"/>
      <c r="P54" s="426"/>
      <c r="Q54" s="426"/>
      <c r="R54" s="426"/>
      <c r="S54" s="426"/>
      <c r="T54" s="426"/>
      <c r="U54" s="426"/>
      <c r="V54" s="426"/>
      <c r="AD54" s="428"/>
      <c r="AE54" s="417"/>
    </row>
    <row r="55" spans="1:31" ht="15.5" x14ac:dyDescent="0.25">
      <c r="A55" s="430"/>
      <c r="B55" s="1241" t="s">
        <v>319</v>
      </c>
      <c r="C55" s="1241"/>
      <c r="D55" s="1241"/>
      <c r="E55" s="1241"/>
      <c r="F55" s="1241"/>
      <c r="G55" s="1241"/>
      <c r="H55" s="1241"/>
      <c r="I55" s="1241"/>
      <c r="J55" s="1241"/>
      <c r="K55" s="431"/>
      <c r="L55" s="345"/>
      <c r="M55" s="345"/>
      <c r="N55" s="345"/>
      <c r="P55" s="426"/>
      <c r="Q55" s="426"/>
      <c r="R55" s="426"/>
      <c r="S55" s="426"/>
      <c r="T55" s="426"/>
      <c r="U55" s="426"/>
      <c r="V55" s="426"/>
      <c r="AD55" s="428"/>
      <c r="AE55" s="417"/>
    </row>
    <row r="56" spans="1:31" ht="15.5" x14ac:dyDescent="0.25">
      <c r="A56" s="430"/>
      <c r="B56" s="1241" t="s">
        <v>374</v>
      </c>
      <c r="C56" s="1241"/>
      <c r="D56" s="1241"/>
      <c r="E56" s="1241"/>
      <c r="F56" s="1241"/>
      <c r="G56" s="1241"/>
      <c r="H56" s="1241"/>
      <c r="I56" s="1241"/>
      <c r="J56" s="1241"/>
      <c r="K56" s="431"/>
      <c r="L56" s="345"/>
      <c r="M56" s="345"/>
      <c r="N56" s="345"/>
      <c r="P56" s="426"/>
      <c r="Q56" s="426"/>
      <c r="R56" s="426"/>
      <c r="S56" s="426"/>
      <c r="T56" s="426"/>
      <c r="U56" s="426"/>
      <c r="V56" s="426"/>
      <c r="AD56" s="428"/>
      <c r="AE56" s="417"/>
    </row>
    <row r="57" spans="1:31" ht="8.5" customHeight="1" x14ac:dyDescent="0.25">
      <c r="A57" s="345"/>
      <c r="B57" s="393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AD57" s="428"/>
      <c r="AE57" s="417"/>
    </row>
    <row r="58" spans="1:31" ht="12.75" customHeight="1" x14ac:dyDescent="0.25">
      <c r="A58" s="382" t="s">
        <v>22</v>
      </c>
      <c r="B58" s="384" t="str">
        <f>LK!B60</f>
        <v>Kesimpulan</v>
      </c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AD58" s="428"/>
      <c r="AE58" s="417"/>
    </row>
    <row r="59" spans="1:31" ht="15.75" customHeight="1" x14ac:dyDescent="0.25">
      <c r="A59" s="382"/>
      <c r="B59" s="1237" t="str">
        <f>IF(PENYELIA!J61&gt;=70,'Cetik - Cetik'!A11,'Cetik - Cetik'!A12)</f>
        <v>Alat yang dikalibrasi dalam batas toleransi dan dinyatakan LAIK PAKAI, dimana hasil atau skor akhir sama dengan atau melampaui 70 % berdasarkan Keputusan Direktur Jenderal Pelayanan Kesehatan No : HK.02.02/V/0412/2020</v>
      </c>
      <c r="C59" s="1237"/>
      <c r="D59" s="1237"/>
      <c r="E59" s="1237"/>
      <c r="F59" s="1237"/>
      <c r="G59" s="1237"/>
      <c r="H59" s="1237"/>
      <c r="I59" s="1237"/>
      <c r="J59" s="1237"/>
      <c r="K59" s="1237"/>
      <c r="L59" s="1237"/>
      <c r="M59" s="345"/>
      <c r="N59" s="345"/>
      <c r="AD59" s="428"/>
      <c r="AE59" s="417"/>
    </row>
    <row r="60" spans="1:31" ht="15" customHeight="1" x14ac:dyDescent="0.25">
      <c r="A60" s="382"/>
      <c r="B60" s="1237"/>
      <c r="C60" s="1237"/>
      <c r="D60" s="1237"/>
      <c r="E60" s="1237"/>
      <c r="F60" s="1237"/>
      <c r="G60" s="1237"/>
      <c r="H60" s="1237"/>
      <c r="I60" s="1237"/>
      <c r="J60" s="1237"/>
      <c r="K60" s="1237"/>
      <c r="L60" s="1237"/>
      <c r="M60" s="345"/>
      <c r="N60" s="345"/>
      <c r="AD60" s="428"/>
      <c r="AE60" s="417"/>
    </row>
    <row r="61" spans="1:31" ht="15.5" x14ac:dyDescent="0.25">
      <c r="A61" s="382" t="s">
        <v>32</v>
      </c>
      <c r="B61" s="382" t="str">
        <f>LK!B63</f>
        <v>Petugas Kalibrasi</v>
      </c>
      <c r="C61" s="382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P61" s="432"/>
      <c r="AD61" s="428"/>
      <c r="AE61" s="417"/>
    </row>
    <row r="62" spans="1:31" ht="15.5" x14ac:dyDescent="0.25">
      <c r="A62" s="345"/>
      <c r="B62" s="1251" t="s">
        <v>83</v>
      </c>
      <c r="C62" s="1251"/>
      <c r="D62" s="1251"/>
      <c r="E62" s="1251"/>
      <c r="F62" s="345"/>
      <c r="G62" s="345"/>
      <c r="H62" s="345"/>
      <c r="I62" s="345"/>
      <c r="J62" s="345"/>
      <c r="K62" s="345"/>
      <c r="L62" s="345"/>
      <c r="M62" s="345"/>
      <c r="N62" s="345"/>
      <c r="P62" s="433"/>
      <c r="AD62" s="428"/>
      <c r="AE62" s="417"/>
    </row>
    <row r="63" spans="1:31" ht="15.5" x14ac:dyDescent="0.25">
      <c r="A63" s="382" t="s">
        <v>102</v>
      </c>
      <c r="B63" s="448" t="s">
        <v>282</v>
      </c>
      <c r="C63" s="422"/>
      <c r="D63" s="422"/>
      <c r="E63" s="422"/>
      <c r="F63" s="345"/>
      <c r="G63" s="345"/>
      <c r="H63" s="345"/>
      <c r="I63" s="345"/>
      <c r="J63" s="345"/>
      <c r="K63" s="345"/>
      <c r="L63" s="345"/>
      <c r="M63" s="345"/>
      <c r="N63" s="345"/>
      <c r="P63" s="433"/>
      <c r="AD63" s="428"/>
      <c r="AE63" s="417"/>
    </row>
    <row r="64" spans="1:31" ht="16" thickBot="1" x14ac:dyDescent="0.3">
      <c r="A64" s="345"/>
      <c r="B64" s="451" t="s">
        <v>286</v>
      </c>
      <c r="C64" s="422"/>
      <c r="D64" s="422"/>
      <c r="E64" s="422"/>
      <c r="F64" s="345"/>
      <c r="G64" s="345"/>
      <c r="H64" s="345"/>
      <c r="I64" s="345"/>
      <c r="J64" s="345"/>
      <c r="K64" s="345"/>
      <c r="L64" s="345"/>
      <c r="M64" s="345"/>
      <c r="N64" s="345"/>
      <c r="P64" s="433"/>
      <c r="AD64" s="428"/>
      <c r="AE64" s="417"/>
    </row>
    <row r="65" spans="1:31" ht="15.5" x14ac:dyDescent="0.25">
      <c r="A65" s="345"/>
      <c r="B65" s="422"/>
      <c r="C65" s="422"/>
      <c r="D65" s="422"/>
      <c r="E65" s="422"/>
      <c r="F65" s="345"/>
      <c r="G65" s="345"/>
      <c r="H65" s="345"/>
      <c r="I65" s="345"/>
      <c r="J65" s="345"/>
      <c r="K65" s="345"/>
      <c r="L65" s="345"/>
      <c r="M65" s="345"/>
      <c r="N65" s="345"/>
      <c r="P65" s="817"/>
      <c r="Q65" s="818">
        <v>0</v>
      </c>
      <c r="R65" s="819" t="s">
        <v>65</v>
      </c>
      <c r="S65" s="820"/>
      <c r="T65" s="821"/>
      <c r="AD65" s="428"/>
      <c r="AE65" s="417"/>
    </row>
    <row r="66" spans="1:31" ht="15.5" x14ac:dyDescent="0.25">
      <c r="A66" s="345"/>
      <c r="B66" s="422"/>
      <c r="C66" s="422"/>
      <c r="D66" s="422"/>
      <c r="E66" s="422"/>
      <c r="F66" s="345"/>
      <c r="G66" s="345"/>
      <c r="H66" s="345"/>
      <c r="I66" s="345"/>
      <c r="J66" s="345"/>
      <c r="K66" s="345"/>
      <c r="L66" s="345"/>
      <c r="M66" s="345"/>
      <c r="N66" s="345"/>
      <c r="P66" s="831"/>
      <c r="Q66" s="823">
        <v>10</v>
      </c>
      <c r="R66" s="832" t="s">
        <v>65</v>
      </c>
      <c r="S66" s="431"/>
      <c r="T66" s="824"/>
      <c r="AD66" s="428"/>
      <c r="AE66" s="417"/>
    </row>
    <row r="67" spans="1:31" ht="15.5" x14ac:dyDescent="0.25">
      <c r="A67" s="345"/>
      <c r="B67" s="422"/>
      <c r="C67" s="422"/>
      <c r="D67" s="422"/>
      <c r="E67" s="422"/>
      <c r="F67" s="345"/>
      <c r="G67" s="345"/>
      <c r="H67" s="345"/>
      <c r="I67" s="345"/>
      <c r="J67" s="345"/>
      <c r="K67" s="345"/>
      <c r="L67" s="345"/>
      <c r="M67" s="345"/>
      <c r="N67" s="345"/>
      <c r="P67" s="822">
        <f>PENYELIA!T25</f>
        <v>40</v>
      </c>
      <c r="Q67" s="823">
        <v>20</v>
      </c>
      <c r="R67" s="431" t="s">
        <v>406</v>
      </c>
      <c r="S67" s="431"/>
      <c r="T67" s="824"/>
      <c r="AD67" s="428"/>
      <c r="AE67" s="417"/>
    </row>
    <row r="68" spans="1:31" ht="15.5" x14ac:dyDescent="0.25">
      <c r="A68" s="345"/>
      <c r="B68" s="422"/>
      <c r="C68" s="422"/>
      <c r="D68" s="422"/>
      <c r="E68" s="422"/>
      <c r="F68" s="345"/>
      <c r="G68" s="345"/>
      <c r="H68" s="345"/>
      <c r="I68" s="345"/>
      <c r="J68" s="345"/>
      <c r="K68" s="345"/>
      <c r="L68" s="345"/>
      <c r="M68" s="345"/>
      <c r="N68" s="345"/>
      <c r="P68" s="822"/>
      <c r="Q68" s="823">
        <v>30</v>
      </c>
      <c r="R68" s="431" t="s">
        <v>65</v>
      </c>
      <c r="S68" s="431"/>
      <c r="T68" s="824"/>
      <c r="AD68" s="428"/>
      <c r="AE68" s="417"/>
    </row>
    <row r="69" spans="1:31" ht="16" thickBot="1" x14ac:dyDescent="0.3">
      <c r="A69" s="345"/>
      <c r="B69" s="422"/>
      <c r="C69" s="422"/>
      <c r="D69" s="422"/>
      <c r="E69" s="422"/>
      <c r="F69" s="345"/>
      <c r="G69" s="345"/>
      <c r="H69" s="345"/>
      <c r="I69" s="345"/>
      <c r="J69" s="345"/>
      <c r="K69" s="345"/>
      <c r="L69" s="345"/>
      <c r="M69" s="345"/>
      <c r="N69" s="345"/>
      <c r="P69" s="825"/>
      <c r="Q69" s="826">
        <v>40</v>
      </c>
      <c r="R69" s="827" t="s">
        <v>65</v>
      </c>
      <c r="S69" s="828"/>
      <c r="T69" s="829"/>
      <c r="AD69" s="428"/>
      <c r="AE69" s="417"/>
    </row>
    <row r="70" spans="1:31" ht="15.5" x14ac:dyDescent="0.25">
      <c r="A70" s="345"/>
      <c r="B70" s="422"/>
      <c r="C70" s="422"/>
      <c r="D70" s="422"/>
      <c r="E70" s="422"/>
      <c r="F70" s="345"/>
      <c r="G70" s="345"/>
      <c r="H70" s="345"/>
      <c r="I70" s="345"/>
      <c r="J70" s="345"/>
      <c r="K70" s="345"/>
      <c r="L70" s="345"/>
      <c r="M70" s="345"/>
      <c r="N70" s="345"/>
      <c r="P70" s="830" t="str">
        <f>IF(P67=30,R67,VLOOKUP(P67,Q65:T69,2,TRUE))</f>
        <v>-</v>
      </c>
      <c r="AD70" s="428"/>
      <c r="AE70" s="417"/>
    </row>
    <row r="71" spans="1:31" ht="15.5" x14ac:dyDescent="0.25">
      <c r="A71" s="345"/>
      <c r="B71" s="422"/>
      <c r="C71" s="422"/>
      <c r="D71" s="422"/>
      <c r="E71" s="422"/>
      <c r="F71" s="345"/>
      <c r="G71" s="345"/>
      <c r="H71" s="345"/>
      <c r="I71" s="345"/>
      <c r="J71" s="345"/>
      <c r="K71" s="345"/>
      <c r="L71" s="345"/>
      <c r="M71" s="345"/>
      <c r="N71" s="345"/>
      <c r="P71" s="433" t="s">
        <v>265</v>
      </c>
      <c r="AD71" s="428"/>
      <c r="AE71" s="417"/>
    </row>
    <row r="72" spans="1:31" ht="15.5" x14ac:dyDescent="0.25">
      <c r="A72" s="345"/>
      <c r="B72" s="422"/>
      <c r="C72" s="422"/>
      <c r="D72" s="422"/>
      <c r="E72" s="422"/>
      <c r="F72" s="345"/>
      <c r="G72" s="345"/>
      <c r="H72" s="345"/>
      <c r="I72" s="345"/>
      <c r="J72" s="345"/>
      <c r="K72" s="345"/>
      <c r="L72" s="345"/>
      <c r="M72" s="345"/>
      <c r="N72" s="345"/>
      <c r="P72" s="433"/>
      <c r="AD72" s="428"/>
      <c r="AE72" s="417"/>
    </row>
    <row r="73" spans="1:31" ht="15.5" x14ac:dyDescent="0.25">
      <c r="A73" s="345"/>
      <c r="B73" s="345"/>
      <c r="C73" s="345"/>
      <c r="D73" s="345"/>
      <c r="E73" s="345"/>
      <c r="F73" s="345"/>
      <c r="G73" s="345"/>
      <c r="H73" s="345"/>
      <c r="I73" s="345"/>
      <c r="J73" s="345"/>
      <c r="K73" s="345"/>
      <c r="L73" s="393"/>
      <c r="M73" s="345"/>
      <c r="N73" s="345"/>
      <c r="AD73" s="428"/>
      <c r="AE73" s="434"/>
    </row>
    <row r="74" spans="1:31" ht="15.5" x14ac:dyDescent="0.25">
      <c r="A74" s="345"/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93"/>
      <c r="M74" s="345"/>
      <c r="N74" s="345"/>
      <c r="AD74" s="428"/>
      <c r="AE74" s="434"/>
    </row>
    <row r="75" spans="1:31" ht="14" x14ac:dyDescent="0.25">
      <c r="A75" s="359"/>
      <c r="C75" s="359"/>
      <c r="L75" s="435"/>
      <c r="AD75" s="428"/>
      <c r="AE75" s="434"/>
    </row>
    <row r="76" spans="1:31" x14ac:dyDescent="0.25">
      <c r="AD76" s="428"/>
      <c r="AE76" s="434"/>
    </row>
    <row r="77" spans="1:31" x14ac:dyDescent="0.25">
      <c r="AD77" s="428"/>
      <c r="AE77" s="434"/>
    </row>
    <row r="81" spans="13:15" x14ac:dyDescent="0.25">
      <c r="M81" s="432"/>
      <c r="N81" s="432"/>
    </row>
    <row r="82" spans="13:15" x14ac:dyDescent="0.25">
      <c r="M82" s="433"/>
      <c r="N82" s="433"/>
    </row>
    <row r="83" spans="13:15" x14ac:dyDescent="0.25">
      <c r="M83" s="433"/>
      <c r="N83" s="433"/>
      <c r="O83" s="432"/>
    </row>
    <row r="84" spans="13:15" x14ac:dyDescent="0.25">
      <c r="O84" s="433"/>
    </row>
    <row r="85" spans="13:15" x14ac:dyDescent="0.25">
      <c r="O85" s="433"/>
    </row>
    <row r="86" spans="13:15" x14ac:dyDescent="0.25">
      <c r="O86" s="433"/>
    </row>
    <row r="87" spans="13:15" x14ac:dyDescent="0.25">
      <c r="O87" s="433"/>
    </row>
    <row r="88" spans="13:15" x14ac:dyDescent="0.25">
      <c r="O88" s="433"/>
    </row>
  </sheetData>
  <sheetProtection formatCells="0" formatColumns="0" formatRows="0" insertColumns="0" insertRows="0" deleteColumns="0" deleteRows="0"/>
  <mergeCells count="59">
    <mergeCell ref="C2:F2"/>
    <mergeCell ref="AU21:AW22"/>
    <mergeCell ref="P26:R28"/>
    <mergeCell ref="AX21:AY22"/>
    <mergeCell ref="S26:T28"/>
    <mergeCell ref="E20:F20"/>
    <mergeCell ref="G17:I17"/>
    <mergeCell ref="I2:L2"/>
    <mergeCell ref="E8:F8"/>
    <mergeCell ref="E9:F9"/>
    <mergeCell ref="M42:N42"/>
    <mergeCell ref="M43:N43"/>
    <mergeCell ref="E42:F42"/>
    <mergeCell ref="E43:F43"/>
    <mergeCell ref="G42:H42"/>
    <mergeCell ref="G43:H43"/>
    <mergeCell ref="I42:J42"/>
    <mergeCell ref="I43:J43"/>
    <mergeCell ref="I41:J41"/>
    <mergeCell ref="M41:N41"/>
    <mergeCell ref="K24:L24"/>
    <mergeCell ref="M39:N40"/>
    <mergeCell ref="L33:M33"/>
    <mergeCell ref="L34:M34"/>
    <mergeCell ref="L35:M35"/>
    <mergeCell ref="L37:M37"/>
    <mergeCell ref="L36:M36"/>
    <mergeCell ref="B62:E62"/>
    <mergeCell ref="A1:N1"/>
    <mergeCell ref="B31:B32"/>
    <mergeCell ref="J31:J32"/>
    <mergeCell ref="B55:J55"/>
    <mergeCell ref="B53:J53"/>
    <mergeCell ref="D31:D32"/>
    <mergeCell ref="E41:F41"/>
    <mergeCell ref="C39:C40"/>
    <mergeCell ref="B39:B40"/>
    <mergeCell ref="E21:F21"/>
    <mergeCell ref="K39:K40"/>
    <mergeCell ref="C27:H27"/>
    <mergeCell ref="K27:L27"/>
    <mergeCell ref="E31:I31"/>
    <mergeCell ref="K31:K32"/>
    <mergeCell ref="B59:L60"/>
    <mergeCell ref="C24:H24"/>
    <mergeCell ref="I24:J24"/>
    <mergeCell ref="K25:L25"/>
    <mergeCell ref="K26:L26"/>
    <mergeCell ref="B56:J56"/>
    <mergeCell ref="L39:L40"/>
    <mergeCell ref="D39:D40"/>
    <mergeCell ref="E39:J39"/>
    <mergeCell ref="E40:F40"/>
    <mergeCell ref="G40:H40"/>
    <mergeCell ref="I40:J40"/>
    <mergeCell ref="C31:C32"/>
    <mergeCell ref="C33:C36"/>
    <mergeCell ref="L31:M32"/>
    <mergeCell ref="G41:H41"/>
  </mergeCells>
  <dataValidations count="3">
    <dataValidation allowBlank="1" showInputMessage="1" sqref="M2:N2 A2:C2" xr:uid="{00000000-0002-0000-0100-000003000000}"/>
    <dataValidation type="list" allowBlank="1" showInputMessage="1" showErrorMessage="1" sqref="B50" xr:uid="{D8C3E656-823A-412A-AD84-372EA18686BB}">
      <formula1>$Q$50:$Q$51</formula1>
    </dataValidation>
    <dataValidation type="list" allowBlank="1" showInputMessage="1" showErrorMessage="1" sqref="C54:J54" xr:uid="{00000000-0002-0000-0100-000004000000}">
      <formula1>#REF!</formula1>
    </dataValidation>
  </dataValidations>
  <printOptions horizontalCentered="1"/>
  <pageMargins left="0.51181102362204722" right="0.23622047244094491" top="0.51181102362204722" bottom="0.23622047244094491" header="0.23622047244094491" footer="0.19685039370078741"/>
  <pageSetup paperSize="9" scale="69" orientation="portrait" horizontalDpi="4294967294" verticalDpi="4294967294" r:id="rId1"/>
  <headerFooter>
    <oddHeader>&amp;R&amp;"Times New Roman,Regular"&amp;9GM.ID  053.18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#REF!</xm:f>
          </x14:formula1>
          <xm:sqref>E20:E21</xm:sqref>
        </x14:dataValidation>
        <x14:dataValidation type="list" allowBlank="1" showInputMessage="1" showErrorMessage="1" xr:uid="{00000000-0002-0000-0100-000005000000}">
          <x14:formula1>
            <xm:f>'DB Thermohygro (2)'!$A$357:$A$374</xm:f>
          </x14:formula1>
          <xm:sqref>B56:J56</xm:sqref>
        </x14:dataValidation>
        <x14:dataValidation type="list" allowBlank="1" showInputMessage="1" showErrorMessage="1" xr:uid="{00000000-0002-0000-0100-000006000000}">
          <x14:formula1>
            <xm:f>'DB Stopwatch'!$A$200:$A$214</xm:f>
          </x14:formula1>
          <xm:sqref>B55:J55</xm:sqref>
        </x14:dataValidation>
        <x14:dataValidation type="list" allowBlank="1" showInputMessage="1" showErrorMessage="1" xr:uid="{00000000-0002-0000-0100-000007000000}">
          <x14:formula1>
            <xm:f>'DB ANDILOG'!$A$151:$A$157</xm:f>
          </x14:formula1>
          <xm:sqref>B53:J53</xm:sqref>
        </x14:dataValidation>
        <x14:dataValidation type="list" allowBlank="1" showInputMessage="1" showErrorMessage="1" xr:uid="{00000000-0002-0000-0100-000000000000}">
          <x14:formula1>
            <xm:f>#REF!</xm:f>
          </x14:formula1>
          <xm:sqref>B67:B72</xm:sqref>
        </x14:dataValidation>
        <x14:dataValidation type="list" allowBlank="1" showInputMessage="1" showErrorMessage="1" xr:uid="{00000000-0002-0000-0100-000002000000}">
          <x14:formula1>
            <xm:f>'Cetik - Cetik'!$A$17:$A$36</xm:f>
          </x14:formula1>
          <xm:sqref>B62:E62</xm:sqref>
        </x14:dataValidation>
        <x14:dataValidation type="list" allowBlank="1" showInputMessage="1" showErrorMessage="1" xr:uid="{24F3C2A7-B68B-4435-970B-1D10005BE5F2}">
          <x14:formula1>
            <xm:f>'Cetik - Cetik'!$A$3:$A$4</xm:f>
          </x14:formula1>
          <xm:sqref>C27:H27</xm:sqref>
        </x14:dataValidation>
        <x14:dataValidation type="list" allowBlank="1" showInputMessage="1" showErrorMessage="1" xr:uid="{8407321C-7CA9-40A2-A716-6DCA0746B97E}">
          <x14:formula1>
            <xm:f>'Cetik - Cetik'!$I$17:$I$18</xm:f>
          </x14:formula1>
          <xm:sqref>E31:I31</xm:sqref>
        </x14:dataValidation>
        <x14:dataValidation type="list" allowBlank="1" showInputMessage="1" showErrorMessage="1" xr:uid="{0A02D36F-E777-4FB1-8F85-6149490CEA41}">
          <x14:formula1>
            <xm:f>'DB Kelistrikan'!$A$299:$A$310</xm:f>
          </x14:formula1>
          <xm:sqref>B54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11C9-17FA-4480-890B-067C36F47875}">
  <sheetPr>
    <tabColor rgb="FFFF0000"/>
  </sheetPr>
  <dimension ref="A1:AC217"/>
  <sheetViews>
    <sheetView view="pageBreakPreview" topLeftCell="A179" zoomScale="90" zoomScaleNormal="100" zoomScaleSheetLayoutView="90" workbookViewId="0">
      <selection activeCell="K194" sqref="K194"/>
    </sheetView>
  </sheetViews>
  <sheetFormatPr defaultColWidth="8.7265625" defaultRowHeight="12.5" x14ac:dyDescent="0.25"/>
  <cols>
    <col min="1" max="1" width="11.7265625" style="546" customWidth="1"/>
    <col min="2" max="2" width="8.7265625" style="546"/>
    <col min="3" max="3" width="11" style="546" customWidth="1"/>
    <col min="4" max="4" width="8.7265625" style="546"/>
    <col min="5" max="5" width="9.1796875" style="546" customWidth="1"/>
    <col min="6" max="6" width="12.1796875" style="546" bestFit="1" customWidth="1"/>
    <col min="7" max="7" width="11.26953125" style="546" customWidth="1"/>
    <col min="8" max="11" width="8.7265625" style="546"/>
    <col min="12" max="12" width="10" style="546" customWidth="1"/>
    <col min="13" max="13" width="12.26953125" style="546" customWidth="1"/>
    <col min="14" max="16384" width="8.7265625" style="546"/>
  </cols>
  <sheetData>
    <row r="1" spans="1:29" ht="13.5" thickBot="1" x14ac:dyDescent="0.35">
      <c r="A1" s="541"/>
      <c r="B1" s="542"/>
      <c r="C1" s="543"/>
      <c r="D1" s="543"/>
      <c r="E1" s="543"/>
      <c r="F1" s="544"/>
      <c r="G1" s="300"/>
      <c r="H1" s="541"/>
      <c r="I1" s="542"/>
      <c r="J1" s="543"/>
      <c r="K1" s="543"/>
      <c r="L1" s="543"/>
      <c r="M1" s="544"/>
      <c r="N1" s="300"/>
      <c r="O1" s="300"/>
      <c r="P1" s="300"/>
      <c r="Q1" s="545"/>
    </row>
    <row r="2" spans="1:29" ht="15" x14ac:dyDescent="0.25">
      <c r="A2" s="1297" t="s">
        <v>227</v>
      </c>
      <c r="B2" s="1298"/>
      <c r="C2" s="1298"/>
      <c r="D2" s="1298"/>
      <c r="E2" s="1298"/>
      <c r="F2" s="1298"/>
      <c r="G2" s="1298"/>
      <c r="H2" s="1298"/>
      <c r="I2" s="1298"/>
      <c r="J2" s="1298"/>
      <c r="K2" s="1298"/>
      <c r="L2" s="1298"/>
      <c r="M2" s="1298"/>
      <c r="N2" s="1298"/>
      <c r="O2" s="1298"/>
      <c r="P2" s="1298"/>
      <c r="Q2" s="1299"/>
      <c r="R2" s="547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</row>
    <row r="3" spans="1:29" ht="15.75" customHeight="1" x14ac:dyDescent="0.3">
      <c r="A3" s="1300" t="s">
        <v>228</v>
      </c>
      <c r="B3" s="1098"/>
      <c r="C3" s="1098"/>
      <c r="D3" s="1288" t="s">
        <v>63</v>
      </c>
      <c r="E3" s="1301" t="s">
        <v>143</v>
      </c>
      <c r="F3" s="1302"/>
      <c r="G3" s="1098" t="s">
        <v>229</v>
      </c>
      <c r="H3" s="1098"/>
      <c r="I3" s="1098"/>
      <c r="J3" s="1288" t="s">
        <v>63</v>
      </c>
      <c r="K3" s="1301" t="str">
        <f>E3</f>
        <v>U95 STD</v>
      </c>
      <c r="L3" s="545"/>
      <c r="M3" s="1098" t="s">
        <v>230</v>
      </c>
      <c r="N3" s="1098"/>
      <c r="O3" s="1098"/>
      <c r="P3" s="1288" t="s">
        <v>63</v>
      </c>
      <c r="Q3" s="1287" t="str">
        <f>K3</f>
        <v>U95 STD</v>
      </c>
      <c r="S3" s="273"/>
      <c r="T3" s="273"/>
      <c r="U3" s="273"/>
      <c r="V3" s="549"/>
      <c r="W3" s="550"/>
      <c r="X3" s="551"/>
      <c r="Y3" s="274"/>
      <c r="Z3" s="274"/>
      <c r="AA3" s="274"/>
      <c r="AB3" s="549"/>
      <c r="AC3" s="550"/>
    </row>
    <row r="4" spans="1:29" ht="12.75" customHeight="1" x14ac:dyDescent="0.25">
      <c r="A4" s="552" t="s">
        <v>231</v>
      </c>
      <c r="B4" s="1288" t="s">
        <v>62</v>
      </c>
      <c r="C4" s="1288"/>
      <c r="D4" s="1288"/>
      <c r="E4" s="1301"/>
      <c r="F4" s="1303"/>
      <c r="G4" s="553" t="str">
        <f>A4</f>
        <v>Timer</v>
      </c>
      <c r="H4" s="1288" t="s">
        <v>62</v>
      </c>
      <c r="I4" s="1288"/>
      <c r="J4" s="1288"/>
      <c r="K4" s="1301"/>
      <c r="L4" s="545"/>
      <c r="M4" s="553" t="str">
        <f>G4</f>
        <v>Timer</v>
      </c>
      <c r="N4" s="1288" t="s">
        <v>62</v>
      </c>
      <c r="O4" s="1288"/>
      <c r="P4" s="1288"/>
      <c r="Q4" s="1287"/>
      <c r="S4" s="554"/>
      <c r="T4" s="549"/>
      <c r="U4" s="549"/>
      <c r="V4" s="549"/>
      <c r="W4" s="550"/>
      <c r="X4" s="551"/>
      <c r="Y4" s="554"/>
      <c r="Z4" s="549"/>
      <c r="AA4" s="549"/>
      <c r="AB4" s="549"/>
      <c r="AC4" s="550"/>
    </row>
    <row r="5" spans="1:29" ht="12.75" customHeight="1" x14ac:dyDescent="0.25">
      <c r="A5" s="272" t="s">
        <v>232</v>
      </c>
      <c r="B5" s="555">
        <v>2016</v>
      </c>
      <c r="C5" s="556">
        <v>2015</v>
      </c>
      <c r="D5" s="1288"/>
      <c r="E5" s="1301"/>
      <c r="F5" s="1303"/>
      <c r="G5" s="496" t="str">
        <f>A5</f>
        <v>s</v>
      </c>
      <c r="H5" s="555">
        <v>2018</v>
      </c>
      <c r="I5" s="555">
        <v>2017</v>
      </c>
      <c r="J5" s="1288"/>
      <c r="K5" s="1301"/>
      <c r="L5" s="545"/>
      <c r="M5" s="496" t="str">
        <f>G5</f>
        <v>s</v>
      </c>
      <c r="N5" s="555">
        <v>2018</v>
      </c>
      <c r="O5" s="555">
        <v>2017</v>
      </c>
      <c r="P5" s="1288"/>
      <c r="Q5" s="1287"/>
      <c r="S5" s="265"/>
      <c r="T5" s="554"/>
      <c r="U5" s="557"/>
      <c r="V5" s="549"/>
      <c r="W5" s="550"/>
      <c r="X5" s="551"/>
      <c r="Y5" s="265"/>
      <c r="Z5" s="554"/>
      <c r="AA5" s="554"/>
      <c r="AB5" s="549"/>
      <c r="AC5" s="550"/>
    </row>
    <row r="6" spans="1:29" ht="13.5" customHeight="1" x14ac:dyDescent="0.25">
      <c r="A6" s="558">
        <v>0</v>
      </c>
      <c r="B6" s="576">
        <v>0</v>
      </c>
      <c r="C6" s="577">
        <v>0</v>
      </c>
      <c r="D6" s="561">
        <f>0.5*(MAX(B6:C6)-MIN(B6:C6))</f>
        <v>0</v>
      </c>
      <c r="E6" s="277">
        <v>0.04</v>
      </c>
      <c r="F6" s="1303"/>
      <c r="G6" s="280">
        <v>0</v>
      </c>
      <c r="H6" s="560">
        <v>0</v>
      </c>
      <c r="I6" s="577">
        <v>0</v>
      </c>
      <c r="J6" s="561">
        <f>0.5*(MAX(H6:I6)-MIN(H6:I6))</f>
        <v>0</v>
      </c>
      <c r="K6" s="277">
        <v>0.12</v>
      </c>
      <c r="L6" s="545"/>
      <c r="M6" s="280">
        <v>0</v>
      </c>
      <c r="N6" s="560">
        <v>0</v>
      </c>
      <c r="O6" s="577">
        <v>0</v>
      </c>
      <c r="P6" s="561">
        <f>0.5*(MAX(N6:O6)-MIN(N6:O6))</f>
        <v>0</v>
      </c>
      <c r="Q6" s="276">
        <v>0</v>
      </c>
      <c r="S6" s="562"/>
      <c r="T6" s="563"/>
      <c r="U6" s="564"/>
      <c r="V6" s="565"/>
      <c r="W6" s="563"/>
      <c r="X6" s="551"/>
      <c r="Y6" s="562"/>
      <c r="Z6" s="563"/>
      <c r="AA6" s="563"/>
      <c r="AB6" s="565"/>
      <c r="AC6" s="563"/>
    </row>
    <row r="7" spans="1:29" ht="12.75" customHeight="1" x14ac:dyDescent="0.25">
      <c r="A7" s="558">
        <v>60</v>
      </c>
      <c r="B7" s="577">
        <v>0</v>
      </c>
      <c r="C7" s="577">
        <v>1E-3</v>
      </c>
      <c r="D7" s="561">
        <f>0.5*(MAX(B7:C7)-MIN(B7:C7))</f>
        <v>5.0000000000000001E-4</v>
      </c>
      <c r="E7" s="277">
        <v>0.04</v>
      </c>
      <c r="F7" s="1303"/>
      <c r="G7" s="280">
        <v>60</v>
      </c>
      <c r="H7" s="560">
        <v>0.01</v>
      </c>
      <c r="I7" s="577">
        <v>0</v>
      </c>
      <c r="J7" s="561">
        <f>0.5*(MAX(H7:I7)-MIN(H7:I7))</f>
        <v>5.0000000000000001E-3</v>
      </c>
      <c r="K7" s="277">
        <v>0.12</v>
      </c>
      <c r="L7" s="545"/>
      <c r="M7" s="280">
        <v>60</v>
      </c>
      <c r="N7" s="560">
        <v>0.01</v>
      </c>
      <c r="O7" s="577">
        <v>0</v>
      </c>
      <c r="P7" s="561">
        <f>0.5*(MAX(N7:O7)-MIN(N7:O7))</f>
        <v>5.0000000000000001E-3</v>
      </c>
      <c r="Q7" s="276">
        <v>0.12</v>
      </c>
      <c r="S7" s="562"/>
      <c r="T7" s="563"/>
      <c r="U7" s="563"/>
      <c r="V7" s="565"/>
      <c r="W7" s="563"/>
      <c r="X7" s="551"/>
      <c r="Y7" s="562"/>
      <c r="Z7" s="563"/>
      <c r="AA7" s="563"/>
      <c r="AB7" s="565"/>
      <c r="AC7" s="563"/>
    </row>
    <row r="8" spans="1:29" ht="12.75" customHeight="1" x14ac:dyDescent="0.25">
      <c r="A8" s="558">
        <v>300</v>
      </c>
      <c r="B8" s="577">
        <v>0</v>
      </c>
      <c r="C8" s="577">
        <v>2E-3</v>
      </c>
      <c r="D8" s="561">
        <f>0.5*(MAX(B8:C8)-MIN(B8:C8))</f>
        <v>1E-3</v>
      </c>
      <c r="E8" s="277">
        <v>0.04</v>
      </c>
      <c r="F8" s="1303"/>
      <c r="G8" s="280">
        <v>300</v>
      </c>
      <c r="H8" s="560">
        <v>0.01</v>
      </c>
      <c r="I8" s="577">
        <v>7.0000000000000001E-3</v>
      </c>
      <c r="J8" s="561">
        <f>0.5*(MAX(H8:I8)-MIN(H8:I8))</f>
        <v>1.5E-3</v>
      </c>
      <c r="K8" s="277">
        <v>0.12</v>
      </c>
      <c r="L8" s="545"/>
      <c r="M8" s="280">
        <v>300</v>
      </c>
      <c r="N8" s="560">
        <v>0.01</v>
      </c>
      <c r="O8" s="577">
        <v>2E-3</v>
      </c>
      <c r="P8" s="561">
        <f>0.5*(MAX(N8:O8)-MIN(N8:O8))</f>
        <v>4.0000000000000001E-3</v>
      </c>
      <c r="Q8" s="276">
        <v>0.12</v>
      </c>
      <c r="S8" s="562"/>
      <c r="T8" s="563"/>
      <c r="U8" s="563"/>
      <c r="V8" s="565"/>
      <c r="W8" s="563"/>
      <c r="X8" s="551"/>
      <c r="Y8" s="562"/>
      <c r="Z8" s="563"/>
      <c r="AA8" s="563"/>
      <c r="AB8" s="565"/>
      <c r="AC8" s="563"/>
    </row>
    <row r="9" spans="1:29" ht="12.75" customHeight="1" x14ac:dyDescent="0.25">
      <c r="A9" s="558">
        <v>600</v>
      </c>
      <c r="B9" s="576">
        <v>0.01</v>
      </c>
      <c r="C9" s="577">
        <v>2E-3</v>
      </c>
      <c r="D9" s="561">
        <f t="shared" ref="D9:D11" si="0">0.5*(MAX(B9:C9)-MIN(B9:C9))</f>
        <v>4.0000000000000001E-3</v>
      </c>
      <c r="E9" s="277">
        <v>0.04</v>
      </c>
      <c r="F9" s="1303"/>
      <c r="G9" s="280">
        <v>600</v>
      </c>
      <c r="H9" s="559">
        <v>0.01</v>
      </c>
      <c r="I9" s="577">
        <v>4.0000000000000001E-3</v>
      </c>
      <c r="J9" s="561">
        <f t="shared" ref="J9:J11" si="1">0.5*(MAX(H9:I9)-MIN(H9:I9))</f>
        <v>3.0000000000000001E-3</v>
      </c>
      <c r="K9" s="277">
        <v>0.12</v>
      </c>
      <c r="L9" s="545"/>
      <c r="M9" s="280">
        <v>600</v>
      </c>
      <c r="N9" s="559">
        <v>0.02</v>
      </c>
      <c r="O9" s="577">
        <v>3.0000000000000001E-3</v>
      </c>
      <c r="P9" s="561">
        <f t="shared" ref="P9:P11" si="2">0.5*(MAX(N9:O9)-MIN(N9:O9))</f>
        <v>8.5000000000000006E-3</v>
      </c>
      <c r="Q9" s="276">
        <v>0.12</v>
      </c>
      <c r="S9" s="562"/>
      <c r="T9" s="563"/>
      <c r="U9" s="564"/>
      <c r="V9" s="565"/>
      <c r="W9" s="563"/>
      <c r="X9" s="551"/>
      <c r="Y9" s="562"/>
      <c r="Z9" s="563"/>
      <c r="AA9" s="564"/>
      <c r="AB9" s="565"/>
      <c r="AC9" s="563"/>
    </row>
    <row r="10" spans="1:29" ht="12.75" customHeight="1" x14ac:dyDescent="0.25">
      <c r="A10" s="558">
        <v>700</v>
      </c>
      <c r="B10" s="559">
        <v>0</v>
      </c>
      <c r="C10" s="577">
        <v>0</v>
      </c>
      <c r="D10" s="561">
        <f t="shared" si="0"/>
        <v>0</v>
      </c>
      <c r="E10" s="277">
        <v>0.04</v>
      </c>
      <c r="F10" s="1303"/>
      <c r="G10" s="280">
        <v>700</v>
      </c>
      <c r="H10" s="559">
        <v>0</v>
      </c>
      <c r="I10" s="577">
        <v>0</v>
      </c>
      <c r="J10" s="561">
        <f t="shared" si="1"/>
        <v>0</v>
      </c>
      <c r="K10" s="277">
        <v>0.12</v>
      </c>
      <c r="L10" s="545"/>
      <c r="M10" s="280">
        <v>700</v>
      </c>
      <c r="N10" s="559">
        <v>0</v>
      </c>
      <c r="O10" s="577">
        <v>0</v>
      </c>
      <c r="P10" s="561">
        <f t="shared" si="2"/>
        <v>0</v>
      </c>
      <c r="Q10" s="276">
        <v>0</v>
      </c>
      <c r="S10" s="562"/>
      <c r="T10" s="563"/>
      <c r="U10" s="564"/>
      <c r="V10" s="565"/>
      <c r="W10" s="563"/>
      <c r="X10" s="551"/>
      <c r="Y10" s="562"/>
      <c r="Z10" s="563"/>
      <c r="AA10" s="564"/>
      <c r="AB10" s="565"/>
      <c r="AC10" s="563"/>
    </row>
    <row r="11" spans="1:29" ht="12.75" customHeight="1" x14ac:dyDescent="0.25">
      <c r="A11" s="558">
        <v>0</v>
      </c>
      <c r="B11" s="559">
        <v>0</v>
      </c>
      <c r="C11" s="560">
        <v>0</v>
      </c>
      <c r="D11" s="561">
        <f t="shared" si="0"/>
        <v>0</v>
      </c>
      <c r="E11" s="277">
        <v>0</v>
      </c>
      <c r="F11" s="1303"/>
      <c r="G11" s="280">
        <v>0</v>
      </c>
      <c r="H11" s="560">
        <v>0</v>
      </c>
      <c r="I11" s="560">
        <v>0</v>
      </c>
      <c r="J11" s="561">
        <f t="shared" si="1"/>
        <v>0</v>
      </c>
      <c r="K11" s="277">
        <v>0</v>
      </c>
      <c r="L11" s="545"/>
      <c r="M11" s="280">
        <v>0</v>
      </c>
      <c r="N11" s="560">
        <v>0</v>
      </c>
      <c r="O11" s="560">
        <v>0</v>
      </c>
      <c r="P11" s="561">
        <f t="shared" si="2"/>
        <v>0</v>
      </c>
      <c r="Q11" s="276">
        <v>0</v>
      </c>
      <c r="S11" s="562"/>
      <c r="T11" s="563"/>
      <c r="U11" s="564"/>
      <c r="V11" s="565"/>
      <c r="W11" s="563"/>
      <c r="X11" s="551"/>
      <c r="Y11" s="562"/>
      <c r="Z11" s="563"/>
      <c r="AA11" s="564"/>
      <c r="AB11" s="565"/>
      <c r="AC11" s="563"/>
    </row>
    <row r="12" spans="1:29" ht="12.75" customHeight="1" x14ac:dyDescent="0.25">
      <c r="A12" s="558">
        <v>0</v>
      </c>
      <c r="B12" s="559">
        <v>0</v>
      </c>
      <c r="C12" s="560">
        <v>0</v>
      </c>
      <c r="D12" s="561">
        <f>0.5*(MAX(B12:C12)-MIN(B12:C12))</f>
        <v>0</v>
      </c>
      <c r="E12" s="277">
        <v>0</v>
      </c>
      <c r="F12" s="1303"/>
      <c r="G12" s="280">
        <v>0</v>
      </c>
      <c r="H12" s="560">
        <v>0</v>
      </c>
      <c r="I12" s="560">
        <v>0</v>
      </c>
      <c r="J12" s="561">
        <f>0.5*(MAX(H12:I12)-MIN(H12:I12))</f>
        <v>0</v>
      </c>
      <c r="K12" s="277">
        <v>0</v>
      </c>
      <c r="L12" s="545"/>
      <c r="M12" s="280">
        <v>0</v>
      </c>
      <c r="N12" s="560">
        <v>0</v>
      </c>
      <c r="O12" s="560">
        <v>0</v>
      </c>
      <c r="P12" s="561">
        <f>0.5*(MAX(N12:O12)-MIN(N12:O12))</f>
        <v>0</v>
      </c>
      <c r="Q12" s="276">
        <v>0</v>
      </c>
      <c r="S12" s="562"/>
      <c r="T12" s="563"/>
      <c r="U12" s="564"/>
      <c r="V12" s="565"/>
      <c r="W12" s="563"/>
      <c r="X12" s="551"/>
      <c r="Y12" s="562"/>
      <c r="Z12" s="563"/>
      <c r="AA12" s="564"/>
      <c r="AB12" s="565"/>
      <c r="AC12" s="563"/>
    </row>
    <row r="13" spans="1:29" ht="12.75" customHeight="1" x14ac:dyDescent="0.25">
      <c r="A13" s="558">
        <v>0</v>
      </c>
      <c r="B13" s="559">
        <v>0</v>
      </c>
      <c r="C13" s="560">
        <v>0</v>
      </c>
      <c r="D13" s="277">
        <f>0.5*(MAX(B13:C13)-MIN(B13:C13))</f>
        <v>0</v>
      </c>
      <c r="E13" s="277">
        <v>0</v>
      </c>
      <c r="F13" s="1303"/>
      <c r="G13" s="280">
        <v>0</v>
      </c>
      <c r="H13" s="560">
        <v>0</v>
      </c>
      <c r="I13" s="560">
        <v>0</v>
      </c>
      <c r="J13" s="277">
        <f>0.5*(MAX(H13:I13)-MIN(H13:I13))</f>
        <v>0</v>
      </c>
      <c r="K13" s="277">
        <v>0</v>
      </c>
      <c r="L13" s="545"/>
      <c r="M13" s="280">
        <v>0</v>
      </c>
      <c r="N13" s="560">
        <v>0</v>
      </c>
      <c r="O13" s="560">
        <v>0</v>
      </c>
      <c r="P13" s="277">
        <f>0.5*(MAX(N13:O13)-MIN(N13:O13))</f>
        <v>0</v>
      </c>
      <c r="Q13" s="276">
        <v>0</v>
      </c>
      <c r="S13" s="562"/>
      <c r="T13" s="563"/>
      <c r="U13" s="564"/>
      <c r="V13" s="563"/>
      <c r="W13" s="563"/>
      <c r="X13" s="551"/>
      <c r="Y13" s="562"/>
      <c r="Z13" s="563"/>
      <c r="AA13" s="564"/>
      <c r="AB13" s="563"/>
      <c r="AC13" s="563"/>
    </row>
    <row r="14" spans="1:29" ht="12.75" customHeight="1" x14ac:dyDescent="0.25">
      <c r="A14" s="558">
        <v>1</v>
      </c>
      <c r="B14" s="560">
        <v>0</v>
      </c>
      <c r="C14" s="559">
        <v>0</v>
      </c>
      <c r="D14" s="566">
        <f>0.5*(MAX(B14:C14)-MIN(B14:C14))</f>
        <v>0</v>
      </c>
      <c r="E14" s="277">
        <v>0</v>
      </c>
      <c r="F14" s="1303"/>
      <c r="G14" s="280">
        <v>2</v>
      </c>
      <c r="H14" s="560">
        <v>0</v>
      </c>
      <c r="I14" s="560">
        <v>0</v>
      </c>
      <c r="J14" s="277">
        <f>0.5*(MAX(H14:I14)-MIN(H14:I14))</f>
        <v>0</v>
      </c>
      <c r="K14" s="277">
        <v>0</v>
      </c>
      <c r="L14" s="545"/>
      <c r="M14" s="280">
        <v>3</v>
      </c>
      <c r="N14" s="560">
        <v>0</v>
      </c>
      <c r="O14" s="560">
        <v>0</v>
      </c>
      <c r="P14" s="277">
        <f>0.5*(MAX(N14:O14)-MIN(N14:O14))</f>
        <v>0</v>
      </c>
      <c r="Q14" s="276">
        <v>0</v>
      </c>
      <c r="S14" s="562"/>
      <c r="T14" s="563"/>
      <c r="U14" s="564"/>
      <c r="V14" s="563"/>
      <c r="W14" s="563"/>
      <c r="X14" s="551"/>
      <c r="Y14" s="562"/>
      <c r="Z14" s="563"/>
      <c r="AA14" s="564"/>
      <c r="AB14" s="563"/>
      <c r="AC14" s="563"/>
    </row>
    <row r="15" spans="1:29" ht="12.75" customHeight="1" x14ac:dyDescent="0.3">
      <c r="A15" s="1289"/>
      <c r="B15" s="1290"/>
      <c r="C15" s="1290"/>
      <c r="D15" s="1290"/>
      <c r="E15" s="1291"/>
      <c r="F15" s="1303"/>
      <c r="G15" s="1292"/>
      <c r="H15" s="1293"/>
      <c r="I15" s="1293"/>
      <c r="J15" s="1293"/>
      <c r="K15" s="1294"/>
      <c r="L15" s="300"/>
      <c r="M15" s="1295"/>
      <c r="N15" s="1290"/>
      <c r="O15" s="1290"/>
      <c r="P15" s="1290"/>
      <c r="Q15" s="1296"/>
      <c r="S15" s="545"/>
      <c r="T15" s="545"/>
      <c r="U15" s="545"/>
      <c r="V15" s="545"/>
      <c r="W15" s="545"/>
      <c r="X15" s="551"/>
      <c r="Y15" s="300"/>
      <c r="Z15" s="300"/>
      <c r="AA15" s="300"/>
      <c r="AB15" s="300"/>
      <c r="AC15" s="300"/>
    </row>
    <row r="16" spans="1:29" ht="15.75" customHeight="1" x14ac:dyDescent="0.3">
      <c r="A16" s="1304" t="s">
        <v>233</v>
      </c>
      <c r="B16" s="1093"/>
      <c r="C16" s="1093"/>
      <c r="D16" s="1288" t="s">
        <v>63</v>
      </c>
      <c r="E16" s="1301" t="str">
        <f>E3</f>
        <v>U95 STD</v>
      </c>
      <c r="F16" s="1303"/>
      <c r="G16" s="1099" t="s">
        <v>305</v>
      </c>
      <c r="H16" s="1100"/>
      <c r="I16" s="1101"/>
      <c r="J16" s="1288" t="s">
        <v>63</v>
      </c>
      <c r="K16" s="1301" t="str">
        <f>E16</f>
        <v>U95 STD</v>
      </c>
      <c r="L16" s="300"/>
      <c r="M16" s="1099" t="s">
        <v>306</v>
      </c>
      <c r="N16" s="1100"/>
      <c r="O16" s="1101"/>
      <c r="P16" s="1288" t="s">
        <v>63</v>
      </c>
      <c r="Q16" s="1287" t="str">
        <f>K16</f>
        <v>U95 STD</v>
      </c>
      <c r="S16" s="273"/>
      <c r="T16" s="273"/>
      <c r="U16" s="273"/>
      <c r="V16" s="549"/>
      <c r="W16" s="550"/>
      <c r="X16" s="551"/>
      <c r="Y16" s="273"/>
      <c r="Z16" s="273"/>
      <c r="AA16" s="273"/>
      <c r="AB16" s="549"/>
      <c r="AC16" s="550"/>
    </row>
    <row r="17" spans="1:29" ht="12.75" customHeight="1" x14ac:dyDescent="0.3">
      <c r="A17" s="552" t="str">
        <f>A4</f>
        <v>Timer</v>
      </c>
      <c r="B17" s="1288" t="s">
        <v>62</v>
      </c>
      <c r="C17" s="1288"/>
      <c r="D17" s="1288"/>
      <c r="E17" s="1301"/>
      <c r="F17" s="1303"/>
      <c r="G17" s="553" t="str">
        <f>A17</f>
        <v>Timer</v>
      </c>
      <c r="H17" s="1288" t="s">
        <v>62</v>
      </c>
      <c r="I17" s="1288"/>
      <c r="J17" s="1288"/>
      <c r="K17" s="1301"/>
      <c r="L17" s="300"/>
      <c r="M17" s="553" t="str">
        <f>G17</f>
        <v>Timer</v>
      </c>
      <c r="N17" s="1288" t="s">
        <v>62</v>
      </c>
      <c r="O17" s="1288"/>
      <c r="P17" s="1288"/>
      <c r="Q17" s="1287"/>
      <c r="S17" s="554"/>
      <c r="T17" s="549"/>
      <c r="U17" s="549"/>
      <c r="V17" s="549"/>
      <c r="W17" s="550"/>
      <c r="X17" s="551"/>
      <c r="Y17" s="554"/>
      <c r="Z17" s="549"/>
      <c r="AA17" s="549"/>
      <c r="AB17" s="549"/>
      <c r="AC17" s="550"/>
    </row>
    <row r="18" spans="1:29" ht="15" customHeight="1" x14ac:dyDescent="0.3">
      <c r="A18" s="272" t="str">
        <f>A5</f>
        <v>s</v>
      </c>
      <c r="B18" s="555">
        <v>2019</v>
      </c>
      <c r="C18" s="555">
        <v>2018</v>
      </c>
      <c r="D18" s="1288"/>
      <c r="E18" s="1301"/>
      <c r="F18" s="1303"/>
      <c r="G18" s="496" t="str">
        <f>A18</f>
        <v>s</v>
      </c>
      <c r="H18" s="555">
        <v>2020</v>
      </c>
      <c r="I18" s="556" t="s">
        <v>65</v>
      </c>
      <c r="J18" s="1288"/>
      <c r="K18" s="1301"/>
      <c r="L18" s="300"/>
      <c r="M18" s="496" t="str">
        <f>G18</f>
        <v>s</v>
      </c>
      <c r="N18" s="555">
        <v>2020</v>
      </c>
      <c r="O18" s="556" t="s">
        <v>65</v>
      </c>
      <c r="P18" s="1288"/>
      <c r="Q18" s="1287"/>
      <c r="S18" s="265"/>
      <c r="T18" s="554"/>
      <c r="U18" s="554"/>
      <c r="V18" s="549"/>
      <c r="W18" s="550"/>
      <c r="X18" s="551"/>
      <c r="Y18" s="265"/>
      <c r="Z18" s="554"/>
      <c r="AA18" s="554"/>
      <c r="AB18" s="549"/>
      <c r="AC18" s="550"/>
    </row>
    <row r="19" spans="1:29" ht="12.75" customHeight="1" x14ac:dyDescent="0.3">
      <c r="A19" s="558">
        <v>0</v>
      </c>
      <c r="B19" s="577">
        <v>0</v>
      </c>
      <c r="C19" s="560">
        <v>0</v>
      </c>
      <c r="D19" s="561">
        <f>0.5*(MAX(B19:C19)-MIN(B19:C19))</f>
        <v>0</v>
      </c>
      <c r="E19" s="627">
        <v>0</v>
      </c>
      <c r="F19" s="1303"/>
      <c r="G19" s="558">
        <v>0</v>
      </c>
      <c r="H19" s="560">
        <v>0</v>
      </c>
      <c r="I19" s="560" t="s">
        <v>65</v>
      </c>
      <c r="J19" s="561">
        <f>0.5*(MAX(H19:I19)-MIN(H19:I19))</f>
        <v>0</v>
      </c>
      <c r="K19" s="277">
        <v>0</v>
      </c>
      <c r="L19" s="300"/>
      <c r="M19" s="558">
        <v>0</v>
      </c>
      <c r="N19" s="560">
        <v>0</v>
      </c>
      <c r="O19" s="559" t="s">
        <v>65</v>
      </c>
      <c r="P19" s="277">
        <f t="shared" ref="P19:P24" si="3">0.5*(MAX(N19:O19)-MIN(N19:O19))</f>
        <v>0</v>
      </c>
      <c r="Q19" s="276">
        <v>0</v>
      </c>
      <c r="S19" s="562"/>
      <c r="T19" s="563"/>
      <c r="U19" s="563"/>
      <c r="V19" s="565"/>
      <c r="W19" s="563"/>
      <c r="X19" s="551"/>
      <c r="Y19" s="562"/>
      <c r="Z19" s="563"/>
      <c r="AA19" s="563"/>
      <c r="AB19" s="565"/>
      <c r="AC19" s="563"/>
    </row>
    <row r="20" spans="1:29" ht="12.75" customHeight="1" x14ac:dyDescent="0.3">
      <c r="A20" s="558">
        <v>60</v>
      </c>
      <c r="B20" s="577">
        <v>2E-3</v>
      </c>
      <c r="C20" s="560">
        <v>0</v>
      </c>
      <c r="D20" s="561">
        <f>0.5*(MAX(B20:C20)-MIN(B20:C20))</f>
        <v>1E-3</v>
      </c>
      <c r="E20" s="627">
        <v>3.7999999999999999E-2</v>
      </c>
      <c r="F20" s="1303"/>
      <c r="G20" s="280">
        <v>60</v>
      </c>
      <c r="H20" s="560">
        <v>0</v>
      </c>
      <c r="I20" s="560" t="s">
        <v>65</v>
      </c>
      <c r="J20" s="561">
        <f>0.5*(MAX(H20:I20)-MIN(H20:I20))</f>
        <v>0</v>
      </c>
      <c r="K20" s="277">
        <v>0.12</v>
      </c>
      <c r="L20" s="300"/>
      <c r="M20" s="280">
        <v>60</v>
      </c>
      <c r="N20" s="560">
        <v>-0.02</v>
      </c>
      <c r="O20" s="560" t="s">
        <v>65</v>
      </c>
      <c r="P20" s="277">
        <f t="shared" si="3"/>
        <v>0</v>
      </c>
      <c r="Q20" s="277">
        <v>0.12</v>
      </c>
      <c r="S20" s="562"/>
      <c r="T20" s="563"/>
      <c r="U20" s="563"/>
      <c r="V20" s="565"/>
      <c r="W20" s="563"/>
      <c r="X20" s="551"/>
      <c r="Y20" s="562"/>
      <c r="Z20" s="563"/>
      <c r="AA20" s="563"/>
      <c r="AB20" s="565"/>
      <c r="AC20" s="563"/>
    </row>
    <row r="21" spans="1:29" ht="12.75" customHeight="1" x14ac:dyDescent="0.3">
      <c r="A21" s="558">
        <v>300</v>
      </c>
      <c r="B21" s="577">
        <v>1E-3</v>
      </c>
      <c r="C21" s="560">
        <v>0</v>
      </c>
      <c r="D21" s="561">
        <f>0.5*(MAX(B21:C21)-MIN(B21:C21))</f>
        <v>5.0000000000000001E-4</v>
      </c>
      <c r="E21" s="627">
        <v>3.7999999999999999E-2</v>
      </c>
      <c r="F21" s="1303"/>
      <c r="G21" s="280">
        <v>300</v>
      </c>
      <c r="H21" s="560">
        <v>0.01</v>
      </c>
      <c r="I21" s="560" t="s">
        <v>65</v>
      </c>
      <c r="J21" s="561">
        <f>0.5*(MAX(H21:I21)-MIN(H21:I21))</f>
        <v>0</v>
      </c>
      <c r="K21" s="277">
        <v>0.12</v>
      </c>
      <c r="L21" s="300"/>
      <c r="M21" s="280">
        <v>300</v>
      </c>
      <c r="N21" s="560">
        <v>-0.02</v>
      </c>
      <c r="O21" s="560" t="s">
        <v>65</v>
      </c>
      <c r="P21" s="277">
        <f t="shared" si="3"/>
        <v>0</v>
      </c>
      <c r="Q21" s="277">
        <v>0.12</v>
      </c>
      <c r="S21" s="562"/>
      <c r="T21" s="563"/>
      <c r="U21" s="563"/>
      <c r="V21" s="565"/>
      <c r="W21" s="563"/>
      <c r="X21" s="551"/>
      <c r="Y21" s="562"/>
      <c r="Z21" s="563"/>
      <c r="AA21" s="563"/>
      <c r="AB21" s="565"/>
      <c r="AC21" s="563"/>
    </row>
    <row r="22" spans="1:29" ht="12.75" customHeight="1" x14ac:dyDescent="0.3">
      <c r="A22" s="558">
        <v>600</v>
      </c>
      <c r="B22" s="577">
        <v>6.0000000000000001E-3</v>
      </c>
      <c r="C22" s="560">
        <v>0</v>
      </c>
      <c r="D22" s="561">
        <f t="shared" ref="D22:D24" si="4">0.5*(MAX(B22:C22)-MIN(B22:C22))</f>
        <v>3.0000000000000001E-3</v>
      </c>
      <c r="E22" s="627">
        <v>3.7999999999999999E-2</v>
      </c>
      <c r="F22" s="1303"/>
      <c r="G22" s="280">
        <v>600</v>
      </c>
      <c r="H22" s="560">
        <v>0.02</v>
      </c>
      <c r="I22" s="559" t="s">
        <v>65</v>
      </c>
      <c r="J22" s="561">
        <f t="shared" ref="J22:J24" si="5">0.5*(MAX(H22:I22)-MIN(H22:I22))</f>
        <v>0</v>
      </c>
      <c r="K22" s="277">
        <v>0.12</v>
      </c>
      <c r="L22" s="300"/>
      <c r="M22" s="280">
        <v>600</v>
      </c>
      <c r="N22" s="560">
        <v>-0.02</v>
      </c>
      <c r="O22" s="559" t="s">
        <v>65</v>
      </c>
      <c r="P22" s="277">
        <f t="shared" si="3"/>
        <v>0</v>
      </c>
      <c r="Q22" s="277">
        <v>0.12</v>
      </c>
      <c r="S22" s="562"/>
      <c r="T22" s="563"/>
      <c r="U22" s="564"/>
      <c r="V22" s="565"/>
      <c r="W22" s="563"/>
      <c r="X22" s="551"/>
      <c r="Y22" s="562"/>
      <c r="Z22" s="563"/>
      <c r="AA22" s="564"/>
      <c r="AB22" s="565"/>
      <c r="AC22" s="563"/>
    </row>
    <row r="23" spans="1:29" ht="12.75" customHeight="1" x14ac:dyDescent="0.3">
      <c r="A23" s="558">
        <v>700</v>
      </c>
      <c r="B23" s="576">
        <v>0</v>
      </c>
      <c r="C23" s="560">
        <v>0</v>
      </c>
      <c r="D23" s="561">
        <f t="shared" si="4"/>
        <v>0</v>
      </c>
      <c r="E23" s="627">
        <v>0</v>
      </c>
      <c r="F23" s="1303"/>
      <c r="G23" s="280">
        <v>900</v>
      </c>
      <c r="H23" s="560">
        <v>0.02</v>
      </c>
      <c r="I23" s="559" t="s">
        <v>65</v>
      </c>
      <c r="J23" s="561">
        <f t="shared" si="5"/>
        <v>0</v>
      </c>
      <c r="K23" s="277">
        <v>0.12</v>
      </c>
      <c r="L23" s="300"/>
      <c r="M23" s="280">
        <v>900</v>
      </c>
      <c r="N23" s="559">
        <v>-0.03</v>
      </c>
      <c r="O23" s="559" t="s">
        <v>65</v>
      </c>
      <c r="P23" s="277">
        <f t="shared" si="3"/>
        <v>0</v>
      </c>
      <c r="Q23" s="277">
        <v>0.12</v>
      </c>
      <c r="S23" s="562"/>
      <c r="T23" s="563"/>
      <c r="U23" s="564"/>
      <c r="V23" s="565"/>
      <c r="W23" s="563"/>
      <c r="X23" s="551"/>
      <c r="Y23" s="562"/>
      <c r="Z23" s="563"/>
      <c r="AA23" s="564"/>
      <c r="AB23" s="565"/>
      <c r="AC23" s="563"/>
    </row>
    <row r="24" spans="1:29" ht="12.75" customHeight="1" x14ac:dyDescent="0.3">
      <c r="A24" s="558">
        <v>0</v>
      </c>
      <c r="B24" s="576">
        <v>0</v>
      </c>
      <c r="C24" s="560">
        <v>0</v>
      </c>
      <c r="D24" s="561">
        <f t="shared" si="4"/>
        <v>0</v>
      </c>
      <c r="E24" s="627">
        <v>0</v>
      </c>
      <c r="F24" s="1303"/>
      <c r="G24" s="280">
        <v>1200</v>
      </c>
      <c r="H24" s="560">
        <v>0.02</v>
      </c>
      <c r="I24" s="559" t="s">
        <v>65</v>
      </c>
      <c r="J24" s="561">
        <f t="shared" si="5"/>
        <v>0</v>
      </c>
      <c r="K24" s="277">
        <v>0.12</v>
      </c>
      <c r="L24" s="300"/>
      <c r="M24" s="280">
        <v>1200</v>
      </c>
      <c r="N24" s="559">
        <v>-0.03</v>
      </c>
      <c r="O24" s="559" t="s">
        <v>65</v>
      </c>
      <c r="P24" s="277">
        <f t="shared" si="3"/>
        <v>0</v>
      </c>
      <c r="Q24" s="277">
        <v>0.12</v>
      </c>
      <c r="S24" s="562"/>
      <c r="T24" s="563"/>
      <c r="U24" s="564"/>
      <c r="V24" s="565"/>
      <c r="W24" s="563"/>
      <c r="X24" s="551"/>
      <c r="Y24" s="562"/>
      <c r="Z24" s="563"/>
      <c r="AA24" s="564"/>
      <c r="AB24" s="565"/>
      <c r="AC24" s="563"/>
    </row>
    <row r="25" spans="1:29" ht="12.75" customHeight="1" x14ac:dyDescent="0.3">
      <c r="A25" s="558">
        <v>0</v>
      </c>
      <c r="B25" s="576">
        <v>0</v>
      </c>
      <c r="C25" s="560">
        <v>0</v>
      </c>
      <c r="D25" s="561">
        <f>0.5*(MAX(B25:C25)-MIN(B25:C25))</f>
        <v>0</v>
      </c>
      <c r="E25" s="627">
        <v>0</v>
      </c>
      <c r="F25" s="1303"/>
      <c r="G25" s="280">
        <v>0</v>
      </c>
      <c r="H25" s="560">
        <v>0</v>
      </c>
      <c r="I25" s="559" t="s">
        <v>65</v>
      </c>
      <c r="J25" s="561">
        <f>0.5*(MAX(H25:I25)-MIN(H25:I25))</f>
        <v>0</v>
      </c>
      <c r="K25" s="277">
        <v>0</v>
      </c>
      <c r="L25" s="300"/>
      <c r="M25" s="280">
        <v>0</v>
      </c>
      <c r="N25" s="559">
        <v>0</v>
      </c>
      <c r="O25" s="559" t="s">
        <v>65</v>
      </c>
      <c r="P25" s="277">
        <f>0.5*(MAX(N25:O25)-MIN(N25:O25))</f>
        <v>0</v>
      </c>
      <c r="Q25" s="276">
        <v>0</v>
      </c>
      <c r="S25" s="562"/>
      <c r="T25" s="563"/>
      <c r="U25" s="564"/>
      <c r="V25" s="565"/>
      <c r="W25" s="563"/>
      <c r="X25" s="551"/>
      <c r="Y25" s="562"/>
      <c r="Z25" s="563"/>
      <c r="AA25" s="564"/>
      <c r="AB25" s="565"/>
      <c r="AC25" s="563"/>
    </row>
    <row r="26" spans="1:29" ht="12.75" customHeight="1" x14ac:dyDescent="0.3">
      <c r="A26" s="558">
        <v>0</v>
      </c>
      <c r="B26" s="576">
        <v>0</v>
      </c>
      <c r="C26" s="560">
        <v>0</v>
      </c>
      <c r="D26" s="277">
        <f>0.5*(MAX(B26:C26)-MIN(B26:C26))</f>
        <v>0</v>
      </c>
      <c r="E26" s="627">
        <v>0</v>
      </c>
      <c r="F26" s="1303"/>
      <c r="G26" s="280">
        <v>0</v>
      </c>
      <c r="H26" s="560">
        <v>0</v>
      </c>
      <c r="I26" s="559" t="s">
        <v>65</v>
      </c>
      <c r="J26" s="277">
        <f>0.5*(MAX(H26:I26)-MIN(H26:I26))</f>
        <v>0</v>
      </c>
      <c r="K26" s="277">
        <v>0</v>
      </c>
      <c r="L26" s="300"/>
      <c r="M26" s="280">
        <v>0</v>
      </c>
      <c r="N26" s="559">
        <v>0</v>
      </c>
      <c r="O26" s="559" t="s">
        <v>65</v>
      </c>
      <c r="P26" s="277">
        <f>0.5*(MAX(N26:O26)-MIN(N26:O26))</f>
        <v>0</v>
      </c>
      <c r="Q26" s="276">
        <v>0</v>
      </c>
      <c r="S26" s="562"/>
      <c r="T26" s="563"/>
      <c r="U26" s="564"/>
      <c r="V26" s="563"/>
      <c r="W26" s="563"/>
      <c r="X26" s="551"/>
      <c r="Y26" s="562"/>
      <c r="Z26" s="563"/>
      <c r="AA26" s="564"/>
      <c r="AB26" s="563"/>
      <c r="AC26" s="563"/>
    </row>
    <row r="27" spans="1:29" ht="12.75" customHeight="1" x14ac:dyDescent="0.3">
      <c r="A27" s="558">
        <v>0</v>
      </c>
      <c r="B27" s="576">
        <v>0</v>
      </c>
      <c r="C27" s="560">
        <v>0</v>
      </c>
      <c r="D27" s="277">
        <f>0.5*(MAX(B27:C27)-MIN(B27:C27))</f>
        <v>0</v>
      </c>
      <c r="E27" s="627">
        <v>0</v>
      </c>
      <c r="F27" s="1303"/>
      <c r="G27" s="280">
        <v>0</v>
      </c>
      <c r="H27" s="560">
        <v>0</v>
      </c>
      <c r="I27" s="559" t="s">
        <v>65</v>
      </c>
      <c r="J27" s="277">
        <f>0.5*(MAX(H27:I27)-MIN(H27:I27))</f>
        <v>0</v>
      </c>
      <c r="K27" s="277">
        <v>0</v>
      </c>
      <c r="L27" s="300"/>
      <c r="M27" s="280">
        <v>0</v>
      </c>
      <c r="N27" s="559">
        <v>0</v>
      </c>
      <c r="O27" s="559" t="s">
        <v>234</v>
      </c>
      <c r="P27" s="277">
        <f>0.5*(MAX(N27:O27)-MIN(N27:O27))</f>
        <v>0</v>
      </c>
      <c r="Q27" s="276">
        <v>0</v>
      </c>
      <c r="S27" s="562"/>
      <c r="T27" s="563"/>
      <c r="U27" s="564"/>
      <c r="V27" s="563"/>
      <c r="W27" s="563"/>
      <c r="X27" s="567"/>
      <c r="Y27" s="562"/>
      <c r="Z27" s="563"/>
      <c r="AA27" s="564"/>
      <c r="AB27" s="563"/>
      <c r="AC27" s="563"/>
    </row>
    <row r="28" spans="1:29" ht="12.75" customHeight="1" x14ac:dyDescent="0.25">
      <c r="A28" s="568"/>
      <c r="B28" s="563"/>
      <c r="C28" s="563"/>
      <c r="D28" s="563"/>
      <c r="E28" s="563"/>
      <c r="F28" s="563"/>
      <c r="G28" s="563"/>
      <c r="H28" s="563"/>
      <c r="I28" s="563"/>
      <c r="J28" s="563"/>
      <c r="K28" s="563"/>
      <c r="L28" s="569"/>
      <c r="M28" s="570"/>
      <c r="N28" s="545"/>
      <c r="O28" s="545"/>
      <c r="P28" s="545"/>
      <c r="Q28" s="571"/>
      <c r="S28" s="563"/>
      <c r="T28" s="563"/>
      <c r="U28" s="563"/>
      <c r="V28" s="563"/>
      <c r="W28" s="563"/>
      <c r="X28" s="563"/>
      <c r="Y28" s="563"/>
      <c r="Z28" s="563"/>
      <c r="AA28" s="563"/>
      <c r="AB28" s="563"/>
      <c r="AC28" s="563"/>
    </row>
    <row r="29" spans="1:29" ht="13" x14ac:dyDescent="0.3">
      <c r="A29" s="572"/>
      <c r="B29" s="573"/>
      <c r="C29" s="573"/>
      <c r="D29" s="573"/>
      <c r="E29" s="573"/>
      <c r="F29" s="573"/>
      <c r="G29" s="573"/>
      <c r="H29" s="573"/>
      <c r="I29" s="573"/>
      <c r="J29" s="573"/>
      <c r="K29" s="573"/>
      <c r="L29" s="573"/>
      <c r="M29" s="573"/>
      <c r="N29" s="573"/>
      <c r="O29" s="573"/>
      <c r="P29" s="573"/>
      <c r="Q29" s="574"/>
      <c r="S29" s="545"/>
      <c r="T29" s="545"/>
      <c r="U29" s="545"/>
      <c r="V29" s="545"/>
      <c r="W29" s="545"/>
      <c r="X29" s="545"/>
      <c r="Y29" s="545"/>
      <c r="Z29" s="545"/>
      <c r="AA29" s="545"/>
      <c r="AB29" s="545"/>
      <c r="AC29" s="545"/>
    </row>
    <row r="30" spans="1:29" ht="15.75" customHeight="1" x14ac:dyDescent="0.3">
      <c r="A30" s="1305" t="s">
        <v>307</v>
      </c>
      <c r="B30" s="1100"/>
      <c r="C30" s="1101"/>
      <c r="D30" s="1288" t="s">
        <v>63</v>
      </c>
      <c r="E30" s="1301" t="str">
        <f>E16</f>
        <v>U95 STD</v>
      </c>
      <c r="F30" s="1302"/>
      <c r="G30" s="1099" t="s">
        <v>308</v>
      </c>
      <c r="H30" s="1100"/>
      <c r="I30" s="1101"/>
      <c r="J30" s="1288" t="s">
        <v>63</v>
      </c>
      <c r="K30" s="1301" t="str">
        <f>E30</f>
        <v>U95 STD</v>
      </c>
      <c r="L30" s="573"/>
      <c r="M30" s="1305" t="s">
        <v>309</v>
      </c>
      <c r="N30" s="1100"/>
      <c r="O30" s="1101"/>
      <c r="P30" s="1288" t="s">
        <v>63</v>
      </c>
      <c r="Q30" s="1301" t="str">
        <f>E30</f>
        <v>U95 STD</v>
      </c>
      <c r="S30" s="273"/>
      <c r="T30" s="273"/>
      <c r="U30" s="273"/>
      <c r="V30" s="549"/>
      <c r="W30" s="550"/>
      <c r="X30" s="551"/>
      <c r="Y30" s="274"/>
      <c r="Z30" s="274"/>
      <c r="AA30" s="274"/>
      <c r="AB30" s="549"/>
      <c r="AC30" s="550"/>
    </row>
    <row r="31" spans="1:29" ht="12.75" customHeight="1" x14ac:dyDescent="0.3">
      <c r="A31" s="552" t="str">
        <f>A17</f>
        <v>Timer</v>
      </c>
      <c r="B31" s="1288" t="s">
        <v>62</v>
      </c>
      <c r="C31" s="1288"/>
      <c r="D31" s="1288"/>
      <c r="E31" s="1301"/>
      <c r="F31" s="1303"/>
      <c r="G31" s="553" t="str">
        <f>A31</f>
        <v>Timer</v>
      </c>
      <c r="H31" s="1288" t="s">
        <v>62</v>
      </c>
      <c r="I31" s="1288"/>
      <c r="J31" s="1288"/>
      <c r="K31" s="1301"/>
      <c r="L31" s="573"/>
      <c r="M31" s="552" t="str">
        <f>A31</f>
        <v>Timer</v>
      </c>
      <c r="N31" s="1288" t="s">
        <v>62</v>
      </c>
      <c r="O31" s="1288"/>
      <c r="P31" s="1288"/>
      <c r="Q31" s="1301"/>
      <c r="S31" s="554"/>
      <c r="T31" s="549"/>
      <c r="U31" s="549"/>
      <c r="V31" s="549"/>
      <c r="W31" s="550"/>
      <c r="X31" s="551"/>
      <c r="Y31" s="554"/>
      <c r="Z31" s="549"/>
      <c r="AA31" s="549"/>
      <c r="AB31" s="549"/>
      <c r="AC31" s="550"/>
    </row>
    <row r="32" spans="1:29" ht="15" customHeight="1" x14ac:dyDescent="0.3">
      <c r="A32" s="272" t="str">
        <f>A18</f>
        <v>s</v>
      </c>
      <c r="B32" s="555">
        <v>2020</v>
      </c>
      <c r="C32" s="556" t="s">
        <v>65</v>
      </c>
      <c r="D32" s="1288"/>
      <c r="E32" s="1301"/>
      <c r="F32" s="1303"/>
      <c r="G32" s="496" t="str">
        <f>A32</f>
        <v>s</v>
      </c>
      <c r="H32" s="555">
        <v>2020</v>
      </c>
      <c r="I32" s="556" t="s">
        <v>65</v>
      </c>
      <c r="J32" s="1288"/>
      <c r="K32" s="1301"/>
      <c r="L32" s="573"/>
      <c r="M32" s="272" t="str">
        <f>A32</f>
        <v>s</v>
      </c>
      <c r="N32" s="555">
        <v>2020</v>
      </c>
      <c r="O32" s="556" t="s">
        <v>65</v>
      </c>
      <c r="P32" s="1288"/>
      <c r="Q32" s="1301"/>
      <c r="S32" s="265"/>
      <c r="T32" s="554"/>
      <c r="U32" s="557"/>
      <c r="V32" s="549"/>
      <c r="W32" s="550"/>
      <c r="X32" s="551"/>
      <c r="Y32" s="265"/>
      <c r="Z32" s="554"/>
      <c r="AA32" s="554"/>
      <c r="AB32" s="549"/>
      <c r="AC32" s="550"/>
    </row>
    <row r="33" spans="1:29" ht="12.75" customHeight="1" x14ac:dyDescent="0.3">
      <c r="A33" s="558">
        <v>0</v>
      </c>
      <c r="B33" s="560">
        <v>0</v>
      </c>
      <c r="C33" s="576" t="s">
        <v>65</v>
      </c>
      <c r="D33" s="561">
        <f t="shared" ref="D33:D38" si="6">0.5*(MAX(B33:C33)-MIN(B33:C33))</f>
        <v>0</v>
      </c>
      <c r="E33" s="277">
        <v>0</v>
      </c>
      <c r="F33" s="1303"/>
      <c r="G33" s="558">
        <v>0</v>
      </c>
      <c r="H33" s="560">
        <v>0</v>
      </c>
      <c r="I33" s="577" t="s">
        <v>65</v>
      </c>
      <c r="J33" s="561">
        <f t="shared" ref="J33:J38" si="7">0.5*(MAX(H33:I33)-MIN(H33:I33))</f>
        <v>0</v>
      </c>
      <c r="K33" s="277">
        <v>0</v>
      </c>
      <c r="L33" s="573"/>
      <c r="M33" s="558">
        <v>0</v>
      </c>
      <c r="N33" s="560">
        <v>0</v>
      </c>
      <c r="O33" s="560" t="s">
        <v>65</v>
      </c>
      <c r="P33" s="561">
        <f t="shared" ref="P33:P38" si="8">0.5*(MAX(N33:O33)-MIN(N33:O33))</f>
        <v>0</v>
      </c>
      <c r="Q33" s="277">
        <v>0</v>
      </c>
      <c r="S33" s="562"/>
      <c r="T33" s="563"/>
      <c r="U33" s="564"/>
      <c r="V33" s="565"/>
      <c r="W33" s="563"/>
      <c r="X33" s="551"/>
      <c r="Y33" s="562"/>
      <c r="Z33" s="563"/>
      <c r="AA33" s="563"/>
      <c r="AB33" s="565"/>
      <c r="AC33" s="563"/>
    </row>
    <row r="34" spans="1:29" ht="12.75" customHeight="1" x14ac:dyDescent="0.3">
      <c r="A34" s="280">
        <v>60</v>
      </c>
      <c r="B34" s="560">
        <v>-0.02</v>
      </c>
      <c r="C34" s="577" t="s">
        <v>65</v>
      </c>
      <c r="D34" s="561">
        <f t="shared" si="6"/>
        <v>0</v>
      </c>
      <c r="E34" s="277">
        <v>0.12</v>
      </c>
      <c r="F34" s="1303"/>
      <c r="G34" s="280">
        <v>60</v>
      </c>
      <c r="H34" s="560">
        <v>-0.01</v>
      </c>
      <c r="I34" s="577" t="s">
        <v>65</v>
      </c>
      <c r="J34" s="561">
        <f t="shared" si="7"/>
        <v>0</v>
      </c>
      <c r="K34" s="277">
        <v>0.12</v>
      </c>
      <c r="L34" s="573"/>
      <c r="M34" s="280">
        <v>60</v>
      </c>
      <c r="N34" s="560">
        <v>0.01</v>
      </c>
      <c r="O34" s="560" t="s">
        <v>65</v>
      </c>
      <c r="P34" s="561">
        <f t="shared" si="8"/>
        <v>0</v>
      </c>
      <c r="Q34" s="277">
        <v>0.12</v>
      </c>
      <c r="S34" s="562"/>
      <c r="T34" s="563"/>
      <c r="U34" s="563"/>
      <c r="V34" s="565"/>
      <c r="W34" s="563"/>
      <c r="X34" s="551"/>
      <c r="Y34" s="562"/>
      <c r="Z34" s="563"/>
      <c r="AA34" s="563"/>
      <c r="AB34" s="565"/>
      <c r="AC34" s="563"/>
    </row>
    <row r="35" spans="1:29" ht="12.75" customHeight="1" x14ac:dyDescent="0.3">
      <c r="A35" s="280">
        <v>300</v>
      </c>
      <c r="B35" s="560">
        <v>-0.02</v>
      </c>
      <c r="C35" s="577" t="s">
        <v>65</v>
      </c>
      <c r="D35" s="561">
        <f t="shared" si="6"/>
        <v>0</v>
      </c>
      <c r="E35" s="277">
        <v>0.12</v>
      </c>
      <c r="F35" s="1303"/>
      <c r="G35" s="280">
        <v>300</v>
      </c>
      <c r="H35" s="560">
        <v>-0.02</v>
      </c>
      <c r="I35" s="577" t="s">
        <v>65</v>
      </c>
      <c r="J35" s="561">
        <f t="shared" si="7"/>
        <v>0</v>
      </c>
      <c r="K35" s="277">
        <v>0.12</v>
      </c>
      <c r="L35" s="573"/>
      <c r="M35" s="280">
        <v>300</v>
      </c>
      <c r="N35" s="560">
        <v>0.02</v>
      </c>
      <c r="O35" s="560" t="s">
        <v>65</v>
      </c>
      <c r="P35" s="561">
        <f t="shared" si="8"/>
        <v>0</v>
      </c>
      <c r="Q35" s="277">
        <v>0.12</v>
      </c>
      <c r="S35" s="562"/>
      <c r="T35" s="563"/>
      <c r="U35" s="563"/>
      <c r="V35" s="565"/>
      <c r="W35" s="563"/>
      <c r="X35" s="551"/>
      <c r="Y35" s="562"/>
      <c r="Z35" s="563"/>
      <c r="AA35" s="563"/>
      <c r="AB35" s="565"/>
      <c r="AC35" s="563"/>
    </row>
    <row r="36" spans="1:29" ht="12.75" customHeight="1" x14ac:dyDescent="0.3">
      <c r="A36" s="280">
        <v>600</v>
      </c>
      <c r="B36" s="560">
        <v>-0.02</v>
      </c>
      <c r="C36" s="576" t="s">
        <v>65</v>
      </c>
      <c r="D36" s="561">
        <f t="shared" si="6"/>
        <v>0</v>
      </c>
      <c r="E36" s="277">
        <v>0.12</v>
      </c>
      <c r="F36" s="1303"/>
      <c r="G36" s="280">
        <v>600</v>
      </c>
      <c r="H36" s="560">
        <v>-0.02</v>
      </c>
      <c r="I36" s="576" t="s">
        <v>65</v>
      </c>
      <c r="J36" s="561">
        <f t="shared" si="7"/>
        <v>0</v>
      </c>
      <c r="K36" s="277">
        <v>0.12</v>
      </c>
      <c r="L36" s="573"/>
      <c r="M36" s="280">
        <v>600</v>
      </c>
      <c r="N36" s="560">
        <v>0.02</v>
      </c>
      <c r="O36" s="559" t="s">
        <v>65</v>
      </c>
      <c r="P36" s="561">
        <f t="shared" si="8"/>
        <v>0</v>
      </c>
      <c r="Q36" s="277">
        <v>0.12</v>
      </c>
      <c r="S36" s="562"/>
      <c r="T36" s="563"/>
      <c r="U36" s="564"/>
      <c r="V36" s="565"/>
      <c r="W36" s="563"/>
      <c r="X36" s="551"/>
      <c r="Y36" s="562"/>
      <c r="Z36" s="563"/>
      <c r="AA36" s="564"/>
      <c r="AB36" s="565"/>
      <c r="AC36" s="563"/>
    </row>
    <row r="37" spans="1:29" ht="12.75" customHeight="1" x14ac:dyDescent="0.3">
      <c r="A37" s="280">
        <v>900</v>
      </c>
      <c r="B37" s="560">
        <v>-0.03</v>
      </c>
      <c r="C37" s="576" t="s">
        <v>65</v>
      </c>
      <c r="D37" s="561">
        <f t="shared" si="6"/>
        <v>0</v>
      </c>
      <c r="E37" s="277">
        <v>0.12</v>
      </c>
      <c r="F37" s="1303"/>
      <c r="G37" s="280">
        <v>900</v>
      </c>
      <c r="H37" s="560">
        <v>-0.02</v>
      </c>
      <c r="I37" s="576" t="s">
        <v>65</v>
      </c>
      <c r="J37" s="561">
        <f t="shared" si="7"/>
        <v>0</v>
      </c>
      <c r="K37" s="277">
        <v>0.12</v>
      </c>
      <c r="L37" s="573"/>
      <c r="M37" s="280">
        <v>900</v>
      </c>
      <c r="N37" s="560">
        <v>0.02</v>
      </c>
      <c r="O37" s="559" t="s">
        <v>65</v>
      </c>
      <c r="P37" s="561">
        <f t="shared" si="8"/>
        <v>0</v>
      </c>
      <c r="Q37" s="277">
        <v>0.12</v>
      </c>
      <c r="S37" s="562"/>
      <c r="T37" s="563"/>
      <c r="U37" s="564"/>
      <c r="V37" s="565"/>
      <c r="W37" s="563"/>
      <c r="X37" s="551"/>
      <c r="Y37" s="562"/>
      <c r="Z37" s="563"/>
      <c r="AA37" s="564"/>
      <c r="AB37" s="565"/>
      <c r="AC37" s="563"/>
    </row>
    <row r="38" spans="1:29" ht="12.75" customHeight="1" x14ac:dyDescent="0.3">
      <c r="A38" s="280">
        <v>1200</v>
      </c>
      <c r="B38" s="560">
        <v>-0.03</v>
      </c>
      <c r="C38" s="576" t="s">
        <v>65</v>
      </c>
      <c r="D38" s="561">
        <f t="shared" si="6"/>
        <v>0</v>
      </c>
      <c r="E38" s="277">
        <v>0.12</v>
      </c>
      <c r="F38" s="1303"/>
      <c r="G38" s="280">
        <v>1200</v>
      </c>
      <c r="H38" s="560">
        <v>-0.02</v>
      </c>
      <c r="I38" s="576" t="s">
        <v>65</v>
      </c>
      <c r="J38" s="561">
        <f t="shared" si="7"/>
        <v>0</v>
      </c>
      <c r="K38" s="277">
        <v>0.12</v>
      </c>
      <c r="L38" s="573"/>
      <c r="M38" s="280">
        <v>1200</v>
      </c>
      <c r="N38" s="560">
        <v>0.03</v>
      </c>
      <c r="O38" s="559" t="s">
        <v>65</v>
      </c>
      <c r="P38" s="561">
        <f t="shared" si="8"/>
        <v>0</v>
      </c>
      <c r="Q38" s="277">
        <v>0.12</v>
      </c>
      <c r="S38" s="562"/>
      <c r="T38" s="563"/>
      <c r="U38" s="564"/>
      <c r="V38" s="565"/>
      <c r="W38" s="563"/>
      <c r="X38" s="551"/>
      <c r="Y38" s="562"/>
      <c r="Z38" s="563"/>
      <c r="AA38" s="564"/>
      <c r="AB38" s="565"/>
      <c r="AC38" s="563"/>
    </row>
    <row r="39" spans="1:29" ht="12.75" customHeight="1" x14ac:dyDescent="0.3">
      <c r="A39" s="558">
        <v>0</v>
      </c>
      <c r="B39" s="560">
        <v>0</v>
      </c>
      <c r="C39" s="576" t="s">
        <v>65</v>
      </c>
      <c r="D39" s="561">
        <f>0.5*(MAX(B39:C39)-MIN(B39:C39))</f>
        <v>0</v>
      </c>
      <c r="E39" s="277">
        <v>0</v>
      </c>
      <c r="F39" s="1303"/>
      <c r="G39" s="280">
        <v>0</v>
      </c>
      <c r="H39" s="560">
        <v>0</v>
      </c>
      <c r="I39" s="576" t="s">
        <v>65</v>
      </c>
      <c r="J39" s="561">
        <f>0.5*(MAX(H39:I39)-MIN(H39:I39))</f>
        <v>0</v>
      </c>
      <c r="K39" s="277">
        <v>0</v>
      </c>
      <c r="L39" s="573"/>
      <c r="M39" s="558">
        <v>0</v>
      </c>
      <c r="N39" s="560">
        <v>0</v>
      </c>
      <c r="O39" s="559" t="s">
        <v>65</v>
      </c>
      <c r="P39" s="561">
        <f>0.5*(MAX(N39:O39)-MIN(N39:O39))</f>
        <v>0</v>
      </c>
      <c r="Q39" s="277">
        <v>0</v>
      </c>
      <c r="S39" s="562"/>
      <c r="T39" s="563"/>
      <c r="U39" s="564"/>
      <c r="V39" s="565"/>
      <c r="W39" s="563"/>
      <c r="X39" s="551"/>
      <c r="Y39" s="562"/>
      <c r="Z39" s="563"/>
      <c r="AA39" s="564"/>
      <c r="AB39" s="565"/>
      <c r="AC39" s="563"/>
    </row>
    <row r="40" spans="1:29" ht="13.5" customHeight="1" x14ac:dyDescent="0.3">
      <c r="A40" s="558">
        <v>0</v>
      </c>
      <c r="B40" s="560">
        <v>0</v>
      </c>
      <c r="C40" s="576" t="s">
        <v>65</v>
      </c>
      <c r="D40" s="561">
        <f>0.5*(MAX(B40:C40)-MIN(B40:C40))</f>
        <v>0</v>
      </c>
      <c r="E40" s="277">
        <v>0</v>
      </c>
      <c r="F40" s="1303"/>
      <c r="G40" s="280">
        <v>0</v>
      </c>
      <c r="H40" s="560">
        <v>0.03</v>
      </c>
      <c r="I40" s="576" t="s">
        <v>65</v>
      </c>
      <c r="J40" s="561">
        <f>0.5*(MAX(H40:I40)-MIN(H40:I40))</f>
        <v>0</v>
      </c>
      <c r="K40" s="277">
        <v>0</v>
      </c>
      <c r="L40" s="573"/>
      <c r="M40" s="558">
        <v>0</v>
      </c>
      <c r="N40" s="560">
        <v>0</v>
      </c>
      <c r="O40" s="559" t="s">
        <v>65</v>
      </c>
      <c r="P40" s="561">
        <f>0.5*(MAX(N40:O40)-MIN(N40:O40))</f>
        <v>0</v>
      </c>
      <c r="Q40" s="277">
        <v>0</v>
      </c>
      <c r="S40" s="562"/>
      <c r="T40" s="563"/>
      <c r="U40" s="564"/>
      <c r="V40" s="565"/>
      <c r="W40" s="563"/>
      <c r="X40" s="551"/>
      <c r="Y40" s="562"/>
      <c r="Z40" s="563"/>
      <c r="AA40" s="564"/>
      <c r="AB40" s="565"/>
      <c r="AC40" s="563"/>
    </row>
    <row r="41" spans="1:29" ht="13.5" customHeight="1" x14ac:dyDescent="0.3">
      <c r="A41" s="558">
        <v>0</v>
      </c>
      <c r="B41" s="560">
        <v>0</v>
      </c>
      <c r="C41" s="576" t="s">
        <v>65</v>
      </c>
      <c r="D41" s="561">
        <f>0.5*(MAX(B41:C41)-MIN(B41:C41))</f>
        <v>0</v>
      </c>
      <c r="E41" s="277">
        <v>0</v>
      </c>
      <c r="F41" s="1303"/>
      <c r="G41" s="280">
        <v>0</v>
      </c>
      <c r="H41" s="560">
        <v>0</v>
      </c>
      <c r="I41" s="576" t="s">
        <v>65</v>
      </c>
      <c r="J41" s="561">
        <f>0.5*(MAX(H41:I41)-MIN(H41:I41))</f>
        <v>0</v>
      </c>
      <c r="K41" s="277">
        <v>0</v>
      </c>
      <c r="L41" s="573"/>
      <c r="M41" s="558">
        <v>0</v>
      </c>
      <c r="N41" s="560">
        <v>0</v>
      </c>
      <c r="O41" s="559" t="s">
        <v>65</v>
      </c>
      <c r="P41" s="561">
        <f>0.5*(MAX(N41:O41)-MIN(N41:O41))</f>
        <v>0</v>
      </c>
      <c r="Q41" s="277">
        <v>0</v>
      </c>
      <c r="S41" s="562"/>
      <c r="T41" s="563"/>
      <c r="U41" s="564"/>
      <c r="V41" s="565"/>
      <c r="W41" s="563"/>
      <c r="X41" s="551"/>
      <c r="Y41" s="562"/>
      <c r="Z41" s="563"/>
      <c r="AA41" s="564"/>
      <c r="AB41" s="565"/>
      <c r="AC41" s="563"/>
    </row>
    <row r="42" spans="1:29" ht="13.5" customHeight="1" x14ac:dyDescent="0.3">
      <c r="A42" s="1306"/>
      <c r="B42" s="1307"/>
      <c r="C42" s="1307"/>
      <c r="D42" s="1307"/>
      <c r="E42" s="1308"/>
      <c r="F42" s="1303"/>
      <c r="G42" s="1309"/>
      <c r="H42" s="1310"/>
      <c r="I42" s="1310"/>
      <c r="J42" s="1310"/>
      <c r="K42" s="1311"/>
      <c r="L42" s="573"/>
      <c r="Q42" s="575"/>
      <c r="S42" s="545"/>
      <c r="T42" s="545"/>
      <c r="U42" s="545"/>
      <c r="V42" s="545"/>
      <c r="W42" s="545"/>
      <c r="X42" s="551"/>
      <c r="Y42" s="300"/>
      <c r="Z42" s="300"/>
      <c r="AA42" s="300"/>
      <c r="AB42" s="300"/>
      <c r="AC42" s="300"/>
    </row>
    <row r="43" spans="1:29" ht="15.75" customHeight="1" x14ac:dyDescent="0.3">
      <c r="A43" s="1305" t="s">
        <v>310</v>
      </c>
      <c r="B43" s="1100"/>
      <c r="C43" s="1101"/>
      <c r="D43" s="1288" t="s">
        <v>63</v>
      </c>
      <c r="E43" s="1301" t="str">
        <f>E30</f>
        <v>U95 STD</v>
      </c>
      <c r="F43" s="1303"/>
      <c r="G43" s="1099" t="s">
        <v>311</v>
      </c>
      <c r="H43" s="1100"/>
      <c r="I43" s="1101"/>
      <c r="J43" s="1288" t="s">
        <v>63</v>
      </c>
      <c r="K43" s="1301" t="str">
        <f>K30</f>
        <v>U95 STD</v>
      </c>
      <c r="L43" s="573"/>
      <c r="M43" s="1099" t="s">
        <v>312</v>
      </c>
      <c r="N43" s="1100"/>
      <c r="O43" s="1101"/>
      <c r="P43" s="1288" t="s">
        <v>63</v>
      </c>
      <c r="Q43" s="1301" t="str">
        <f>Q30</f>
        <v>U95 STD</v>
      </c>
      <c r="S43" s="273"/>
      <c r="T43" s="273"/>
      <c r="U43" s="273"/>
      <c r="V43" s="549"/>
      <c r="W43" s="550"/>
      <c r="X43" s="551"/>
      <c r="Y43" s="273"/>
      <c r="Z43" s="273"/>
      <c r="AA43" s="273"/>
      <c r="AB43" s="549"/>
      <c r="AC43" s="550"/>
    </row>
    <row r="44" spans="1:29" ht="12.75" customHeight="1" x14ac:dyDescent="0.3">
      <c r="A44" s="552" t="str">
        <f>A31</f>
        <v>Timer</v>
      </c>
      <c r="B44" s="1288" t="s">
        <v>62</v>
      </c>
      <c r="C44" s="1288"/>
      <c r="D44" s="1288"/>
      <c r="E44" s="1301"/>
      <c r="F44" s="1303"/>
      <c r="G44" s="553" t="str">
        <f>G31</f>
        <v>Timer</v>
      </c>
      <c r="H44" s="1288" t="s">
        <v>62</v>
      </c>
      <c r="I44" s="1288"/>
      <c r="J44" s="1288"/>
      <c r="K44" s="1301"/>
      <c r="L44" s="573"/>
      <c r="M44" s="553" t="str">
        <f>M31</f>
        <v>Timer</v>
      </c>
      <c r="N44" s="1288" t="s">
        <v>62</v>
      </c>
      <c r="O44" s="1288"/>
      <c r="P44" s="1288"/>
      <c r="Q44" s="1301"/>
      <c r="S44" s="554"/>
      <c r="T44" s="549"/>
      <c r="U44" s="549"/>
      <c r="V44" s="549"/>
      <c r="W44" s="550"/>
      <c r="X44" s="551"/>
      <c r="Y44" s="554"/>
      <c r="Z44" s="549"/>
      <c r="AA44" s="549"/>
      <c r="AB44" s="549"/>
      <c r="AC44" s="550"/>
    </row>
    <row r="45" spans="1:29" ht="15" customHeight="1" x14ac:dyDescent="0.3">
      <c r="A45" s="272" t="str">
        <f>A32</f>
        <v>s</v>
      </c>
      <c r="B45" s="555">
        <v>2020</v>
      </c>
      <c r="C45" s="556" t="s">
        <v>65</v>
      </c>
      <c r="D45" s="1288"/>
      <c r="E45" s="1301"/>
      <c r="F45" s="1303"/>
      <c r="G45" s="496" t="str">
        <f>G32</f>
        <v>s</v>
      </c>
      <c r="H45" s="555">
        <v>2020</v>
      </c>
      <c r="I45" s="556" t="s">
        <v>65</v>
      </c>
      <c r="J45" s="1288"/>
      <c r="K45" s="1301"/>
      <c r="L45" s="573"/>
      <c r="M45" s="496" t="str">
        <f>M32</f>
        <v>s</v>
      </c>
      <c r="N45" s="555">
        <v>2020</v>
      </c>
      <c r="O45" s="556" t="s">
        <v>65</v>
      </c>
      <c r="P45" s="1288"/>
      <c r="Q45" s="1301"/>
      <c r="S45" s="265"/>
      <c r="T45" s="554"/>
      <c r="U45" s="554"/>
      <c r="V45" s="549"/>
      <c r="W45" s="550"/>
      <c r="X45" s="551"/>
      <c r="Y45" s="265"/>
      <c r="Z45" s="554"/>
      <c r="AA45" s="554"/>
      <c r="AB45" s="549"/>
      <c r="AC45" s="550"/>
    </row>
    <row r="46" spans="1:29" ht="12.75" customHeight="1" x14ac:dyDescent="0.3">
      <c r="A46" s="558">
        <v>0</v>
      </c>
      <c r="B46" s="560">
        <v>0</v>
      </c>
      <c r="C46" s="560" t="s">
        <v>65</v>
      </c>
      <c r="D46" s="561">
        <f t="shared" ref="D46:D51" si="9">0.5*(MAX(B46:C46)-MIN(B46:C46))</f>
        <v>0</v>
      </c>
      <c r="E46" s="277">
        <v>0</v>
      </c>
      <c r="F46" s="1303"/>
      <c r="G46" s="558">
        <v>0</v>
      </c>
      <c r="H46" s="560">
        <v>0</v>
      </c>
      <c r="I46" s="577" t="s">
        <v>65</v>
      </c>
      <c r="J46" s="561">
        <f t="shared" ref="J46:J51" si="10">0.5*(MAX(H46:I46)-MIN(H46:I46))</f>
        <v>0</v>
      </c>
      <c r="K46" s="277">
        <v>0</v>
      </c>
      <c r="L46" s="573"/>
      <c r="M46" s="558">
        <v>0</v>
      </c>
      <c r="N46" s="560">
        <v>0</v>
      </c>
      <c r="O46" s="577" t="s">
        <v>65</v>
      </c>
      <c r="P46" s="561">
        <f t="shared" ref="P46:P51" si="11">0.5*(MAX(N46:O46)-MIN(N46:O46))</f>
        <v>0</v>
      </c>
      <c r="Q46" s="277">
        <v>0</v>
      </c>
      <c r="S46" s="562"/>
      <c r="T46" s="563"/>
      <c r="U46" s="563"/>
      <c r="V46" s="565"/>
      <c r="W46" s="563"/>
      <c r="X46" s="551"/>
      <c r="Y46" s="562"/>
      <c r="Z46" s="563"/>
      <c r="AA46" s="563"/>
      <c r="AB46" s="565"/>
      <c r="AC46" s="563"/>
    </row>
    <row r="47" spans="1:29" ht="12.75" customHeight="1" x14ac:dyDescent="0.3">
      <c r="A47" s="280">
        <v>60</v>
      </c>
      <c r="B47" s="560">
        <v>0.01</v>
      </c>
      <c r="C47" s="560" t="s">
        <v>65</v>
      </c>
      <c r="D47" s="561">
        <f t="shared" si="9"/>
        <v>0</v>
      </c>
      <c r="E47" s="277">
        <v>0.12</v>
      </c>
      <c r="F47" s="1303"/>
      <c r="G47" s="280">
        <v>60</v>
      </c>
      <c r="H47" s="560">
        <v>-0.01</v>
      </c>
      <c r="I47" s="577" t="s">
        <v>65</v>
      </c>
      <c r="J47" s="561">
        <f t="shared" si="10"/>
        <v>0</v>
      </c>
      <c r="K47" s="277">
        <v>0.12</v>
      </c>
      <c r="L47" s="573"/>
      <c r="M47" s="280">
        <v>60</v>
      </c>
      <c r="N47" s="560">
        <v>-0.02</v>
      </c>
      <c r="O47" s="577" t="s">
        <v>65</v>
      </c>
      <c r="P47" s="561">
        <f t="shared" si="11"/>
        <v>0</v>
      </c>
      <c r="Q47" s="277">
        <v>0.12</v>
      </c>
      <c r="S47" s="562"/>
      <c r="T47" s="563"/>
      <c r="U47" s="563"/>
      <c r="V47" s="565"/>
      <c r="W47" s="563"/>
      <c r="X47" s="551"/>
      <c r="Y47" s="562"/>
      <c r="Z47" s="563"/>
      <c r="AA47" s="563"/>
      <c r="AB47" s="565"/>
      <c r="AC47" s="563"/>
    </row>
    <row r="48" spans="1:29" ht="12.75" customHeight="1" x14ac:dyDescent="0.3">
      <c r="A48" s="280">
        <v>300</v>
      </c>
      <c r="B48" s="560">
        <v>0.01</v>
      </c>
      <c r="C48" s="560" t="s">
        <v>65</v>
      </c>
      <c r="D48" s="561">
        <f t="shared" si="9"/>
        <v>0</v>
      </c>
      <c r="E48" s="277">
        <v>0.12</v>
      </c>
      <c r="F48" s="1303"/>
      <c r="G48" s="280">
        <v>300</v>
      </c>
      <c r="H48" s="560">
        <v>-0.02</v>
      </c>
      <c r="I48" s="577" t="s">
        <v>65</v>
      </c>
      <c r="J48" s="561">
        <f t="shared" si="10"/>
        <v>0</v>
      </c>
      <c r="K48" s="277">
        <v>0.12</v>
      </c>
      <c r="L48" s="573"/>
      <c r="M48" s="280">
        <v>300</v>
      </c>
      <c r="N48" s="560">
        <v>-0.02</v>
      </c>
      <c r="O48" s="577" t="s">
        <v>65</v>
      </c>
      <c r="P48" s="561">
        <f t="shared" si="11"/>
        <v>0</v>
      </c>
      <c r="Q48" s="277">
        <v>0.12</v>
      </c>
      <c r="S48" s="562"/>
      <c r="T48" s="563"/>
      <c r="U48" s="563"/>
      <c r="V48" s="565"/>
      <c r="W48" s="563"/>
      <c r="X48" s="551"/>
      <c r="Y48" s="562"/>
      <c r="Z48" s="563"/>
      <c r="AA48" s="563"/>
      <c r="AB48" s="565"/>
      <c r="AC48" s="563"/>
    </row>
    <row r="49" spans="1:29" ht="12.75" customHeight="1" x14ac:dyDescent="0.3">
      <c r="A49" s="280">
        <v>600</v>
      </c>
      <c r="B49" s="560">
        <v>0.02</v>
      </c>
      <c r="C49" s="559" t="s">
        <v>65</v>
      </c>
      <c r="D49" s="561">
        <f t="shared" si="9"/>
        <v>0</v>
      </c>
      <c r="E49" s="277">
        <v>0.12</v>
      </c>
      <c r="F49" s="1303"/>
      <c r="G49" s="280">
        <v>600</v>
      </c>
      <c r="H49" s="560">
        <v>-0.02</v>
      </c>
      <c r="I49" s="576" t="s">
        <v>65</v>
      </c>
      <c r="J49" s="561">
        <f t="shared" si="10"/>
        <v>0</v>
      </c>
      <c r="K49" s="277">
        <v>0.12</v>
      </c>
      <c r="L49" s="573"/>
      <c r="M49" s="280">
        <v>600</v>
      </c>
      <c r="N49" s="560">
        <v>-0.03</v>
      </c>
      <c r="O49" s="576" t="s">
        <v>65</v>
      </c>
      <c r="P49" s="561">
        <f t="shared" si="11"/>
        <v>0</v>
      </c>
      <c r="Q49" s="277">
        <v>0.12</v>
      </c>
      <c r="S49" s="562"/>
      <c r="T49" s="563"/>
      <c r="U49" s="564"/>
      <c r="V49" s="565"/>
      <c r="W49" s="563"/>
      <c r="X49" s="551"/>
      <c r="Y49" s="562"/>
      <c r="Z49" s="563"/>
      <c r="AA49" s="564"/>
      <c r="AB49" s="565"/>
      <c r="AC49" s="563"/>
    </row>
    <row r="50" spans="1:29" ht="12.75" customHeight="1" x14ac:dyDescent="0.3">
      <c r="A50" s="280">
        <v>900</v>
      </c>
      <c r="B50" s="560">
        <v>0.02</v>
      </c>
      <c r="C50" s="559" t="s">
        <v>65</v>
      </c>
      <c r="D50" s="561">
        <f t="shared" si="9"/>
        <v>0</v>
      </c>
      <c r="E50" s="277">
        <v>0.12</v>
      </c>
      <c r="F50" s="1303"/>
      <c r="G50" s="280">
        <v>900</v>
      </c>
      <c r="H50" s="560">
        <v>-0.03</v>
      </c>
      <c r="I50" s="576" t="s">
        <v>65</v>
      </c>
      <c r="J50" s="561">
        <f t="shared" si="10"/>
        <v>0</v>
      </c>
      <c r="K50" s="277">
        <v>0.12</v>
      </c>
      <c r="L50" s="573"/>
      <c r="M50" s="280">
        <v>900</v>
      </c>
      <c r="N50" s="560">
        <v>-0.03</v>
      </c>
      <c r="O50" s="576" t="s">
        <v>65</v>
      </c>
      <c r="P50" s="561">
        <f t="shared" si="11"/>
        <v>0</v>
      </c>
      <c r="Q50" s="277">
        <v>0.12</v>
      </c>
      <c r="S50" s="562"/>
      <c r="T50" s="563"/>
      <c r="U50" s="564"/>
      <c r="V50" s="565"/>
      <c r="W50" s="563"/>
      <c r="X50" s="551"/>
      <c r="Y50" s="562"/>
      <c r="Z50" s="563"/>
      <c r="AA50" s="564"/>
      <c r="AB50" s="565"/>
      <c r="AC50" s="563"/>
    </row>
    <row r="51" spans="1:29" ht="12.75" customHeight="1" x14ac:dyDescent="0.3">
      <c r="A51" s="280">
        <v>1200</v>
      </c>
      <c r="B51" s="560">
        <v>0.02</v>
      </c>
      <c r="C51" s="559" t="s">
        <v>65</v>
      </c>
      <c r="D51" s="561">
        <f t="shared" si="9"/>
        <v>0</v>
      </c>
      <c r="E51" s="277">
        <v>0.12</v>
      </c>
      <c r="F51" s="1303"/>
      <c r="G51" s="280">
        <v>1200</v>
      </c>
      <c r="H51" s="560">
        <v>-0.04</v>
      </c>
      <c r="I51" s="576" t="s">
        <v>65</v>
      </c>
      <c r="J51" s="561">
        <f t="shared" si="10"/>
        <v>0</v>
      </c>
      <c r="K51" s="277">
        <v>0.12</v>
      </c>
      <c r="L51" s="573"/>
      <c r="M51" s="280">
        <v>1200</v>
      </c>
      <c r="N51" s="560">
        <v>-0.03</v>
      </c>
      <c r="O51" s="576" t="s">
        <v>65</v>
      </c>
      <c r="P51" s="561">
        <f t="shared" si="11"/>
        <v>0</v>
      </c>
      <c r="Q51" s="277">
        <v>0.12</v>
      </c>
      <c r="S51" s="562"/>
      <c r="T51" s="563"/>
      <c r="U51" s="564"/>
      <c r="V51" s="565"/>
      <c r="W51" s="563"/>
      <c r="X51" s="551"/>
      <c r="Y51" s="562"/>
      <c r="Z51" s="563"/>
      <c r="AA51" s="564"/>
      <c r="AB51" s="565"/>
      <c r="AC51" s="563"/>
    </row>
    <row r="52" spans="1:29" ht="12.75" customHeight="1" x14ac:dyDescent="0.3">
      <c r="A52" s="558">
        <v>0</v>
      </c>
      <c r="B52" s="560">
        <v>0</v>
      </c>
      <c r="C52" s="559" t="s">
        <v>65</v>
      </c>
      <c r="D52" s="561">
        <f>0.5*(MAX(B52:C52)-MIN(B52:C52))</f>
        <v>0</v>
      </c>
      <c r="E52" s="277">
        <v>0</v>
      </c>
      <c r="F52" s="1303"/>
      <c r="G52" s="280">
        <v>0</v>
      </c>
      <c r="H52" s="560">
        <v>0</v>
      </c>
      <c r="I52" s="576" t="s">
        <v>65</v>
      </c>
      <c r="J52" s="561">
        <f>0.5*(MAX(H52:I52)-MIN(H52:I52))</f>
        <v>0</v>
      </c>
      <c r="K52" s="277">
        <v>0</v>
      </c>
      <c r="L52" s="573"/>
      <c r="M52" s="280">
        <v>0</v>
      </c>
      <c r="N52" s="560">
        <v>0</v>
      </c>
      <c r="O52" s="576" t="s">
        <v>65</v>
      </c>
      <c r="P52" s="561">
        <f>0.5*(MAX(N52:O52)-MIN(N52:O52))</f>
        <v>0</v>
      </c>
      <c r="Q52" s="277">
        <v>0</v>
      </c>
      <c r="S52" s="562"/>
      <c r="T52" s="563"/>
      <c r="U52" s="564"/>
      <c r="V52" s="565"/>
      <c r="W52" s="563"/>
      <c r="X52" s="551"/>
      <c r="Y52" s="562"/>
      <c r="Z52" s="563"/>
      <c r="AA52" s="564"/>
      <c r="AB52" s="565"/>
      <c r="AC52" s="563"/>
    </row>
    <row r="53" spans="1:29" ht="13.5" customHeight="1" x14ac:dyDescent="0.3">
      <c r="A53" s="558">
        <v>0</v>
      </c>
      <c r="B53" s="560">
        <v>0</v>
      </c>
      <c r="C53" s="559" t="s">
        <v>65</v>
      </c>
      <c r="D53" s="561">
        <f>0.5*(MAX(B53:C53)-MIN(B53:C53))</f>
        <v>0</v>
      </c>
      <c r="E53" s="277">
        <v>0</v>
      </c>
      <c r="F53" s="1303"/>
      <c r="G53" s="280">
        <v>0</v>
      </c>
      <c r="H53" s="560">
        <v>0</v>
      </c>
      <c r="I53" s="576" t="s">
        <v>65</v>
      </c>
      <c r="J53" s="561">
        <f>0.5*(MAX(H53:I53)-MIN(H53:I53))</f>
        <v>0</v>
      </c>
      <c r="K53" s="277">
        <v>0</v>
      </c>
      <c r="L53" s="573"/>
      <c r="M53" s="280">
        <v>0</v>
      </c>
      <c r="N53" s="560">
        <v>0</v>
      </c>
      <c r="O53" s="576" t="s">
        <v>65</v>
      </c>
      <c r="P53" s="561">
        <f>0.5*(MAX(N53:O53)-MIN(N53:O53))</f>
        <v>0</v>
      </c>
      <c r="Q53" s="277">
        <v>0</v>
      </c>
      <c r="S53" s="562"/>
      <c r="T53" s="563"/>
      <c r="U53" s="564"/>
      <c r="V53" s="565"/>
      <c r="W53" s="563"/>
      <c r="X53" s="551"/>
      <c r="Y53" s="562"/>
      <c r="Z53" s="563"/>
      <c r="AA53" s="564"/>
      <c r="AB53" s="565"/>
      <c r="AC53" s="563"/>
    </row>
    <row r="54" spans="1:29" ht="13.5" customHeight="1" x14ac:dyDescent="0.3">
      <c r="A54" s="558">
        <v>0</v>
      </c>
      <c r="B54" s="560">
        <v>0</v>
      </c>
      <c r="C54" s="559" t="s">
        <v>65</v>
      </c>
      <c r="D54" s="561">
        <f>0.5*(MAX(B54:C54)-MIN(B54:C54))</f>
        <v>0</v>
      </c>
      <c r="E54" s="277">
        <v>0</v>
      </c>
      <c r="F54" s="1303"/>
      <c r="G54" s="280">
        <v>0</v>
      </c>
      <c r="H54" s="560">
        <v>0</v>
      </c>
      <c r="I54" s="576" t="s">
        <v>65</v>
      </c>
      <c r="J54" s="561">
        <f>0.5*(MAX(H54:I54)-MIN(H54:I54))</f>
        <v>0</v>
      </c>
      <c r="K54" s="277">
        <v>0</v>
      </c>
      <c r="L54" s="573"/>
      <c r="M54" s="280">
        <v>0</v>
      </c>
      <c r="N54" s="560">
        <v>0</v>
      </c>
      <c r="O54" s="576" t="s">
        <v>65</v>
      </c>
      <c r="P54" s="561">
        <f>0.5*(MAX(N54:O54)-MIN(N54:O54))</f>
        <v>0</v>
      </c>
      <c r="Q54" s="277">
        <v>0</v>
      </c>
      <c r="S54" s="562"/>
      <c r="T54" s="563"/>
      <c r="U54" s="564"/>
      <c r="V54" s="565"/>
      <c r="W54" s="563"/>
      <c r="X54" s="567"/>
      <c r="Y54" s="562"/>
      <c r="Z54" s="563"/>
      <c r="AA54" s="564"/>
      <c r="AB54" s="565"/>
      <c r="AC54" s="563"/>
    </row>
    <row r="55" spans="1:29" ht="13.5" customHeight="1" x14ac:dyDescent="0.3">
      <c r="A55" s="628"/>
      <c r="B55" s="629"/>
      <c r="C55" s="630"/>
      <c r="D55" s="565"/>
      <c r="E55" s="563"/>
      <c r="F55" s="567"/>
      <c r="G55" s="631"/>
      <c r="H55" s="629"/>
      <c r="I55" s="632"/>
      <c r="J55" s="565"/>
      <c r="K55" s="563"/>
      <c r="L55" s="573"/>
      <c r="M55" s="631"/>
      <c r="N55" s="629"/>
      <c r="O55" s="632"/>
      <c r="P55" s="565"/>
      <c r="Q55" s="563"/>
      <c r="S55" s="562"/>
      <c r="T55" s="563"/>
      <c r="U55" s="564"/>
      <c r="V55" s="565"/>
      <c r="W55" s="563"/>
      <c r="X55" s="567"/>
      <c r="Y55" s="562"/>
      <c r="Z55" s="563"/>
      <c r="AA55" s="564"/>
      <c r="AB55" s="565"/>
      <c r="AC55" s="563"/>
    </row>
    <row r="56" spans="1:29" ht="13.5" customHeight="1" x14ac:dyDescent="0.3">
      <c r="A56" s="1305" t="s">
        <v>313</v>
      </c>
      <c r="B56" s="1100"/>
      <c r="C56" s="1101"/>
      <c r="D56" s="1288" t="s">
        <v>63</v>
      </c>
      <c r="E56" s="1301" t="str">
        <f>E43</f>
        <v>U95 STD</v>
      </c>
      <c r="F56" s="567"/>
      <c r="G56" s="1305" t="s">
        <v>314</v>
      </c>
      <c r="H56" s="1100"/>
      <c r="I56" s="1101"/>
      <c r="J56" s="1288" t="s">
        <v>63</v>
      </c>
      <c r="K56" s="1301" t="str">
        <f>K43</f>
        <v>U95 STD</v>
      </c>
      <c r="L56" s="573"/>
      <c r="M56" s="1305" t="s">
        <v>315</v>
      </c>
      <c r="N56" s="1100"/>
      <c r="O56" s="1101"/>
      <c r="P56" s="1288" t="s">
        <v>63</v>
      </c>
      <c r="Q56" s="1301" t="str">
        <f>Q43</f>
        <v>U95 STD</v>
      </c>
      <c r="S56" s="562"/>
      <c r="T56" s="563"/>
      <c r="U56" s="564"/>
      <c r="V56" s="565"/>
      <c r="W56" s="563"/>
      <c r="X56" s="567"/>
      <c r="Y56" s="562"/>
      <c r="Z56" s="563"/>
      <c r="AA56" s="564"/>
      <c r="AB56" s="565"/>
      <c r="AC56" s="563"/>
    </row>
    <row r="57" spans="1:29" ht="13.5" customHeight="1" x14ac:dyDescent="0.3">
      <c r="A57" s="552" t="str">
        <f>A44</f>
        <v>Timer</v>
      </c>
      <c r="B57" s="1288" t="s">
        <v>62</v>
      </c>
      <c r="C57" s="1288"/>
      <c r="D57" s="1288"/>
      <c r="E57" s="1301"/>
      <c r="F57" s="567"/>
      <c r="G57" s="552" t="str">
        <f>G44</f>
        <v>Timer</v>
      </c>
      <c r="H57" s="1288" t="s">
        <v>62</v>
      </c>
      <c r="I57" s="1288"/>
      <c r="J57" s="1288"/>
      <c r="K57" s="1301"/>
      <c r="L57" s="573"/>
      <c r="M57" s="552" t="str">
        <f>M44</f>
        <v>Timer</v>
      </c>
      <c r="N57" s="1288" t="s">
        <v>62</v>
      </c>
      <c r="O57" s="1288"/>
      <c r="P57" s="1288"/>
      <c r="Q57" s="1301"/>
      <c r="S57" s="562"/>
      <c r="T57" s="563"/>
      <c r="U57" s="564"/>
      <c r="V57" s="565"/>
      <c r="W57" s="563"/>
      <c r="X57" s="567"/>
      <c r="Y57" s="562"/>
      <c r="Z57" s="563"/>
      <c r="AA57" s="564"/>
      <c r="AB57" s="565"/>
      <c r="AC57" s="563"/>
    </row>
    <row r="58" spans="1:29" ht="13.5" customHeight="1" x14ac:dyDescent="0.3">
      <c r="A58" s="272" t="str">
        <f>A45</f>
        <v>s</v>
      </c>
      <c r="B58" s="555">
        <v>2020</v>
      </c>
      <c r="C58" s="556" t="s">
        <v>65</v>
      </c>
      <c r="D58" s="1288"/>
      <c r="E58" s="1301"/>
      <c r="F58" s="567"/>
      <c r="G58" s="272" t="str">
        <f>G45</f>
        <v>s</v>
      </c>
      <c r="H58" s="555">
        <v>2020</v>
      </c>
      <c r="I58" s="556" t="s">
        <v>65</v>
      </c>
      <c r="J58" s="1288"/>
      <c r="K58" s="1301"/>
      <c r="L58" s="573"/>
      <c r="M58" s="272" t="str">
        <f>M45</f>
        <v>s</v>
      </c>
      <c r="N58" s="555">
        <v>2020</v>
      </c>
      <c r="O58" s="556" t="s">
        <v>65</v>
      </c>
      <c r="P58" s="1288"/>
      <c r="Q58" s="1301"/>
      <c r="S58" s="562"/>
      <c r="T58" s="563"/>
      <c r="U58" s="564"/>
      <c r="V58" s="565"/>
      <c r="W58" s="563"/>
      <c r="X58" s="567"/>
      <c r="Y58" s="562"/>
      <c r="Z58" s="563"/>
      <c r="AA58" s="564"/>
      <c r="AB58" s="565"/>
      <c r="AC58" s="563"/>
    </row>
    <row r="59" spans="1:29" ht="13.5" customHeight="1" x14ac:dyDescent="0.3">
      <c r="A59" s="558">
        <v>0</v>
      </c>
      <c r="B59" s="560">
        <v>0</v>
      </c>
      <c r="C59" s="560" t="s">
        <v>65</v>
      </c>
      <c r="D59" s="561">
        <f t="shared" ref="D59:D64" si="12">0.5*(MAX(B59:C59)-MIN(B59:C59))</f>
        <v>0</v>
      </c>
      <c r="E59" s="277">
        <v>0</v>
      </c>
      <c r="F59" s="567"/>
      <c r="G59" s="558">
        <v>0</v>
      </c>
      <c r="H59" s="560">
        <v>0</v>
      </c>
      <c r="I59" s="560" t="s">
        <v>65</v>
      </c>
      <c r="J59" s="561">
        <f t="shared" ref="J59:J64" si="13">0.5*(MAX(H59:I59)-MIN(H59:I59))</f>
        <v>0</v>
      </c>
      <c r="K59" s="277">
        <v>0</v>
      </c>
      <c r="L59" s="573"/>
      <c r="M59" s="558">
        <v>0</v>
      </c>
      <c r="N59" s="560">
        <v>0</v>
      </c>
      <c r="O59" s="560" t="s">
        <v>65</v>
      </c>
      <c r="P59" s="561">
        <f t="shared" ref="P59:P64" si="14">0.5*(MAX(N59:O59)-MIN(N59:O59))</f>
        <v>0</v>
      </c>
      <c r="Q59" s="277">
        <v>0</v>
      </c>
      <c r="S59" s="562"/>
      <c r="T59" s="563"/>
      <c r="U59" s="564"/>
      <c r="V59" s="565"/>
      <c r="W59" s="563"/>
      <c r="X59" s="567"/>
      <c r="Y59" s="562"/>
      <c r="Z59" s="563"/>
      <c r="AA59" s="564"/>
      <c r="AB59" s="565"/>
      <c r="AC59" s="563"/>
    </row>
    <row r="60" spans="1:29" ht="13.5" customHeight="1" x14ac:dyDescent="0.3">
      <c r="A60" s="280">
        <v>60</v>
      </c>
      <c r="B60" s="560">
        <v>-0.02</v>
      </c>
      <c r="C60" s="560" t="s">
        <v>65</v>
      </c>
      <c r="D60" s="561">
        <f t="shared" si="12"/>
        <v>0</v>
      </c>
      <c r="E60" s="277">
        <v>0.12</v>
      </c>
      <c r="F60" s="567"/>
      <c r="G60" s="280">
        <v>60</v>
      </c>
      <c r="H60" s="560">
        <v>0</v>
      </c>
      <c r="I60" s="560" t="s">
        <v>65</v>
      </c>
      <c r="J60" s="561">
        <f t="shared" si="13"/>
        <v>0</v>
      </c>
      <c r="K60" s="277">
        <v>0.12</v>
      </c>
      <c r="L60" s="573"/>
      <c r="M60" s="280">
        <v>60</v>
      </c>
      <c r="N60" s="560">
        <v>0.01</v>
      </c>
      <c r="O60" s="560" t="s">
        <v>65</v>
      </c>
      <c r="P60" s="561">
        <f t="shared" si="14"/>
        <v>0</v>
      </c>
      <c r="Q60" s="277">
        <v>0.12</v>
      </c>
      <c r="S60" s="562"/>
      <c r="T60" s="563"/>
      <c r="U60" s="564"/>
      <c r="V60" s="565"/>
      <c r="W60" s="563"/>
      <c r="X60" s="567"/>
      <c r="Y60" s="562"/>
      <c r="Z60" s="563"/>
      <c r="AA60" s="564"/>
      <c r="AB60" s="565"/>
      <c r="AC60" s="563"/>
    </row>
    <row r="61" spans="1:29" ht="13.5" customHeight="1" x14ac:dyDescent="0.3">
      <c r="A61" s="280">
        <v>300</v>
      </c>
      <c r="B61" s="560">
        <v>-0.02</v>
      </c>
      <c r="C61" s="560" t="s">
        <v>65</v>
      </c>
      <c r="D61" s="561">
        <f t="shared" si="12"/>
        <v>0</v>
      </c>
      <c r="E61" s="277">
        <v>0.12</v>
      </c>
      <c r="F61" s="567"/>
      <c r="G61" s="280">
        <v>300</v>
      </c>
      <c r="H61" s="560">
        <v>0.01</v>
      </c>
      <c r="I61" s="560" t="s">
        <v>65</v>
      </c>
      <c r="J61" s="561">
        <f t="shared" si="13"/>
        <v>0</v>
      </c>
      <c r="K61" s="277">
        <v>0.12</v>
      </c>
      <c r="L61" s="573"/>
      <c r="M61" s="280">
        <v>300</v>
      </c>
      <c r="N61" s="560">
        <v>0.01</v>
      </c>
      <c r="O61" s="560" t="s">
        <v>65</v>
      </c>
      <c r="P61" s="561">
        <f t="shared" si="14"/>
        <v>0</v>
      </c>
      <c r="Q61" s="277">
        <v>0.12</v>
      </c>
      <c r="S61" s="562"/>
      <c r="T61" s="563"/>
      <c r="U61" s="564"/>
      <c r="V61" s="565"/>
      <c r="W61" s="563"/>
      <c r="X61" s="567"/>
      <c r="Y61" s="562"/>
      <c r="Z61" s="563"/>
      <c r="AA61" s="564"/>
      <c r="AB61" s="565"/>
      <c r="AC61" s="563"/>
    </row>
    <row r="62" spans="1:29" ht="13.5" customHeight="1" x14ac:dyDescent="0.3">
      <c r="A62" s="280">
        <v>600</v>
      </c>
      <c r="B62" s="560">
        <v>-0.03</v>
      </c>
      <c r="C62" s="559" t="s">
        <v>65</v>
      </c>
      <c r="D62" s="561">
        <f t="shared" si="12"/>
        <v>0</v>
      </c>
      <c r="E62" s="277">
        <v>0.12</v>
      </c>
      <c r="F62" s="567"/>
      <c r="G62" s="280">
        <v>600</v>
      </c>
      <c r="H62" s="560">
        <v>0.02</v>
      </c>
      <c r="I62" s="559" t="s">
        <v>65</v>
      </c>
      <c r="J62" s="561">
        <f t="shared" si="13"/>
        <v>0</v>
      </c>
      <c r="K62" s="277">
        <v>0.12</v>
      </c>
      <c r="L62" s="573"/>
      <c r="M62" s="280">
        <v>600</v>
      </c>
      <c r="N62" s="560">
        <v>0.02</v>
      </c>
      <c r="O62" s="559" t="s">
        <v>65</v>
      </c>
      <c r="P62" s="561">
        <f t="shared" si="14"/>
        <v>0</v>
      </c>
      <c r="Q62" s="277">
        <v>0.12</v>
      </c>
      <c r="S62" s="562"/>
      <c r="T62" s="563"/>
      <c r="U62" s="564"/>
      <c r="V62" s="565"/>
      <c r="W62" s="563"/>
      <c r="X62" s="567"/>
      <c r="Y62" s="562"/>
      <c r="Z62" s="563"/>
      <c r="AA62" s="564"/>
      <c r="AB62" s="565"/>
      <c r="AC62" s="563"/>
    </row>
    <row r="63" spans="1:29" ht="13.5" customHeight="1" x14ac:dyDescent="0.3">
      <c r="A63" s="280">
        <v>900</v>
      </c>
      <c r="B63" s="560">
        <v>-0.03</v>
      </c>
      <c r="C63" s="559" t="s">
        <v>65</v>
      </c>
      <c r="D63" s="561">
        <f t="shared" si="12"/>
        <v>0</v>
      </c>
      <c r="E63" s="277">
        <v>0.12</v>
      </c>
      <c r="F63" s="567"/>
      <c r="G63" s="280">
        <v>900</v>
      </c>
      <c r="H63" s="560">
        <v>0.03</v>
      </c>
      <c r="I63" s="559" t="s">
        <v>65</v>
      </c>
      <c r="J63" s="561">
        <f t="shared" si="13"/>
        <v>0</v>
      </c>
      <c r="K63" s="277">
        <v>0.12</v>
      </c>
      <c r="L63" s="573"/>
      <c r="M63" s="280">
        <v>900</v>
      </c>
      <c r="N63" s="560">
        <v>0.03</v>
      </c>
      <c r="O63" s="559" t="s">
        <v>65</v>
      </c>
      <c r="P63" s="561">
        <f t="shared" si="14"/>
        <v>0</v>
      </c>
      <c r="Q63" s="277">
        <v>0.12</v>
      </c>
      <c r="S63" s="562"/>
      <c r="T63" s="563"/>
      <c r="U63" s="564"/>
      <c r="V63" s="565"/>
      <c r="W63" s="563"/>
      <c r="X63" s="567"/>
      <c r="Y63" s="562"/>
      <c r="Z63" s="563"/>
      <c r="AA63" s="564"/>
      <c r="AB63" s="565"/>
      <c r="AC63" s="563"/>
    </row>
    <row r="64" spans="1:29" ht="13.5" customHeight="1" x14ac:dyDescent="0.3">
      <c r="A64" s="280">
        <v>1200</v>
      </c>
      <c r="B64" s="560">
        <v>-0.03</v>
      </c>
      <c r="C64" s="559" t="s">
        <v>65</v>
      </c>
      <c r="D64" s="561">
        <f t="shared" si="12"/>
        <v>0</v>
      </c>
      <c r="E64" s="277">
        <v>0.12</v>
      </c>
      <c r="F64" s="567"/>
      <c r="G64" s="280">
        <v>1200</v>
      </c>
      <c r="H64" s="560">
        <v>0.04</v>
      </c>
      <c r="I64" s="559" t="s">
        <v>65</v>
      </c>
      <c r="J64" s="561">
        <f t="shared" si="13"/>
        <v>0</v>
      </c>
      <c r="K64" s="277">
        <v>0.12</v>
      </c>
      <c r="L64" s="573"/>
      <c r="M64" s="280">
        <v>1200</v>
      </c>
      <c r="N64" s="560">
        <v>0.03</v>
      </c>
      <c r="O64" s="559" t="s">
        <v>65</v>
      </c>
      <c r="P64" s="561">
        <f t="shared" si="14"/>
        <v>0</v>
      </c>
      <c r="Q64" s="277">
        <v>0.12</v>
      </c>
      <c r="S64" s="562"/>
      <c r="T64" s="563"/>
      <c r="U64" s="564"/>
      <c r="V64" s="565"/>
      <c r="W64" s="563"/>
      <c r="X64" s="567"/>
      <c r="Y64" s="562"/>
      <c r="Z64" s="563"/>
      <c r="AA64" s="564"/>
      <c r="AB64" s="565"/>
      <c r="AC64" s="563"/>
    </row>
    <row r="65" spans="1:29" ht="13.5" customHeight="1" x14ac:dyDescent="0.3">
      <c r="A65" s="558">
        <v>0</v>
      </c>
      <c r="B65" s="560">
        <v>0</v>
      </c>
      <c r="C65" s="559" t="s">
        <v>65</v>
      </c>
      <c r="D65" s="561">
        <f>0.5*(MAX(B65:C65)-MIN(B65:C65))</f>
        <v>0</v>
      </c>
      <c r="E65" s="277">
        <v>0</v>
      </c>
      <c r="F65" s="567"/>
      <c r="G65" s="558">
        <v>0</v>
      </c>
      <c r="H65" s="560">
        <v>0</v>
      </c>
      <c r="I65" s="559" t="s">
        <v>65</v>
      </c>
      <c r="J65" s="561">
        <f>0.5*(MAX(H65:I65)-MIN(H65:I65))</f>
        <v>0</v>
      </c>
      <c r="K65" s="277">
        <v>0</v>
      </c>
      <c r="L65" s="573"/>
      <c r="M65" s="558">
        <v>0</v>
      </c>
      <c r="N65" s="560">
        <v>0</v>
      </c>
      <c r="O65" s="559" t="s">
        <v>65</v>
      </c>
      <c r="P65" s="561">
        <f>0.5*(MAX(N65:O65)-MIN(N65:O65))</f>
        <v>0</v>
      </c>
      <c r="Q65" s="277">
        <v>0</v>
      </c>
      <c r="S65" s="562"/>
      <c r="T65" s="563"/>
      <c r="U65" s="564"/>
      <c r="V65" s="565"/>
      <c r="W65" s="563"/>
      <c r="X65" s="567"/>
      <c r="Y65" s="562"/>
      <c r="Z65" s="563"/>
      <c r="AA65" s="564"/>
      <c r="AB65" s="565"/>
      <c r="AC65" s="563"/>
    </row>
    <row r="66" spans="1:29" ht="13.5" customHeight="1" x14ac:dyDescent="0.3">
      <c r="A66" s="558">
        <v>0</v>
      </c>
      <c r="B66" s="560">
        <v>0</v>
      </c>
      <c r="C66" s="559" t="s">
        <v>65</v>
      </c>
      <c r="D66" s="561">
        <f>0.5*(MAX(B66:C66)-MIN(B66:C66))</f>
        <v>0</v>
      </c>
      <c r="E66" s="277">
        <v>0</v>
      </c>
      <c r="F66" s="567"/>
      <c r="G66" s="558">
        <v>0</v>
      </c>
      <c r="H66" s="560">
        <v>0</v>
      </c>
      <c r="I66" s="559" t="s">
        <v>65</v>
      </c>
      <c r="J66" s="561">
        <f>0.5*(MAX(H66:I66)-MIN(H66:I66))</f>
        <v>0</v>
      </c>
      <c r="K66" s="277">
        <v>0</v>
      </c>
      <c r="L66" s="573"/>
      <c r="M66" s="558">
        <v>0</v>
      </c>
      <c r="N66" s="560">
        <v>0</v>
      </c>
      <c r="O66" s="559" t="s">
        <v>65</v>
      </c>
      <c r="P66" s="561">
        <f>0.5*(MAX(N66:O66)-MIN(N66:O66))</f>
        <v>0</v>
      </c>
      <c r="Q66" s="277">
        <v>0</v>
      </c>
      <c r="S66" s="562"/>
      <c r="T66" s="563"/>
      <c r="U66" s="564"/>
      <c r="V66" s="565"/>
      <c r="W66" s="563"/>
      <c r="X66" s="567"/>
      <c r="Y66" s="562"/>
      <c r="Z66" s="563"/>
      <c r="AA66" s="564"/>
      <c r="AB66" s="565"/>
      <c r="AC66" s="563"/>
    </row>
    <row r="67" spans="1:29" ht="13.5" customHeight="1" x14ac:dyDescent="0.3">
      <c r="A67" s="558">
        <v>0</v>
      </c>
      <c r="B67" s="560">
        <v>0</v>
      </c>
      <c r="C67" s="559" t="s">
        <v>65</v>
      </c>
      <c r="D67" s="561">
        <f>0.5*(MAX(B67:C67)-MIN(B67:C67))</f>
        <v>0</v>
      </c>
      <c r="E67" s="277">
        <v>0</v>
      </c>
      <c r="F67" s="567"/>
      <c r="G67" s="558">
        <v>0</v>
      </c>
      <c r="H67" s="560">
        <v>0</v>
      </c>
      <c r="I67" s="559" t="s">
        <v>65</v>
      </c>
      <c r="J67" s="561">
        <f>0.5*(MAX(H67:I67)-MIN(H67:I67))</f>
        <v>0</v>
      </c>
      <c r="K67" s="277">
        <v>0</v>
      </c>
      <c r="L67" s="573"/>
      <c r="M67" s="558">
        <v>0</v>
      </c>
      <c r="N67" s="560">
        <v>0</v>
      </c>
      <c r="O67" s="559" t="s">
        <v>65</v>
      </c>
      <c r="P67" s="561">
        <f>0.5*(MAX(N67:O67)-MIN(N67:O67))</f>
        <v>0</v>
      </c>
      <c r="Q67" s="277">
        <v>0</v>
      </c>
      <c r="S67" s="562"/>
      <c r="T67" s="563"/>
      <c r="U67" s="564"/>
      <c r="V67" s="565"/>
      <c r="W67" s="563"/>
      <c r="X67" s="567"/>
      <c r="Y67" s="562"/>
      <c r="Z67" s="563"/>
      <c r="AA67" s="564"/>
      <c r="AB67" s="565"/>
      <c r="AC67" s="563"/>
    </row>
    <row r="68" spans="1:29" ht="13.5" customHeight="1" x14ac:dyDescent="0.3">
      <c r="A68" s="628"/>
      <c r="B68" s="629"/>
      <c r="C68" s="630"/>
      <c r="D68" s="565"/>
      <c r="E68" s="563"/>
      <c r="F68" s="567"/>
      <c r="G68" s="631"/>
      <c r="H68" s="629"/>
      <c r="I68" s="632"/>
      <c r="J68" s="565"/>
      <c r="K68" s="563"/>
      <c r="L68" s="573"/>
      <c r="M68" s="631"/>
      <c r="N68" s="629"/>
      <c r="O68" s="632"/>
      <c r="P68" s="565"/>
      <c r="Q68" s="563"/>
      <c r="S68" s="562"/>
      <c r="T68" s="563"/>
      <c r="U68" s="564"/>
      <c r="V68" s="565"/>
      <c r="W68" s="563"/>
      <c r="X68" s="567"/>
      <c r="Y68" s="562"/>
      <c r="Z68" s="563"/>
      <c r="AA68" s="564"/>
      <c r="AB68" s="565"/>
      <c r="AC68" s="563"/>
    </row>
    <row r="69" spans="1:29" ht="13.5" customHeight="1" x14ac:dyDescent="0.3">
      <c r="A69" s="628"/>
      <c r="B69" s="629"/>
      <c r="C69" s="630"/>
      <c r="D69" s="565"/>
      <c r="E69" s="563"/>
      <c r="F69" s="567"/>
      <c r="G69" s="631"/>
      <c r="H69" s="629"/>
      <c r="I69" s="632"/>
      <c r="J69" s="565"/>
      <c r="K69" s="563"/>
      <c r="L69" s="573"/>
      <c r="M69" s="631"/>
      <c r="N69" s="629"/>
      <c r="O69" s="632"/>
      <c r="P69" s="565"/>
      <c r="Q69" s="563"/>
      <c r="S69" s="562"/>
      <c r="T69" s="563"/>
      <c r="U69" s="564"/>
      <c r="V69" s="565"/>
      <c r="W69" s="563"/>
      <c r="X69" s="567"/>
      <c r="Y69" s="562"/>
      <c r="Z69" s="563"/>
      <c r="AA69" s="564"/>
      <c r="AB69" s="565"/>
      <c r="AC69" s="563"/>
    </row>
    <row r="70" spans="1:29" ht="13.5" customHeight="1" x14ac:dyDescent="0.3">
      <c r="A70" s="628"/>
      <c r="B70" s="629"/>
      <c r="C70" s="630"/>
      <c r="D70" s="565"/>
      <c r="E70" s="563"/>
      <c r="F70" s="567"/>
      <c r="G70" s="631"/>
      <c r="H70" s="629"/>
      <c r="I70" s="632"/>
      <c r="J70" s="565"/>
      <c r="K70" s="563"/>
      <c r="L70" s="573"/>
      <c r="M70" s="631"/>
      <c r="N70" s="629"/>
      <c r="O70" s="632"/>
      <c r="P70" s="565"/>
      <c r="Q70" s="563"/>
      <c r="S70" s="562"/>
      <c r="T70" s="563"/>
      <c r="U70" s="564"/>
      <c r="V70" s="565"/>
      <c r="W70" s="563"/>
      <c r="X70" s="567"/>
      <c r="Y70" s="562"/>
      <c r="Z70" s="563"/>
      <c r="AA70" s="564"/>
      <c r="AB70" s="565"/>
      <c r="AC70" s="563"/>
    </row>
    <row r="71" spans="1:29" ht="13.5" customHeight="1" x14ac:dyDescent="0.3">
      <c r="A71" s="628"/>
      <c r="B71" s="629"/>
      <c r="C71" s="630"/>
      <c r="D71" s="565"/>
      <c r="E71" s="563"/>
      <c r="F71" s="567"/>
      <c r="G71" s="631"/>
      <c r="H71" s="629"/>
      <c r="I71" s="632"/>
      <c r="J71" s="565"/>
      <c r="K71" s="563"/>
      <c r="L71" s="573"/>
      <c r="M71" s="631"/>
      <c r="N71" s="629"/>
      <c r="O71" s="632"/>
      <c r="P71" s="565"/>
      <c r="Q71" s="563"/>
      <c r="S71" s="562"/>
      <c r="T71" s="563"/>
      <c r="U71" s="564"/>
      <c r="V71" s="565"/>
      <c r="W71" s="563"/>
      <c r="X71" s="567"/>
      <c r="Y71" s="562"/>
      <c r="Z71" s="563"/>
      <c r="AA71" s="564"/>
      <c r="AB71" s="565"/>
      <c r="AC71" s="563"/>
    </row>
    <row r="72" spans="1:29" ht="13.5" customHeight="1" x14ac:dyDescent="0.3">
      <c r="A72" s="628"/>
      <c r="B72" s="629"/>
      <c r="C72" s="630"/>
      <c r="D72" s="565"/>
      <c r="E72" s="563"/>
      <c r="F72" s="567"/>
      <c r="G72" s="631"/>
      <c r="H72" s="629"/>
      <c r="I72" s="632"/>
      <c r="J72" s="565"/>
      <c r="K72" s="563"/>
      <c r="L72" s="573"/>
      <c r="M72" s="631"/>
      <c r="N72" s="629"/>
      <c r="O72" s="632"/>
      <c r="P72" s="565"/>
      <c r="Q72" s="563"/>
      <c r="S72" s="562"/>
      <c r="T72" s="563"/>
      <c r="U72" s="564"/>
      <c r="V72" s="565"/>
      <c r="W72" s="563"/>
      <c r="X72" s="567"/>
      <c r="Y72" s="562"/>
      <c r="Z72" s="563"/>
      <c r="AA72" s="564"/>
      <c r="AB72" s="565"/>
      <c r="AC72" s="563"/>
    </row>
    <row r="73" spans="1:29" ht="13.5" customHeight="1" x14ac:dyDescent="0.3">
      <c r="A73" s="628"/>
      <c r="B73" s="629"/>
      <c r="C73" s="630"/>
      <c r="D73" s="565"/>
      <c r="E73" s="563"/>
      <c r="F73" s="567"/>
      <c r="G73" s="631"/>
      <c r="H73" s="629"/>
      <c r="I73" s="632"/>
      <c r="J73" s="565"/>
      <c r="K73" s="563"/>
      <c r="L73" s="573"/>
      <c r="M73" s="631"/>
      <c r="N73" s="629"/>
      <c r="O73" s="632"/>
      <c r="P73" s="565"/>
      <c r="Q73" s="563"/>
      <c r="S73" s="562"/>
      <c r="T73" s="563"/>
      <c r="U73" s="564"/>
      <c r="V73" s="565"/>
      <c r="W73" s="563"/>
      <c r="X73" s="567"/>
      <c r="Y73" s="562"/>
      <c r="Z73" s="563"/>
      <c r="AA73" s="564"/>
      <c r="AB73" s="565"/>
      <c r="AC73" s="563"/>
    </row>
    <row r="74" spans="1:29" ht="13.5" customHeight="1" x14ac:dyDescent="0.3">
      <c r="A74" s="628"/>
      <c r="B74" s="629"/>
      <c r="C74" s="630"/>
      <c r="D74" s="565"/>
      <c r="E74" s="563"/>
      <c r="F74" s="567"/>
      <c r="G74" s="631"/>
      <c r="H74" s="629"/>
      <c r="I74" s="632"/>
      <c r="J74" s="565"/>
      <c r="K74" s="563"/>
      <c r="L74" s="573"/>
      <c r="M74" s="631"/>
      <c r="N74" s="629"/>
      <c r="O74" s="632"/>
      <c r="P74" s="565"/>
      <c r="Q74" s="563"/>
      <c r="S74" s="562"/>
      <c r="T74" s="563"/>
      <c r="U74" s="564"/>
      <c r="V74" s="565"/>
      <c r="W74" s="563"/>
      <c r="X74" s="567"/>
      <c r="Y74" s="562"/>
      <c r="Z74" s="563"/>
      <c r="AA74" s="564"/>
      <c r="AB74" s="565"/>
      <c r="AC74" s="563"/>
    </row>
    <row r="75" spans="1:29" ht="13.5" customHeight="1" x14ac:dyDescent="0.3">
      <c r="A75" s="628"/>
      <c r="B75" s="629"/>
      <c r="C75" s="630"/>
      <c r="D75" s="565"/>
      <c r="E75" s="563"/>
      <c r="F75" s="567"/>
      <c r="G75" s="631"/>
      <c r="H75" s="629"/>
      <c r="I75" s="632"/>
      <c r="J75" s="565"/>
      <c r="K75" s="563"/>
      <c r="L75" s="573"/>
      <c r="M75" s="631"/>
      <c r="N75" s="629"/>
      <c r="O75" s="632"/>
      <c r="P75" s="565"/>
      <c r="Q75" s="563"/>
      <c r="S75" s="562"/>
      <c r="T75" s="563"/>
      <c r="U75" s="564"/>
      <c r="V75" s="565"/>
      <c r="W75" s="563"/>
      <c r="X75" s="567"/>
      <c r="Y75" s="562"/>
      <c r="Z75" s="563"/>
      <c r="AA75" s="564"/>
      <c r="AB75" s="565"/>
      <c r="AC75" s="563"/>
    </row>
    <row r="76" spans="1:29" ht="13.5" customHeight="1" x14ac:dyDescent="0.3">
      <c r="A76" s="628"/>
      <c r="B76" s="629"/>
      <c r="C76" s="630"/>
      <c r="D76" s="565"/>
      <c r="E76" s="563"/>
      <c r="F76" s="567"/>
      <c r="G76" s="631"/>
      <c r="H76" s="629"/>
      <c r="I76" s="632"/>
      <c r="J76" s="565"/>
      <c r="K76" s="563"/>
      <c r="L76" s="573"/>
      <c r="M76" s="631"/>
      <c r="N76" s="629"/>
      <c r="O76" s="632"/>
      <c r="P76" s="565"/>
      <c r="Q76" s="563"/>
      <c r="S76" s="562"/>
      <c r="T76" s="563"/>
      <c r="U76" s="564"/>
      <c r="V76" s="565"/>
      <c r="W76" s="563"/>
      <c r="X76" s="567"/>
      <c r="Y76" s="562"/>
      <c r="Z76" s="563"/>
      <c r="AA76" s="564"/>
      <c r="AB76" s="565"/>
      <c r="AC76" s="563"/>
    </row>
    <row r="77" spans="1:29" ht="13.5" customHeight="1" x14ac:dyDescent="0.3">
      <c r="A77" s="628"/>
      <c r="B77" s="629"/>
      <c r="C77" s="630"/>
      <c r="D77" s="565"/>
      <c r="E77" s="563"/>
      <c r="F77" s="567"/>
      <c r="G77" s="631"/>
      <c r="H77" s="629"/>
      <c r="I77" s="632"/>
      <c r="J77" s="565"/>
      <c r="K77" s="563"/>
      <c r="L77" s="573"/>
      <c r="M77" s="631"/>
      <c r="N77" s="629"/>
      <c r="O77" s="632"/>
      <c r="P77" s="565"/>
      <c r="Q77" s="563"/>
      <c r="S77" s="562"/>
      <c r="T77" s="563"/>
      <c r="U77" s="564"/>
      <c r="V77" s="565"/>
      <c r="W77" s="563"/>
      <c r="X77" s="567"/>
      <c r="Y77" s="562"/>
      <c r="Z77" s="563"/>
      <c r="AA77" s="564"/>
      <c r="AB77" s="565"/>
      <c r="AC77" s="563"/>
    </row>
    <row r="78" spans="1:29" ht="13.5" customHeight="1" x14ac:dyDescent="0.3">
      <c r="A78" s="628"/>
      <c r="B78" s="629"/>
      <c r="C78" s="630"/>
      <c r="D78" s="565"/>
      <c r="E78" s="563"/>
      <c r="F78" s="567"/>
      <c r="G78" s="631"/>
      <c r="H78" s="629"/>
      <c r="I78" s="632"/>
      <c r="J78" s="565"/>
      <c r="K78" s="563"/>
      <c r="L78" s="573"/>
      <c r="M78" s="631"/>
      <c r="N78" s="629"/>
      <c r="O78" s="632"/>
      <c r="P78" s="565"/>
      <c r="Q78" s="563"/>
      <c r="S78" s="562"/>
      <c r="T78" s="563"/>
      <c r="U78" s="564"/>
      <c r="V78" s="565"/>
      <c r="W78" s="563"/>
      <c r="X78" s="567"/>
      <c r="Y78" s="562"/>
      <c r="Z78" s="563"/>
      <c r="AA78" s="564"/>
      <c r="AB78" s="565"/>
      <c r="AC78" s="563"/>
    </row>
    <row r="79" spans="1:29" ht="13.5" customHeight="1" x14ac:dyDescent="0.3">
      <c r="A79" s="628"/>
      <c r="B79" s="629"/>
      <c r="C79" s="630"/>
      <c r="D79" s="565"/>
      <c r="E79" s="563"/>
      <c r="F79" s="567"/>
      <c r="G79" s="631"/>
      <c r="H79" s="629"/>
      <c r="I79" s="632"/>
      <c r="J79" s="565"/>
      <c r="K79" s="563"/>
      <c r="L79" s="573"/>
      <c r="M79" s="631"/>
      <c r="N79" s="629"/>
      <c r="O79" s="632"/>
      <c r="P79" s="565"/>
      <c r="Q79" s="563"/>
      <c r="S79" s="562"/>
      <c r="T79" s="563"/>
      <c r="U79" s="564"/>
      <c r="V79" s="565"/>
      <c r="W79" s="563"/>
      <c r="X79" s="567"/>
      <c r="Y79" s="562"/>
      <c r="Z79" s="563"/>
      <c r="AA79" s="564"/>
      <c r="AB79" s="565"/>
      <c r="AC79" s="563"/>
    </row>
    <row r="80" spans="1:29" ht="13.5" customHeight="1" x14ac:dyDescent="0.3">
      <c r="A80" s="628"/>
      <c r="B80" s="629"/>
      <c r="C80" s="630"/>
      <c r="D80" s="565"/>
      <c r="E80" s="563"/>
      <c r="F80" s="567"/>
      <c r="G80" s="631"/>
      <c r="H80" s="629"/>
      <c r="I80" s="632"/>
      <c r="J80" s="565"/>
      <c r="K80" s="563"/>
      <c r="L80" s="573"/>
      <c r="M80" s="631"/>
      <c r="N80" s="629"/>
      <c r="O80" s="632"/>
      <c r="P80" s="565"/>
      <c r="Q80" s="563"/>
      <c r="S80" s="562"/>
      <c r="T80" s="563"/>
      <c r="U80" s="564"/>
      <c r="V80" s="565"/>
      <c r="W80" s="563"/>
      <c r="X80" s="567"/>
      <c r="Y80" s="562"/>
      <c r="Z80" s="563"/>
      <c r="AA80" s="564"/>
      <c r="AB80" s="565"/>
      <c r="AC80" s="563"/>
    </row>
    <row r="81" spans="1:29" ht="13.5" customHeight="1" x14ac:dyDescent="0.3">
      <c r="A81" s="628"/>
      <c r="B81" s="629"/>
      <c r="C81" s="630"/>
      <c r="D81" s="565"/>
      <c r="E81" s="563"/>
      <c r="F81" s="567"/>
      <c r="G81" s="631"/>
      <c r="H81" s="629"/>
      <c r="I81" s="632"/>
      <c r="J81" s="565"/>
      <c r="K81" s="563"/>
      <c r="L81" s="573"/>
      <c r="M81" s="631"/>
      <c r="N81" s="629"/>
      <c r="O81" s="632"/>
      <c r="P81" s="565"/>
      <c r="Q81" s="563"/>
      <c r="S81" s="562"/>
      <c r="T81" s="563"/>
      <c r="U81" s="564"/>
      <c r="V81" s="565"/>
      <c r="W81" s="563"/>
      <c r="X81" s="567"/>
      <c r="Y81" s="562"/>
      <c r="Z81" s="563"/>
      <c r="AA81" s="564"/>
      <c r="AB81" s="565"/>
      <c r="AC81" s="563"/>
    </row>
    <row r="82" spans="1:29" ht="13.5" customHeight="1" x14ac:dyDescent="0.3">
      <c r="A82" s="628"/>
      <c r="B82" s="629"/>
      <c r="C82" s="630"/>
      <c r="D82" s="565"/>
      <c r="E82" s="563"/>
      <c r="F82" s="567"/>
      <c r="G82" s="631"/>
      <c r="H82" s="629"/>
      <c r="I82" s="632"/>
      <c r="J82" s="565"/>
      <c r="K82" s="563"/>
      <c r="L82" s="573"/>
      <c r="M82" s="631"/>
      <c r="N82" s="629"/>
      <c r="O82" s="632"/>
      <c r="P82" s="565"/>
      <c r="Q82" s="563"/>
      <c r="S82" s="562"/>
      <c r="T82" s="563"/>
      <c r="U82" s="564"/>
      <c r="V82" s="565"/>
      <c r="W82" s="563"/>
      <c r="X82" s="567"/>
      <c r="Y82" s="562"/>
      <c r="Z82" s="563"/>
      <c r="AA82" s="564"/>
      <c r="AB82" s="565"/>
      <c r="AC82" s="563"/>
    </row>
    <row r="83" spans="1:29" ht="13.5" customHeight="1" x14ac:dyDescent="0.3">
      <c r="A83" s="628"/>
      <c r="B83" s="629"/>
      <c r="C83" s="630"/>
      <c r="D83" s="565"/>
      <c r="E83" s="563"/>
      <c r="F83" s="567"/>
      <c r="G83" s="631"/>
      <c r="H83" s="629"/>
      <c r="I83" s="632"/>
      <c r="J83" s="565"/>
      <c r="K83" s="563"/>
      <c r="L83" s="573"/>
      <c r="M83" s="631"/>
      <c r="N83" s="629"/>
      <c r="O83" s="632"/>
      <c r="P83" s="565"/>
      <c r="Q83" s="563"/>
      <c r="S83" s="562"/>
      <c r="T83" s="563"/>
      <c r="U83" s="564"/>
      <c r="V83" s="565"/>
      <c r="W83" s="563"/>
      <c r="X83" s="567"/>
      <c r="Y83" s="562"/>
      <c r="Z83" s="563"/>
      <c r="AA83" s="564"/>
      <c r="AB83" s="565"/>
      <c r="AC83" s="563"/>
    </row>
    <row r="84" spans="1:29" ht="13.5" customHeight="1" x14ac:dyDescent="0.3">
      <c r="A84" s="628"/>
      <c r="B84" s="629"/>
      <c r="C84" s="630"/>
      <c r="D84" s="565"/>
      <c r="E84" s="563"/>
      <c r="F84" s="567"/>
      <c r="G84" s="631"/>
      <c r="H84" s="629"/>
      <c r="I84" s="632"/>
      <c r="J84" s="565"/>
      <c r="K84" s="563"/>
      <c r="L84" s="573"/>
      <c r="M84" s="631"/>
      <c r="N84" s="629"/>
      <c r="O84" s="632"/>
      <c r="P84" s="565"/>
      <c r="Q84" s="563"/>
      <c r="S84" s="562"/>
      <c r="T84" s="563"/>
      <c r="U84" s="564"/>
      <c r="V84" s="565"/>
      <c r="W84" s="563"/>
      <c r="X84" s="567"/>
      <c r="Y84" s="562"/>
      <c r="Z84" s="563"/>
      <c r="AA84" s="564"/>
      <c r="AB84" s="565"/>
      <c r="AC84" s="563"/>
    </row>
    <row r="85" spans="1:29" ht="13.5" customHeight="1" x14ac:dyDescent="0.3">
      <c r="A85" s="628"/>
      <c r="B85" s="629"/>
      <c r="C85" s="630"/>
      <c r="D85" s="565"/>
      <c r="E85" s="563"/>
      <c r="F85" s="567"/>
      <c r="G85" s="631"/>
      <c r="H85" s="629"/>
      <c r="I85" s="632"/>
      <c r="J85" s="565"/>
      <c r="K85" s="563"/>
      <c r="L85" s="573"/>
      <c r="M85" s="631"/>
      <c r="N85" s="629"/>
      <c r="O85" s="632"/>
      <c r="P85" s="565"/>
      <c r="Q85" s="563"/>
      <c r="S85" s="562"/>
      <c r="T85" s="563"/>
      <c r="U85" s="564"/>
      <c r="V85" s="565"/>
      <c r="W85" s="563"/>
      <c r="X85" s="567"/>
      <c r="Y85" s="562"/>
      <c r="Z85" s="563"/>
      <c r="AA85" s="564"/>
      <c r="AB85" s="565"/>
      <c r="AC85" s="563"/>
    </row>
    <row r="86" spans="1:29" ht="13" thickBot="1" x14ac:dyDescent="0.3">
      <c r="A86" s="1320"/>
      <c r="B86" s="1321"/>
      <c r="C86" s="1321"/>
      <c r="D86" s="1321"/>
      <c r="E86" s="1321"/>
      <c r="F86" s="1321"/>
      <c r="G86" s="1321"/>
      <c r="H86" s="1321"/>
      <c r="I86" s="1321"/>
      <c r="J86" s="1321"/>
      <c r="K86" s="1321"/>
      <c r="L86" s="1321"/>
      <c r="M86" s="1321"/>
      <c r="N86" s="1321"/>
      <c r="O86" s="1321"/>
      <c r="P86" s="1321"/>
      <c r="Q86" s="1322"/>
      <c r="S86" s="569"/>
      <c r="T86" s="569"/>
      <c r="U86" s="569"/>
      <c r="V86" s="569"/>
      <c r="W86" s="569"/>
      <c r="X86" s="569"/>
      <c r="Y86" s="569"/>
      <c r="Z86" s="569"/>
      <c r="AA86" s="569"/>
      <c r="AB86" s="569"/>
      <c r="AC86" s="569"/>
    </row>
    <row r="87" spans="1:29" ht="12.75" customHeight="1" x14ac:dyDescent="0.3">
      <c r="A87" s="568"/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73"/>
      <c r="M87" s="270"/>
      <c r="N87" s="270"/>
      <c r="O87" s="270"/>
      <c r="P87" s="270"/>
      <c r="Q87" s="270"/>
      <c r="S87" s="563"/>
      <c r="T87" s="563"/>
      <c r="U87" s="563"/>
      <c r="V87" s="563"/>
      <c r="W87" s="563"/>
      <c r="X87" s="563"/>
      <c r="Y87" s="563"/>
      <c r="Z87" s="563"/>
      <c r="AA87" s="563"/>
      <c r="AB87" s="563"/>
      <c r="AC87" s="563"/>
    </row>
    <row r="88" spans="1:29" ht="13.5" thickBot="1" x14ac:dyDescent="0.35">
      <c r="A88" s="572"/>
      <c r="B88" s="573"/>
      <c r="C88" s="573"/>
      <c r="D88" s="573"/>
      <c r="E88" s="573"/>
      <c r="F88" s="573"/>
      <c r="G88" s="573"/>
      <c r="H88" s="573"/>
      <c r="I88" s="573"/>
      <c r="J88" s="573"/>
      <c r="K88" s="573"/>
      <c r="L88" s="573"/>
      <c r="M88" s="573"/>
      <c r="N88" s="573"/>
      <c r="O88" s="573"/>
      <c r="P88" s="573"/>
      <c r="Q88" s="573"/>
    </row>
    <row r="89" spans="1:29" ht="12.75" customHeight="1" x14ac:dyDescent="0.25">
      <c r="A89" s="1323" t="s">
        <v>235</v>
      </c>
      <c r="B89" s="1325"/>
      <c r="C89" s="1327" t="s">
        <v>236</v>
      </c>
      <c r="D89" s="1329" t="s">
        <v>62</v>
      </c>
      <c r="E89" s="1329"/>
      <c r="F89" s="578" t="s">
        <v>63</v>
      </c>
      <c r="G89" s="1327" t="s">
        <v>64</v>
      </c>
      <c r="H89" s="1312"/>
      <c r="I89" s="547"/>
      <c r="J89" s="1323" t="str">
        <f>A89</f>
        <v>No Urut Titik Ukur</v>
      </c>
      <c r="K89" s="1325"/>
      <c r="L89" s="1327" t="s">
        <v>236</v>
      </c>
      <c r="M89" s="1329" t="s">
        <v>62</v>
      </c>
      <c r="N89" s="1329"/>
      <c r="O89" s="578" t="s">
        <v>63</v>
      </c>
      <c r="P89" s="1327" t="s">
        <v>64</v>
      </c>
      <c r="Q89" s="1312"/>
    </row>
    <row r="90" spans="1:29" ht="12.75" customHeight="1" x14ac:dyDescent="0.25">
      <c r="A90" s="1324"/>
      <c r="B90" s="1326"/>
      <c r="C90" s="1328"/>
      <c r="D90" s="1330"/>
      <c r="E90" s="1330"/>
      <c r="F90" s="579"/>
      <c r="G90" s="1328"/>
      <c r="H90" s="1313"/>
      <c r="J90" s="1324"/>
      <c r="K90" s="1326"/>
      <c r="L90" s="1328"/>
      <c r="M90" s="1330"/>
      <c r="N90" s="1330"/>
      <c r="O90" s="579"/>
      <c r="P90" s="1328"/>
      <c r="Q90" s="1313"/>
    </row>
    <row r="91" spans="1:29" ht="14.5" thickBot="1" x14ac:dyDescent="0.3">
      <c r="A91" s="1324"/>
      <c r="B91" s="1326"/>
      <c r="C91" s="269" t="s">
        <v>237</v>
      </c>
      <c r="D91" s="579"/>
      <c r="E91" s="579"/>
      <c r="F91" s="579"/>
      <c r="G91" s="1328"/>
      <c r="H91" s="1313"/>
      <c r="J91" s="1324"/>
      <c r="K91" s="1326"/>
      <c r="L91" s="269" t="s">
        <v>237</v>
      </c>
      <c r="M91" s="579"/>
      <c r="N91" s="579"/>
      <c r="O91" s="579"/>
      <c r="P91" s="1328"/>
      <c r="Q91" s="1313"/>
    </row>
    <row r="92" spans="1:29" ht="13" x14ac:dyDescent="0.25">
      <c r="A92" s="1314" t="s">
        <v>5</v>
      </c>
      <c r="B92" s="580">
        <v>1</v>
      </c>
      <c r="C92" s="581">
        <f>A6</f>
        <v>0</v>
      </c>
      <c r="D92" s="581">
        <f t="shared" ref="D92:G92" si="15">B6</f>
        <v>0</v>
      </c>
      <c r="E92" s="581">
        <f t="shared" si="15"/>
        <v>0</v>
      </c>
      <c r="F92" s="581">
        <f t="shared" si="15"/>
        <v>0</v>
      </c>
      <c r="G92" s="581">
        <f t="shared" si="15"/>
        <v>0.04</v>
      </c>
      <c r="H92" s="1317"/>
      <c r="J92" s="1318" t="s">
        <v>10</v>
      </c>
      <c r="K92" s="582">
        <v>1</v>
      </c>
      <c r="L92" s="583">
        <f>A11</f>
        <v>0</v>
      </c>
      <c r="M92" s="583">
        <f t="shared" ref="M92:P92" si="16">B11</f>
        <v>0</v>
      </c>
      <c r="N92" s="583">
        <f t="shared" si="16"/>
        <v>0</v>
      </c>
      <c r="O92" s="583">
        <f t="shared" si="16"/>
        <v>0</v>
      </c>
      <c r="P92" s="583">
        <f t="shared" si="16"/>
        <v>0</v>
      </c>
      <c r="Q92" s="584"/>
    </row>
    <row r="93" spans="1:29" ht="13" x14ac:dyDescent="0.25">
      <c r="A93" s="1315"/>
      <c r="B93" s="580">
        <v>2</v>
      </c>
      <c r="C93" s="581">
        <f>G6</f>
        <v>0</v>
      </c>
      <c r="D93" s="581">
        <f t="shared" ref="D93:G93" si="17">H6</f>
        <v>0</v>
      </c>
      <c r="E93" s="581">
        <f t="shared" si="17"/>
        <v>0</v>
      </c>
      <c r="F93" s="581">
        <f t="shared" si="17"/>
        <v>0</v>
      </c>
      <c r="G93" s="581">
        <f t="shared" si="17"/>
        <v>0.12</v>
      </c>
      <c r="H93" s="1317"/>
      <c r="J93" s="1319"/>
      <c r="K93" s="580">
        <v>2</v>
      </c>
      <c r="L93" s="581">
        <f>G11</f>
        <v>0</v>
      </c>
      <c r="M93" s="581">
        <f t="shared" ref="M93:P93" si="18">H11</f>
        <v>0</v>
      </c>
      <c r="N93" s="581">
        <f t="shared" si="18"/>
        <v>0</v>
      </c>
      <c r="O93" s="581">
        <f t="shared" si="18"/>
        <v>0</v>
      </c>
      <c r="P93" s="581">
        <f t="shared" si="18"/>
        <v>0</v>
      </c>
      <c r="Q93" s="585"/>
    </row>
    <row r="94" spans="1:29" ht="13" x14ac:dyDescent="0.25">
      <c r="A94" s="1315"/>
      <c r="B94" s="580">
        <v>3</v>
      </c>
      <c r="C94" s="581">
        <f>M6</f>
        <v>0</v>
      </c>
      <c r="D94" s="581">
        <f t="shared" ref="D94:G94" si="19">N6</f>
        <v>0</v>
      </c>
      <c r="E94" s="581">
        <f t="shared" si="19"/>
        <v>0</v>
      </c>
      <c r="F94" s="581">
        <f t="shared" si="19"/>
        <v>0</v>
      </c>
      <c r="G94" s="581">
        <f t="shared" si="19"/>
        <v>0</v>
      </c>
      <c r="H94" s="1317"/>
      <c r="J94" s="1319"/>
      <c r="K94" s="580">
        <v>3</v>
      </c>
      <c r="L94" s="581">
        <f>M11</f>
        <v>0</v>
      </c>
      <c r="M94" s="581">
        <f t="shared" ref="M94:P94" si="20">N11</f>
        <v>0</v>
      </c>
      <c r="N94" s="581">
        <f t="shared" si="20"/>
        <v>0</v>
      </c>
      <c r="O94" s="581">
        <f t="shared" si="20"/>
        <v>0</v>
      </c>
      <c r="P94" s="581">
        <f t="shared" si="20"/>
        <v>0</v>
      </c>
      <c r="Q94" s="585"/>
    </row>
    <row r="95" spans="1:29" ht="13" x14ac:dyDescent="0.25">
      <c r="A95" s="1315"/>
      <c r="B95" s="580">
        <v>4</v>
      </c>
      <c r="C95" s="581">
        <f>A19</f>
        <v>0</v>
      </c>
      <c r="D95" s="581">
        <f t="shared" ref="D95:G95" si="21">B19</f>
        <v>0</v>
      </c>
      <c r="E95" s="581">
        <f t="shared" si="21"/>
        <v>0</v>
      </c>
      <c r="F95" s="581">
        <f t="shared" si="21"/>
        <v>0</v>
      </c>
      <c r="G95" s="581">
        <f t="shared" si="21"/>
        <v>0</v>
      </c>
      <c r="H95" s="1317"/>
      <c r="J95" s="1319"/>
      <c r="K95" s="580">
        <v>4</v>
      </c>
      <c r="L95" s="581">
        <f>A24</f>
        <v>0</v>
      </c>
      <c r="M95" s="581">
        <f t="shared" ref="M95:P95" si="22">B24</f>
        <v>0</v>
      </c>
      <c r="N95" s="581">
        <f t="shared" si="22"/>
        <v>0</v>
      </c>
      <c r="O95" s="581">
        <f t="shared" si="22"/>
        <v>0</v>
      </c>
      <c r="P95" s="581">
        <f t="shared" si="22"/>
        <v>0</v>
      </c>
      <c r="Q95" s="585"/>
    </row>
    <row r="96" spans="1:29" ht="13" x14ac:dyDescent="0.25">
      <c r="A96" s="1315"/>
      <c r="B96" s="580">
        <v>5</v>
      </c>
      <c r="C96" s="581">
        <f>G19</f>
        <v>0</v>
      </c>
      <c r="D96" s="581">
        <f t="shared" ref="D96:G96" si="23">H19</f>
        <v>0</v>
      </c>
      <c r="E96" s="581" t="str">
        <f t="shared" si="23"/>
        <v>-</v>
      </c>
      <c r="F96" s="581">
        <f t="shared" si="23"/>
        <v>0</v>
      </c>
      <c r="G96" s="581">
        <f t="shared" si="23"/>
        <v>0</v>
      </c>
      <c r="H96" s="586"/>
      <c r="J96" s="1319"/>
      <c r="K96" s="580">
        <v>5</v>
      </c>
      <c r="L96" s="581">
        <f>G24</f>
        <v>1200</v>
      </c>
      <c r="M96" s="581">
        <f t="shared" ref="M96:P96" si="24">H24</f>
        <v>0.02</v>
      </c>
      <c r="N96" s="581" t="str">
        <f t="shared" si="24"/>
        <v>-</v>
      </c>
      <c r="O96" s="581">
        <f t="shared" si="24"/>
        <v>0</v>
      </c>
      <c r="P96" s="581">
        <f t="shared" si="24"/>
        <v>0.12</v>
      </c>
      <c r="Q96" s="586"/>
    </row>
    <row r="97" spans="1:17" ht="13" x14ac:dyDescent="0.25">
      <c r="A97" s="1315"/>
      <c r="B97" s="580">
        <v>6</v>
      </c>
      <c r="C97" s="581">
        <f>M19</f>
        <v>0</v>
      </c>
      <c r="D97" s="581">
        <f t="shared" ref="D97:G97" si="25">N19</f>
        <v>0</v>
      </c>
      <c r="E97" s="581" t="str">
        <f t="shared" si="25"/>
        <v>-</v>
      </c>
      <c r="F97" s="581">
        <f t="shared" si="25"/>
        <v>0</v>
      </c>
      <c r="G97" s="581">
        <f t="shared" si="25"/>
        <v>0</v>
      </c>
      <c r="H97" s="1317"/>
      <c r="J97" s="1319"/>
      <c r="K97" s="580">
        <v>6</v>
      </c>
      <c r="L97" s="581">
        <f>M24</f>
        <v>1200</v>
      </c>
      <c r="M97" s="581">
        <f t="shared" ref="M97:P97" si="26">N24</f>
        <v>-0.03</v>
      </c>
      <c r="N97" s="581" t="str">
        <f t="shared" si="26"/>
        <v>-</v>
      </c>
      <c r="O97" s="581">
        <f t="shared" si="26"/>
        <v>0</v>
      </c>
      <c r="P97" s="581">
        <f t="shared" si="26"/>
        <v>0.12</v>
      </c>
      <c r="Q97" s="585"/>
    </row>
    <row r="98" spans="1:17" ht="13" x14ac:dyDescent="0.25">
      <c r="A98" s="1315"/>
      <c r="B98" s="580">
        <v>7</v>
      </c>
      <c r="C98" s="581">
        <f>A33</f>
        <v>0</v>
      </c>
      <c r="D98" s="581">
        <f t="shared" ref="D98:G98" si="27">B33</f>
        <v>0</v>
      </c>
      <c r="E98" s="581" t="str">
        <f t="shared" si="27"/>
        <v>-</v>
      </c>
      <c r="F98" s="581">
        <f t="shared" si="27"/>
        <v>0</v>
      </c>
      <c r="G98" s="581">
        <f t="shared" si="27"/>
        <v>0</v>
      </c>
      <c r="H98" s="1317"/>
      <c r="J98" s="1319"/>
      <c r="K98" s="580">
        <v>7</v>
      </c>
      <c r="L98" s="581">
        <f>A38</f>
        <v>1200</v>
      </c>
      <c r="M98" s="581">
        <f t="shared" ref="M98:P98" si="28">B38</f>
        <v>-0.03</v>
      </c>
      <c r="N98" s="581" t="str">
        <f t="shared" si="28"/>
        <v>-</v>
      </c>
      <c r="O98" s="581">
        <f t="shared" si="28"/>
        <v>0</v>
      </c>
      <c r="P98" s="581">
        <f t="shared" si="28"/>
        <v>0.12</v>
      </c>
      <c r="Q98" s="585"/>
    </row>
    <row r="99" spans="1:17" ht="13" x14ac:dyDescent="0.25">
      <c r="A99" s="1315"/>
      <c r="B99" s="580">
        <v>8</v>
      </c>
      <c r="C99" s="581">
        <f>G33</f>
        <v>0</v>
      </c>
      <c r="D99" s="581">
        <f t="shared" ref="D99:G99" si="29">H33</f>
        <v>0</v>
      </c>
      <c r="E99" s="581" t="str">
        <f t="shared" si="29"/>
        <v>-</v>
      </c>
      <c r="F99" s="581">
        <f t="shared" si="29"/>
        <v>0</v>
      </c>
      <c r="G99" s="581">
        <f t="shared" si="29"/>
        <v>0</v>
      </c>
      <c r="H99" s="1317"/>
      <c r="J99" s="1319"/>
      <c r="K99" s="580">
        <v>8</v>
      </c>
      <c r="L99" s="581">
        <f>G38</f>
        <v>1200</v>
      </c>
      <c r="M99" s="581">
        <f t="shared" ref="M99:P99" si="30">H38</f>
        <v>-0.02</v>
      </c>
      <c r="N99" s="581" t="str">
        <f t="shared" si="30"/>
        <v>-</v>
      </c>
      <c r="O99" s="581">
        <f t="shared" si="30"/>
        <v>0</v>
      </c>
      <c r="P99" s="581">
        <f t="shared" si="30"/>
        <v>0.12</v>
      </c>
      <c r="Q99" s="585"/>
    </row>
    <row r="100" spans="1:17" ht="13" x14ac:dyDescent="0.25">
      <c r="A100" s="1315"/>
      <c r="B100" s="580">
        <v>9</v>
      </c>
      <c r="C100" s="581">
        <f>M33</f>
        <v>0</v>
      </c>
      <c r="D100" s="581">
        <f>N33</f>
        <v>0</v>
      </c>
      <c r="E100" s="581" t="str">
        <f>O33</f>
        <v>-</v>
      </c>
      <c r="F100" s="581">
        <f>P33</f>
        <v>0</v>
      </c>
      <c r="G100" s="581">
        <f>Q33</f>
        <v>0</v>
      </c>
      <c r="H100" s="1317"/>
      <c r="J100" s="1319"/>
      <c r="K100" s="580">
        <v>9</v>
      </c>
      <c r="L100" s="581">
        <f>M38</f>
        <v>1200</v>
      </c>
      <c r="M100" s="581">
        <f t="shared" ref="M100:P100" si="31">B51</f>
        <v>0.02</v>
      </c>
      <c r="N100" s="581" t="str">
        <f t="shared" si="31"/>
        <v>-</v>
      </c>
      <c r="O100" s="581">
        <f t="shared" si="31"/>
        <v>0</v>
      </c>
      <c r="P100" s="581">
        <f t="shared" si="31"/>
        <v>0.12</v>
      </c>
      <c r="Q100" s="585"/>
    </row>
    <row r="101" spans="1:17" ht="13" x14ac:dyDescent="0.25">
      <c r="A101" s="1315"/>
      <c r="B101" s="580">
        <v>10</v>
      </c>
      <c r="C101" s="581">
        <f>A46</f>
        <v>0</v>
      </c>
      <c r="D101" s="581">
        <f>B46</f>
        <v>0</v>
      </c>
      <c r="E101" s="581" t="str">
        <f>C46</f>
        <v>-</v>
      </c>
      <c r="F101" s="581">
        <f>D46</f>
        <v>0</v>
      </c>
      <c r="G101" s="581">
        <f>E46</f>
        <v>0</v>
      </c>
      <c r="H101" s="585"/>
      <c r="J101" s="1319"/>
      <c r="K101" s="580">
        <v>10</v>
      </c>
      <c r="L101" s="581">
        <f>A51</f>
        <v>1200</v>
      </c>
      <c r="M101" s="581">
        <f t="shared" ref="M101:P101" si="32">H51</f>
        <v>-0.04</v>
      </c>
      <c r="N101" s="581" t="str">
        <f t="shared" si="32"/>
        <v>-</v>
      </c>
      <c r="O101" s="581">
        <f t="shared" si="32"/>
        <v>0</v>
      </c>
      <c r="P101" s="581">
        <f t="shared" si="32"/>
        <v>0.12</v>
      </c>
      <c r="Q101" s="585"/>
    </row>
    <row r="102" spans="1:17" ht="13" x14ac:dyDescent="0.25">
      <c r="A102" s="1315"/>
      <c r="B102" s="580">
        <v>11</v>
      </c>
      <c r="C102" s="633">
        <f>G46</f>
        <v>0</v>
      </c>
      <c r="D102" s="633">
        <f>H46</f>
        <v>0</v>
      </c>
      <c r="E102" s="633" t="str">
        <f>I46</f>
        <v>-</v>
      </c>
      <c r="F102" s="633">
        <f>J46</f>
        <v>0</v>
      </c>
      <c r="G102" s="633">
        <f>K46</f>
        <v>0</v>
      </c>
      <c r="H102" s="634"/>
      <c r="J102" s="635"/>
      <c r="K102" s="636">
        <v>11</v>
      </c>
      <c r="L102" s="633">
        <f>G51</f>
        <v>1200</v>
      </c>
      <c r="M102" s="633">
        <f t="shared" ref="M102:P102" si="33">H51</f>
        <v>-0.04</v>
      </c>
      <c r="N102" s="633" t="str">
        <f t="shared" si="33"/>
        <v>-</v>
      </c>
      <c r="O102" s="633">
        <f t="shared" si="33"/>
        <v>0</v>
      </c>
      <c r="P102" s="633">
        <f t="shared" si="33"/>
        <v>0.12</v>
      </c>
      <c r="Q102" s="634"/>
    </row>
    <row r="103" spans="1:17" ht="13" x14ac:dyDescent="0.25">
      <c r="A103" s="1315"/>
      <c r="B103" s="580">
        <v>12</v>
      </c>
      <c r="C103" s="633">
        <f>M46</f>
        <v>0</v>
      </c>
      <c r="D103" s="633">
        <f t="shared" ref="D103:G103" si="34">N46</f>
        <v>0</v>
      </c>
      <c r="E103" s="633" t="str">
        <f t="shared" si="34"/>
        <v>-</v>
      </c>
      <c r="F103" s="633">
        <f t="shared" si="34"/>
        <v>0</v>
      </c>
      <c r="G103" s="633">
        <f t="shared" si="34"/>
        <v>0</v>
      </c>
      <c r="H103" s="634"/>
      <c r="J103" s="635"/>
      <c r="K103" s="580">
        <v>12</v>
      </c>
      <c r="L103" s="633">
        <f>M51</f>
        <v>1200</v>
      </c>
      <c r="M103" s="633">
        <f t="shared" ref="M103:P103" si="35">N51</f>
        <v>-0.03</v>
      </c>
      <c r="N103" s="633" t="str">
        <f t="shared" si="35"/>
        <v>-</v>
      </c>
      <c r="O103" s="633">
        <f t="shared" si="35"/>
        <v>0</v>
      </c>
      <c r="P103" s="633">
        <f t="shared" si="35"/>
        <v>0.12</v>
      </c>
      <c r="Q103" s="634"/>
    </row>
    <row r="104" spans="1:17" ht="13" x14ac:dyDescent="0.25">
      <c r="A104" s="1315"/>
      <c r="B104" s="580">
        <v>13</v>
      </c>
      <c r="C104" s="633">
        <f>A59</f>
        <v>0</v>
      </c>
      <c r="D104" s="633">
        <f t="shared" ref="D104:G104" si="36">B59</f>
        <v>0</v>
      </c>
      <c r="E104" s="633" t="str">
        <f t="shared" si="36"/>
        <v>-</v>
      </c>
      <c r="F104" s="633">
        <f t="shared" si="36"/>
        <v>0</v>
      </c>
      <c r="G104" s="633">
        <f t="shared" si="36"/>
        <v>0</v>
      </c>
      <c r="H104" s="634"/>
      <c r="J104" s="635"/>
      <c r="K104" s="580">
        <v>13</v>
      </c>
      <c r="L104" s="633">
        <f>A64</f>
        <v>1200</v>
      </c>
      <c r="M104" s="633">
        <f t="shared" ref="M104:P104" si="37">B64</f>
        <v>-0.03</v>
      </c>
      <c r="N104" s="633" t="str">
        <f t="shared" si="37"/>
        <v>-</v>
      </c>
      <c r="O104" s="633">
        <f t="shared" si="37"/>
        <v>0</v>
      </c>
      <c r="P104" s="633">
        <f t="shared" si="37"/>
        <v>0.12</v>
      </c>
      <c r="Q104" s="634"/>
    </row>
    <row r="105" spans="1:17" ht="13" x14ac:dyDescent="0.25">
      <c r="A105" s="1315"/>
      <c r="B105" s="580">
        <v>14</v>
      </c>
      <c r="C105" s="633">
        <f>G59</f>
        <v>0</v>
      </c>
      <c r="D105" s="633">
        <f t="shared" ref="D105:G105" si="38">H59</f>
        <v>0</v>
      </c>
      <c r="E105" s="633" t="str">
        <f t="shared" si="38"/>
        <v>-</v>
      </c>
      <c r="F105" s="633">
        <f t="shared" si="38"/>
        <v>0</v>
      </c>
      <c r="G105" s="633">
        <f t="shared" si="38"/>
        <v>0</v>
      </c>
      <c r="H105" s="634"/>
      <c r="J105" s="635"/>
      <c r="K105" s="580">
        <v>14</v>
      </c>
      <c r="L105" s="633">
        <f>G64</f>
        <v>1200</v>
      </c>
      <c r="M105" s="633">
        <f t="shared" ref="M105:P105" si="39">H64</f>
        <v>0.04</v>
      </c>
      <c r="N105" s="633" t="str">
        <f t="shared" si="39"/>
        <v>-</v>
      </c>
      <c r="O105" s="633">
        <f t="shared" si="39"/>
        <v>0</v>
      </c>
      <c r="P105" s="633">
        <f t="shared" si="39"/>
        <v>0.12</v>
      </c>
      <c r="Q105" s="634"/>
    </row>
    <row r="106" spans="1:17" ht="13.5" thickBot="1" x14ac:dyDescent="0.3">
      <c r="A106" s="1316"/>
      <c r="B106" s="580">
        <v>15</v>
      </c>
      <c r="C106" s="633">
        <f>M59</f>
        <v>0</v>
      </c>
      <c r="D106" s="633">
        <f t="shared" ref="D106:G106" si="40">N59</f>
        <v>0</v>
      </c>
      <c r="E106" s="633" t="str">
        <f t="shared" si="40"/>
        <v>-</v>
      </c>
      <c r="F106" s="633">
        <f t="shared" si="40"/>
        <v>0</v>
      </c>
      <c r="G106" s="633">
        <f t="shared" si="40"/>
        <v>0</v>
      </c>
      <c r="H106" s="634"/>
      <c r="J106" s="635"/>
      <c r="K106" s="580">
        <v>15</v>
      </c>
      <c r="L106" s="633">
        <f>M64</f>
        <v>1200</v>
      </c>
      <c r="M106" s="633">
        <f t="shared" ref="M106:P106" si="41">N64</f>
        <v>0.03</v>
      </c>
      <c r="N106" s="633" t="str">
        <f t="shared" si="41"/>
        <v>-</v>
      </c>
      <c r="O106" s="633">
        <f t="shared" si="41"/>
        <v>0</v>
      </c>
      <c r="P106" s="633">
        <f t="shared" si="41"/>
        <v>0.12</v>
      </c>
      <c r="Q106" s="634"/>
    </row>
    <row r="107" spans="1:17" ht="13" x14ac:dyDescent="0.25">
      <c r="A107" s="1331" t="s">
        <v>6</v>
      </c>
      <c r="B107" s="582">
        <v>1</v>
      </c>
      <c r="C107" s="583">
        <f>A7</f>
        <v>60</v>
      </c>
      <c r="D107" s="583">
        <f t="shared" ref="D107:G107" si="42">B7</f>
        <v>0</v>
      </c>
      <c r="E107" s="583">
        <f t="shared" si="42"/>
        <v>1E-3</v>
      </c>
      <c r="F107" s="583">
        <f t="shared" si="42"/>
        <v>5.0000000000000001E-4</v>
      </c>
      <c r="G107" s="583">
        <f t="shared" si="42"/>
        <v>0.04</v>
      </c>
      <c r="H107" s="1332"/>
      <c r="J107" s="1318" t="s">
        <v>238</v>
      </c>
      <c r="K107" s="582">
        <v>1</v>
      </c>
      <c r="L107" s="583">
        <f>A12</f>
        <v>0</v>
      </c>
      <c r="M107" s="583">
        <f t="shared" ref="M107:P107" si="43">B12</f>
        <v>0</v>
      </c>
      <c r="N107" s="583">
        <f t="shared" si="43"/>
        <v>0</v>
      </c>
      <c r="O107" s="583">
        <f t="shared" si="43"/>
        <v>0</v>
      </c>
      <c r="P107" s="583">
        <f t="shared" si="43"/>
        <v>0</v>
      </c>
      <c r="Q107" s="584"/>
    </row>
    <row r="108" spans="1:17" ht="13" x14ac:dyDescent="0.25">
      <c r="A108" s="1315"/>
      <c r="B108" s="580">
        <v>2</v>
      </c>
      <c r="C108" s="581">
        <f>G7</f>
        <v>60</v>
      </c>
      <c r="D108" s="581">
        <f t="shared" ref="D108:G108" si="44">H7</f>
        <v>0.01</v>
      </c>
      <c r="E108" s="581">
        <f t="shared" si="44"/>
        <v>0</v>
      </c>
      <c r="F108" s="581">
        <f t="shared" si="44"/>
        <v>5.0000000000000001E-3</v>
      </c>
      <c r="G108" s="581">
        <f t="shared" si="44"/>
        <v>0.12</v>
      </c>
      <c r="H108" s="1317"/>
      <c r="J108" s="1319"/>
      <c r="K108" s="580">
        <v>2</v>
      </c>
      <c r="L108" s="581">
        <f>G12</f>
        <v>0</v>
      </c>
      <c r="M108" s="581">
        <f t="shared" ref="M108:P108" si="45">H12</f>
        <v>0</v>
      </c>
      <c r="N108" s="581">
        <f t="shared" si="45"/>
        <v>0</v>
      </c>
      <c r="O108" s="581">
        <f t="shared" si="45"/>
        <v>0</v>
      </c>
      <c r="P108" s="581">
        <f t="shared" si="45"/>
        <v>0</v>
      </c>
      <c r="Q108" s="585"/>
    </row>
    <row r="109" spans="1:17" ht="13" x14ac:dyDescent="0.25">
      <c r="A109" s="1315"/>
      <c r="B109" s="580">
        <v>3</v>
      </c>
      <c r="C109" s="581">
        <f>M7</f>
        <v>60</v>
      </c>
      <c r="D109" s="581">
        <f t="shared" ref="D109:G109" si="46">N7</f>
        <v>0.01</v>
      </c>
      <c r="E109" s="581">
        <f t="shared" si="46"/>
        <v>0</v>
      </c>
      <c r="F109" s="581">
        <f t="shared" si="46"/>
        <v>5.0000000000000001E-3</v>
      </c>
      <c r="G109" s="581">
        <f t="shared" si="46"/>
        <v>0.12</v>
      </c>
      <c r="H109" s="1317"/>
      <c r="J109" s="1319"/>
      <c r="K109" s="580">
        <v>3</v>
      </c>
      <c r="L109" s="581">
        <f>M12</f>
        <v>0</v>
      </c>
      <c r="M109" s="581">
        <f t="shared" ref="M109:P109" si="47">N12</f>
        <v>0</v>
      </c>
      <c r="N109" s="581">
        <f t="shared" si="47"/>
        <v>0</v>
      </c>
      <c r="O109" s="581">
        <f t="shared" si="47"/>
        <v>0</v>
      </c>
      <c r="P109" s="581">
        <f t="shared" si="47"/>
        <v>0</v>
      </c>
      <c r="Q109" s="585"/>
    </row>
    <row r="110" spans="1:17" ht="13" x14ac:dyDescent="0.25">
      <c r="A110" s="1315"/>
      <c r="B110" s="580">
        <v>4</v>
      </c>
      <c r="C110" s="581">
        <f>A20</f>
        <v>60</v>
      </c>
      <c r="D110" s="581">
        <f t="shared" ref="D110:G110" si="48">B20</f>
        <v>2E-3</v>
      </c>
      <c r="E110" s="581">
        <f t="shared" si="48"/>
        <v>0</v>
      </c>
      <c r="F110" s="581">
        <f t="shared" si="48"/>
        <v>1E-3</v>
      </c>
      <c r="G110" s="581">
        <f t="shared" si="48"/>
        <v>3.7999999999999999E-2</v>
      </c>
      <c r="H110" s="1317"/>
      <c r="J110" s="1319"/>
      <c r="K110" s="580">
        <v>4</v>
      </c>
      <c r="L110" s="581">
        <f>A25</f>
        <v>0</v>
      </c>
      <c r="M110" s="581">
        <f t="shared" ref="M110:P110" si="49">B25</f>
        <v>0</v>
      </c>
      <c r="N110" s="581">
        <f t="shared" si="49"/>
        <v>0</v>
      </c>
      <c r="O110" s="581">
        <f t="shared" si="49"/>
        <v>0</v>
      </c>
      <c r="P110" s="581">
        <f t="shared" si="49"/>
        <v>0</v>
      </c>
      <c r="Q110" s="585"/>
    </row>
    <row r="111" spans="1:17" ht="13" x14ac:dyDescent="0.25">
      <c r="A111" s="1315"/>
      <c r="B111" s="580">
        <v>5</v>
      </c>
      <c r="C111" s="581">
        <f>G20</f>
        <v>60</v>
      </c>
      <c r="D111" s="581">
        <f t="shared" ref="D111:G111" si="50">H20</f>
        <v>0</v>
      </c>
      <c r="E111" s="581" t="str">
        <f t="shared" si="50"/>
        <v>-</v>
      </c>
      <c r="F111" s="581">
        <f t="shared" si="50"/>
        <v>0</v>
      </c>
      <c r="G111" s="581">
        <f t="shared" si="50"/>
        <v>0.12</v>
      </c>
      <c r="H111" s="586"/>
      <c r="J111" s="1319"/>
      <c r="K111" s="580">
        <v>5</v>
      </c>
      <c r="L111" s="581">
        <f>G25</f>
        <v>0</v>
      </c>
      <c r="M111" s="581">
        <f t="shared" ref="M111:P111" si="51">H25</f>
        <v>0</v>
      </c>
      <c r="N111" s="581" t="str">
        <f t="shared" si="51"/>
        <v>-</v>
      </c>
      <c r="O111" s="581">
        <f t="shared" si="51"/>
        <v>0</v>
      </c>
      <c r="P111" s="581">
        <f t="shared" si="51"/>
        <v>0</v>
      </c>
      <c r="Q111" s="586"/>
    </row>
    <row r="112" spans="1:17" ht="13" x14ac:dyDescent="0.25">
      <c r="A112" s="1315"/>
      <c r="B112" s="580">
        <v>6</v>
      </c>
      <c r="C112" s="581">
        <f>M20</f>
        <v>60</v>
      </c>
      <c r="D112" s="581">
        <f t="shared" ref="D112:G112" si="52">N20</f>
        <v>-0.02</v>
      </c>
      <c r="E112" s="581" t="str">
        <f t="shared" si="52"/>
        <v>-</v>
      </c>
      <c r="F112" s="581">
        <f t="shared" si="52"/>
        <v>0</v>
      </c>
      <c r="G112" s="581">
        <f t="shared" si="52"/>
        <v>0.12</v>
      </c>
      <c r="H112" s="1317"/>
      <c r="J112" s="1319"/>
      <c r="K112" s="580">
        <v>6</v>
      </c>
      <c r="L112" s="581">
        <f>M25</f>
        <v>0</v>
      </c>
      <c r="M112" s="581">
        <f t="shared" ref="M112:P112" si="53">N25</f>
        <v>0</v>
      </c>
      <c r="N112" s="581" t="str">
        <f t="shared" si="53"/>
        <v>-</v>
      </c>
      <c r="O112" s="581">
        <f t="shared" si="53"/>
        <v>0</v>
      </c>
      <c r="P112" s="581">
        <f t="shared" si="53"/>
        <v>0</v>
      </c>
      <c r="Q112" s="585"/>
    </row>
    <row r="113" spans="1:17" ht="13" x14ac:dyDescent="0.25">
      <c r="A113" s="1315"/>
      <c r="B113" s="580">
        <v>7</v>
      </c>
      <c r="C113" s="581">
        <f>A34</f>
        <v>60</v>
      </c>
      <c r="D113" s="581">
        <f t="shared" ref="D113:G113" si="54">B34</f>
        <v>-0.02</v>
      </c>
      <c r="E113" s="581" t="str">
        <f t="shared" si="54"/>
        <v>-</v>
      </c>
      <c r="F113" s="581">
        <f t="shared" si="54"/>
        <v>0</v>
      </c>
      <c r="G113" s="581">
        <f t="shared" si="54"/>
        <v>0.12</v>
      </c>
      <c r="H113" s="1317"/>
      <c r="J113" s="1319"/>
      <c r="K113" s="580">
        <v>7</v>
      </c>
      <c r="L113" s="581">
        <f>A39</f>
        <v>0</v>
      </c>
      <c r="M113" s="581">
        <f t="shared" ref="M113:P113" si="55">B39</f>
        <v>0</v>
      </c>
      <c r="N113" s="581" t="str">
        <f t="shared" si="55"/>
        <v>-</v>
      </c>
      <c r="O113" s="581">
        <f t="shared" si="55"/>
        <v>0</v>
      </c>
      <c r="P113" s="581">
        <f t="shared" si="55"/>
        <v>0</v>
      </c>
      <c r="Q113" s="585"/>
    </row>
    <row r="114" spans="1:17" ht="13" x14ac:dyDescent="0.25">
      <c r="A114" s="1315"/>
      <c r="B114" s="580">
        <v>8</v>
      </c>
      <c r="C114" s="581">
        <f>G34</f>
        <v>60</v>
      </c>
      <c r="D114" s="581">
        <f t="shared" ref="D114:G114" si="56">H34</f>
        <v>-0.01</v>
      </c>
      <c r="E114" s="581" t="str">
        <f t="shared" si="56"/>
        <v>-</v>
      </c>
      <c r="F114" s="581">
        <f t="shared" si="56"/>
        <v>0</v>
      </c>
      <c r="G114" s="581">
        <f t="shared" si="56"/>
        <v>0.12</v>
      </c>
      <c r="H114" s="1317"/>
      <c r="J114" s="1319"/>
      <c r="K114" s="580">
        <v>8</v>
      </c>
      <c r="L114" s="581">
        <f>G39</f>
        <v>0</v>
      </c>
      <c r="M114" s="581">
        <f t="shared" ref="M114:P114" si="57">H39</f>
        <v>0</v>
      </c>
      <c r="N114" s="581" t="str">
        <f t="shared" si="57"/>
        <v>-</v>
      </c>
      <c r="O114" s="581">
        <f t="shared" si="57"/>
        <v>0</v>
      </c>
      <c r="P114" s="581">
        <f t="shared" si="57"/>
        <v>0</v>
      </c>
      <c r="Q114" s="585"/>
    </row>
    <row r="115" spans="1:17" ht="13" x14ac:dyDescent="0.25">
      <c r="A115" s="1315"/>
      <c r="B115" s="580">
        <v>9</v>
      </c>
      <c r="C115" s="581">
        <f>M34</f>
        <v>60</v>
      </c>
      <c r="D115" s="581">
        <f t="shared" ref="D115:G115" si="58">N34</f>
        <v>0.01</v>
      </c>
      <c r="E115" s="581" t="str">
        <f t="shared" si="58"/>
        <v>-</v>
      </c>
      <c r="F115" s="581">
        <f t="shared" si="58"/>
        <v>0</v>
      </c>
      <c r="G115" s="581">
        <f t="shared" si="58"/>
        <v>0.12</v>
      </c>
      <c r="H115" s="1317"/>
      <c r="J115" s="1319"/>
      <c r="K115" s="580">
        <v>9</v>
      </c>
      <c r="L115" s="581">
        <f>A52</f>
        <v>0</v>
      </c>
      <c r="M115" s="581">
        <f t="shared" ref="M115:P115" si="59">B52</f>
        <v>0</v>
      </c>
      <c r="N115" s="581" t="str">
        <f t="shared" si="59"/>
        <v>-</v>
      </c>
      <c r="O115" s="581">
        <f t="shared" si="59"/>
        <v>0</v>
      </c>
      <c r="P115" s="581">
        <f t="shared" si="59"/>
        <v>0</v>
      </c>
      <c r="Q115" s="585"/>
    </row>
    <row r="116" spans="1:17" ht="13" x14ac:dyDescent="0.25">
      <c r="A116" s="1315"/>
      <c r="B116" s="580">
        <v>10</v>
      </c>
      <c r="C116" s="581">
        <f>A47</f>
        <v>60</v>
      </c>
      <c r="D116" s="581">
        <f t="shared" ref="D116:G116" si="60">B47</f>
        <v>0.01</v>
      </c>
      <c r="E116" s="581" t="str">
        <f t="shared" si="60"/>
        <v>-</v>
      </c>
      <c r="F116" s="581">
        <f t="shared" si="60"/>
        <v>0</v>
      </c>
      <c r="G116" s="581">
        <f t="shared" si="60"/>
        <v>0.12</v>
      </c>
      <c r="H116" s="585"/>
      <c r="J116" s="1319"/>
      <c r="K116" s="580">
        <v>10</v>
      </c>
      <c r="L116" s="581">
        <f>G52</f>
        <v>0</v>
      </c>
      <c r="M116" s="581">
        <f t="shared" ref="M116:P116" si="61">H52</f>
        <v>0</v>
      </c>
      <c r="N116" s="581" t="str">
        <f t="shared" si="61"/>
        <v>-</v>
      </c>
      <c r="O116" s="581">
        <f t="shared" si="61"/>
        <v>0</v>
      </c>
      <c r="P116" s="581">
        <f t="shared" si="61"/>
        <v>0</v>
      </c>
      <c r="Q116" s="585"/>
    </row>
    <row r="117" spans="1:17" ht="13" x14ac:dyDescent="0.25">
      <c r="A117" s="1315"/>
      <c r="B117" s="580">
        <v>11</v>
      </c>
      <c r="C117" s="633">
        <f>G47</f>
        <v>60</v>
      </c>
      <c r="D117" s="633">
        <f t="shared" ref="D117:G117" si="62">H47</f>
        <v>-0.01</v>
      </c>
      <c r="E117" s="633" t="str">
        <f t="shared" si="62"/>
        <v>-</v>
      </c>
      <c r="F117" s="633">
        <f t="shared" si="62"/>
        <v>0</v>
      </c>
      <c r="G117" s="633">
        <f t="shared" si="62"/>
        <v>0.12</v>
      </c>
      <c r="H117" s="634"/>
      <c r="J117" s="635"/>
      <c r="K117" s="636"/>
      <c r="L117" s="633"/>
      <c r="M117" s="633"/>
      <c r="N117" s="633"/>
      <c r="O117" s="633"/>
      <c r="P117" s="633"/>
      <c r="Q117" s="634"/>
    </row>
    <row r="118" spans="1:17" ht="13" x14ac:dyDescent="0.25">
      <c r="A118" s="1315"/>
      <c r="B118" s="580">
        <v>12</v>
      </c>
      <c r="C118" s="633">
        <f>M47</f>
        <v>60</v>
      </c>
      <c r="D118" s="633">
        <f t="shared" ref="D118:G118" si="63">N47</f>
        <v>-0.02</v>
      </c>
      <c r="E118" s="633" t="str">
        <f t="shared" si="63"/>
        <v>-</v>
      </c>
      <c r="F118" s="633">
        <f t="shared" si="63"/>
        <v>0</v>
      </c>
      <c r="G118" s="633">
        <f t="shared" si="63"/>
        <v>0.12</v>
      </c>
      <c r="H118" s="634"/>
      <c r="J118" s="635"/>
      <c r="K118" s="636"/>
      <c r="L118" s="633"/>
      <c r="M118" s="633"/>
      <c r="N118" s="633"/>
      <c r="O118" s="633"/>
      <c r="P118" s="633"/>
      <c r="Q118" s="634"/>
    </row>
    <row r="119" spans="1:17" ht="13" x14ac:dyDescent="0.25">
      <c r="A119" s="1315"/>
      <c r="B119" s="580">
        <v>13</v>
      </c>
      <c r="C119" s="633">
        <f>A60</f>
        <v>60</v>
      </c>
      <c r="D119" s="633">
        <f t="shared" ref="D119:G119" si="64">B60</f>
        <v>-0.02</v>
      </c>
      <c r="E119" s="633" t="str">
        <f t="shared" si="64"/>
        <v>-</v>
      </c>
      <c r="F119" s="633">
        <f t="shared" si="64"/>
        <v>0</v>
      </c>
      <c r="G119" s="633">
        <f t="shared" si="64"/>
        <v>0.12</v>
      </c>
      <c r="H119" s="634"/>
      <c r="J119" s="635"/>
      <c r="K119" s="636"/>
      <c r="L119" s="633"/>
      <c r="M119" s="633"/>
      <c r="N119" s="633"/>
      <c r="O119" s="633"/>
      <c r="P119" s="633"/>
      <c r="Q119" s="634"/>
    </row>
    <row r="120" spans="1:17" ht="13" x14ac:dyDescent="0.25">
      <c r="A120" s="1315"/>
      <c r="B120" s="580">
        <v>14</v>
      </c>
      <c r="C120" s="633">
        <f>G60</f>
        <v>60</v>
      </c>
      <c r="D120" s="633">
        <f t="shared" ref="D120:G120" si="65">H60</f>
        <v>0</v>
      </c>
      <c r="E120" s="633" t="str">
        <f t="shared" si="65"/>
        <v>-</v>
      </c>
      <c r="F120" s="633">
        <f t="shared" si="65"/>
        <v>0</v>
      </c>
      <c r="G120" s="633">
        <f t="shared" si="65"/>
        <v>0.12</v>
      </c>
      <c r="H120" s="634"/>
      <c r="J120" s="635"/>
      <c r="K120" s="636"/>
      <c r="L120" s="633"/>
      <c r="M120" s="633"/>
      <c r="N120" s="633"/>
      <c r="O120" s="633"/>
      <c r="P120" s="633"/>
      <c r="Q120" s="634"/>
    </row>
    <row r="121" spans="1:17" ht="13.5" thickBot="1" x14ac:dyDescent="0.3">
      <c r="A121" s="1316"/>
      <c r="B121" s="580">
        <v>15</v>
      </c>
      <c r="C121" s="633">
        <f>M60</f>
        <v>60</v>
      </c>
      <c r="D121" s="633">
        <f t="shared" ref="D121:G121" si="66">N60</f>
        <v>0.01</v>
      </c>
      <c r="E121" s="633" t="str">
        <f t="shared" si="66"/>
        <v>-</v>
      </c>
      <c r="F121" s="633">
        <f t="shared" si="66"/>
        <v>0</v>
      </c>
      <c r="G121" s="633">
        <f t="shared" si="66"/>
        <v>0.12</v>
      </c>
      <c r="H121" s="634"/>
      <c r="J121" s="635"/>
      <c r="K121" s="636"/>
      <c r="L121" s="633"/>
      <c r="M121" s="633"/>
      <c r="N121" s="633"/>
      <c r="O121" s="633"/>
      <c r="P121" s="633"/>
      <c r="Q121" s="634"/>
    </row>
    <row r="122" spans="1:17" ht="13" x14ac:dyDescent="0.25">
      <c r="A122" s="1331" t="s">
        <v>7</v>
      </c>
      <c r="B122" s="582">
        <v>1</v>
      </c>
      <c r="C122" s="583">
        <f>A8</f>
        <v>300</v>
      </c>
      <c r="D122" s="583">
        <f t="shared" ref="D122:G122" si="67">B8</f>
        <v>0</v>
      </c>
      <c r="E122" s="583">
        <f t="shared" si="67"/>
        <v>2E-3</v>
      </c>
      <c r="F122" s="583">
        <f t="shared" si="67"/>
        <v>1E-3</v>
      </c>
      <c r="G122" s="583">
        <f t="shared" si="67"/>
        <v>0.04</v>
      </c>
      <c r="H122" s="1332"/>
      <c r="J122" s="1333" t="s">
        <v>239</v>
      </c>
      <c r="K122" s="582">
        <v>1</v>
      </c>
      <c r="L122" s="583">
        <f>A13</f>
        <v>0</v>
      </c>
      <c r="M122" s="583">
        <f t="shared" ref="M122:P122" si="68">B13</f>
        <v>0</v>
      </c>
      <c r="N122" s="583">
        <f t="shared" si="68"/>
        <v>0</v>
      </c>
      <c r="O122" s="583">
        <f t="shared" si="68"/>
        <v>0</v>
      </c>
      <c r="P122" s="583">
        <f t="shared" si="68"/>
        <v>0</v>
      </c>
      <c r="Q122" s="1332"/>
    </row>
    <row r="123" spans="1:17" ht="13" x14ac:dyDescent="0.25">
      <c r="A123" s="1315"/>
      <c r="B123" s="580">
        <v>2</v>
      </c>
      <c r="C123" s="581">
        <f>G8</f>
        <v>300</v>
      </c>
      <c r="D123" s="581">
        <f t="shared" ref="D123:G123" si="69">H8</f>
        <v>0.01</v>
      </c>
      <c r="E123" s="581">
        <f t="shared" si="69"/>
        <v>7.0000000000000001E-3</v>
      </c>
      <c r="F123" s="581">
        <f t="shared" si="69"/>
        <v>1.5E-3</v>
      </c>
      <c r="G123" s="581">
        <f t="shared" si="69"/>
        <v>0.12</v>
      </c>
      <c r="H123" s="1317"/>
      <c r="J123" s="1334"/>
      <c r="K123" s="580">
        <v>2</v>
      </c>
      <c r="L123" s="581">
        <f>G13</f>
        <v>0</v>
      </c>
      <c r="M123" s="581">
        <f t="shared" ref="M123:P123" si="70">H13</f>
        <v>0</v>
      </c>
      <c r="N123" s="581">
        <f t="shared" si="70"/>
        <v>0</v>
      </c>
      <c r="O123" s="581">
        <f t="shared" si="70"/>
        <v>0</v>
      </c>
      <c r="P123" s="581">
        <f t="shared" si="70"/>
        <v>0</v>
      </c>
      <c r="Q123" s="1317"/>
    </row>
    <row r="124" spans="1:17" ht="13" x14ac:dyDescent="0.25">
      <c r="A124" s="1315"/>
      <c r="B124" s="580">
        <v>3</v>
      </c>
      <c r="C124" s="581">
        <f>M8</f>
        <v>300</v>
      </c>
      <c r="D124" s="581">
        <f t="shared" ref="D124:G124" si="71">N8</f>
        <v>0.01</v>
      </c>
      <c r="E124" s="581">
        <f t="shared" si="71"/>
        <v>2E-3</v>
      </c>
      <c r="F124" s="581">
        <f t="shared" si="71"/>
        <v>4.0000000000000001E-3</v>
      </c>
      <c r="G124" s="581">
        <f t="shared" si="71"/>
        <v>0.12</v>
      </c>
      <c r="H124" s="1317"/>
      <c r="J124" s="1334"/>
      <c r="K124" s="580">
        <v>3</v>
      </c>
      <c r="L124" s="581">
        <f>M13</f>
        <v>0</v>
      </c>
      <c r="M124" s="581">
        <f t="shared" ref="M124:P124" si="72">N13</f>
        <v>0</v>
      </c>
      <c r="N124" s="581">
        <f t="shared" si="72"/>
        <v>0</v>
      </c>
      <c r="O124" s="581">
        <f t="shared" si="72"/>
        <v>0</v>
      </c>
      <c r="P124" s="581">
        <f t="shared" si="72"/>
        <v>0</v>
      </c>
      <c r="Q124" s="1317"/>
    </row>
    <row r="125" spans="1:17" ht="13" x14ac:dyDescent="0.25">
      <c r="A125" s="1315"/>
      <c r="B125" s="580">
        <v>4</v>
      </c>
      <c r="C125" s="581">
        <f>A21</f>
        <v>300</v>
      </c>
      <c r="D125" s="581">
        <f t="shared" ref="D125:G125" si="73">B21</f>
        <v>1E-3</v>
      </c>
      <c r="E125" s="581">
        <f t="shared" si="73"/>
        <v>0</v>
      </c>
      <c r="F125" s="581">
        <f t="shared" si="73"/>
        <v>5.0000000000000001E-4</v>
      </c>
      <c r="G125" s="581">
        <f t="shared" si="73"/>
        <v>3.7999999999999999E-2</v>
      </c>
      <c r="H125" s="1317"/>
      <c r="J125" s="1334"/>
      <c r="K125" s="580">
        <v>4</v>
      </c>
      <c r="L125" s="581">
        <f>A26</f>
        <v>0</v>
      </c>
      <c r="M125" s="581">
        <f t="shared" ref="M125:P125" si="74">B26</f>
        <v>0</v>
      </c>
      <c r="N125" s="581">
        <f t="shared" si="74"/>
        <v>0</v>
      </c>
      <c r="O125" s="581">
        <f t="shared" si="74"/>
        <v>0</v>
      </c>
      <c r="P125" s="581">
        <f t="shared" si="74"/>
        <v>0</v>
      </c>
      <c r="Q125" s="1317"/>
    </row>
    <row r="126" spans="1:17" ht="13" x14ac:dyDescent="0.25">
      <c r="A126" s="1315"/>
      <c r="B126" s="580">
        <v>5</v>
      </c>
      <c r="C126" s="581">
        <f>G21</f>
        <v>300</v>
      </c>
      <c r="D126" s="581">
        <f t="shared" ref="D126:G126" si="75">H21</f>
        <v>0.01</v>
      </c>
      <c r="E126" s="581" t="str">
        <f t="shared" si="75"/>
        <v>-</v>
      </c>
      <c r="F126" s="581">
        <f t="shared" si="75"/>
        <v>0</v>
      </c>
      <c r="G126" s="581">
        <f t="shared" si="75"/>
        <v>0.12</v>
      </c>
      <c r="H126" s="586"/>
      <c r="J126" s="1334"/>
      <c r="K126" s="580">
        <v>5</v>
      </c>
      <c r="L126" s="581">
        <f>G26</f>
        <v>0</v>
      </c>
      <c r="M126" s="581">
        <f t="shared" ref="M126:P126" si="76">H26</f>
        <v>0</v>
      </c>
      <c r="N126" s="581" t="str">
        <f t="shared" si="76"/>
        <v>-</v>
      </c>
      <c r="O126" s="581">
        <f t="shared" si="76"/>
        <v>0</v>
      </c>
      <c r="P126" s="581">
        <f t="shared" si="76"/>
        <v>0</v>
      </c>
      <c r="Q126" s="586"/>
    </row>
    <row r="127" spans="1:17" ht="13" x14ac:dyDescent="0.25">
      <c r="A127" s="1315"/>
      <c r="B127" s="580">
        <v>6</v>
      </c>
      <c r="C127" s="581">
        <f>M21</f>
        <v>300</v>
      </c>
      <c r="D127" s="581">
        <f t="shared" ref="D127:G127" si="77">N21</f>
        <v>-0.02</v>
      </c>
      <c r="E127" s="581" t="str">
        <f t="shared" si="77"/>
        <v>-</v>
      </c>
      <c r="F127" s="581">
        <f t="shared" si="77"/>
        <v>0</v>
      </c>
      <c r="G127" s="581">
        <f t="shared" si="77"/>
        <v>0.12</v>
      </c>
      <c r="H127" s="1317"/>
      <c r="J127" s="1334"/>
      <c r="K127" s="580">
        <v>6</v>
      </c>
      <c r="L127" s="581">
        <f>M26</f>
        <v>0</v>
      </c>
      <c r="M127" s="581">
        <f t="shared" ref="M127:P127" si="78">N26</f>
        <v>0</v>
      </c>
      <c r="N127" s="581" t="str">
        <f t="shared" si="78"/>
        <v>-</v>
      </c>
      <c r="O127" s="581">
        <f t="shared" si="78"/>
        <v>0</v>
      </c>
      <c r="P127" s="581">
        <f t="shared" si="78"/>
        <v>0</v>
      </c>
      <c r="Q127" s="1317"/>
    </row>
    <row r="128" spans="1:17" ht="13" x14ac:dyDescent="0.25">
      <c r="A128" s="1315"/>
      <c r="B128" s="580">
        <v>7</v>
      </c>
      <c r="C128" s="581">
        <f>A35</f>
        <v>300</v>
      </c>
      <c r="D128" s="581">
        <f t="shared" ref="D128:G128" si="79">B35</f>
        <v>-0.02</v>
      </c>
      <c r="E128" s="581" t="str">
        <f t="shared" si="79"/>
        <v>-</v>
      </c>
      <c r="F128" s="581">
        <f t="shared" si="79"/>
        <v>0</v>
      </c>
      <c r="G128" s="581">
        <f t="shared" si="79"/>
        <v>0.12</v>
      </c>
      <c r="H128" s="1317"/>
      <c r="J128" s="1334"/>
      <c r="K128" s="580">
        <v>7</v>
      </c>
      <c r="L128" s="581">
        <f>A40</f>
        <v>0</v>
      </c>
      <c r="M128" s="581">
        <f t="shared" ref="M128:P128" si="80">B40</f>
        <v>0</v>
      </c>
      <c r="N128" s="581" t="str">
        <f t="shared" si="80"/>
        <v>-</v>
      </c>
      <c r="O128" s="581">
        <f t="shared" si="80"/>
        <v>0</v>
      </c>
      <c r="P128" s="581">
        <f t="shared" si="80"/>
        <v>0</v>
      </c>
      <c r="Q128" s="1317"/>
    </row>
    <row r="129" spans="1:17" ht="13" x14ac:dyDescent="0.25">
      <c r="A129" s="1315"/>
      <c r="B129" s="580">
        <v>8</v>
      </c>
      <c r="C129" s="581">
        <f>G35</f>
        <v>300</v>
      </c>
      <c r="D129" s="581">
        <f t="shared" ref="D129:G129" si="81">H35</f>
        <v>-0.02</v>
      </c>
      <c r="E129" s="581" t="str">
        <f t="shared" si="81"/>
        <v>-</v>
      </c>
      <c r="F129" s="581">
        <f t="shared" si="81"/>
        <v>0</v>
      </c>
      <c r="G129" s="581">
        <f t="shared" si="81"/>
        <v>0.12</v>
      </c>
      <c r="H129" s="1317"/>
      <c r="J129" s="1334"/>
      <c r="K129" s="580">
        <v>8</v>
      </c>
      <c r="L129" s="581">
        <f>G40</f>
        <v>0</v>
      </c>
      <c r="M129" s="581">
        <f t="shared" ref="M129:P129" si="82">H40</f>
        <v>0.03</v>
      </c>
      <c r="N129" s="581" t="str">
        <f t="shared" si="82"/>
        <v>-</v>
      </c>
      <c r="O129" s="581">
        <f t="shared" si="82"/>
        <v>0</v>
      </c>
      <c r="P129" s="581">
        <f t="shared" si="82"/>
        <v>0</v>
      </c>
      <c r="Q129" s="1317"/>
    </row>
    <row r="130" spans="1:17" ht="13" x14ac:dyDescent="0.25">
      <c r="A130" s="1315"/>
      <c r="B130" s="580">
        <v>9</v>
      </c>
      <c r="C130" s="581">
        <f>M35</f>
        <v>300</v>
      </c>
      <c r="D130" s="581">
        <f t="shared" ref="D130:G130" si="83">N35</f>
        <v>0.02</v>
      </c>
      <c r="E130" s="581" t="str">
        <f t="shared" si="83"/>
        <v>-</v>
      </c>
      <c r="F130" s="581">
        <f t="shared" si="83"/>
        <v>0</v>
      </c>
      <c r="G130" s="581">
        <f t="shared" si="83"/>
        <v>0.12</v>
      </c>
      <c r="H130" s="1317"/>
      <c r="J130" s="1334"/>
      <c r="K130" s="580">
        <v>9</v>
      </c>
      <c r="L130" s="581">
        <f>A53</f>
        <v>0</v>
      </c>
      <c r="M130" s="581">
        <f t="shared" ref="M130:P130" si="84">B53</f>
        <v>0</v>
      </c>
      <c r="N130" s="581" t="str">
        <f t="shared" si="84"/>
        <v>-</v>
      </c>
      <c r="O130" s="581">
        <f t="shared" si="84"/>
        <v>0</v>
      </c>
      <c r="P130" s="581">
        <f t="shared" si="84"/>
        <v>0</v>
      </c>
      <c r="Q130" s="1317"/>
    </row>
    <row r="131" spans="1:17" ht="13" x14ac:dyDescent="0.25">
      <c r="A131" s="1315"/>
      <c r="B131" s="580">
        <v>10</v>
      </c>
      <c r="C131" s="581">
        <f>A48</f>
        <v>300</v>
      </c>
      <c r="D131" s="581">
        <f>B48</f>
        <v>0.01</v>
      </c>
      <c r="E131" s="581" t="str">
        <f t="shared" ref="E131:G131" si="85">C48</f>
        <v>-</v>
      </c>
      <c r="F131" s="581">
        <f t="shared" si="85"/>
        <v>0</v>
      </c>
      <c r="G131" s="581">
        <f t="shared" si="85"/>
        <v>0.12</v>
      </c>
      <c r="H131" s="585"/>
      <c r="J131" s="1334"/>
      <c r="K131" s="580">
        <v>10</v>
      </c>
      <c r="L131" s="581">
        <f>G53</f>
        <v>0</v>
      </c>
      <c r="M131" s="581">
        <f t="shared" ref="M131:P131" si="86">H53</f>
        <v>0</v>
      </c>
      <c r="N131" s="581" t="str">
        <f t="shared" si="86"/>
        <v>-</v>
      </c>
      <c r="O131" s="581">
        <f t="shared" si="86"/>
        <v>0</v>
      </c>
      <c r="P131" s="581">
        <f t="shared" si="86"/>
        <v>0</v>
      </c>
      <c r="Q131" s="585"/>
    </row>
    <row r="132" spans="1:17" ht="13" x14ac:dyDescent="0.25">
      <c r="A132" s="1315"/>
      <c r="B132" s="636">
        <v>11</v>
      </c>
      <c r="C132" s="633">
        <f>G48</f>
        <v>300</v>
      </c>
      <c r="D132" s="633">
        <f t="shared" ref="D132:G132" si="87">H48</f>
        <v>-0.02</v>
      </c>
      <c r="E132" s="633" t="str">
        <f t="shared" si="87"/>
        <v>-</v>
      </c>
      <c r="F132" s="633">
        <f t="shared" si="87"/>
        <v>0</v>
      </c>
      <c r="G132" s="633">
        <f t="shared" si="87"/>
        <v>0.12</v>
      </c>
      <c r="H132" s="634"/>
      <c r="J132" s="637"/>
      <c r="K132" s="636"/>
      <c r="L132" s="633"/>
      <c r="M132" s="633"/>
      <c r="N132" s="633"/>
      <c r="O132" s="633"/>
      <c r="P132" s="633"/>
      <c r="Q132" s="634"/>
    </row>
    <row r="133" spans="1:17" ht="13" x14ac:dyDescent="0.25">
      <c r="A133" s="1315"/>
      <c r="B133" s="580">
        <v>12</v>
      </c>
      <c r="C133" s="633">
        <f>M48</f>
        <v>300</v>
      </c>
      <c r="D133" s="633">
        <f t="shared" ref="D133:G133" si="88">N48</f>
        <v>-0.02</v>
      </c>
      <c r="E133" s="633" t="str">
        <f t="shared" si="88"/>
        <v>-</v>
      </c>
      <c r="F133" s="633">
        <f t="shared" si="88"/>
        <v>0</v>
      </c>
      <c r="G133" s="633">
        <f t="shared" si="88"/>
        <v>0.12</v>
      </c>
      <c r="H133" s="634"/>
      <c r="J133" s="637"/>
      <c r="K133" s="636"/>
      <c r="L133" s="633"/>
      <c r="M133" s="633"/>
      <c r="N133" s="633"/>
      <c r="O133" s="633"/>
      <c r="P133" s="633"/>
      <c r="Q133" s="634"/>
    </row>
    <row r="134" spans="1:17" ht="13" x14ac:dyDescent="0.25">
      <c r="A134" s="1315"/>
      <c r="B134" s="580">
        <v>13</v>
      </c>
      <c r="C134" s="633">
        <f>A61</f>
        <v>300</v>
      </c>
      <c r="D134" s="633">
        <f t="shared" ref="D134:G134" si="89">B61</f>
        <v>-0.02</v>
      </c>
      <c r="E134" s="633" t="str">
        <f t="shared" si="89"/>
        <v>-</v>
      </c>
      <c r="F134" s="633">
        <f t="shared" si="89"/>
        <v>0</v>
      </c>
      <c r="G134" s="633">
        <f t="shared" si="89"/>
        <v>0.12</v>
      </c>
      <c r="H134" s="634"/>
      <c r="J134" s="637"/>
      <c r="K134" s="636"/>
      <c r="L134" s="633"/>
      <c r="M134" s="633"/>
      <c r="N134" s="633"/>
      <c r="O134" s="633"/>
      <c r="P134" s="633"/>
      <c r="Q134" s="634"/>
    </row>
    <row r="135" spans="1:17" ht="13" x14ac:dyDescent="0.25">
      <c r="A135" s="1315"/>
      <c r="B135" s="580">
        <v>14</v>
      </c>
      <c r="C135" s="633">
        <f>G61</f>
        <v>300</v>
      </c>
      <c r="D135" s="633">
        <f t="shared" ref="D135:G135" si="90">H61</f>
        <v>0.01</v>
      </c>
      <c r="E135" s="633" t="str">
        <f t="shared" si="90"/>
        <v>-</v>
      </c>
      <c r="F135" s="633">
        <f t="shared" si="90"/>
        <v>0</v>
      </c>
      <c r="G135" s="633">
        <f t="shared" si="90"/>
        <v>0.12</v>
      </c>
      <c r="H135" s="634"/>
      <c r="J135" s="637"/>
      <c r="K135" s="636"/>
      <c r="L135" s="633"/>
      <c r="M135" s="633"/>
      <c r="N135" s="633"/>
      <c r="O135" s="633"/>
      <c r="P135" s="633"/>
      <c r="Q135" s="634"/>
    </row>
    <row r="136" spans="1:17" ht="13.5" thickBot="1" x14ac:dyDescent="0.3">
      <c r="A136" s="1316"/>
      <c r="B136" s="580">
        <v>15</v>
      </c>
      <c r="C136" s="633">
        <f>M61</f>
        <v>300</v>
      </c>
      <c r="D136" s="633">
        <f t="shared" ref="D136:G136" si="91">N61</f>
        <v>0.01</v>
      </c>
      <c r="E136" s="633" t="str">
        <f t="shared" si="91"/>
        <v>-</v>
      </c>
      <c r="F136" s="633">
        <f t="shared" si="91"/>
        <v>0</v>
      </c>
      <c r="G136" s="633">
        <f t="shared" si="91"/>
        <v>0.12</v>
      </c>
      <c r="H136" s="634"/>
      <c r="J136" s="637"/>
      <c r="K136" s="636"/>
      <c r="L136" s="633"/>
      <c r="M136" s="633"/>
      <c r="N136" s="633"/>
      <c r="O136" s="633"/>
      <c r="P136" s="633"/>
      <c r="Q136" s="634"/>
    </row>
    <row r="137" spans="1:17" ht="13" x14ac:dyDescent="0.25">
      <c r="A137" s="1318" t="s">
        <v>8</v>
      </c>
      <c r="B137" s="582">
        <v>1</v>
      </c>
      <c r="C137" s="583">
        <f>A9</f>
        <v>600</v>
      </c>
      <c r="D137" s="583">
        <f t="shared" ref="D137:G137" si="92">B9</f>
        <v>0.01</v>
      </c>
      <c r="E137" s="583">
        <f t="shared" si="92"/>
        <v>2E-3</v>
      </c>
      <c r="F137" s="583">
        <f t="shared" si="92"/>
        <v>4.0000000000000001E-3</v>
      </c>
      <c r="G137" s="583">
        <f t="shared" si="92"/>
        <v>0.04</v>
      </c>
      <c r="H137" s="1332"/>
      <c r="J137" s="1333" t="s">
        <v>240</v>
      </c>
      <c r="K137" s="582">
        <v>1</v>
      </c>
      <c r="L137" s="583">
        <f>A14</f>
        <v>1</v>
      </c>
      <c r="M137" s="583">
        <f t="shared" ref="M137:P137" si="93">B14</f>
        <v>0</v>
      </c>
      <c r="N137" s="583">
        <f t="shared" si="93"/>
        <v>0</v>
      </c>
      <c r="O137" s="583">
        <f t="shared" si="93"/>
        <v>0</v>
      </c>
      <c r="P137" s="583">
        <f t="shared" si="93"/>
        <v>0</v>
      </c>
      <c r="Q137" s="1332"/>
    </row>
    <row r="138" spans="1:17" ht="13" x14ac:dyDescent="0.25">
      <c r="A138" s="1319"/>
      <c r="B138" s="580">
        <v>2</v>
      </c>
      <c r="C138" s="581">
        <f>G9</f>
        <v>600</v>
      </c>
      <c r="D138" s="581">
        <f t="shared" ref="D138:G138" si="94">H9</f>
        <v>0.01</v>
      </c>
      <c r="E138" s="581">
        <f t="shared" si="94"/>
        <v>4.0000000000000001E-3</v>
      </c>
      <c r="F138" s="581">
        <f t="shared" si="94"/>
        <v>3.0000000000000001E-3</v>
      </c>
      <c r="G138" s="581">
        <f t="shared" si="94"/>
        <v>0.12</v>
      </c>
      <c r="H138" s="1317"/>
      <c r="J138" s="1334"/>
      <c r="K138" s="580">
        <v>2</v>
      </c>
      <c r="L138" s="581">
        <f>G14</f>
        <v>2</v>
      </c>
      <c r="M138" s="581">
        <f t="shared" ref="M138:P138" si="95">H14</f>
        <v>0</v>
      </c>
      <c r="N138" s="581">
        <f t="shared" si="95"/>
        <v>0</v>
      </c>
      <c r="O138" s="581">
        <f t="shared" si="95"/>
        <v>0</v>
      </c>
      <c r="P138" s="581">
        <f t="shared" si="95"/>
        <v>0</v>
      </c>
      <c r="Q138" s="1317"/>
    </row>
    <row r="139" spans="1:17" ht="13" x14ac:dyDescent="0.25">
      <c r="A139" s="1319"/>
      <c r="B139" s="580">
        <v>3</v>
      </c>
      <c r="C139" s="581">
        <f>M9</f>
        <v>600</v>
      </c>
      <c r="D139" s="581">
        <f t="shared" ref="D139:G139" si="96">N9</f>
        <v>0.02</v>
      </c>
      <c r="E139" s="581">
        <f t="shared" si="96"/>
        <v>3.0000000000000001E-3</v>
      </c>
      <c r="F139" s="581">
        <f t="shared" si="96"/>
        <v>8.5000000000000006E-3</v>
      </c>
      <c r="G139" s="581">
        <f t="shared" si="96"/>
        <v>0.12</v>
      </c>
      <c r="H139" s="1317"/>
      <c r="J139" s="1334"/>
      <c r="K139" s="580">
        <v>3</v>
      </c>
      <c r="L139" s="581">
        <f>M14</f>
        <v>3</v>
      </c>
      <c r="M139" s="581">
        <f t="shared" ref="M139:P139" si="97">N14</f>
        <v>0</v>
      </c>
      <c r="N139" s="581">
        <f t="shared" si="97"/>
        <v>0</v>
      </c>
      <c r="O139" s="581">
        <f t="shared" si="97"/>
        <v>0</v>
      </c>
      <c r="P139" s="581">
        <f t="shared" si="97"/>
        <v>0</v>
      </c>
      <c r="Q139" s="1317"/>
    </row>
    <row r="140" spans="1:17" ht="13" x14ac:dyDescent="0.25">
      <c r="A140" s="1319"/>
      <c r="B140" s="580">
        <v>4</v>
      </c>
      <c r="C140" s="581">
        <f>A22</f>
        <v>600</v>
      </c>
      <c r="D140" s="581">
        <f t="shared" ref="D140:G140" si="98">B22</f>
        <v>6.0000000000000001E-3</v>
      </c>
      <c r="E140" s="581">
        <f t="shared" si="98"/>
        <v>0</v>
      </c>
      <c r="F140" s="581">
        <f t="shared" si="98"/>
        <v>3.0000000000000001E-3</v>
      </c>
      <c r="G140" s="581">
        <f t="shared" si="98"/>
        <v>3.7999999999999999E-2</v>
      </c>
      <c r="H140" s="1317"/>
      <c r="J140" s="1334"/>
      <c r="K140" s="580">
        <v>4</v>
      </c>
      <c r="L140" s="581">
        <f>A27</f>
        <v>0</v>
      </c>
      <c r="M140" s="581">
        <f t="shared" ref="M140:P140" si="99">B27</f>
        <v>0</v>
      </c>
      <c r="N140" s="581">
        <f t="shared" si="99"/>
        <v>0</v>
      </c>
      <c r="O140" s="581">
        <f t="shared" si="99"/>
        <v>0</v>
      </c>
      <c r="P140" s="581">
        <f t="shared" si="99"/>
        <v>0</v>
      </c>
      <c r="Q140" s="1317"/>
    </row>
    <row r="141" spans="1:17" ht="13" x14ac:dyDescent="0.25">
      <c r="A141" s="1319"/>
      <c r="B141" s="580">
        <v>5</v>
      </c>
      <c r="C141" s="581">
        <f>G22</f>
        <v>600</v>
      </c>
      <c r="D141" s="581">
        <f t="shared" ref="D141:G141" si="100">H22</f>
        <v>0.02</v>
      </c>
      <c r="E141" s="581" t="str">
        <f t="shared" si="100"/>
        <v>-</v>
      </c>
      <c r="F141" s="581">
        <f t="shared" si="100"/>
        <v>0</v>
      </c>
      <c r="G141" s="581">
        <f t="shared" si="100"/>
        <v>0.12</v>
      </c>
      <c r="H141" s="586"/>
      <c r="J141" s="1334"/>
      <c r="K141" s="580">
        <v>5</v>
      </c>
      <c r="L141" s="581">
        <f>G27</f>
        <v>0</v>
      </c>
      <c r="M141" s="581">
        <f t="shared" ref="M141:P141" si="101">H27</f>
        <v>0</v>
      </c>
      <c r="N141" s="581" t="str">
        <f t="shared" si="101"/>
        <v>-</v>
      </c>
      <c r="O141" s="581">
        <f t="shared" si="101"/>
        <v>0</v>
      </c>
      <c r="P141" s="581">
        <f t="shared" si="101"/>
        <v>0</v>
      </c>
      <c r="Q141" s="586"/>
    </row>
    <row r="142" spans="1:17" ht="13" x14ac:dyDescent="0.25">
      <c r="A142" s="1319"/>
      <c r="B142" s="580">
        <v>6</v>
      </c>
      <c r="C142" s="581">
        <f>M22</f>
        <v>600</v>
      </c>
      <c r="D142" s="581">
        <f t="shared" ref="D142:G142" si="102">N22</f>
        <v>-0.02</v>
      </c>
      <c r="E142" s="581" t="str">
        <f t="shared" si="102"/>
        <v>-</v>
      </c>
      <c r="F142" s="581">
        <f t="shared" si="102"/>
        <v>0</v>
      </c>
      <c r="G142" s="581">
        <f t="shared" si="102"/>
        <v>0.12</v>
      </c>
      <c r="H142" s="1317"/>
      <c r="J142" s="1334"/>
      <c r="K142" s="580">
        <v>6</v>
      </c>
      <c r="L142" s="581">
        <f>M27</f>
        <v>0</v>
      </c>
      <c r="M142" s="581">
        <f t="shared" ref="M142:P142" si="103">N27</f>
        <v>0</v>
      </c>
      <c r="N142" s="581" t="str">
        <f t="shared" si="103"/>
        <v>;-</v>
      </c>
      <c r="O142" s="581">
        <f t="shared" si="103"/>
        <v>0</v>
      </c>
      <c r="P142" s="581">
        <f t="shared" si="103"/>
        <v>0</v>
      </c>
      <c r="Q142" s="1317"/>
    </row>
    <row r="143" spans="1:17" ht="13" x14ac:dyDescent="0.25">
      <c r="A143" s="1319"/>
      <c r="B143" s="580">
        <v>7</v>
      </c>
      <c r="C143" s="581">
        <f>A36</f>
        <v>600</v>
      </c>
      <c r="D143" s="581">
        <f t="shared" ref="D143:G143" si="104">B36</f>
        <v>-0.02</v>
      </c>
      <c r="E143" s="581" t="str">
        <f t="shared" si="104"/>
        <v>-</v>
      </c>
      <c r="F143" s="581">
        <f t="shared" si="104"/>
        <v>0</v>
      </c>
      <c r="G143" s="581">
        <f t="shared" si="104"/>
        <v>0.12</v>
      </c>
      <c r="H143" s="1317"/>
      <c r="J143" s="1334"/>
      <c r="K143" s="580">
        <v>7</v>
      </c>
      <c r="L143" s="581">
        <f>A41</f>
        <v>0</v>
      </c>
      <c r="M143" s="581">
        <f t="shared" ref="M143:P143" si="105">B41</f>
        <v>0</v>
      </c>
      <c r="N143" s="581" t="str">
        <f t="shared" si="105"/>
        <v>-</v>
      </c>
      <c r="O143" s="581">
        <f t="shared" si="105"/>
        <v>0</v>
      </c>
      <c r="P143" s="581">
        <f t="shared" si="105"/>
        <v>0</v>
      </c>
      <c r="Q143" s="1317"/>
    </row>
    <row r="144" spans="1:17" ht="13" x14ac:dyDescent="0.25">
      <c r="A144" s="1319"/>
      <c r="B144" s="580">
        <v>8</v>
      </c>
      <c r="C144" s="581">
        <f>G36</f>
        <v>600</v>
      </c>
      <c r="D144" s="581">
        <f t="shared" ref="D144:G144" si="106">H36</f>
        <v>-0.02</v>
      </c>
      <c r="E144" s="581" t="str">
        <f t="shared" si="106"/>
        <v>-</v>
      </c>
      <c r="F144" s="581">
        <f t="shared" si="106"/>
        <v>0</v>
      </c>
      <c r="G144" s="581">
        <f t="shared" si="106"/>
        <v>0.12</v>
      </c>
      <c r="H144" s="1317"/>
      <c r="J144" s="1334"/>
      <c r="K144" s="580">
        <v>8</v>
      </c>
      <c r="L144" s="581">
        <f>G41</f>
        <v>0</v>
      </c>
      <c r="M144" s="581">
        <f t="shared" ref="M144:P144" si="107">H41</f>
        <v>0</v>
      </c>
      <c r="N144" s="581" t="str">
        <f t="shared" si="107"/>
        <v>-</v>
      </c>
      <c r="O144" s="581">
        <f t="shared" si="107"/>
        <v>0</v>
      </c>
      <c r="P144" s="581">
        <f t="shared" si="107"/>
        <v>0</v>
      </c>
      <c r="Q144" s="1317"/>
    </row>
    <row r="145" spans="1:17" ht="13" x14ac:dyDescent="0.25">
      <c r="A145" s="1319"/>
      <c r="B145" s="580">
        <v>9</v>
      </c>
      <c r="C145" s="581">
        <f>M36</f>
        <v>600</v>
      </c>
      <c r="D145" s="581">
        <f t="shared" ref="D145:G145" si="108">N36</f>
        <v>0.02</v>
      </c>
      <c r="E145" s="581" t="str">
        <f t="shared" si="108"/>
        <v>-</v>
      </c>
      <c r="F145" s="581">
        <f t="shared" si="108"/>
        <v>0</v>
      </c>
      <c r="G145" s="581">
        <f t="shared" si="108"/>
        <v>0.12</v>
      </c>
      <c r="H145" s="1317"/>
      <c r="J145" s="1334"/>
      <c r="K145" s="580">
        <v>9</v>
      </c>
      <c r="L145" s="581">
        <f>A54</f>
        <v>0</v>
      </c>
      <c r="M145" s="581">
        <f t="shared" ref="M145:P145" si="109">B54</f>
        <v>0</v>
      </c>
      <c r="N145" s="581" t="str">
        <f t="shared" si="109"/>
        <v>-</v>
      </c>
      <c r="O145" s="581">
        <f t="shared" si="109"/>
        <v>0</v>
      </c>
      <c r="P145" s="581">
        <f t="shared" si="109"/>
        <v>0</v>
      </c>
      <c r="Q145" s="1317"/>
    </row>
    <row r="146" spans="1:17" ht="13" x14ac:dyDescent="0.25">
      <c r="A146" s="1319"/>
      <c r="B146" s="580">
        <v>10</v>
      </c>
      <c r="C146" s="581">
        <f>A49</f>
        <v>600</v>
      </c>
      <c r="D146" s="581">
        <f t="shared" ref="D146:G146" si="110">B49</f>
        <v>0.02</v>
      </c>
      <c r="E146" s="581" t="str">
        <f t="shared" si="110"/>
        <v>-</v>
      </c>
      <c r="F146" s="581">
        <f t="shared" si="110"/>
        <v>0</v>
      </c>
      <c r="G146" s="581">
        <f t="shared" si="110"/>
        <v>0.12</v>
      </c>
      <c r="H146" s="585"/>
      <c r="J146" s="1334"/>
      <c r="K146" s="580">
        <v>10</v>
      </c>
      <c r="L146" s="581">
        <f>G54</f>
        <v>0</v>
      </c>
      <c r="M146" s="581">
        <f t="shared" ref="M146:P146" si="111">H54</f>
        <v>0</v>
      </c>
      <c r="N146" s="581" t="str">
        <f t="shared" si="111"/>
        <v>-</v>
      </c>
      <c r="O146" s="581">
        <f t="shared" si="111"/>
        <v>0</v>
      </c>
      <c r="P146" s="581">
        <f t="shared" si="111"/>
        <v>0</v>
      </c>
      <c r="Q146" s="585"/>
    </row>
    <row r="147" spans="1:17" ht="13" x14ac:dyDescent="0.25">
      <c r="A147" s="1319"/>
      <c r="B147" s="636">
        <v>11</v>
      </c>
      <c r="C147" s="633">
        <f>G49</f>
        <v>600</v>
      </c>
      <c r="D147" s="633">
        <f t="shared" ref="D147:G147" si="112">H49</f>
        <v>-0.02</v>
      </c>
      <c r="E147" s="633" t="str">
        <f t="shared" si="112"/>
        <v>-</v>
      </c>
      <c r="F147" s="633">
        <f t="shared" si="112"/>
        <v>0</v>
      </c>
      <c r="G147" s="633">
        <f t="shared" si="112"/>
        <v>0.12</v>
      </c>
      <c r="H147" s="585"/>
      <c r="J147" s="638"/>
      <c r="K147" s="639"/>
      <c r="L147" s="640"/>
      <c r="M147" s="640"/>
      <c r="N147" s="640"/>
      <c r="O147" s="640"/>
      <c r="P147" s="640"/>
      <c r="Q147" s="641"/>
    </row>
    <row r="148" spans="1:17" ht="13" x14ac:dyDescent="0.25">
      <c r="A148" s="1319"/>
      <c r="B148" s="580">
        <v>12</v>
      </c>
      <c r="C148" s="633">
        <f>M49</f>
        <v>600</v>
      </c>
      <c r="D148" s="633">
        <f t="shared" ref="D148:G148" si="113">N49</f>
        <v>-0.03</v>
      </c>
      <c r="E148" s="633" t="str">
        <f t="shared" si="113"/>
        <v>-</v>
      </c>
      <c r="F148" s="633">
        <f t="shared" si="113"/>
        <v>0</v>
      </c>
      <c r="G148" s="633">
        <f t="shared" si="113"/>
        <v>0.12</v>
      </c>
      <c r="H148" s="585"/>
      <c r="J148" s="638"/>
      <c r="K148" s="639"/>
      <c r="L148" s="640"/>
      <c r="M148" s="640"/>
      <c r="N148" s="640"/>
      <c r="O148" s="640"/>
      <c r="P148" s="640"/>
      <c r="Q148" s="641"/>
    </row>
    <row r="149" spans="1:17" ht="13" x14ac:dyDescent="0.25">
      <c r="A149" s="1319"/>
      <c r="B149" s="580">
        <v>13</v>
      </c>
      <c r="C149" s="633">
        <f>A62</f>
        <v>600</v>
      </c>
      <c r="D149" s="633">
        <f t="shared" ref="D149:G149" si="114">B62</f>
        <v>-0.03</v>
      </c>
      <c r="E149" s="633" t="str">
        <f t="shared" si="114"/>
        <v>-</v>
      </c>
      <c r="F149" s="633">
        <f t="shared" si="114"/>
        <v>0</v>
      </c>
      <c r="G149" s="633">
        <f t="shared" si="114"/>
        <v>0.12</v>
      </c>
      <c r="H149" s="585"/>
      <c r="J149" s="638"/>
      <c r="K149" s="639"/>
      <c r="L149" s="640"/>
      <c r="M149" s="640"/>
      <c r="N149" s="640"/>
      <c r="O149" s="640"/>
      <c r="P149" s="640"/>
      <c r="Q149" s="641"/>
    </row>
    <row r="150" spans="1:17" ht="13" x14ac:dyDescent="0.25">
      <c r="A150" s="1319"/>
      <c r="B150" s="580">
        <v>14</v>
      </c>
      <c r="C150" s="633">
        <f>G62</f>
        <v>600</v>
      </c>
      <c r="D150" s="633">
        <f t="shared" ref="D150:G150" si="115">H62</f>
        <v>0.02</v>
      </c>
      <c r="E150" s="633" t="str">
        <f t="shared" si="115"/>
        <v>-</v>
      </c>
      <c r="F150" s="633">
        <f t="shared" si="115"/>
        <v>0</v>
      </c>
      <c r="G150" s="633">
        <f t="shared" si="115"/>
        <v>0.12</v>
      </c>
      <c r="H150" s="585"/>
      <c r="J150" s="638"/>
      <c r="K150" s="639"/>
      <c r="L150" s="640"/>
      <c r="M150" s="640"/>
      <c r="N150" s="640"/>
      <c r="O150" s="640"/>
      <c r="P150" s="640"/>
      <c r="Q150" s="641"/>
    </row>
    <row r="151" spans="1:17" ht="13.5" thickBot="1" x14ac:dyDescent="0.3">
      <c r="A151" s="1335"/>
      <c r="B151" s="642">
        <v>15</v>
      </c>
      <c r="C151" s="633">
        <f>M62</f>
        <v>600</v>
      </c>
      <c r="D151" s="633">
        <f t="shared" ref="D151:G151" si="116">N62</f>
        <v>0.02</v>
      </c>
      <c r="E151" s="633" t="str">
        <f t="shared" si="116"/>
        <v>-</v>
      </c>
      <c r="F151" s="633">
        <f t="shared" si="116"/>
        <v>0</v>
      </c>
      <c r="G151" s="633">
        <f t="shared" si="116"/>
        <v>0.12</v>
      </c>
      <c r="H151" s="585"/>
      <c r="J151" s="638"/>
      <c r="K151" s="639"/>
      <c r="L151" s="640"/>
      <c r="M151" s="640"/>
      <c r="N151" s="640"/>
      <c r="O151" s="640"/>
      <c r="P151" s="640"/>
      <c r="Q151" s="641"/>
    </row>
    <row r="152" spans="1:17" ht="13" x14ac:dyDescent="0.25">
      <c r="A152" s="1334" t="s">
        <v>9</v>
      </c>
      <c r="B152" s="636">
        <v>1</v>
      </c>
      <c r="C152" s="583">
        <f>A10</f>
        <v>700</v>
      </c>
      <c r="D152" s="583">
        <f t="shared" ref="D152:G152" si="117">B10</f>
        <v>0</v>
      </c>
      <c r="E152" s="583">
        <f t="shared" si="117"/>
        <v>0</v>
      </c>
      <c r="F152" s="583">
        <f t="shared" si="117"/>
        <v>0</v>
      </c>
      <c r="G152" s="583">
        <f t="shared" si="117"/>
        <v>0.04</v>
      </c>
      <c r="H152" s="1317"/>
      <c r="J152" s="587"/>
      <c r="K152" s="267"/>
      <c r="L152" s="563"/>
      <c r="M152" s="563"/>
      <c r="N152" s="563"/>
      <c r="O152" s="563"/>
      <c r="P152" s="563"/>
      <c r="Q152" s="588"/>
    </row>
    <row r="153" spans="1:17" ht="13" x14ac:dyDescent="0.25">
      <c r="A153" s="1334"/>
      <c r="B153" s="580">
        <v>2</v>
      </c>
      <c r="C153" s="581">
        <f>G10</f>
        <v>700</v>
      </c>
      <c r="D153" s="581">
        <f t="shared" ref="D153:G153" si="118">H10</f>
        <v>0</v>
      </c>
      <c r="E153" s="581">
        <f t="shared" si="118"/>
        <v>0</v>
      </c>
      <c r="F153" s="581">
        <f t="shared" si="118"/>
        <v>0</v>
      </c>
      <c r="G153" s="581">
        <f t="shared" si="118"/>
        <v>0.12</v>
      </c>
      <c r="H153" s="1317"/>
      <c r="J153" s="587"/>
      <c r="K153" s="267"/>
      <c r="L153" s="563"/>
      <c r="M153" s="563"/>
      <c r="N153" s="563"/>
      <c r="O153" s="563"/>
      <c r="P153" s="563"/>
      <c r="Q153" s="588"/>
    </row>
    <row r="154" spans="1:17" ht="13" x14ac:dyDescent="0.25">
      <c r="A154" s="1334"/>
      <c r="B154" s="580">
        <v>3</v>
      </c>
      <c r="C154" s="581">
        <f>M10</f>
        <v>700</v>
      </c>
      <c r="D154" s="581">
        <f t="shared" ref="D154:G154" si="119">N10</f>
        <v>0</v>
      </c>
      <c r="E154" s="581">
        <f t="shared" si="119"/>
        <v>0</v>
      </c>
      <c r="F154" s="581">
        <f t="shared" si="119"/>
        <v>0</v>
      </c>
      <c r="G154" s="581">
        <f t="shared" si="119"/>
        <v>0</v>
      </c>
      <c r="H154" s="1317"/>
      <c r="J154" s="587"/>
      <c r="K154" s="267"/>
      <c r="L154" s="563"/>
      <c r="M154" s="563"/>
      <c r="N154" s="563"/>
      <c r="O154" s="563"/>
      <c r="P154" s="563"/>
      <c r="Q154" s="588"/>
    </row>
    <row r="155" spans="1:17" ht="13" x14ac:dyDescent="0.25">
      <c r="A155" s="1334"/>
      <c r="B155" s="580">
        <v>4</v>
      </c>
      <c r="C155" s="581">
        <f>A23</f>
        <v>700</v>
      </c>
      <c r="D155" s="581">
        <f t="shared" ref="D155:G155" si="120">B23</f>
        <v>0</v>
      </c>
      <c r="E155" s="581">
        <f t="shared" si="120"/>
        <v>0</v>
      </c>
      <c r="F155" s="581">
        <f t="shared" si="120"/>
        <v>0</v>
      </c>
      <c r="G155" s="581">
        <f t="shared" si="120"/>
        <v>0</v>
      </c>
      <c r="H155" s="1317"/>
      <c r="J155" s="587"/>
      <c r="K155" s="267"/>
      <c r="L155" s="563"/>
      <c r="M155" s="563"/>
      <c r="N155" s="563"/>
      <c r="O155" s="563"/>
      <c r="P155" s="563"/>
      <c r="Q155" s="588"/>
    </row>
    <row r="156" spans="1:17" ht="13" x14ac:dyDescent="0.25">
      <c r="A156" s="1334"/>
      <c r="B156" s="580">
        <v>5</v>
      </c>
      <c r="C156" s="581">
        <f>G23</f>
        <v>900</v>
      </c>
      <c r="D156" s="581">
        <f t="shared" ref="D156:G156" si="121">H23</f>
        <v>0.02</v>
      </c>
      <c r="E156" s="581" t="str">
        <f t="shared" si="121"/>
        <v>-</v>
      </c>
      <c r="F156" s="581">
        <f t="shared" si="121"/>
        <v>0</v>
      </c>
      <c r="G156" s="581">
        <f t="shared" si="121"/>
        <v>0.12</v>
      </c>
      <c r="H156" s="586"/>
      <c r="J156" s="587"/>
      <c r="K156" s="563"/>
      <c r="L156" s="563"/>
      <c r="M156" s="563"/>
      <c r="N156" s="563"/>
      <c r="O156" s="563"/>
      <c r="P156" s="563"/>
      <c r="Q156" s="588"/>
    </row>
    <row r="157" spans="1:17" ht="13" x14ac:dyDescent="0.25">
      <c r="A157" s="1334"/>
      <c r="B157" s="580">
        <v>6</v>
      </c>
      <c r="C157" s="581">
        <f>M23</f>
        <v>900</v>
      </c>
      <c r="D157" s="581">
        <f t="shared" ref="D157:G157" si="122">N23</f>
        <v>-0.03</v>
      </c>
      <c r="E157" s="581" t="str">
        <f t="shared" si="122"/>
        <v>-</v>
      </c>
      <c r="F157" s="581">
        <f t="shared" si="122"/>
        <v>0</v>
      </c>
      <c r="G157" s="581">
        <f t="shared" si="122"/>
        <v>0.12</v>
      </c>
      <c r="H157" s="1317"/>
      <c r="J157" s="587"/>
      <c r="K157" s="267"/>
      <c r="L157" s="563"/>
      <c r="M157" s="563"/>
      <c r="N157" s="563"/>
      <c r="O157" s="563"/>
      <c r="P157" s="563"/>
      <c r="Q157" s="588"/>
    </row>
    <row r="158" spans="1:17" ht="13" x14ac:dyDescent="0.25">
      <c r="A158" s="1334"/>
      <c r="B158" s="580">
        <v>7</v>
      </c>
      <c r="C158" s="581">
        <f>A37</f>
        <v>900</v>
      </c>
      <c r="D158" s="581">
        <f t="shared" ref="D158:G158" si="123">B37</f>
        <v>-0.03</v>
      </c>
      <c r="E158" s="581" t="str">
        <f t="shared" si="123"/>
        <v>-</v>
      </c>
      <c r="F158" s="581">
        <f t="shared" si="123"/>
        <v>0</v>
      </c>
      <c r="G158" s="581">
        <f t="shared" si="123"/>
        <v>0.12</v>
      </c>
      <c r="H158" s="1317"/>
      <c r="J158" s="587"/>
      <c r="K158" s="267"/>
      <c r="L158" s="563"/>
      <c r="M158" s="563"/>
      <c r="N158" s="563"/>
      <c r="O158" s="563"/>
      <c r="P158" s="563"/>
      <c r="Q158" s="588"/>
    </row>
    <row r="159" spans="1:17" ht="13" x14ac:dyDescent="0.25">
      <c r="A159" s="1334"/>
      <c r="B159" s="580">
        <v>8</v>
      </c>
      <c r="C159" s="581">
        <f>G37</f>
        <v>900</v>
      </c>
      <c r="D159" s="581">
        <f t="shared" ref="D159:G159" si="124">H37</f>
        <v>-0.02</v>
      </c>
      <c r="E159" s="581" t="str">
        <f t="shared" si="124"/>
        <v>-</v>
      </c>
      <c r="F159" s="581">
        <f t="shared" si="124"/>
        <v>0</v>
      </c>
      <c r="G159" s="581">
        <f t="shared" si="124"/>
        <v>0.12</v>
      </c>
      <c r="H159" s="1317"/>
      <c r="J159" s="587"/>
      <c r="K159" s="267"/>
      <c r="L159" s="563"/>
      <c r="M159" s="563"/>
      <c r="N159" s="563"/>
      <c r="O159" s="563"/>
      <c r="P159" s="563"/>
      <c r="Q159" s="588"/>
    </row>
    <row r="160" spans="1:17" ht="13" x14ac:dyDescent="0.25">
      <c r="A160" s="1334"/>
      <c r="B160" s="580">
        <v>9</v>
      </c>
      <c r="C160" s="581">
        <f>M37</f>
        <v>900</v>
      </c>
      <c r="D160" s="581">
        <f t="shared" ref="D160:G160" si="125">N37</f>
        <v>0.02</v>
      </c>
      <c r="E160" s="581" t="str">
        <f t="shared" si="125"/>
        <v>-</v>
      </c>
      <c r="F160" s="581">
        <f t="shared" si="125"/>
        <v>0</v>
      </c>
      <c r="G160" s="581">
        <f t="shared" si="125"/>
        <v>0.12</v>
      </c>
      <c r="H160" s="1317"/>
      <c r="J160" s="587"/>
      <c r="K160" s="267"/>
      <c r="L160" s="563"/>
      <c r="M160" s="563"/>
      <c r="N160" s="563"/>
      <c r="O160" s="563"/>
      <c r="P160" s="563"/>
      <c r="Q160" s="588"/>
    </row>
    <row r="161" spans="1:24" ht="13" x14ac:dyDescent="0.25">
      <c r="A161" s="1334"/>
      <c r="B161" s="636">
        <v>10</v>
      </c>
      <c r="C161" s="581">
        <f>A50</f>
        <v>900</v>
      </c>
      <c r="D161" s="581">
        <f t="shared" ref="D161:G161" si="126">B50</f>
        <v>0.02</v>
      </c>
      <c r="E161" s="581" t="str">
        <f t="shared" si="126"/>
        <v>-</v>
      </c>
      <c r="F161" s="581">
        <f t="shared" si="126"/>
        <v>0</v>
      </c>
      <c r="G161" s="581">
        <f t="shared" si="126"/>
        <v>0.12</v>
      </c>
      <c r="H161" s="585"/>
      <c r="J161" s="587"/>
      <c r="K161" s="267"/>
      <c r="L161" s="563"/>
      <c r="M161" s="563"/>
      <c r="N161" s="563"/>
      <c r="O161" s="563"/>
      <c r="P161" s="563"/>
      <c r="Q161" s="588"/>
    </row>
    <row r="162" spans="1:24" ht="13" x14ac:dyDescent="0.25">
      <c r="A162" s="1334"/>
      <c r="B162" s="636">
        <v>11</v>
      </c>
      <c r="C162" s="581">
        <f>G50</f>
        <v>900</v>
      </c>
      <c r="D162" s="581">
        <f t="shared" ref="D162:G162" si="127">H50</f>
        <v>-0.03</v>
      </c>
      <c r="E162" s="581" t="str">
        <f t="shared" si="127"/>
        <v>-</v>
      </c>
      <c r="F162" s="581">
        <f t="shared" si="127"/>
        <v>0</v>
      </c>
      <c r="G162" s="581">
        <f t="shared" si="127"/>
        <v>0.12</v>
      </c>
      <c r="H162" s="585"/>
      <c r="J162" s="587"/>
      <c r="K162" s="267"/>
      <c r="L162" s="563"/>
      <c r="M162" s="563"/>
      <c r="N162" s="563"/>
      <c r="O162" s="563"/>
      <c r="P162" s="563"/>
      <c r="Q162" s="588"/>
    </row>
    <row r="163" spans="1:24" ht="13" x14ac:dyDescent="0.25">
      <c r="A163" s="1334"/>
      <c r="B163" s="580">
        <v>12</v>
      </c>
      <c r="C163" s="581">
        <f>M50</f>
        <v>900</v>
      </c>
      <c r="D163" s="581">
        <f t="shared" ref="D163:G163" si="128">N50</f>
        <v>-0.03</v>
      </c>
      <c r="E163" s="581" t="str">
        <f t="shared" si="128"/>
        <v>-</v>
      </c>
      <c r="F163" s="581">
        <f t="shared" si="128"/>
        <v>0</v>
      </c>
      <c r="G163" s="581">
        <f t="shared" si="128"/>
        <v>0.12</v>
      </c>
      <c r="H163" s="585"/>
      <c r="J163" s="587"/>
      <c r="K163" s="267"/>
      <c r="L163" s="563"/>
      <c r="M163" s="563"/>
      <c r="N163" s="563"/>
      <c r="O163" s="563"/>
      <c r="P163" s="563"/>
      <c r="Q163" s="588"/>
    </row>
    <row r="164" spans="1:24" ht="13" x14ac:dyDescent="0.25">
      <c r="A164" s="1334"/>
      <c r="B164" s="580">
        <v>13</v>
      </c>
      <c r="C164" s="581">
        <f>A63</f>
        <v>900</v>
      </c>
      <c r="D164" s="581">
        <f t="shared" ref="D164:G164" si="129">B63</f>
        <v>-0.03</v>
      </c>
      <c r="E164" s="581" t="str">
        <f t="shared" si="129"/>
        <v>-</v>
      </c>
      <c r="F164" s="581">
        <f t="shared" si="129"/>
        <v>0</v>
      </c>
      <c r="G164" s="581">
        <f t="shared" si="129"/>
        <v>0.12</v>
      </c>
      <c r="H164" s="585"/>
      <c r="J164" s="587"/>
      <c r="K164" s="267"/>
      <c r="L164" s="563"/>
      <c r="M164" s="563"/>
      <c r="N164" s="563"/>
      <c r="O164" s="563"/>
      <c r="P164" s="563"/>
      <c r="Q164" s="588"/>
    </row>
    <row r="165" spans="1:24" ht="13" x14ac:dyDescent="0.25">
      <c r="A165" s="1334"/>
      <c r="B165" s="580">
        <v>14</v>
      </c>
      <c r="C165" s="581">
        <f>G63</f>
        <v>900</v>
      </c>
      <c r="D165" s="581">
        <f t="shared" ref="D165:G165" si="130">H63</f>
        <v>0.03</v>
      </c>
      <c r="E165" s="581" t="str">
        <f t="shared" si="130"/>
        <v>-</v>
      </c>
      <c r="F165" s="581">
        <f t="shared" si="130"/>
        <v>0</v>
      </c>
      <c r="G165" s="581">
        <f t="shared" si="130"/>
        <v>0.12</v>
      </c>
      <c r="H165" s="585"/>
      <c r="J165" s="587"/>
      <c r="K165" s="267"/>
      <c r="L165" s="563"/>
      <c r="M165" s="563"/>
      <c r="N165" s="563"/>
      <c r="O165" s="563"/>
      <c r="P165" s="563"/>
      <c r="Q165" s="588"/>
    </row>
    <row r="166" spans="1:24" ht="13" x14ac:dyDescent="0.25">
      <c r="A166" s="1334"/>
      <c r="B166" s="580">
        <v>15</v>
      </c>
      <c r="C166" s="643">
        <f>M63</f>
        <v>900</v>
      </c>
      <c r="D166" s="643">
        <f t="shared" ref="D166:G166" si="131">N63</f>
        <v>0.03</v>
      </c>
      <c r="E166" s="643" t="str">
        <f t="shared" si="131"/>
        <v>-</v>
      </c>
      <c r="F166" s="643">
        <f t="shared" si="131"/>
        <v>0</v>
      </c>
      <c r="G166" s="643">
        <f t="shared" si="131"/>
        <v>0.12</v>
      </c>
      <c r="H166" s="585"/>
      <c r="J166" s="587"/>
      <c r="K166" s="267"/>
      <c r="L166" s="563"/>
      <c r="M166" s="563"/>
      <c r="N166" s="563"/>
      <c r="O166" s="563"/>
      <c r="P166" s="563"/>
      <c r="Q166" s="588"/>
    </row>
    <row r="167" spans="1:24" ht="13" x14ac:dyDescent="0.25">
      <c r="A167" s="589"/>
      <c r="B167" s="267"/>
      <c r="C167" s="544"/>
      <c r="D167" s="590"/>
      <c r="E167" s="590"/>
      <c r="F167" s="590"/>
      <c r="G167" s="590"/>
    </row>
    <row r="168" spans="1:24" ht="13" x14ac:dyDescent="0.3">
      <c r="A168" s="572"/>
      <c r="B168" s="573"/>
      <c r="C168" s="573"/>
      <c r="D168" s="573"/>
      <c r="E168" s="573"/>
      <c r="F168" s="573"/>
      <c r="G168" s="573"/>
      <c r="H168" s="573"/>
      <c r="I168" s="573"/>
      <c r="J168" s="591"/>
      <c r="K168" s="592"/>
      <c r="L168" s="591"/>
      <c r="M168" s="593"/>
      <c r="N168" s="300"/>
      <c r="O168" s="591"/>
      <c r="P168" s="592"/>
      <c r="Q168" s="591"/>
    </row>
    <row r="169" spans="1:24" ht="28.5" customHeight="1" thickBot="1" x14ac:dyDescent="0.35">
      <c r="A169" s="268">
        <f>A215</f>
        <v>7</v>
      </c>
      <c r="B169" s="1145" t="str">
        <f>A199</f>
        <v>Stopwatch, Merek : EXTECH, Model : 365535, SN :001382</v>
      </c>
      <c r="C169" s="1145"/>
      <c r="D169" s="1145"/>
      <c r="E169" s="1145"/>
      <c r="F169" s="266"/>
      <c r="G169" s="267"/>
      <c r="H169" s="1146"/>
      <c r="I169" s="1146"/>
      <c r="J169" s="1146"/>
      <c r="K169" s="1146"/>
      <c r="L169" s="545"/>
      <c r="M169" s="266"/>
      <c r="N169" s="300"/>
      <c r="O169" s="592"/>
      <c r="P169" s="591"/>
      <c r="Q169" s="593"/>
      <c r="X169" s="594"/>
    </row>
    <row r="170" spans="1:24" ht="15" x14ac:dyDescent="0.3">
      <c r="A170" s="595" t="s">
        <v>236</v>
      </c>
      <c r="B170" s="1353" t="s">
        <v>62</v>
      </c>
      <c r="C170" s="1353"/>
      <c r="D170" s="595" t="s">
        <v>63</v>
      </c>
      <c r="E170" s="1354" t="s">
        <v>64</v>
      </c>
      <c r="F170" s="545"/>
      <c r="G170" s="1339" t="s">
        <v>341</v>
      </c>
      <c r="H170" s="1340"/>
      <c r="I170" s="1340"/>
      <c r="J170" s="1341"/>
      <c r="K170" s="1355"/>
      <c r="L170" s="545"/>
      <c r="M170" s="545"/>
      <c r="N170" s="300"/>
      <c r="O170" s="591"/>
      <c r="P170" s="592"/>
      <c r="Q170" s="591"/>
    </row>
    <row r="171" spans="1:24" ht="14" x14ac:dyDescent="0.3">
      <c r="A171" s="496" t="s">
        <v>237</v>
      </c>
      <c r="B171" s="595">
        <f>VLOOKUP(B169,A200:K214,9,FALSE)</f>
        <v>2020</v>
      </c>
      <c r="C171" s="595" t="str">
        <f>VLOOKUP(B169,A200:K214,10,FALSE)</f>
        <v>-</v>
      </c>
      <c r="D171" s="595"/>
      <c r="E171" s="1354"/>
      <c r="F171" s="545"/>
      <c r="G171" s="600"/>
      <c r="H171" s="601">
        <f>IF(G172&lt;=$A$173,$A$172,IF(G172&lt;=$A$174,$A$173,IF(G172&lt;=$A$175,$A$174,IF(G172&lt;=$A$176,$A$175,IF(G172&lt;=$A$177,$A$176,IF(G172&lt;=$A$178,$A$177,IF(G172&lt;=$A$179,$A$178,IF(G172&lt;=$A$180,$A$179))))))))</f>
        <v>0</v>
      </c>
      <c r="I171" s="601"/>
      <c r="J171" s="603">
        <f>IF(G172&lt;=$A$173,$D$172,IF(G172&lt;=$A$174,$D$173,IF(G172&lt;=$A$175,$D$174,IF(G172&lt;=$A$176,$D$175,IF(G172&lt;=$A$177,$D$176,IF(G172&lt;=$A$178,$D$177,IF(G172&lt;=$A$179,$D$178,IF(G172&lt;=$A$180,$D$179))))))))</f>
        <v>0</v>
      </c>
      <c r="K171" s="1355"/>
      <c r="L171" s="545"/>
      <c r="M171" s="545"/>
      <c r="N171" s="300"/>
      <c r="O171" s="573"/>
      <c r="P171" s="573"/>
      <c r="Q171" s="573"/>
    </row>
    <row r="172" spans="1:24" ht="13" x14ac:dyDescent="0.3">
      <c r="A172" s="596">
        <f>VLOOKUP(A169,B92:G106,2)</f>
        <v>0</v>
      </c>
      <c r="B172" s="596">
        <f>VLOOKUP(A169,B92:G106,3,FALSE)</f>
        <v>0</v>
      </c>
      <c r="C172" s="596" t="str">
        <f>VLOOKUP($A$169,B92:G106,4,FALSE)</f>
        <v>-</v>
      </c>
      <c r="D172" s="596">
        <f>VLOOKUP($A$169,B92:G106,5,FALSE)</f>
        <v>0</v>
      </c>
      <c r="E172" s="596">
        <f>VLOOKUP($A$169,B92:G106,6,FALSE)</f>
        <v>0</v>
      </c>
      <c r="F172" s="545"/>
      <c r="G172" s="606">
        <f>A195</f>
        <v>20</v>
      </c>
      <c r="H172" s="601"/>
      <c r="I172" s="607">
        <f>((G172-H171)/(H173-H171)*(J173-J171)+J171)</f>
        <v>0</v>
      </c>
      <c r="J172" s="603"/>
      <c r="K172" s="563"/>
      <c r="L172" s="545"/>
      <c r="M172" s="545"/>
      <c r="N172" s="300"/>
      <c r="O172" s="573"/>
      <c r="P172" s="573"/>
      <c r="Q172" s="573"/>
    </row>
    <row r="173" spans="1:24" ht="13.5" thickBot="1" x14ac:dyDescent="0.35">
      <c r="A173" s="596">
        <f>VLOOKUP(A169,B107:G121,2)</f>
        <v>60</v>
      </c>
      <c r="B173" s="596">
        <f>VLOOKUP(A169,B107:G121,3,FALSE)</f>
        <v>-0.02</v>
      </c>
      <c r="C173" s="596" t="str">
        <f>VLOOKUP($A$169,B107:G121,4,FALSE)</f>
        <v>-</v>
      </c>
      <c r="D173" s="596">
        <f>VLOOKUP($A$169,B107:G121,5,FALSE)</f>
        <v>0</v>
      </c>
      <c r="E173" s="596">
        <f>VLOOKUP($A$169,B107:G121,6,FALSE)</f>
        <v>0.12</v>
      </c>
      <c r="F173" s="545"/>
      <c r="G173" s="608"/>
      <c r="H173" s="609">
        <f>IF(G172&lt;=$A$173,$A$173,IF(G172&lt;=$A$174,$A$174,IF(G172&lt;=$A$175,$A$175,IF(G172&lt;=$A$176,$A$176,IF(G172&lt;=$A$177,$A$177,IF(G172&lt;=$A$178,$A$178,IF(G172&lt;=$A$179,$A$179,IF(G172&lt;=$A$180,$A$180))))))))</f>
        <v>60</v>
      </c>
      <c r="I173" s="609"/>
      <c r="J173" s="611">
        <f>IF(G172&lt;=$A$173,$D$173,IF(G172&lt;=$A$174,$D$174,IF(G172&lt;=$A$175,$D$175,IF(G172&lt;=$A$176,$D$176,IF(G172&lt;=$A$177,$D$177,IF(G172&lt;=$A$178,$D$178,IF(G172&lt;=$A$179,$D$179,IF(G172&lt;=$A$180,$D$180))))))))</f>
        <v>0</v>
      </c>
      <c r="K173" s="563"/>
      <c r="L173" s="545"/>
      <c r="M173" s="545"/>
      <c r="N173" s="300"/>
      <c r="O173" s="573"/>
      <c r="P173" s="573"/>
      <c r="Q173" s="573"/>
    </row>
    <row r="174" spans="1:24" ht="13.5" thickBot="1" x14ac:dyDescent="0.35">
      <c r="A174" s="596">
        <f>VLOOKUP(A169,B122:G136,2)</f>
        <v>300</v>
      </c>
      <c r="B174" s="596">
        <f>VLOOKUP(A169,B122:G136,3,FALSE)</f>
        <v>-0.02</v>
      </c>
      <c r="C174" s="596" t="str">
        <f>VLOOKUP($A$169,B122:G136,4,FALSE)</f>
        <v>-</v>
      </c>
      <c r="D174" s="596">
        <f>VLOOKUP($A$169,B122:G136,5,FALSE)</f>
        <v>0</v>
      </c>
      <c r="E174" s="596">
        <f>VLOOKUP($A$169,B122:G136,6,FALSE)</f>
        <v>0.12</v>
      </c>
      <c r="F174" s="545"/>
      <c r="G174" s="563"/>
      <c r="H174" s="563"/>
      <c r="I174" s="563"/>
      <c r="J174" s="563"/>
      <c r="K174" s="563"/>
      <c r="L174" s="300"/>
      <c r="M174" s="300"/>
      <c r="N174" s="300"/>
      <c r="O174" s="573"/>
      <c r="P174" s="573"/>
      <c r="Q174" s="573"/>
    </row>
    <row r="175" spans="1:24" ht="15" x14ac:dyDescent="0.3">
      <c r="A175" s="596">
        <f>VLOOKUP(A169,B137:G151,2)</f>
        <v>600</v>
      </c>
      <c r="B175" s="596">
        <f>VLOOKUP(A169,B137:G151,3,FALSE)</f>
        <v>-0.02</v>
      </c>
      <c r="C175" s="596" t="str">
        <f>VLOOKUP($A$169,B137:G151,4,FALSE)</f>
        <v>-</v>
      </c>
      <c r="D175" s="596">
        <f>VLOOKUP($A$169,B137:G151,5,FALSE)</f>
        <v>0</v>
      </c>
      <c r="E175" s="596">
        <f>VLOOKUP($A$169,B137:G151,6,FALSE)</f>
        <v>0.12</v>
      </c>
      <c r="F175" s="545"/>
      <c r="G175" s="1339" t="s">
        <v>342</v>
      </c>
      <c r="H175" s="1340"/>
      <c r="I175" s="1340"/>
      <c r="J175" s="1341"/>
      <c r="K175" s="563"/>
      <c r="L175" s="300"/>
      <c r="M175" s="300"/>
      <c r="N175" s="300"/>
      <c r="O175" s="573"/>
      <c r="P175" s="573"/>
      <c r="Q175" s="573"/>
    </row>
    <row r="176" spans="1:24" ht="13" x14ac:dyDescent="0.3">
      <c r="A176" s="596">
        <f>VLOOKUP(A169,B152:G166,2)</f>
        <v>900</v>
      </c>
      <c r="B176" s="596">
        <f>VLOOKUP(A169,B152:G166,3,FALSE)</f>
        <v>-0.03</v>
      </c>
      <c r="C176" s="596" t="str">
        <f>VLOOKUP($A$169,B152:G166,4,FALSE)</f>
        <v>-</v>
      </c>
      <c r="D176" s="596">
        <f>VLOOKUP($A$169,B152:G166,5,FALSE)</f>
        <v>0</v>
      </c>
      <c r="E176" s="596">
        <f>VLOOKUP($A$169,B152:G166,6,FALSE)</f>
        <v>0.12</v>
      </c>
      <c r="F176" s="545"/>
      <c r="G176" s="600"/>
      <c r="H176" s="601">
        <f>IF(G177&lt;=$A$173,$A$172,IF(G177&lt;=$A$174,$A$173,IF(G177&lt;=$A$175,$A$174,IF(G177&lt;=$A$176,$A$175,IF(G177&lt;=$A$177,$A$176,IF(G177&lt;=$A$178,$A$177,IF(G177&lt;=$A$179,$A$178,IF(G177&lt;=$A$180,$A$179))))))))</f>
        <v>0</v>
      </c>
      <c r="I176" s="601"/>
      <c r="J176" s="603">
        <f>IF(G177&lt;=$A$173,$D$172,IF(G177&lt;=$A$174,$D$173,IF(G177&lt;=$A$175,$D$174,IF(G177&lt;=$A$176,$D$175,IF(G177&lt;=$A$177,$D$176,IF(G177&lt;=$A$178,$D$177,IF(G177&lt;=$A$179,$D$178,IF(G177&lt;=$A$180,$D$179))))))))</f>
        <v>0</v>
      </c>
      <c r="K176" s="563"/>
      <c r="L176" s="300"/>
      <c r="M176" s="300"/>
      <c r="N176" s="300"/>
      <c r="O176" s="573"/>
      <c r="P176" s="573"/>
      <c r="Q176" s="573"/>
    </row>
    <row r="177" spans="1:17" ht="13" x14ac:dyDescent="0.3">
      <c r="A177" s="596">
        <f>VLOOKUP(A169,K92:P106,2)</f>
        <v>1200</v>
      </c>
      <c r="B177" s="596">
        <f>VLOOKUP(A169,K92:P106,3,FALSE)</f>
        <v>-0.03</v>
      </c>
      <c r="C177" s="596" t="str">
        <f>VLOOKUP($A$169,K92:P106,4,FALSE)</f>
        <v>-</v>
      </c>
      <c r="D177" s="596">
        <f>VLOOKUP($A$169,K92:P106,5,FALSE)</f>
        <v>0</v>
      </c>
      <c r="E177" s="596">
        <f>VLOOKUP($A$169,K92:P106,6,FALSE)</f>
        <v>0.12</v>
      </c>
      <c r="F177" s="545"/>
      <c r="G177" s="606">
        <f>A196</f>
        <v>20</v>
      </c>
      <c r="H177" s="601"/>
      <c r="I177" s="607">
        <f>((G177-H176)/(H178-H176)*(J178-J176)+J176)</f>
        <v>0</v>
      </c>
      <c r="J177" s="603"/>
      <c r="K177" s="597"/>
      <c r="L177" s="300"/>
      <c r="M177" s="300"/>
      <c r="N177" s="300"/>
      <c r="O177" s="573"/>
      <c r="P177" s="573"/>
      <c r="Q177" s="573"/>
    </row>
    <row r="178" spans="1:17" ht="13.5" thickBot="1" x14ac:dyDescent="0.35">
      <c r="A178" s="596">
        <f>VLOOKUP(A169,K107:P121,2)</f>
        <v>0</v>
      </c>
      <c r="B178" s="596">
        <f>VLOOKUP(A169,K107:P121,3,FALSE)</f>
        <v>0</v>
      </c>
      <c r="C178" s="596" t="str">
        <f>VLOOKUP($A$169,K107:P121,4,FALSE)</f>
        <v>-</v>
      </c>
      <c r="D178" s="596">
        <f>VLOOKUP($A$169,K107:P121,5,FALSE)</f>
        <v>0</v>
      </c>
      <c r="E178" s="596">
        <f>VLOOKUP($A$169,K107:P121,6,FALSE)</f>
        <v>0</v>
      </c>
      <c r="F178" s="545"/>
      <c r="G178" s="608"/>
      <c r="H178" s="609">
        <f>IF(G177&lt;=$A$173,$A$173,IF(G177&lt;=$A$174,$A$174,IF(G177&lt;=$A$175,$A$175,IF(G177&lt;=$A$176,$A$176,IF(G177&lt;=$A$177,$A$177,IF(G177&lt;=$A$178,$A$178,IF(G177&lt;=$A$179,$A$179,IF(G177&lt;=$A$180,$A$180))))))))</f>
        <v>60</v>
      </c>
      <c r="I178" s="609"/>
      <c r="J178" s="611">
        <f>IF(G177&lt;=$A$173,$D$173,IF(G177&lt;=$A$174,$D$174,IF(G177&lt;=$A$175,$D$175,IF(G177&lt;=$A$176,$D$176,IF(G177&lt;=$A$177,$D$177,IF(G177&lt;=$A$178,$D$178,IF(G177&lt;=$A$179,$D$179,IF(G177&lt;=$A$180,$D$180))))))))</f>
        <v>0</v>
      </c>
      <c r="K178" s="597"/>
      <c r="L178" s="300"/>
      <c r="M178" s="300"/>
      <c r="N178" s="300"/>
      <c r="O178" s="573"/>
      <c r="P178" s="573"/>
      <c r="Q178" s="573"/>
    </row>
    <row r="179" spans="1:17" ht="13.5" thickBot="1" x14ac:dyDescent="0.35">
      <c r="A179" s="596">
        <f>VLOOKUP(A169,K122:P136,2)</f>
        <v>0</v>
      </c>
      <c r="B179" s="596">
        <f>VLOOKUP(A169,K122:P136,3,FALSE)</f>
        <v>0</v>
      </c>
      <c r="C179" s="596" t="str">
        <f>VLOOKUP($A$169,K122:P136,4,FALSE)</f>
        <v>-</v>
      </c>
      <c r="D179" s="596">
        <f>VLOOKUP($A$169,K122:P136,5,FALSE)</f>
        <v>0</v>
      </c>
      <c r="E179" s="596">
        <f>VLOOKUP($A$169,K122:P136,6,FALSE)</f>
        <v>0</v>
      </c>
      <c r="F179" s="545"/>
      <c r="G179" s="563"/>
      <c r="H179" s="597"/>
      <c r="I179" s="597"/>
      <c r="J179" s="597"/>
      <c r="K179" s="597"/>
      <c r="L179" s="300"/>
      <c r="M179" s="300"/>
      <c r="N179" s="300"/>
      <c r="O179" s="573"/>
      <c r="P179" s="573"/>
      <c r="Q179" s="573"/>
    </row>
    <row r="180" spans="1:17" ht="15" x14ac:dyDescent="0.3">
      <c r="A180" s="596">
        <f>VLOOKUP(A169,K137:P151,2)</f>
        <v>0</v>
      </c>
      <c r="B180" s="596">
        <f>VLOOKUP(A169,K137:P151,3,FALSE)</f>
        <v>0</v>
      </c>
      <c r="C180" s="596" t="str">
        <f>VLOOKUP($A$169,K137:P151,4,FALSE)</f>
        <v>-</v>
      </c>
      <c r="D180" s="596">
        <f>VLOOKUP($A$169,K137:P151,5,FALSE)</f>
        <v>0</v>
      </c>
      <c r="E180" s="596">
        <f>VLOOKUP($A$169,K137:P151,6,FALSE)</f>
        <v>0</v>
      </c>
      <c r="F180" s="545"/>
      <c r="G180" s="1339" t="s">
        <v>340</v>
      </c>
      <c r="H180" s="1340"/>
      <c r="I180" s="1340"/>
      <c r="J180" s="1341"/>
      <c r="K180" s="597"/>
      <c r="L180" s="300"/>
      <c r="M180" s="300"/>
      <c r="N180" s="300"/>
      <c r="O180" s="573"/>
      <c r="P180" s="573"/>
      <c r="Q180" s="573"/>
    </row>
    <row r="181" spans="1:17" ht="13.5" thickBot="1" x14ac:dyDescent="0.35">
      <c r="A181" s="598"/>
      <c r="B181" s="590"/>
      <c r="C181" s="590"/>
      <c r="D181" s="590"/>
      <c r="E181" s="590"/>
      <c r="F181" s="545"/>
      <c r="G181" s="600"/>
      <c r="H181" s="601">
        <f>IF(G182&lt;=$A$173,$A$172,IF(G182&lt;=$A$174,$A$173,IF(G182&lt;=$A$175,$A$174,IF(G182&lt;=$A$176,$A$175,IF(G182&lt;=$A$177,$A$176,IF(G182&lt;=$A$178,$A$177,IF(G182&lt;=$A$179,$A$178,IF(G182&lt;=$A$180,$A$179))))))))</f>
        <v>300</v>
      </c>
      <c r="I181" s="601"/>
      <c r="J181" s="603">
        <f>IF(G182&lt;=$A$173,$D$172,IF(G182&lt;=$A$174,$D$173,IF(G182&lt;=$A$175,$D$174,IF(G182&lt;=$A$176,$D$175,IF(G182&lt;=$A$177,$D$176,IF(G182&lt;=$A$178,$D$177,IF(G182&lt;=$A$179,$D$178,IF(G182&lt;=$A$180,$D$179))))))))</f>
        <v>0</v>
      </c>
      <c r="K181" s="597"/>
      <c r="L181" s="300"/>
      <c r="M181" s="300"/>
      <c r="N181" s="300"/>
      <c r="O181" s="573"/>
      <c r="P181" s="573"/>
      <c r="Q181" s="573"/>
    </row>
    <row r="182" spans="1:17" ht="13" x14ac:dyDescent="0.3">
      <c r="A182" s="1336" t="s">
        <v>343</v>
      </c>
      <c r="B182" s="1337"/>
      <c r="C182" s="1337"/>
      <c r="D182" s="1338"/>
      <c r="E182" s="599"/>
      <c r="G182" s="606">
        <f>B194</f>
        <v>301</v>
      </c>
      <c r="H182" s="601"/>
      <c r="I182" s="607">
        <f>((G182-H181)/(H183-H181)*(J183-J181)+J181)</f>
        <v>0</v>
      </c>
      <c r="J182" s="603"/>
      <c r="K182" s="591"/>
      <c r="P182" s="573"/>
      <c r="Q182" s="573"/>
    </row>
    <row r="183" spans="1:17" ht="13.5" thickBot="1" x14ac:dyDescent="0.35">
      <c r="A183" s="600"/>
      <c r="B183" s="601">
        <f>IF(A184&lt;=$A$173,$A$172,IF(A184&lt;=$A$174,$A$173,IF(A184&lt;=$A$175,$A$174,IF(A184&lt;=$A$176,$A$175,IF(A184&lt;=$A$177,$A$176,IF(A184&lt;=$A$178,$A$177,IF(A184&lt;=$A$179,$A$178,IF(A184&lt;=$A$180,$A$179))))))))</f>
        <v>300</v>
      </c>
      <c r="C183" s="601"/>
      <c r="D183" s="603">
        <f>IF(A184&lt;=$A$173,$B$172,IF(A184&lt;=$A$174,$B$173,IF(A184&lt;=$A$175,$B$174,IF(A184&lt;=$A$176,$B$175,IF(A184&lt;=$A$177,$B$176,IF(A184&lt;=$A$178,$B$177,IF(A184&lt;=$A$179,$B$178,IF(A184&lt;=$A$180,$B$179))))))))</f>
        <v>-0.02</v>
      </c>
      <c r="E183" s="300"/>
      <c r="G183" s="608"/>
      <c r="H183" s="609">
        <f>IF(G182&lt;=$A$173,$A$173,IF(G182&lt;=$A$174,$A$174,IF(G182&lt;=$A$175,$A$175,IF(G182&lt;=$A$176,$A$176,IF(G182&lt;=$A$177,$A$177,IF(G182&lt;=$A$178,$A$178,IF(G182&lt;=$A$179,$A$179,IF(G182&lt;=$A$180,$A$180))))))))</f>
        <v>600</v>
      </c>
      <c r="I183" s="609"/>
      <c r="J183" s="611">
        <f>IF(G182&lt;=$A$173,$D$173,IF(G182&lt;=$A$174,$D$174,IF(G182&lt;=$A$175,$D$175,IF(G182&lt;=$A$176,$D$176,IF(G182&lt;=$A$177,$D$177,IF(G182&lt;=$A$178,$D$178,IF(G182&lt;=$A$179,$D$179,IF(G182&lt;=$A$180,$D$180))))))))</f>
        <v>0</v>
      </c>
      <c r="K183" s="591"/>
    </row>
    <row r="184" spans="1:17" ht="13" x14ac:dyDescent="0.3">
      <c r="A184" s="606">
        <f>B194</f>
        <v>301</v>
      </c>
      <c r="B184" s="601"/>
      <c r="C184" s="607">
        <f>((A184-B183)/(B185-B183)*(D185-D183)+D183)</f>
        <v>-0.02</v>
      </c>
      <c r="D184" s="602"/>
      <c r="E184" s="300"/>
      <c r="J184" s="300"/>
      <c r="K184" s="591"/>
    </row>
    <row r="185" spans="1:17" ht="13.5" thickBot="1" x14ac:dyDescent="0.35">
      <c r="A185" s="608"/>
      <c r="B185" s="609">
        <f>IF(A184&lt;=$A$173,$A$173,IF(A184&lt;=$A$174,$A$174,IF(A184&lt;=$A$175,$A$175,IF(A184&lt;=$A$176,$A$176,IF(A184&lt;=$A$177,$A$177,IF(A184&lt;=$A$178,$A$178,IF(A184&lt;=$A$179,$A$179,IF(A184&lt;=$A$180,$A$180))))))))</f>
        <v>600</v>
      </c>
      <c r="C185" s="609"/>
      <c r="D185" s="610">
        <f>IF(A184&lt;=$A$173,$B$173,IF(A184&lt;=$A$174,$B$174,IF(A184&lt;=$A$175,$B$175,IF(A184&lt;=$A$176,$B$176,IF(A184&lt;=$A$177,$B$177,IF(A184&lt;=$A$178,$B$178,IF(A184&lt;=$A$179,$B$179,IF(A184&lt;=$A$180,$B$180))))))))</f>
        <v>-0.02</v>
      </c>
      <c r="E185" s="300"/>
      <c r="J185" s="300"/>
      <c r="K185" s="591"/>
      <c r="P185" s="573"/>
      <c r="Q185" s="573"/>
    </row>
    <row r="186" spans="1:17" ht="13.5" thickBot="1" x14ac:dyDescent="0.35">
      <c r="A186" s="612"/>
      <c r="B186" s="604"/>
      <c r="C186" s="604"/>
      <c r="D186" s="604"/>
      <c r="E186" s="300"/>
      <c r="F186" s="591"/>
      <c r="G186" s="604"/>
      <c r="H186" s="604"/>
      <c r="I186" s="605"/>
      <c r="J186" s="300"/>
      <c r="K186" s="591"/>
      <c r="L186" s="604"/>
      <c r="M186" s="604"/>
      <c r="N186" s="605"/>
      <c r="P186" s="573"/>
      <c r="Q186" s="573"/>
    </row>
    <row r="187" spans="1:17" ht="13" x14ac:dyDescent="0.3">
      <c r="A187" s="1336" t="s">
        <v>344</v>
      </c>
      <c r="B187" s="1337"/>
      <c r="C187" s="1337"/>
      <c r="D187" s="1338"/>
      <c r="E187" s="300"/>
      <c r="F187" s="300"/>
      <c r="G187" s="1336" t="s">
        <v>345</v>
      </c>
      <c r="H187" s="1337"/>
      <c r="I187" s="1337"/>
      <c r="J187" s="1338"/>
      <c r="P187" s="613"/>
      <c r="Q187" s="573"/>
    </row>
    <row r="188" spans="1:17" ht="13" x14ac:dyDescent="0.3">
      <c r="A188" s="600"/>
      <c r="B188" s="601">
        <f>IF(A189&lt;=$A$173,$A$172,IF(A189&lt;=$A$174,$A$173,IF(A189&lt;=$A$175,$A$174,IF(A189&lt;=$A$176,$A$175,IF(A189&lt;=$A$177,$A$176,IF(A189&lt;=$A$178,$A$177,IF(A189&lt;=$A$179,$A$178,IF(A189&lt;=$A$180,$A$179))))))))</f>
        <v>0</v>
      </c>
      <c r="C188" s="601"/>
      <c r="D188" s="603">
        <f>IF(A189&lt;=$A$173,$B$172,IF(A189&lt;=$A$174,$B$173,IF(A189&lt;=$A$175,$B$174,IF(A189&lt;=$A$176,$B$175,IF(A189&lt;=$A$177,$B$176,IF(A189&lt;=$A$178,$B$177,IF(A189&lt;=$A$179,$B$178,IF(A189&lt;=$A$180,$B$179))))))))</f>
        <v>0</v>
      </c>
      <c r="E188" s="300"/>
      <c r="F188" s="300"/>
      <c r="G188" s="600"/>
      <c r="H188" s="601">
        <f>IF(G189&lt;=$A$173,$A$172,IF(G189&lt;=$A$174,$A$173,IF(G189&lt;=$A$175,$A$174,IF(G189&lt;=$A$176,$A$175,IF(G189&lt;=$A$177,$A$176,IF(G189&lt;=$A$178,$A$177,IF(G189&lt;=$A$179,$A$178,IF(G189&lt;=$A$180,$A$179))))))))</f>
        <v>0</v>
      </c>
      <c r="I188" s="601"/>
      <c r="J188" s="603">
        <f>IF(G189&lt;=$A$173,$B$172,IF(G189&lt;=$A$174,$B$173,IF(G189&lt;=$A$175,$B$174,IF(G189&lt;=$A$176,$B$175,IF(G189&lt;=$A$177,$B$176,IF(G189&lt;=$A$178,$B$177,IF(G189&lt;=$A$179,$B$178,IF(G189&lt;=$A$180,$B$179))))))))</f>
        <v>0</v>
      </c>
      <c r="P188" s="613"/>
      <c r="Q188" s="573"/>
    </row>
    <row r="189" spans="1:17" ht="13" x14ac:dyDescent="0.3">
      <c r="A189" s="606">
        <f>B195</f>
        <v>20.08666666666667</v>
      </c>
      <c r="B189" s="601"/>
      <c r="C189" s="607">
        <f>((A189-B188)/(B190-B188)*(D190-D188)+D188)</f>
        <v>-6.695555555555557E-3</v>
      </c>
      <c r="D189" s="602"/>
      <c r="E189" s="300"/>
      <c r="F189" s="300"/>
      <c r="G189" s="606">
        <f>B196</f>
        <v>20.246666666666666</v>
      </c>
      <c r="H189" s="601"/>
      <c r="I189" s="607">
        <f>((G189-H188)/(H190-H188)*(J190-J188)+J188)</f>
        <v>-6.7488888888888885E-3</v>
      </c>
      <c r="J189" s="602"/>
      <c r="P189" s="613"/>
      <c r="Q189" s="573"/>
    </row>
    <row r="190" spans="1:17" ht="13.5" thickBot="1" x14ac:dyDescent="0.35">
      <c r="A190" s="608"/>
      <c r="B190" s="609">
        <f>IF(A189&lt;=$A$173,$A$173,IF(A189&lt;=$A$174,$A$174,IF(A189&lt;=$A$175,$A$175,IF(A189&lt;=$A$176,$A$176,IF(A189&lt;=$A$177,$A$177,IF(A189&lt;=$A$178,$A$178,IF(A189&lt;=$A$179,$A$179,IF(A189&lt;=$A$180,$A$180))))))))</f>
        <v>60</v>
      </c>
      <c r="C190" s="609"/>
      <c r="D190" s="610">
        <f>IF(A189&lt;=$A$173,$B$173,IF(A189&lt;=$A$174,$B$174,IF(A189&lt;=$A$175,$B$175,IF(A189&lt;=$A$176,$B$176,IF(A189&lt;=$A$177,$B$177,IF(A189&lt;=$A$178,$B$178,IF(A189&lt;=$A$179,$B$179,IF(A189&lt;=$A$180,$B$180))))))))</f>
        <v>-0.02</v>
      </c>
      <c r="E190" s="300"/>
      <c r="F190" s="300"/>
      <c r="G190" s="608"/>
      <c r="H190" s="609">
        <f>IF(G189&lt;=$A$173,$A$173,IF(G189&lt;=$A$174,$A$174,IF(G189&lt;=$A$175,$A$175,IF(G189&lt;=$A$176,$A$176,IF(G189&lt;=$A$177,$A$177,IF(G189&lt;=$A$178,$A$178,IF(G189&lt;=$A$179,$A$179,IF(G189&lt;=$A$180,$A$180))))))))</f>
        <v>60</v>
      </c>
      <c r="I190" s="609"/>
      <c r="J190" s="610">
        <f>IF(G189&lt;=$A$173,$B$173,IF(G189&lt;=$A$174,$B$174,IF(G189&lt;=$A$175,$B$175,IF(G189&lt;=$A$176,$B$176,IF(G189&lt;=$A$177,$B$177,IF(G189&lt;=$A$178,$B$178,IF(G189&lt;=$A$179,$B$179,IF(G189&lt;=$A$180,$B$180))))))))</f>
        <v>-0.02</v>
      </c>
      <c r="P190" s="613"/>
      <c r="Q190" s="573"/>
    </row>
    <row r="191" spans="1:17" ht="13" x14ac:dyDescent="0.3">
      <c r="A191" s="599"/>
      <c r="B191" s="300"/>
      <c r="C191" s="300"/>
      <c r="D191" s="300"/>
      <c r="E191" s="300"/>
      <c r="F191" s="300"/>
      <c r="G191" s="300"/>
      <c r="H191" s="300"/>
      <c r="I191" s="300"/>
      <c r="J191" s="300"/>
      <c r="P191" s="613"/>
      <c r="Q191" s="573"/>
    </row>
    <row r="192" spans="1:17" ht="13.5" thickBot="1" x14ac:dyDescent="0.35">
      <c r="A192" s="599"/>
      <c r="B192" s="300"/>
      <c r="C192" s="300"/>
      <c r="D192" s="300"/>
      <c r="E192" s="300"/>
      <c r="F192" s="300"/>
      <c r="G192" s="300"/>
      <c r="H192" s="300"/>
      <c r="I192" s="300"/>
      <c r="J192" s="300"/>
      <c r="P192" s="613"/>
      <c r="Q192" s="573"/>
    </row>
    <row r="193" spans="1:24" ht="48.75" customHeight="1" thickBot="1" x14ac:dyDescent="0.35">
      <c r="A193" s="644" t="s">
        <v>136</v>
      </c>
      <c r="B193" s="664" t="s">
        <v>190</v>
      </c>
      <c r="C193" s="665" t="s">
        <v>191</v>
      </c>
      <c r="D193" s="665" t="s">
        <v>33</v>
      </c>
      <c r="E193" s="665" t="s">
        <v>243</v>
      </c>
      <c r="F193" s="664" t="s">
        <v>244</v>
      </c>
      <c r="G193" s="665" t="s">
        <v>30</v>
      </c>
      <c r="H193" s="666" t="s">
        <v>316</v>
      </c>
      <c r="I193" s="667" t="s">
        <v>245</v>
      </c>
      <c r="J193" s="668" t="s">
        <v>246</v>
      </c>
      <c r="K193" s="671" t="s">
        <v>259</v>
      </c>
      <c r="L193" s="300"/>
      <c r="M193" s="300"/>
      <c r="N193" s="300"/>
      <c r="O193" s="573"/>
      <c r="P193" s="573"/>
      <c r="Q193" s="573"/>
    </row>
    <row r="194" spans="1:24" ht="13.5" thickBot="1" x14ac:dyDescent="0.3">
      <c r="A194" s="645">
        <f>ID!D41</f>
        <v>300</v>
      </c>
      <c r="B194" s="658">
        <f>ID!K41</f>
        <v>301</v>
      </c>
      <c r="C194" s="659">
        <f>B194+C184</f>
        <v>300.98</v>
      </c>
      <c r="D194" s="658">
        <f>STDEV(ID!E41:J41)</f>
        <v>1</v>
      </c>
      <c r="E194" s="659">
        <f>A194-C194</f>
        <v>-0.98000000000001819</v>
      </c>
      <c r="F194" s="659">
        <f>(E194/A194)*100</f>
        <v>-0.32666666666667271</v>
      </c>
      <c r="G194" s="660">
        <f>PENYELIA!E39-PENYELIA!D39</f>
        <v>0.98000000000001819</v>
      </c>
      <c r="H194" s="661">
        <f>(C194-A194)/A194*100</f>
        <v>0.32666666666667271</v>
      </c>
      <c r="I194" s="662">
        <f>E175</f>
        <v>0.12</v>
      </c>
      <c r="J194" s="669">
        <f>0.5*0.1</f>
        <v>0.05</v>
      </c>
      <c r="K194" s="663">
        <f>IF(C174="-",1/3*I194,I182)</f>
        <v>3.9999999999999994E-2</v>
      </c>
      <c r="L194" s="545"/>
      <c r="M194" s="545"/>
      <c r="N194" s="545"/>
    </row>
    <row r="195" spans="1:24" ht="13.5" thickBot="1" x14ac:dyDescent="0.3">
      <c r="A195" s="645">
        <f>ID!D42</f>
        <v>20</v>
      </c>
      <c r="B195" s="658">
        <f>ID!K42</f>
        <v>20.08666666666667</v>
      </c>
      <c r="C195" s="659">
        <f>B195+C185</f>
        <v>20.08666666666667</v>
      </c>
      <c r="D195" s="658">
        <f>STDEV(ID!E42:J42)</f>
        <v>6.8068592855539706E-2</v>
      </c>
      <c r="E195" s="659">
        <f t="shared" ref="E195:E196" si="132">A195-C195</f>
        <v>-8.6666666666669556E-2</v>
      </c>
      <c r="F195" s="659">
        <f>(E195/A195)*100</f>
        <v>-0.43333333333334778</v>
      </c>
      <c r="G195" s="660">
        <f>PENYELIA!E42-PENYELIA!D42</f>
        <v>0</v>
      </c>
      <c r="H195" s="661">
        <f>(C195-A195)/A195*100</f>
        <v>0.43333333333334778</v>
      </c>
      <c r="I195" s="662">
        <f>E174</f>
        <v>0.12</v>
      </c>
      <c r="J195" s="670">
        <f t="shared" ref="J195:J196" si="133">0.5*0.1</f>
        <v>0.05</v>
      </c>
      <c r="K195" s="663">
        <f>IF(C175="-",1/3*I195,I172)</f>
        <v>3.9999999999999994E-2</v>
      </c>
      <c r="L195" s="545"/>
      <c r="M195" s="545"/>
      <c r="N195" s="545"/>
    </row>
    <row r="196" spans="1:24" ht="13.5" thickBot="1" x14ac:dyDescent="0.3">
      <c r="A196" s="645">
        <f>ID!D43</f>
        <v>20</v>
      </c>
      <c r="B196" s="658">
        <f>ID!K43</f>
        <v>20.246666666666666</v>
      </c>
      <c r="C196" s="659">
        <f>B196+C186</f>
        <v>20.246666666666666</v>
      </c>
      <c r="D196" s="658">
        <f>STDEV(ID!E43:J43)</f>
        <v>5.5075705472860274E-2</v>
      </c>
      <c r="E196" s="659">
        <f t="shared" si="132"/>
        <v>-0.24666666666666615</v>
      </c>
      <c r="F196" s="659">
        <f t="shared" ref="F196" si="134">(E196/A196)*100</f>
        <v>-1.2333333333333307</v>
      </c>
      <c r="G196" s="660">
        <f>PENYELIA!E43-PENYELIA!D43</f>
        <v>0</v>
      </c>
      <c r="H196" s="661">
        <f t="shared" ref="H196" si="135">(C196-A196)/A196*100</f>
        <v>1.2333333333333307</v>
      </c>
      <c r="I196" s="662">
        <f>E175</f>
        <v>0.12</v>
      </c>
      <c r="J196" s="669">
        <f t="shared" si="133"/>
        <v>0.05</v>
      </c>
      <c r="K196" s="663">
        <f>IF(C176="-",1/3*I196,I177)</f>
        <v>3.9999999999999994E-2</v>
      </c>
      <c r="L196" s="545"/>
      <c r="M196" s="545"/>
      <c r="N196" s="545"/>
    </row>
    <row r="197" spans="1:24" x14ac:dyDescent="0.25">
      <c r="K197" s="545"/>
      <c r="L197" s="545"/>
      <c r="M197" s="545"/>
      <c r="N197" s="545"/>
    </row>
    <row r="198" spans="1:24" ht="13" thickBot="1" x14ac:dyDescent="0.3"/>
    <row r="199" spans="1:24" ht="15" thickBot="1" x14ac:dyDescent="0.35">
      <c r="A199" s="614" t="str">
        <f>ID!B55</f>
        <v>Stopwatch, Merek : EXTECH, Model : 365535, SN :001382</v>
      </c>
      <c r="B199" s="615"/>
      <c r="C199" s="615"/>
      <c r="D199" s="615"/>
      <c r="E199" s="615"/>
      <c r="F199" s="615"/>
      <c r="G199" s="615"/>
      <c r="H199" s="615"/>
      <c r="I199" s="1342" t="s">
        <v>247</v>
      </c>
      <c r="J199" s="1343"/>
      <c r="K199" s="616"/>
      <c r="M199" s="1344">
        <f>A215</f>
        <v>7</v>
      </c>
      <c r="N199" s="1345"/>
      <c r="O199" s="1345"/>
      <c r="P199" s="1345"/>
      <c r="Q199" s="1345"/>
      <c r="R199" s="1345"/>
      <c r="S199" s="1345"/>
      <c r="T199" s="1345"/>
      <c r="U199" s="1345"/>
      <c r="V199" s="1345"/>
      <c r="W199" s="1345"/>
      <c r="X199" s="1346"/>
    </row>
    <row r="200" spans="1:24" ht="14" x14ac:dyDescent="0.3">
      <c r="A200" s="646" t="s">
        <v>248</v>
      </c>
      <c r="B200" s="617"/>
      <c r="C200" s="617"/>
      <c r="D200" s="617"/>
      <c r="E200" s="617"/>
      <c r="F200" s="617"/>
      <c r="G200" s="617"/>
      <c r="H200" s="617"/>
      <c r="I200" s="618">
        <f>B5</f>
        <v>2016</v>
      </c>
      <c r="J200" s="618">
        <f>C5</f>
        <v>2015</v>
      </c>
      <c r="K200" s="619">
        <v>1</v>
      </c>
      <c r="M200" s="647">
        <v>1</v>
      </c>
      <c r="N200" s="648" t="s">
        <v>398</v>
      </c>
      <c r="O200" s="620"/>
      <c r="P200" s="620"/>
      <c r="Q200" s="620"/>
      <c r="R200" s="620"/>
      <c r="S200" s="620"/>
      <c r="T200" s="620"/>
      <c r="U200" s="620"/>
      <c r="V200" s="620"/>
      <c r="W200" s="620"/>
      <c r="X200" s="621"/>
    </row>
    <row r="201" spans="1:24" ht="14" x14ac:dyDescent="0.3">
      <c r="A201" s="646" t="s">
        <v>249</v>
      </c>
      <c r="B201" s="622"/>
      <c r="C201" s="622"/>
      <c r="D201" s="622"/>
      <c r="E201" s="622"/>
      <c r="F201" s="622"/>
      <c r="G201" s="622"/>
      <c r="H201" s="622"/>
      <c r="I201" s="303">
        <f>H5</f>
        <v>2018</v>
      </c>
      <c r="J201" s="303">
        <f>I5</f>
        <v>2017</v>
      </c>
      <c r="K201" s="623">
        <v>2</v>
      </c>
      <c r="M201" s="647">
        <v>2</v>
      </c>
      <c r="N201" s="648" t="s">
        <v>398</v>
      </c>
      <c r="O201" s="620"/>
      <c r="P201" s="620"/>
      <c r="Q201" s="620"/>
      <c r="R201" s="620"/>
      <c r="S201" s="620"/>
      <c r="T201" s="620"/>
      <c r="U201" s="620"/>
      <c r="V201" s="620"/>
      <c r="W201" s="620"/>
      <c r="X201" s="621"/>
    </row>
    <row r="202" spans="1:24" ht="14" x14ac:dyDescent="0.3">
      <c r="A202" s="646" t="s">
        <v>250</v>
      </c>
      <c r="B202" s="624"/>
      <c r="C202" s="624"/>
      <c r="D202" s="624"/>
      <c r="E202" s="624"/>
      <c r="F202" s="624"/>
      <c r="G202" s="624"/>
      <c r="H202" s="624"/>
      <c r="I202" s="303">
        <f>N5</f>
        <v>2018</v>
      </c>
      <c r="J202" s="303">
        <f>O5</f>
        <v>2017</v>
      </c>
      <c r="K202" s="619">
        <v>3</v>
      </c>
      <c r="M202" s="647">
        <v>3</v>
      </c>
      <c r="N202" s="648" t="s">
        <v>398</v>
      </c>
      <c r="O202" s="620"/>
      <c r="P202" s="620"/>
      <c r="Q202" s="620"/>
      <c r="R202" s="620"/>
      <c r="S202" s="620"/>
      <c r="T202" s="620"/>
      <c r="U202" s="620"/>
      <c r="V202" s="620"/>
      <c r="W202" s="620"/>
      <c r="X202" s="621"/>
    </row>
    <row r="203" spans="1:24" ht="14" x14ac:dyDescent="0.3">
      <c r="A203" s="649" t="s">
        <v>251</v>
      </c>
      <c r="B203" s="624"/>
      <c r="C203" s="624"/>
      <c r="D203" s="624"/>
      <c r="E203" s="624"/>
      <c r="F203" s="624"/>
      <c r="G203" s="624"/>
      <c r="H203" s="624"/>
      <c r="I203" s="303">
        <f>B18</f>
        <v>2019</v>
      </c>
      <c r="J203" s="303">
        <f>C18</f>
        <v>2018</v>
      </c>
      <c r="K203" s="623">
        <v>4</v>
      </c>
      <c r="M203" s="647">
        <v>4</v>
      </c>
      <c r="N203" s="648" t="s">
        <v>399</v>
      </c>
      <c r="O203" s="620"/>
      <c r="P203" s="620"/>
      <c r="Q203" s="620"/>
      <c r="R203" s="620"/>
      <c r="S203" s="620"/>
      <c r="T203" s="620"/>
      <c r="U203" s="620"/>
      <c r="V203" s="620"/>
      <c r="W203" s="620"/>
      <c r="X203" s="621"/>
    </row>
    <row r="204" spans="1:24" ht="14" x14ac:dyDescent="0.3">
      <c r="A204" s="649" t="s">
        <v>317</v>
      </c>
      <c r="B204" s="624"/>
      <c r="C204" s="624"/>
      <c r="D204" s="624"/>
      <c r="E204" s="624"/>
      <c r="F204" s="624"/>
      <c r="G204" s="624"/>
      <c r="H204" s="624"/>
      <c r="I204" s="303">
        <f>H18</f>
        <v>2020</v>
      </c>
      <c r="J204" s="303" t="str">
        <f>I18</f>
        <v>-</v>
      </c>
      <c r="K204" s="619">
        <v>5</v>
      </c>
      <c r="M204" s="647">
        <v>5</v>
      </c>
      <c r="N204" s="648" t="s">
        <v>397</v>
      </c>
      <c r="O204" s="620"/>
      <c r="P204" s="620"/>
      <c r="Q204" s="620"/>
      <c r="R204" s="620"/>
      <c r="S204" s="620"/>
      <c r="T204" s="620"/>
      <c r="U204" s="620"/>
      <c r="V204" s="620"/>
      <c r="W204" s="620"/>
      <c r="X204" s="621"/>
    </row>
    <row r="205" spans="1:24" ht="14" x14ac:dyDescent="0.3">
      <c r="A205" s="649" t="s">
        <v>318</v>
      </c>
      <c r="B205" s="624"/>
      <c r="C205" s="624"/>
      <c r="D205" s="624"/>
      <c r="E205" s="624"/>
      <c r="F205" s="624"/>
      <c r="G205" s="624"/>
      <c r="H205" s="624"/>
      <c r="I205" s="303">
        <f>N18</f>
        <v>2020</v>
      </c>
      <c r="J205" s="303" t="str">
        <f>O18</f>
        <v>-</v>
      </c>
      <c r="K205" s="623">
        <v>6</v>
      </c>
      <c r="M205" s="647">
        <v>6</v>
      </c>
      <c r="N205" s="648" t="s">
        <v>397</v>
      </c>
      <c r="O205" s="620"/>
      <c r="P205" s="620"/>
      <c r="Q205" s="620"/>
      <c r="R205" s="620"/>
      <c r="S205" s="620"/>
      <c r="T205" s="620"/>
      <c r="U205" s="620"/>
      <c r="V205" s="620"/>
      <c r="W205" s="620"/>
      <c r="X205" s="621"/>
    </row>
    <row r="206" spans="1:24" ht="14" x14ac:dyDescent="0.3">
      <c r="A206" s="649" t="s">
        <v>319</v>
      </c>
      <c r="B206" s="624"/>
      <c r="C206" s="624"/>
      <c r="D206" s="624"/>
      <c r="E206" s="624"/>
      <c r="F206" s="624"/>
      <c r="G206" s="624"/>
      <c r="H206" s="624"/>
      <c r="I206" s="303">
        <f>B32</f>
        <v>2020</v>
      </c>
      <c r="J206" s="303" t="str">
        <f>C32</f>
        <v>-</v>
      </c>
      <c r="K206" s="619">
        <v>7</v>
      </c>
      <c r="M206" s="647">
        <v>7</v>
      </c>
      <c r="N206" s="648" t="s">
        <v>397</v>
      </c>
      <c r="O206" s="620"/>
      <c r="P206" s="620"/>
      <c r="Q206" s="620"/>
      <c r="R206" s="620"/>
      <c r="S206" s="620"/>
      <c r="T206" s="620"/>
      <c r="U206" s="620"/>
      <c r="V206" s="620"/>
      <c r="W206" s="620"/>
      <c r="X206" s="621"/>
    </row>
    <row r="207" spans="1:24" ht="14" x14ac:dyDescent="0.3">
      <c r="A207" s="649" t="s">
        <v>320</v>
      </c>
      <c r="B207" s="624"/>
      <c r="C207" s="624"/>
      <c r="D207" s="624"/>
      <c r="E207" s="624"/>
      <c r="F207" s="624"/>
      <c r="G207" s="624"/>
      <c r="H207" s="624"/>
      <c r="I207" s="303">
        <f>H32</f>
        <v>2020</v>
      </c>
      <c r="J207" s="303" t="str">
        <f>I32</f>
        <v>-</v>
      </c>
      <c r="K207" s="623">
        <v>8</v>
      </c>
      <c r="M207" s="647">
        <v>8</v>
      </c>
      <c r="N207" s="648" t="s">
        <v>397</v>
      </c>
      <c r="O207" s="620"/>
      <c r="P207" s="620"/>
      <c r="Q207" s="620"/>
      <c r="R207" s="620"/>
      <c r="S207" s="620"/>
      <c r="T207" s="620"/>
      <c r="U207" s="620"/>
      <c r="V207" s="620"/>
      <c r="W207" s="620"/>
      <c r="X207" s="621"/>
    </row>
    <row r="208" spans="1:24" ht="14" x14ac:dyDescent="0.3">
      <c r="A208" s="649" t="s">
        <v>321</v>
      </c>
      <c r="B208" s="624"/>
      <c r="C208" s="624"/>
      <c r="D208" s="624"/>
      <c r="E208" s="624"/>
      <c r="F208" s="624"/>
      <c r="G208" s="624"/>
      <c r="H208" s="624"/>
      <c r="I208" s="303">
        <f>B45</f>
        <v>2020</v>
      </c>
      <c r="J208" s="303" t="str">
        <f>O32</f>
        <v>-</v>
      </c>
      <c r="K208" s="619">
        <v>9</v>
      </c>
      <c r="M208" s="647">
        <v>9</v>
      </c>
      <c r="N208" s="648" t="s">
        <v>397</v>
      </c>
      <c r="O208" s="620"/>
      <c r="P208" s="620"/>
      <c r="Q208" s="620"/>
      <c r="R208" s="620"/>
      <c r="S208" s="620"/>
      <c r="T208" s="620"/>
      <c r="U208" s="620"/>
      <c r="V208" s="620"/>
      <c r="W208" s="620"/>
      <c r="X208" s="621"/>
    </row>
    <row r="209" spans="1:24" ht="14" x14ac:dyDescent="0.3">
      <c r="A209" s="649" t="s">
        <v>322</v>
      </c>
      <c r="B209" s="624"/>
      <c r="C209" s="624"/>
      <c r="D209" s="624"/>
      <c r="E209" s="624"/>
      <c r="F209" s="624"/>
      <c r="G209" s="624"/>
      <c r="H209" s="624"/>
      <c r="I209" s="303">
        <f>B45</f>
        <v>2020</v>
      </c>
      <c r="J209" s="303" t="str">
        <f>C45</f>
        <v>-</v>
      </c>
      <c r="K209" s="623">
        <v>10</v>
      </c>
      <c r="M209" s="647">
        <v>10</v>
      </c>
      <c r="N209" s="648" t="s">
        <v>397</v>
      </c>
      <c r="O209" s="620"/>
      <c r="P209" s="620"/>
      <c r="Q209" s="620"/>
      <c r="R209" s="620"/>
      <c r="S209" s="620"/>
      <c r="T209" s="620"/>
      <c r="U209" s="620"/>
      <c r="V209" s="620"/>
      <c r="W209" s="620"/>
      <c r="X209" s="621"/>
    </row>
    <row r="210" spans="1:24" ht="14" x14ac:dyDescent="0.3">
      <c r="A210" s="649" t="s">
        <v>323</v>
      </c>
      <c r="B210" s="624"/>
      <c r="C210" s="624"/>
      <c r="D210" s="624"/>
      <c r="E210" s="624"/>
      <c r="F210" s="624"/>
      <c r="G210" s="624"/>
      <c r="H210" s="624"/>
      <c r="I210" s="303">
        <f>H45</f>
        <v>2020</v>
      </c>
      <c r="J210" s="275" t="str">
        <f>I45</f>
        <v>-</v>
      </c>
      <c r="K210" s="619">
        <v>11</v>
      </c>
      <c r="M210" s="647">
        <v>11</v>
      </c>
      <c r="N210" s="648" t="s">
        <v>397</v>
      </c>
      <c r="O210" s="620"/>
      <c r="P210" s="620"/>
      <c r="Q210" s="620"/>
      <c r="R210" s="620"/>
      <c r="S210" s="620"/>
      <c r="T210" s="620"/>
      <c r="U210" s="620"/>
      <c r="V210" s="620"/>
      <c r="W210" s="620"/>
      <c r="X210" s="621"/>
    </row>
    <row r="211" spans="1:24" ht="14" x14ac:dyDescent="0.3">
      <c r="A211" s="649" t="s">
        <v>324</v>
      </c>
      <c r="B211" s="624"/>
      <c r="C211" s="624"/>
      <c r="D211" s="624"/>
      <c r="E211" s="624"/>
      <c r="F211" s="624"/>
      <c r="G211" s="624"/>
      <c r="H211" s="624"/>
      <c r="I211" s="303">
        <f>N45</f>
        <v>2020</v>
      </c>
      <c r="J211" s="303" t="str">
        <f>O45</f>
        <v>-</v>
      </c>
      <c r="K211" s="619">
        <v>12</v>
      </c>
      <c r="M211" s="647">
        <v>12</v>
      </c>
      <c r="N211" s="648" t="s">
        <v>397</v>
      </c>
      <c r="O211" s="620"/>
      <c r="P211" s="620"/>
      <c r="Q211" s="620"/>
      <c r="R211" s="620"/>
      <c r="S211" s="620"/>
      <c r="T211" s="620"/>
      <c r="U211" s="620"/>
      <c r="V211" s="620"/>
      <c r="W211" s="620"/>
      <c r="X211" s="621"/>
    </row>
    <row r="212" spans="1:24" ht="14" x14ac:dyDescent="0.3">
      <c r="A212" s="649" t="s">
        <v>325</v>
      </c>
      <c r="B212" s="624"/>
      <c r="C212" s="624"/>
      <c r="D212" s="624"/>
      <c r="E212" s="624"/>
      <c r="F212" s="624"/>
      <c r="G212" s="624"/>
      <c r="H212" s="624"/>
      <c r="I212" s="303">
        <f>B58</f>
        <v>2020</v>
      </c>
      <c r="J212" s="303" t="str">
        <f>C58</f>
        <v>-</v>
      </c>
      <c r="K212" s="619">
        <v>13</v>
      </c>
      <c r="M212" s="647">
        <v>13</v>
      </c>
      <c r="N212" s="648" t="s">
        <v>397</v>
      </c>
      <c r="O212" s="620"/>
      <c r="P212" s="620"/>
      <c r="Q212" s="620"/>
      <c r="R212" s="620"/>
      <c r="S212" s="620"/>
      <c r="T212" s="620"/>
      <c r="U212" s="620"/>
      <c r="V212" s="620"/>
      <c r="W212" s="620"/>
      <c r="X212" s="621"/>
    </row>
    <row r="213" spans="1:24" ht="14" x14ac:dyDescent="0.3">
      <c r="A213" s="649" t="s">
        <v>326</v>
      </c>
      <c r="B213" s="624"/>
      <c r="C213" s="624"/>
      <c r="D213" s="624"/>
      <c r="E213" s="624"/>
      <c r="F213" s="624"/>
      <c r="G213" s="624"/>
      <c r="H213" s="624"/>
      <c r="I213" s="303">
        <f>H58</f>
        <v>2020</v>
      </c>
      <c r="J213" s="303" t="str">
        <f>I58</f>
        <v>-</v>
      </c>
      <c r="K213" s="619">
        <v>14</v>
      </c>
      <c r="M213" s="647">
        <v>14</v>
      </c>
      <c r="N213" s="648" t="s">
        <v>397</v>
      </c>
      <c r="O213" s="620"/>
      <c r="P213" s="620"/>
      <c r="Q213" s="620"/>
      <c r="R213" s="620"/>
      <c r="S213" s="620"/>
      <c r="T213" s="620"/>
      <c r="U213" s="620"/>
      <c r="V213" s="620"/>
      <c r="W213" s="620"/>
      <c r="X213" s="621"/>
    </row>
    <row r="214" spans="1:24" ht="14.5" thickBot="1" x14ac:dyDescent="0.35">
      <c r="A214" s="649" t="s">
        <v>327</v>
      </c>
      <c r="B214" s="624"/>
      <c r="C214" s="624"/>
      <c r="D214" s="624"/>
      <c r="E214" s="624"/>
      <c r="F214" s="624"/>
      <c r="G214" s="624"/>
      <c r="H214" s="624"/>
      <c r="I214" s="303">
        <f>N58</f>
        <v>2020</v>
      </c>
      <c r="J214" s="303" t="str">
        <f>O58</f>
        <v>-</v>
      </c>
      <c r="K214" s="623">
        <v>15</v>
      </c>
      <c r="M214" s="647">
        <v>15</v>
      </c>
      <c r="N214" s="648" t="s">
        <v>397</v>
      </c>
      <c r="O214" s="620"/>
      <c r="P214" s="620"/>
      <c r="Q214" s="620"/>
      <c r="R214" s="620"/>
      <c r="S214" s="620"/>
      <c r="T214" s="620"/>
      <c r="U214" s="620"/>
      <c r="V214" s="620"/>
      <c r="W214" s="620"/>
      <c r="X214" s="621"/>
    </row>
    <row r="215" spans="1:24" ht="13.5" thickBot="1" x14ac:dyDescent="0.3">
      <c r="A215" s="1347">
        <f>VLOOKUP(A199,A200:K214,11,(FALSE))</f>
        <v>7</v>
      </c>
      <c r="B215" s="1348"/>
      <c r="C215" s="1348"/>
      <c r="D215" s="1348"/>
      <c r="E215" s="1348"/>
      <c r="F215" s="1348"/>
      <c r="G215" s="1348"/>
      <c r="H215" s="1348"/>
      <c r="I215" s="1348"/>
      <c r="J215" s="1348"/>
      <c r="K215" s="1349"/>
      <c r="M215" s="1350" t="str">
        <f>VLOOKUP(M199,M200:X215,2,FALSE)</f>
        <v>Hasil pengujian kinerja waktu tertelusur ke Satuan Internasional ( SI ) melalui PT KALIMAN</v>
      </c>
      <c r="N215" s="1351"/>
      <c r="O215" s="1351"/>
      <c r="P215" s="1351"/>
      <c r="Q215" s="1351"/>
      <c r="R215" s="1351"/>
      <c r="S215" s="1351"/>
      <c r="T215" s="1351"/>
      <c r="U215" s="1351"/>
      <c r="V215" s="1351"/>
      <c r="W215" s="1351"/>
      <c r="X215" s="1352"/>
    </row>
    <row r="216" spans="1:24" ht="14.5" x14ac:dyDescent="0.35">
      <c r="A216" s="625"/>
      <c r="B216" s="626"/>
      <c r="C216" s="300"/>
      <c r="D216" s="300"/>
      <c r="E216" s="300"/>
      <c r="F216" s="300"/>
      <c r="G216" s="545"/>
      <c r="H216" s="545"/>
      <c r="I216" s="545"/>
      <c r="J216" s="545"/>
      <c r="K216" s="625"/>
      <c r="L216" s="545"/>
    </row>
    <row r="217" spans="1:24" ht="14" x14ac:dyDescent="0.25">
      <c r="A217" s="649"/>
    </row>
  </sheetData>
  <mergeCells count="119">
    <mergeCell ref="A182:D182"/>
    <mergeCell ref="G180:J180"/>
    <mergeCell ref="I199:J199"/>
    <mergeCell ref="M199:X199"/>
    <mergeCell ref="A215:K215"/>
    <mergeCell ref="M215:X215"/>
    <mergeCell ref="A152:A166"/>
    <mergeCell ref="H152:H155"/>
    <mergeCell ref="H157:H160"/>
    <mergeCell ref="B169:E169"/>
    <mergeCell ref="H169:K169"/>
    <mergeCell ref="B170:C170"/>
    <mergeCell ref="E170:E171"/>
    <mergeCell ref="K170:K171"/>
    <mergeCell ref="G170:J170"/>
    <mergeCell ref="G175:J175"/>
    <mergeCell ref="A187:D187"/>
    <mergeCell ref="G187:J187"/>
    <mergeCell ref="Q122:Q125"/>
    <mergeCell ref="H127:H130"/>
    <mergeCell ref="Q127:Q130"/>
    <mergeCell ref="A137:A151"/>
    <mergeCell ref="H137:H140"/>
    <mergeCell ref="J137:J146"/>
    <mergeCell ref="Q137:Q140"/>
    <mergeCell ref="H142:H145"/>
    <mergeCell ref="Q142:Q145"/>
    <mergeCell ref="A107:A121"/>
    <mergeCell ref="H107:H110"/>
    <mergeCell ref="J107:J116"/>
    <mergeCell ref="H112:H115"/>
    <mergeCell ref="A122:A136"/>
    <mergeCell ref="H122:H125"/>
    <mergeCell ref="J122:J131"/>
    <mergeCell ref="M89:N90"/>
    <mergeCell ref="P89:P91"/>
    <mergeCell ref="Q89:Q91"/>
    <mergeCell ref="A92:A106"/>
    <mergeCell ref="H92:H95"/>
    <mergeCell ref="J92:J101"/>
    <mergeCell ref="H97:H100"/>
    <mergeCell ref="A86:Q86"/>
    <mergeCell ref="A89:A91"/>
    <mergeCell ref="B89:B91"/>
    <mergeCell ref="C89:C90"/>
    <mergeCell ref="D89:E90"/>
    <mergeCell ref="G89:G91"/>
    <mergeCell ref="H89:H91"/>
    <mergeCell ref="J89:J91"/>
    <mergeCell ref="K89:K91"/>
    <mergeCell ref="L89:L90"/>
    <mergeCell ref="M56:O56"/>
    <mergeCell ref="P56:P58"/>
    <mergeCell ref="Q56:Q58"/>
    <mergeCell ref="B57:C57"/>
    <mergeCell ref="H57:I57"/>
    <mergeCell ref="N57:O57"/>
    <mergeCell ref="Q43:Q45"/>
    <mergeCell ref="B44:C44"/>
    <mergeCell ref="H44:I44"/>
    <mergeCell ref="N44:O44"/>
    <mergeCell ref="A56:C56"/>
    <mergeCell ref="D56:D58"/>
    <mergeCell ref="E56:E58"/>
    <mergeCell ref="G56:I56"/>
    <mergeCell ref="J56:J58"/>
    <mergeCell ref="K56:K58"/>
    <mergeCell ref="E43:E45"/>
    <mergeCell ref="G43:I43"/>
    <mergeCell ref="J43:J45"/>
    <mergeCell ref="K43:K45"/>
    <mergeCell ref="M43:O43"/>
    <mergeCell ref="P43:P45"/>
    <mergeCell ref="B31:C31"/>
    <mergeCell ref="H31:I31"/>
    <mergeCell ref="N31:O31"/>
    <mergeCell ref="A30:C30"/>
    <mergeCell ref="D30:D32"/>
    <mergeCell ref="E30:E32"/>
    <mergeCell ref="F30:F54"/>
    <mergeCell ref="G30:I30"/>
    <mergeCell ref="J30:J32"/>
    <mergeCell ref="A42:E42"/>
    <mergeCell ref="G42:K42"/>
    <mergeCell ref="A43:C43"/>
    <mergeCell ref="D43:D45"/>
    <mergeCell ref="D16:D18"/>
    <mergeCell ref="E16:E18"/>
    <mergeCell ref="G16:I16"/>
    <mergeCell ref="J16:J18"/>
    <mergeCell ref="K16:K18"/>
    <mergeCell ref="K30:K32"/>
    <mergeCell ref="M30:O30"/>
    <mergeCell ref="P30:P32"/>
    <mergeCell ref="Q30:Q32"/>
    <mergeCell ref="Q3:Q5"/>
    <mergeCell ref="B4:C4"/>
    <mergeCell ref="H4:I4"/>
    <mergeCell ref="N4:O4"/>
    <mergeCell ref="A15:E15"/>
    <mergeCell ref="G15:K15"/>
    <mergeCell ref="M15:Q15"/>
    <mergeCell ref="A2:Q2"/>
    <mergeCell ref="A3:C3"/>
    <mergeCell ref="D3:D5"/>
    <mergeCell ref="E3:E5"/>
    <mergeCell ref="F3:F27"/>
    <mergeCell ref="G3:I3"/>
    <mergeCell ref="J3:J5"/>
    <mergeCell ref="K3:K5"/>
    <mergeCell ref="M3:O3"/>
    <mergeCell ref="P3:P5"/>
    <mergeCell ref="M16:O16"/>
    <mergeCell ref="P16:P18"/>
    <mergeCell ref="Q16:Q18"/>
    <mergeCell ref="B17:C17"/>
    <mergeCell ref="H17:I17"/>
    <mergeCell ref="N17:O17"/>
    <mergeCell ref="A16:C16"/>
  </mergeCells>
  <pageMargins left="0.7" right="0.7" top="0.75" bottom="0.75" header="0.3" footer="0.3"/>
  <pageSetup paperSize="9"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F156"/>
  <sheetViews>
    <sheetView showGridLines="0" tabSelected="1" view="pageBreakPreview" topLeftCell="A49" zoomScaleNormal="100" zoomScaleSheetLayoutView="100" workbookViewId="0">
      <selection activeCell="H25" sqref="H25"/>
    </sheetView>
  </sheetViews>
  <sheetFormatPr defaultColWidth="9.1796875" defaultRowHeight="15.5" x14ac:dyDescent="0.25"/>
  <cols>
    <col min="1" max="1" width="4.81640625" style="345" customWidth="1"/>
    <col min="2" max="2" width="6.26953125" style="345" customWidth="1"/>
    <col min="3" max="3" width="16" style="345" customWidth="1"/>
    <col min="4" max="4" width="9.81640625" style="345" customWidth="1"/>
    <col min="5" max="5" width="8.453125" style="345" customWidth="1"/>
    <col min="6" max="6" width="9.1796875" style="345" customWidth="1"/>
    <col min="7" max="7" width="9.453125" style="345" customWidth="1"/>
    <col min="8" max="8" width="10.7265625" style="345" customWidth="1"/>
    <col min="9" max="9" width="13.54296875" style="345" customWidth="1"/>
    <col min="10" max="10" width="5" style="345" customWidth="1"/>
    <col min="11" max="11" width="6.26953125" style="345" customWidth="1"/>
    <col min="12" max="12" width="8.54296875" style="345" customWidth="1"/>
    <col min="13" max="13" width="9.1796875" style="345" customWidth="1"/>
    <col min="14" max="14" width="3.81640625" style="345" customWidth="1"/>
    <col min="15" max="15" width="9.453125" style="345" customWidth="1"/>
    <col min="16" max="16" width="3.7265625" style="345" customWidth="1"/>
    <col min="17" max="17" width="6.7265625" style="345" customWidth="1"/>
    <col min="18" max="18" width="2.7265625" style="345" customWidth="1"/>
    <col min="19" max="27" width="6.7265625" style="345" customWidth="1"/>
    <col min="28" max="16384" width="9.1796875" style="345"/>
  </cols>
  <sheetData>
    <row r="1" spans="1:19" ht="18" x14ac:dyDescent="0.25">
      <c r="A1" s="1226" t="str">
        <f>PENYELIA!A1</f>
        <v>HASIL KALIBRASI TRACTION UNIT</v>
      </c>
      <c r="B1" s="1226"/>
      <c r="C1" s="1226"/>
      <c r="D1" s="1226"/>
      <c r="E1" s="1226"/>
      <c r="F1" s="1226"/>
      <c r="G1" s="1226"/>
      <c r="H1" s="1226"/>
      <c r="I1" s="1226"/>
      <c r="J1" s="1226"/>
      <c r="K1" s="1226"/>
      <c r="L1" s="1226"/>
      <c r="M1" s="1226"/>
      <c r="N1" s="1226"/>
      <c r="O1" s="1226"/>
      <c r="P1" s="333"/>
      <c r="Q1" s="333"/>
      <c r="R1" s="333"/>
      <c r="S1" s="333"/>
    </row>
    <row r="2" spans="1:19" ht="16.5" x14ac:dyDescent="0.25">
      <c r="A2" s="1218" t="str">
        <f>PENYELIA!A2</f>
        <v xml:space="preserve">   Nomor Sertifikat : 52 / 1 / III - 20 / E - 00-00 DL</v>
      </c>
      <c r="B2" s="1218"/>
      <c r="C2" s="1218"/>
      <c r="D2" s="1218"/>
      <c r="E2" s="1218"/>
      <c r="F2" s="1218"/>
      <c r="G2" s="1218"/>
      <c r="H2" s="1218"/>
      <c r="I2" s="1218"/>
      <c r="J2" s="1218"/>
      <c r="K2" s="1218"/>
      <c r="L2" s="1218"/>
      <c r="M2" s="1218"/>
      <c r="N2" s="1218"/>
      <c r="O2" s="1218"/>
      <c r="P2" s="462"/>
      <c r="Q2" s="462"/>
      <c r="R2" s="462"/>
      <c r="S2" s="462"/>
    </row>
    <row r="3" spans="1:19" ht="11.15" customHeight="1" x14ac:dyDescent="0.25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</row>
    <row r="4" spans="1:19" x14ac:dyDescent="0.25">
      <c r="A4" s="345" t="s">
        <v>25</v>
      </c>
      <c r="C4" s="346"/>
      <c r="D4" s="346" t="s">
        <v>61</v>
      </c>
      <c r="E4" s="345" t="str">
        <f>PENYELIA!E4</f>
        <v>BTL</v>
      </c>
      <c r="N4" s="463"/>
    </row>
    <row r="5" spans="1:19" x14ac:dyDescent="0.25">
      <c r="A5" s="345" t="s">
        <v>24</v>
      </c>
      <c r="C5" s="346"/>
      <c r="D5" s="346" t="s">
        <v>61</v>
      </c>
      <c r="E5" s="345" t="str">
        <f>PENYELIA!E5</f>
        <v>BTL - 16 Plus</v>
      </c>
    </row>
    <row r="6" spans="1:19" x14ac:dyDescent="0.25">
      <c r="A6" s="345" t="s">
        <v>0</v>
      </c>
      <c r="C6" s="346"/>
      <c r="D6" s="346" t="s">
        <v>61</v>
      </c>
      <c r="E6" s="345" t="str">
        <f>PENYELIA!E6</f>
        <v>IC3121005</v>
      </c>
    </row>
    <row r="7" spans="1:19" x14ac:dyDescent="0.25">
      <c r="A7" s="345" t="str">
        <f>PENYELIA!A7</f>
        <v>Resolusi</v>
      </c>
      <c r="C7" s="346"/>
      <c r="D7" s="346" t="s">
        <v>61</v>
      </c>
      <c r="E7" s="951">
        <f>PENYELIA!E7</f>
        <v>1</v>
      </c>
      <c r="F7" s="345" t="s">
        <v>174</v>
      </c>
    </row>
    <row r="8" spans="1:19" x14ac:dyDescent="0.25">
      <c r="A8" s="345" t="str">
        <f>PENYELIA!A8</f>
        <v>Tanggal Penerimaan Alat</v>
      </c>
      <c r="C8" s="346"/>
      <c r="D8" s="346" t="str">
        <f>PENYELIA!D8</f>
        <v>:</v>
      </c>
      <c r="E8" s="1377">
        <f>PENYELIA!E8</f>
        <v>44572</v>
      </c>
      <c r="F8" s="1377"/>
    </row>
    <row r="9" spans="1:19" x14ac:dyDescent="0.25">
      <c r="A9" s="348" t="s">
        <v>14</v>
      </c>
      <c r="D9" s="346" t="s">
        <v>61</v>
      </c>
      <c r="E9" s="1377">
        <f>PENYELIA!E9</f>
        <v>44572</v>
      </c>
      <c r="F9" s="1377"/>
      <c r="J9" s="464"/>
    </row>
    <row r="10" spans="1:19" x14ac:dyDescent="0.25">
      <c r="A10" s="348" t="s">
        <v>127</v>
      </c>
      <c r="D10" s="346" t="s">
        <v>61</v>
      </c>
      <c r="E10" s="345" t="str">
        <f>PENYELIA!E10</f>
        <v>Disini</v>
      </c>
      <c r="J10" s="464"/>
    </row>
    <row r="11" spans="1:19" x14ac:dyDescent="0.25">
      <c r="A11" s="348" t="s">
        <v>128</v>
      </c>
      <c r="D11" s="346" t="s">
        <v>61</v>
      </c>
      <c r="E11" s="345" t="str">
        <f>PENYELIA!E11</f>
        <v>Disana</v>
      </c>
      <c r="J11" s="464"/>
    </row>
    <row r="12" spans="1:19" x14ac:dyDescent="0.25">
      <c r="A12" s="348" t="s">
        <v>16</v>
      </c>
      <c r="D12" s="346" t="s">
        <v>61</v>
      </c>
      <c r="E12" s="345" t="str">
        <f>PENYELIA!E12</f>
        <v>MK 053 - 18</v>
      </c>
      <c r="F12" s="364"/>
      <c r="M12" s="346"/>
    </row>
    <row r="13" spans="1:19" ht="3.65" customHeight="1" x14ac:dyDescent="0.25"/>
    <row r="14" spans="1:19" x14ac:dyDescent="0.25">
      <c r="A14" s="382" t="s">
        <v>17</v>
      </c>
      <c r="B14" s="382" t="s">
        <v>18</v>
      </c>
      <c r="F14" s="346"/>
    </row>
    <row r="15" spans="1:19" ht="13.5" customHeight="1" x14ac:dyDescent="0.25">
      <c r="B15" s="345" t="s">
        <v>26</v>
      </c>
      <c r="D15" s="346" t="s">
        <v>61</v>
      </c>
      <c r="E15" s="942" t="s">
        <v>467</v>
      </c>
      <c r="F15" s="950">
        <f>'DB Thermohygro (2)'!L341</f>
        <v>27</v>
      </c>
      <c r="G15" s="391" t="s">
        <v>163</v>
      </c>
      <c r="H15" s="951">
        <f>'DB Thermohygro (2)'!O341</f>
        <v>0.5</v>
      </c>
      <c r="I15" s="345" t="s">
        <v>468</v>
      </c>
    </row>
    <row r="16" spans="1:19" x14ac:dyDescent="0.25">
      <c r="B16" s="345" t="s">
        <v>131</v>
      </c>
      <c r="D16" s="346" t="s">
        <v>61</v>
      </c>
      <c r="E16" s="465" t="s">
        <v>467</v>
      </c>
      <c r="F16" s="950">
        <f>'DB Thermohygro (2)'!L342</f>
        <v>60</v>
      </c>
      <c r="G16" s="391" t="s">
        <v>163</v>
      </c>
      <c r="H16" s="951">
        <f>'DB Thermohygro (2)'!O342</f>
        <v>2.6</v>
      </c>
      <c r="I16" s="345" t="s">
        <v>468</v>
      </c>
    </row>
    <row r="17" spans="1:16" x14ac:dyDescent="0.25">
      <c r="B17" s="345" t="s">
        <v>126</v>
      </c>
      <c r="D17" s="346" t="s">
        <v>61</v>
      </c>
      <c r="E17" s="951">
        <f>PENYELIA!E17</f>
        <v>199.99005</v>
      </c>
      <c r="F17" s="345" t="s">
        <v>119</v>
      </c>
      <c r="G17" s="348"/>
      <c r="J17" s="348"/>
    </row>
    <row r="18" spans="1:16" ht="4" customHeight="1" x14ac:dyDescent="0.25"/>
    <row r="19" spans="1:16" x14ac:dyDescent="0.25">
      <c r="A19" s="382" t="s">
        <v>19</v>
      </c>
      <c r="B19" s="382" t="str">
        <f>PENYELIA!B19</f>
        <v>Pemeriksaan Kondisi Fisik dan Fungsi Alat</v>
      </c>
      <c r="C19" s="382"/>
      <c r="D19" s="382"/>
      <c r="E19" s="382"/>
      <c r="F19" s="382"/>
      <c r="G19" s="382"/>
      <c r="H19" s="382"/>
    </row>
    <row r="20" spans="1:16" x14ac:dyDescent="0.25">
      <c r="B20" s="345" t="s">
        <v>20</v>
      </c>
      <c r="D20" s="346" t="s">
        <v>61</v>
      </c>
      <c r="E20" s="345" t="str">
        <f>PENYELIA!E20</f>
        <v>Baik</v>
      </c>
    </row>
    <row r="21" spans="1:16" x14ac:dyDescent="0.25">
      <c r="B21" s="345" t="s">
        <v>1</v>
      </c>
      <c r="D21" s="346" t="s">
        <v>61</v>
      </c>
      <c r="E21" s="345" t="str">
        <f>PENYELIA!E21</f>
        <v>Baik</v>
      </c>
    </row>
    <row r="22" spans="1:16" ht="4.5" customHeight="1" x14ac:dyDescent="0.25"/>
    <row r="23" spans="1:16" x14ac:dyDescent="0.25">
      <c r="A23" s="382" t="s">
        <v>2</v>
      </c>
      <c r="B23" s="382" t="str">
        <f>PENYELIA!B23</f>
        <v xml:space="preserve">Pengujian Keselamatan Listrik </v>
      </c>
      <c r="C23" s="382"/>
      <c r="D23" s="382"/>
      <c r="E23" s="382"/>
      <c r="F23" s="382"/>
      <c r="G23" s="382"/>
    </row>
    <row r="24" spans="1:16" ht="27" customHeight="1" x14ac:dyDescent="0.25">
      <c r="A24" s="1389"/>
      <c r="B24" s="851" t="s">
        <v>262</v>
      </c>
      <c r="C24" s="1223" t="s">
        <v>4</v>
      </c>
      <c r="D24" s="1232"/>
      <c r="E24" s="1232"/>
      <c r="F24" s="1232"/>
      <c r="G24" s="1232"/>
      <c r="H24" s="1224"/>
      <c r="I24" s="1223" t="s">
        <v>78</v>
      </c>
      <c r="J24" s="1527"/>
      <c r="K24" s="1223" t="s">
        <v>121</v>
      </c>
      <c r="L24" s="1224"/>
      <c r="P24" s="466"/>
    </row>
    <row r="25" spans="1:16" ht="15.75" customHeight="1" x14ac:dyDescent="0.25">
      <c r="A25" s="1389"/>
      <c r="B25" s="852">
        <v>1</v>
      </c>
      <c r="C25" s="853" t="str">
        <f>PENYELIA!C25</f>
        <v>Resistansi isolasi</v>
      </c>
      <c r="D25" s="854"/>
      <c r="E25" s="854"/>
      <c r="F25" s="854"/>
      <c r="G25" s="854"/>
      <c r="H25" s="854"/>
      <c r="I25" s="1531">
        <f>'DB Kelistrikan'!O269</f>
        <v>5.0474495153061225</v>
      </c>
      <c r="J25" s="1535" t="s">
        <v>263</v>
      </c>
      <c r="K25" s="1524">
        <f>PENYELIA!K25</f>
        <v>2</v>
      </c>
      <c r="L25" s="1233"/>
      <c r="P25" s="466"/>
    </row>
    <row r="26" spans="1:16" ht="16.5" x14ac:dyDescent="0.25">
      <c r="A26" s="390"/>
      <c r="B26" s="311">
        <v>2</v>
      </c>
      <c r="C26" s="853" t="str">
        <f>PENYELIA!C26</f>
        <v>Resistansi pembumian protektif</v>
      </c>
      <c r="D26" s="313"/>
      <c r="E26" s="314"/>
      <c r="F26" s="314"/>
      <c r="G26" s="314"/>
      <c r="H26" s="315"/>
      <c r="I26" s="1531">
        <f>'DB Kelistrikan'!O270</f>
        <v>0.10540602335966358</v>
      </c>
      <c r="J26" s="1535" t="s">
        <v>264</v>
      </c>
      <c r="K26" s="1532">
        <f>PENYELIA!K26</f>
        <v>0.2</v>
      </c>
      <c r="L26" s="1363"/>
    </row>
    <row r="27" spans="1:16" x14ac:dyDescent="0.25">
      <c r="A27" s="390"/>
      <c r="B27" s="321">
        <v>3</v>
      </c>
      <c r="C27" s="853" t="str">
        <f>PENYELIA!C27</f>
        <v>Arus bocor peralatan untuk peralatan elektromedik kelas I</v>
      </c>
      <c r="D27" s="855"/>
      <c r="E27" s="855"/>
      <c r="F27" s="855"/>
      <c r="G27" s="855"/>
      <c r="H27" s="855"/>
      <c r="I27" s="1531">
        <f>'DB Kelistrikan'!O271</f>
        <v>20.400000588000012</v>
      </c>
      <c r="J27" s="1534" t="s">
        <v>118</v>
      </c>
      <c r="K27" s="1533">
        <f>PENYELIA!K27</f>
        <v>500</v>
      </c>
      <c r="L27" s="1388"/>
    </row>
    <row r="28" spans="1:16" ht="4.5" customHeight="1" x14ac:dyDescent="0.25">
      <c r="A28" s="390"/>
      <c r="B28" s="348"/>
      <c r="C28" s="348"/>
      <c r="D28" s="348"/>
      <c r="E28" s="348"/>
      <c r="F28" s="348"/>
      <c r="G28" s="348"/>
      <c r="H28" s="348"/>
      <c r="I28" s="467"/>
      <c r="J28" s="467"/>
      <c r="K28" s="468"/>
      <c r="L28" s="468"/>
    </row>
    <row r="29" spans="1:16" x14ac:dyDescent="0.25">
      <c r="A29" s="384" t="s">
        <v>3</v>
      </c>
      <c r="B29" s="384" t="str">
        <f>PENYELIA!B29</f>
        <v xml:space="preserve">Pengujian Kinerja </v>
      </c>
      <c r="C29" s="384"/>
      <c r="D29" s="384"/>
      <c r="E29" s="384"/>
      <c r="F29" s="384"/>
      <c r="G29" s="384"/>
      <c r="H29" s="393"/>
      <c r="I29" s="393"/>
      <c r="J29" s="393"/>
      <c r="K29" s="393"/>
      <c r="L29" s="393"/>
    </row>
    <row r="30" spans="1:16" x14ac:dyDescent="0.25">
      <c r="A30" s="384"/>
      <c r="B30" s="384" t="str">
        <f>PENYELIA!B30</f>
        <v>A. Tekanan traksi</v>
      </c>
      <c r="C30" s="384"/>
      <c r="D30" s="384"/>
      <c r="E30" s="384"/>
      <c r="F30" s="384"/>
      <c r="G30" s="384"/>
      <c r="H30" s="393"/>
      <c r="I30" s="393"/>
      <c r="J30" s="393"/>
      <c r="K30" s="393"/>
      <c r="L30" s="393"/>
    </row>
    <row r="31" spans="1:16" ht="14.25" customHeight="1" x14ac:dyDescent="0.25">
      <c r="B31" s="1378" t="s">
        <v>21</v>
      </c>
      <c r="C31" s="1380" t="s">
        <v>4</v>
      </c>
      <c r="D31" s="1378" t="s">
        <v>136</v>
      </c>
      <c r="E31" s="1382" t="str">
        <f>PENYELIA!E31</f>
        <v>Pembacaan Standar (Kg)</v>
      </c>
      <c r="F31" s="1383"/>
      <c r="G31" s="1384"/>
      <c r="H31" s="1380" t="s">
        <v>30</v>
      </c>
      <c r="I31" s="1378" t="s">
        <v>129</v>
      </c>
      <c r="J31" s="1205" t="s">
        <v>75</v>
      </c>
      <c r="K31" s="1205"/>
      <c r="L31" s="1368" t="s">
        <v>285</v>
      </c>
      <c r="M31" s="1369"/>
    </row>
    <row r="32" spans="1:16" ht="37.5" customHeight="1" x14ac:dyDescent="0.25">
      <c r="B32" s="1379"/>
      <c r="C32" s="1381"/>
      <c r="D32" s="1379"/>
      <c r="E32" s="1385"/>
      <c r="F32" s="1386"/>
      <c r="G32" s="1387"/>
      <c r="H32" s="1381"/>
      <c r="I32" s="1379"/>
      <c r="J32" s="1205"/>
      <c r="K32" s="1205"/>
      <c r="L32" s="1368"/>
      <c r="M32" s="1369"/>
    </row>
    <row r="33" spans="1:20" ht="14.25" customHeight="1" x14ac:dyDescent="0.25">
      <c r="B33" s="397">
        <f>PENYELIA!B32</f>
        <v>1</v>
      </c>
      <c r="C33" s="1222" t="str">
        <f>PENYELIA!C32</f>
        <v>Traction           Control                  ( Kg )</v>
      </c>
      <c r="D33" s="397">
        <f>PENYELIA!D32</f>
        <v>10</v>
      </c>
      <c r="E33" s="1364">
        <f>PENYELIA!E32</f>
        <v>10</v>
      </c>
      <c r="F33" s="1365"/>
      <c r="G33" s="1366"/>
      <c r="H33" s="1043">
        <f>PENYELIA!G32</f>
        <v>0</v>
      </c>
      <c r="I33" s="1043">
        <f>PENYELIA!I32</f>
        <v>0</v>
      </c>
      <c r="J33" s="1367" t="s">
        <v>134</v>
      </c>
      <c r="K33" s="1367"/>
      <c r="L33" s="469" t="str">
        <f>PENYELIA!M32</f>
        <v>±</v>
      </c>
      <c r="M33" s="1044">
        <f>PENYELIA!N32</f>
        <v>5.7991892902930848</v>
      </c>
    </row>
    <row r="34" spans="1:20" x14ac:dyDescent="0.25">
      <c r="B34" s="397">
        <f>PENYELIA!B33</f>
        <v>2</v>
      </c>
      <c r="C34" s="1222"/>
      <c r="D34" s="397">
        <f>PENYELIA!D33</f>
        <v>20</v>
      </c>
      <c r="E34" s="1364">
        <f>PENYELIA!E33</f>
        <v>20</v>
      </c>
      <c r="F34" s="1365"/>
      <c r="G34" s="1366"/>
      <c r="H34" s="1043">
        <f>PENYELIA!G33</f>
        <v>0</v>
      </c>
      <c r="I34" s="1043">
        <f>PENYELIA!I33</f>
        <v>0</v>
      </c>
      <c r="J34" s="1367"/>
      <c r="K34" s="1367"/>
      <c r="L34" s="469" t="str">
        <f>PENYELIA!M33</f>
        <v>±</v>
      </c>
      <c r="M34" s="1044">
        <f>PENYELIA!N33</f>
        <v>2.8997336573180101</v>
      </c>
    </row>
    <row r="35" spans="1:20" x14ac:dyDescent="0.25">
      <c r="B35" s="397">
        <f>PENYELIA!B34</f>
        <v>3</v>
      </c>
      <c r="C35" s="1222"/>
      <c r="D35" s="397">
        <f>PENYELIA!D34</f>
        <v>30</v>
      </c>
      <c r="E35" s="1364">
        <f>PENYELIA!E34</f>
        <v>30</v>
      </c>
      <c r="F35" s="1365"/>
      <c r="G35" s="1366"/>
      <c r="H35" s="1043">
        <f>PENYELIA!G34</f>
        <v>0</v>
      </c>
      <c r="I35" s="1043">
        <f>PENYELIA!I34</f>
        <v>0</v>
      </c>
      <c r="J35" s="1367"/>
      <c r="K35" s="1367"/>
      <c r="L35" s="469" t="str">
        <f>PENYELIA!M34</f>
        <v>±</v>
      </c>
      <c r="M35" s="1044">
        <f>PENYELIA!N34</f>
        <v>1.933195492865792</v>
      </c>
    </row>
    <row r="36" spans="1:20" ht="12" customHeight="1" x14ac:dyDescent="0.25">
      <c r="A36" s="405"/>
      <c r="B36" s="397">
        <f>PENYELIA!B35</f>
        <v>4</v>
      </c>
      <c r="C36" s="1222"/>
      <c r="D36" s="397">
        <f>PENYELIA!D35</f>
        <v>40</v>
      </c>
      <c r="E36" s="1364">
        <f>PENYELIA!E35</f>
        <v>40</v>
      </c>
      <c r="F36" s="1365"/>
      <c r="G36" s="1366"/>
      <c r="H36" s="1043">
        <f>PENYELIA!G35</f>
        <v>0</v>
      </c>
      <c r="I36" s="1043">
        <f>PENYELIA!I35</f>
        <v>0</v>
      </c>
      <c r="J36" s="1367"/>
      <c r="K36" s="1367"/>
      <c r="L36" s="469" t="str">
        <f>PENYELIA!M35</f>
        <v>±</v>
      </c>
      <c r="M36" s="1044">
        <f>PENYELIA!N35</f>
        <v>1.4495672884283162</v>
      </c>
      <c r="Q36" s="415"/>
    </row>
    <row r="37" spans="1:20" ht="17" customHeight="1" x14ac:dyDescent="0.25">
      <c r="A37" s="384"/>
      <c r="B37" s="384"/>
      <c r="C37" s="384"/>
      <c r="D37" s="384"/>
      <c r="E37" s="384"/>
      <c r="F37" s="384"/>
      <c r="G37" s="474"/>
      <c r="H37" s="488"/>
      <c r="I37" s="474"/>
      <c r="J37" s="474"/>
      <c r="K37" s="474"/>
      <c r="L37" s="474"/>
      <c r="M37" s="1523" t="s">
        <v>65</v>
      </c>
      <c r="N37" s="474"/>
      <c r="O37" s="409"/>
      <c r="P37" s="409"/>
      <c r="Q37" s="409"/>
      <c r="R37" s="408"/>
      <c r="S37" s="473"/>
      <c r="T37" s="409"/>
    </row>
    <row r="38" spans="1:20" ht="13.5" customHeight="1" x14ac:dyDescent="0.25">
      <c r="A38" s="384"/>
      <c r="B38" s="384" t="str">
        <f>PENYELIA!B37</f>
        <v>B. Waktu Traksi</v>
      </c>
      <c r="C38" s="384"/>
      <c r="D38" s="384"/>
      <c r="E38" s="384"/>
      <c r="F38" s="384"/>
      <c r="G38" s="474"/>
      <c r="H38" s="474"/>
      <c r="I38" s="474"/>
      <c r="J38" s="474"/>
      <c r="K38" s="474"/>
      <c r="L38" s="474"/>
      <c r="M38" s="474"/>
      <c r="N38" s="474"/>
      <c r="O38" s="409"/>
      <c r="P38" s="409"/>
      <c r="Q38" s="409"/>
      <c r="R38" s="408"/>
      <c r="S38" s="473"/>
      <c r="T38" s="409"/>
    </row>
    <row r="39" spans="1:20" ht="15.75" customHeight="1" x14ac:dyDescent="0.25">
      <c r="B39" s="1370" t="s">
        <v>21</v>
      </c>
      <c r="C39" s="1205" t="str">
        <f>PENYELIA!C38</f>
        <v>Parameter Waktu (s)</v>
      </c>
      <c r="D39" s="1205" t="s">
        <v>136</v>
      </c>
      <c r="E39" s="1371" t="s">
        <v>120</v>
      </c>
      <c r="F39" s="1372"/>
      <c r="G39" s="1373"/>
      <c r="H39" s="1215" t="s">
        <v>30</v>
      </c>
      <c r="I39" s="1205" t="s">
        <v>123</v>
      </c>
      <c r="J39" s="1205" t="s">
        <v>75</v>
      </c>
      <c r="K39" s="1205"/>
      <c r="L39" s="1206" t="s">
        <v>285</v>
      </c>
      <c r="M39" s="1206"/>
    </row>
    <row r="40" spans="1:20" ht="29.15" customHeight="1" x14ac:dyDescent="0.25">
      <c r="B40" s="1370"/>
      <c r="C40" s="1205"/>
      <c r="D40" s="1205"/>
      <c r="E40" s="1374"/>
      <c r="F40" s="1375"/>
      <c r="G40" s="1376"/>
      <c r="H40" s="1215"/>
      <c r="I40" s="1205"/>
      <c r="J40" s="1205"/>
      <c r="K40" s="1205"/>
      <c r="L40" s="1206"/>
      <c r="M40" s="1206"/>
    </row>
    <row r="41" spans="1:20" ht="16.5" customHeight="1" x14ac:dyDescent="0.25">
      <c r="B41" s="397">
        <v>1</v>
      </c>
      <c r="C41" s="411" t="str">
        <f>PENYELIA!C39</f>
        <v>Terapy</v>
      </c>
      <c r="D41" s="411">
        <f>PENYELIA!D39</f>
        <v>300</v>
      </c>
      <c r="E41" s="1360">
        <f>PENYELIA!E39</f>
        <v>300.98</v>
      </c>
      <c r="F41" s="1361"/>
      <c r="G41" s="1362"/>
      <c r="H41" s="1043">
        <f>PENYELIA!G39</f>
        <v>1</v>
      </c>
      <c r="I41" s="1043">
        <f>PENYELIA!I39</f>
        <v>-0.32666666666667271</v>
      </c>
      <c r="J41" s="1222" t="s">
        <v>134</v>
      </c>
      <c r="K41" s="1222"/>
      <c r="L41" s="469" t="str">
        <f>PENYELIA!M39</f>
        <v>±</v>
      </c>
      <c r="M41" s="1044">
        <f>PENYELIA!N39</f>
        <v>0.56293169591280101</v>
      </c>
    </row>
    <row r="42" spans="1:20" ht="16.5" hidden="1" customHeight="1" x14ac:dyDescent="0.25">
      <c r="B42" s="397">
        <v>2</v>
      </c>
      <c r="C42" s="411" t="str">
        <f>PENYELIA!C40</f>
        <v>Hold</v>
      </c>
      <c r="D42" s="411">
        <f>PENYELIA!D40</f>
        <v>20</v>
      </c>
      <c r="E42" s="1356">
        <f>PENYELIA!E40</f>
        <v>20.08666666666667</v>
      </c>
      <c r="F42" s="1357"/>
      <c r="G42" s="1358"/>
      <c r="H42" s="470">
        <f>PENYELIA!G40</f>
        <v>-6.695555555555557E-3</v>
      </c>
      <c r="I42" s="470">
        <f>PENYELIA!I40</f>
        <v>-0.43333333333334778</v>
      </c>
      <c r="J42" s="1222" t="s">
        <v>134</v>
      </c>
      <c r="K42" s="1222"/>
      <c r="L42" s="469" t="str">
        <f>PENYELIA!M40</f>
        <v>±</v>
      </c>
      <c r="M42" s="856">
        <f>PENYELIA!N40</f>
        <v>0.75847044821455278</v>
      </c>
    </row>
    <row r="43" spans="1:20" ht="16.5" hidden="1" customHeight="1" x14ac:dyDescent="0.25">
      <c r="B43" s="397">
        <v>3</v>
      </c>
      <c r="C43" s="411" t="str">
        <f>PENYELIA!C41</f>
        <v>Rest</v>
      </c>
      <c r="D43" s="411">
        <f>PENYELIA!D41</f>
        <v>20</v>
      </c>
      <c r="E43" s="1356">
        <f>PENYELIA!E41</f>
        <v>20.246666666666666</v>
      </c>
      <c r="F43" s="1357"/>
      <c r="G43" s="1358"/>
      <c r="H43" s="470">
        <f>PENYELIA!G41</f>
        <v>-6.7488888888888885E-3</v>
      </c>
      <c r="I43" s="470">
        <f>PENYELIA!I41</f>
        <v>-1.2333333333333307</v>
      </c>
      <c r="J43" s="1222" t="s">
        <v>134</v>
      </c>
      <c r="K43" s="1222"/>
      <c r="L43" s="469" t="str">
        <f>PENYELIA!M41</f>
        <v>±</v>
      </c>
      <c r="M43" s="856">
        <f>PENYELIA!N41</f>
        <v>0.73704916086758709</v>
      </c>
    </row>
    <row r="44" spans="1:20" ht="6" customHeight="1" x14ac:dyDescent="0.25">
      <c r="A44" s="405"/>
      <c r="B44" s="472"/>
      <c r="C44" s="405"/>
      <c r="D44" s="405"/>
      <c r="E44" s="405"/>
      <c r="K44" s="364"/>
      <c r="L44" s="474"/>
      <c r="Q44" s="415"/>
    </row>
    <row r="45" spans="1:20" ht="13.5" customHeight="1" x14ac:dyDescent="0.25">
      <c r="A45" s="857" t="s">
        <v>11</v>
      </c>
      <c r="B45" s="857" t="str">
        <f>PENYELIA!B43</f>
        <v xml:space="preserve">Keterangan </v>
      </c>
      <c r="C45" s="420"/>
      <c r="D45" s="420"/>
      <c r="E45" s="420"/>
      <c r="F45" s="422"/>
      <c r="G45" s="422"/>
      <c r="H45" s="422"/>
      <c r="I45" s="422"/>
      <c r="J45" s="422"/>
      <c r="K45" s="422"/>
      <c r="L45" s="407"/>
      <c r="M45" s="407"/>
      <c r="N45" s="407"/>
      <c r="O45" s="459"/>
      <c r="P45" s="415"/>
      <c r="Q45" s="415"/>
    </row>
    <row r="46" spans="1:20" x14ac:dyDescent="0.25">
      <c r="A46" s="418"/>
      <c r="B46" s="418" t="str">
        <f>PENYELIA!B44</f>
        <v>Ketidakpastian pengukuran dilaporkan pada tingkat kepercayaan 95% dengan faktor cakupan k= 2</v>
      </c>
      <c r="C46" s="420"/>
      <c r="D46" s="420"/>
      <c r="E46" s="420"/>
      <c r="F46" s="422"/>
      <c r="G46" s="422"/>
      <c r="H46" s="422"/>
      <c r="I46" s="422"/>
      <c r="J46" s="422"/>
      <c r="K46" s="422"/>
      <c r="L46" s="421"/>
      <c r="M46" s="421"/>
      <c r="N46" s="421"/>
      <c r="O46" s="422"/>
      <c r="P46" s="415"/>
    </row>
    <row r="47" spans="1:20" x14ac:dyDescent="0.25">
      <c r="A47" s="418"/>
      <c r="B47" s="418" t="str">
        <f>PENYELIA!B45</f>
        <v>Hasil pengukuran keselamatan listrik tertelusur ke Satuan Internasional ( SI ) melalui PT. Kaliman (LK-032-IDN)</v>
      </c>
      <c r="C47" s="420"/>
      <c r="D47" s="420"/>
      <c r="E47" s="420"/>
      <c r="F47" s="422"/>
      <c r="G47" s="422"/>
      <c r="H47" s="422"/>
      <c r="I47" s="422"/>
      <c r="J47" s="422"/>
      <c r="K47" s="422"/>
      <c r="L47" s="421"/>
      <c r="M47" s="421"/>
      <c r="N47" s="421"/>
      <c r="O47" s="422"/>
      <c r="P47" s="415"/>
    </row>
    <row r="48" spans="1:20" x14ac:dyDescent="0.25">
      <c r="A48" s="418"/>
      <c r="B48" s="418" t="str">
        <f>PENYELIA!B46</f>
        <v>Hasil pengujian kinerja traction control tertelusur ke Satuan Internasional ( SI ) melalui METRIX PRECISION PTE LTD</v>
      </c>
      <c r="C48" s="420"/>
      <c r="D48" s="420"/>
      <c r="E48" s="420"/>
      <c r="F48" s="422"/>
      <c r="G48" s="422"/>
      <c r="H48" s="422"/>
      <c r="I48" s="422"/>
      <c r="J48" s="422"/>
      <c r="K48" s="422"/>
      <c r="L48" s="421"/>
      <c r="M48" s="421"/>
      <c r="N48" s="421"/>
      <c r="O48" s="422"/>
      <c r="P48" s="415"/>
    </row>
    <row r="49" spans="1:17" x14ac:dyDescent="0.25">
      <c r="A49" s="418"/>
      <c r="B49" s="418" t="str">
        <f>PENYELIA!B47</f>
        <v>Hasil pengujian kinerja waktu tertelusur ke Satuan Internasional ( SI ) melalui PT KALIMAN</v>
      </c>
      <c r="C49" s="420"/>
      <c r="D49" s="420"/>
      <c r="E49" s="420"/>
      <c r="F49" s="422"/>
      <c r="G49" s="422"/>
      <c r="H49" s="422"/>
      <c r="I49" s="422"/>
      <c r="J49" s="422"/>
      <c r="K49" s="422"/>
      <c r="L49" s="421"/>
      <c r="M49" s="421"/>
      <c r="N49" s="421"/>
      <c r="O49" s="422"/>
      <c r="P49" s="459"/>
      <c r="Q49" s="422"/>
    </row>
    <row r="50" spans="1:17" x14ac:dyDescent="0.25">
      <c r="A50" s="418"/>
      <c r="B50" s="418" t="str">
        <f>PENYELIA!B48</f>
        <v>-</v>
      </c>
      <c r="C50" s="420"/>
      <c r="D50" s="420"/>
      <c r="E50" s="420"/>
      <c r="F50" s="422"/>
      <c r="G50" s="422"/>
      <c r="H50" s="422"/>
      <c r="I50" s="422"/>
      <c r="J50" s="422"/>
      <c r="K50" s="422"/>
      <c r="L50" s="421"/>
      <c r="M50" s="421"/>
      <c r="N50" s="421"/>
      <c r="O50" s="422"/>
      <c r="P50" s="459"/>
      <c r="Q50" s="422"/>
    </row>
    <row r="51" spans="1:17" ht="16.5" customHeight="1" x14ac:dyDescent="0.25">
      <c r="A51" s="418"/>
      <c r="B51" s="835" t="str">
        <f>PENYELIA!B49</f>
        <v>-</v>
      </c>
      <c r="C51" s="420"/>
      <c r="D51" s="420"/>
      <c r="E51" s="420"/>
      <c r="F51" s="422"/>
      <c r="G51" s="422"/>
      <c r="H51" s="422"/>
      <c r="I51" s="422"/>
      <c r="J51" s="422"/>
      <c r="K51" s="422"/>
      <c r="L51" s="421"/>
      <c r="M51" s="421"/>
      <c r="N51" s="421"/>
      <c r="O51" s="422"/>
      <c r="P51" s="459"/>
      <c r="Q51" s="422"/>
    </row>
    <row r="52" spans="1:17" x14ac:dyDescent="0.25">
      <c r="A52" s="448" t="s">
        <v>12</v>
      </c>
      <c r="B52" s="448" t="str">
        <f>PENYELIA!B50</f>
        <v xml:space="preserve">Alat ukur yang digunakan </v>
      </c>
      <c r="C52" s="448"/>
      <c r="D52" s="448"/>
      <c r="E52" s="448"/>
      <c r="F52" s="422"/>
      <c r="G52" s="422"/>
      <c r="H52" s="422"/>
      <c r="I52" s="422"/>
      <c r="J52" s="422"/>
      <c r="K52" s="422"/>
      <c r="L52" s="422"/>
      <c r="M52" s="422"/>
      <c r="N52" s="422"/>
      <c r="O52" s="422"/>
      <c r="P52" s="422"/>
      <c r="Q52" s="422"/>
    </row>
    <row r="53" spans="1:17" s="348" customFormat="1" ht="14.15" customHeight="1" x14ac:dyDescent="0.25">
      <c r="A53" s="418"/>
      <c r="B53" s="1045" t="str">
        <f>PENYELIA!B51</f>
        <v>Digital Force Gauge, Merek : ANDILOG, Model : CENTOR FIRST SN : N 160229</v>
      </c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8"/>
      <c r="N53" s="418"/>
      <c r="O53" s="418"/>
    </row>
    <row r="54" spans="1:17" s="348" customFormat="1" ht="14.15" customHeight="1" x14ac:dyDescent="0.25">
      <c r="A54" s="418"/>
      <c r="B54" s="1045" t="str">
        <f>PENYELIA!B52</f>
        <v>Electrical Safety Analyzer, Merek : Fluke, Model : ESA 620, SN : 1834020</v>
      </c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8"/>
      <c r="N54" s="418"/>
      <c r="O54" s="418"/>
    </row>
    <row r="55" spans="1:17" s="348" customFormat="1" ht="14.15" customHeight="1" x14ac:dyDescent="0.25">
      <c r="A55" s="418"/>
      <c r="B55" s="1045" t="str">
        <f>PENYELIA!B53</f>
        <v>Stopwatch, Merek : EXTECH, Model : 365535, SN :001382</v>
      </c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</row>
    <row r="56" spans="1:17" ht="5.15" customHeight="1" x14ac:dyDescent="0.25">
      <c r="A56" s="422"/>
      <c r="B56" s="431"/>
      <c r="C56" s="422"/>
      <c r="D56" s="422"/>
      <c r="E56" s="422"/>
      <c r="F56" s="422"/>
      <c r="G56" s="422"/>
      <c r="H56" s="422"/>
      <c r="I56" s="422"/>
      <c r="J56" s="422"/>
      <c r="K56" s="422"/>
      <c r="L56" s="422"/>
      <c r="M56" s="422"/>
      <c r="N56" s="422"/>
      <c r="O56" s="422"/>
    </row>
    <row r="57" spans="1:17" ht="12.75" customHeight="1" x14ac:dyDescent="0.25">
      <c r="A57" s="448" t="s">
        <v>22</v>
      </c>
      <c r="B57" s="858" t="str">
        <f>PENYELIA!B55</f>
        <v>Kesimpulan</v>
      </c>
      <c r="C57" s="422"/>
      <c r="D57" s="422"/>
      <c r="E57" s="422"/>
      <c r="F57" s="422"/>
      <c r="G57" s="422"/>
      <c r="H57" s="422"/>
      <c r="I57" s="422"/>
      <c r="J57" s="422"/>
      <c r="K57" s="422"/>
      <c r="L57" s="422"/>
      <c r="M57" s="422"/>
      <c r="N57" s="422"/>
      <c r="O57" s="422"/>
    </row>
    <row r="58" spans="1:17" ht="16.5" customHeight="1" x14ac:dyDescent="0.25">
      <c r="A58" s="422"/>
      <c r="B58" s="1359" t="str">
        <f>PENYELIA!B56</f>
        <v>Alat yang dikalibrasi dalam batas toleransi dan dinyatakan LAIK PAKAI, dimana hasil atau skor akhir sama dengan atau melampaui 70 % berdasarkan Keputusan Direktur Jenderal Pelayanan Kesehatan No : HK.02.02/V/0412/2020</v>
      </c>
      <c r="C58" s="1359"/>
      <c r="D58" s="1359"/>
      <c r="E58" s="1359"/>
      <c r="F58" s="1359"/>
      <c r="G58" s="1359"/>
      <c r="H58" s="1359"/>
      <c r="I58" s="1359"/>
      <c r="J58" s="1359"/>
      <c r="K58" s="1359"/>
      <c r="L58" s="1359"/>
      <c r="M58" s="1359"/>
      <c r="N58" s="1359"/>
      <c r="O58" s="1359"/>
    </row>
    <row r="59" spans="1:17" ht="16.5" customHeight="1" x14ac:dyDescent="0.25">
      <c r="A59" s="422"/>
      <c r="B59" s="1359"/>
      <c r="C59" s="1359"/>
      <c r="D59" s="1359"/>
      <c r="E59" s="1359"/>
      <c r="F59" s="1359"/>
      <c r="G59" s="1359"/>
      <c r="H59" s="1359"/>
      <c r="I59" s="1359"/>
      <c r="J59" s="1359"/>
      <c r="K59" s="1359"/>
      <c r="L59" s="1359"/>
      <c r="M59" s="1359"/>
      <c r="N59" s="1359"/>
      <c r="O59" s="1359"/>
    </row>
    <row r="60" spans="1:17" ht="5.5" customHeight="1" x14ac:dyDescent="0.25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2"/>
      <c r="N60" s="422"/>
      <c r="O60" s="422"/>
    </row>
    <row r="61" spans="1:17" x14ac:dyDescent="0.25">
      <c r="A61" s="448" t="s">
        <v>32</v>
      </c>
      <c r="B61" s="448" t="str">
        <f>PENYELIA!B58</f>
        <v>Petugas Kalibrasi</v>
      </c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2"/>
      <c r="N61" s="422"/>
      <c r="O61" s="422"/>
    </row>
    <row r="62" spans="1:17" x14ac:dyDescent="0.25">
      <c r="A62" s="422"/>
      <c r="B62" s="418" t="str">
        <f>PENYELIA!B59</f>
        <v>Rangga Setya Hantoko</v>
      </c>
      <c r="C62" s="422"/>
      <c r="D62" s="422"/>
      <c r="E62" s="422"/>
      <c r="F62" s="422"/>
      <c r="G62" s="422"/>
      <c r="H62" s="422"/>
      <c r="I62" s="422"/>
      <c r="J62" s="422"/>
      <c r="K62" s="422"/>
      <c r="L62" s="422"/>
      <c r="M62" s="422"/>
      <c r="N62" s="422"/>
      <c r="O62" s="422"/>
    </row>
    <row r="63" spans="1:17" x14ac:dyDescent="0.25">
      <c r="A63" s="422"/>
      <c r="B63" s="422"/>
      <c r="C63" s="422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</row>
    <row r="64" spans="1:17" x14ac:dyDescent="0.25">
      <c r="A64" s="422"/>
      <c r="B64" s="422"/>
      <c r="C64" s="422"/>
      <c r="D64" s="422"/>
      <c r="E64" s="422"/>
      <c r="F64" s="422"/>
      <c r="G64" s="422"/>
      <c r="H64" s="422"/>
      <c r="I64" s="422"/>
      <c r="J64" s="422"/>
      <c r="K64" s="422"/>
      <c r="L64" s="475" t="s">
        <v>160</v>
      </c>
      <c r="M64" s="859"/>
      <c r="N64" s="477"/>
      <c r="O64" s="422"/>
    </row>
    <row r="65" spans="1:32" x14ac:dyDescent="0.25">
      <c r="A65" s="422"/>
      <c r="B65" s="422"/>
      <c r="C65" s="422"/>
      <c r="D65" s="422"/>
      <c r="E65" s="422"/>
      <c r="F65" s="422"/>
      <c r="G65" s="422"/>
      <c r="H65" s="422"/>
      <c r="I65" s="422"/>
      <c r="J65" s="422"/>
      <c r="K65" s="422"/>
      <c r="L65" s="475" t="s">
        <v>161</v>
      </c>
      <c r="M65" s="859"/>
      <c r="N65" s="859"/>
      <c r="O65" s="859"/>
      <c r="P65" s="435"/>
      <c r="Q65" s="435"/>
      <c r="R65" s="435"/>
    </row>
    <row r="66" spans="1:32" x14ac:dyDescent="0.25">
      <c r="A66" s="422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75" t="s">
        <v>162</v>
      </c>
      <c r="M66" s="477"/>
      <c r="N66" s="477"/>
      <c r="O66" s="422"/>
    </row>
    <row r="67" spans="1:32" x14ac:dyDescent="0.25">
      <c r="A67" s="422"/>
      <c r="B67" s="422"/>
      <c r="C67" s="422"/>
      <c r="D67" s="422"/>
      <c r="E67" s="422"/>
      <c r="F67" s="422"/>
      <c r="G67" s="422"/>
      <c r="H67" s="422"/>
      <c r="I67" s="422"/>
      <c r="J67" s="422"/>
      <c r="K67" s="422"/>
      <c r="L67" s="475"/>
      <c r="M67" s="477"/>
      <c r="N67" s="477"/>
      <c r="O67" s="422"/>
    </row>
    <row r="68" spans="1:32" x14ac:dyDescent="0.25">
      <c r="A68" s="422"/>
      <c r="B68" s="422"/>
      <c r="C68" s="422"/>
      <c r="D68" s="422"/>
      <c r="E68" s="422"/>
      <c r="F68" s="422"/>
      <c r="G68" s="422"/>
      <c r="H68" s="422"/>
      <c r="I68" s="422"/>
      <c r="J68" s="422"/>
      <c r="K68" s="422"/>
      <c r="L68" s="475"/>
      <c r="M68" s="477"/>
      <c r="N68" s="477"/>
      <c r="O68" s="422"/>
    </row>
    <row r="69" spans="1:32" x14ac:dyDescent="0.25">
      <c r="A69" s="422"/>
      <c r="B69" s="422"/>
      <c r="C69" s="422"/>
      <c r="D69" s="422"/>
      <c r="E69" s="422"/>
      <c r="F69" s="422"/>
      <c r="G69" s="422"/>
      <c r="H69" s="422"/>
      <c r="I69" s="422"/>
      <c r="J69" s="422"/>
      <c r="K69" s="422"/>
      <c r="L69" s="475"/>
      <c r="M69" s="477"/>
      <c r="N69" s="477"/>
      <c r="O69" s="422"/>
    </row>
    <row r="70" spans="1:32" x14ac:dyDescent="0.25">
      <c r="A70" s="422"/>
      <c r="B70" s="422"/>
      <c r="C70" s="422"/>
      <c r="D70" s="422"/>
      <c r="E70" s="422"/>
      <c r="F70" s="420"/>
      <c r="G70" s="420"/>
      <c r="H70" s="420"/>
      <c r="I70" s="420"/>
      <c r="J70" s="420"/>
      <c r="K70" s="422"/>
      <c r="L70" s="476"/>
      <c r="M70" s="477"/>
      <c r="N70" s="477"/>
      <c r="O70" s="422"/>
      <c r="P70" s="422"/>
      <c r="Q70" s="422"/>
    </row>
    <row r="71" spans="1:32" x14ac:dyDescent="0.25">
      <c r="A71" s="422"/>
      <c r="B71" s="422"/>
      <c r="C71" s="422"/>
      <c r="D71" s="422"/>
      <c r="E71" s="422"/>
      <c r="F71" s="420"/>
      <c r="G71" s="420"/>
      <c r="H71" s="420"/>
      <c r="I71" s="420"/>
      <c r="J71" s="420"/>
      <c r="K71" s="422"/>
      <c r="L71" s="478" t="s">
        <v>423</v>
      </c>
      <c r="M71" s="431"/>
      <c r="N71" s="431"/>
      <c r="O71" s="479"/>
      <c r="P71" s="422"/>
      <c r="Q71" s="422"/>
    </row>
    <row r="72" spans="1:32" x14ac:dyDescent="0.3">
      <c r="A72" s="422"/>
      <c r="B72" s="422"/>
      <c r="C72" s="422"/>
      <c r="D72" s="422"/>
      <c r="E72" s="422"/>
      <c r="F72" s="420"/>
      <c r="G72" s="420"/>
      <c r="H72" s="420"/>
      <c r="I72" s="420"/>
      <c r="J72" s="420"/>
      <c r="K72" s="422"/>
      <c r="L72" s="261" t="str">
        <f>VLOOKUP(L71,AC76:AD77,2,0)</f>
        <v>NIP 198008062010121001</v>
      </c>
      <c r="M72" s="431"/>
      <c r="N72" s="431"/>
      <c r="O72" s="479"/>
      <c r="P72" s="422"/>
      <c r="Q72" s="422"/>
    </row>
    <row r="73" spans="1:32" ht="37.5" customHeight="1" x14ac:dyDescent="0.25">
      <c r="A73" s="481"/>
      <c r="B73" s="481"/>
      <c r="C73" s="481"/>
      <c r="D73" s="481"/>
      <c r="E73" s="481"/>
      <c r="F73" s="481"/>
      <c r="G73" s="481"/>
      <c r="H73" s="481"/>
      <c r="I73" s="481"/>
      <c r="J73" s="481"/>
      <c r="K73" s="481"/>
      <c r="L73" s="481"/>
      <c r="M73" s="481"/>
      <c r="N73" s="481"/>
      <c r="O73" s="481"/>
      <c r="P73" s="481"/>
      <c r="Q73" s="481"/>
      <c r="R73" s="482"/>
      <c r="S73" s="482"/>
    </row>
    <row r="74" spans="1:32" ht="11.15" customHeight="1" x14ac:dyDescent="0.25">
      <c r="A74" s="480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3" t="s">
        <v>23</v>
      </c>
      <c r="P74" s="480"/>
      <c r="R74" s="482"/>
      <c r="S74" s="482"/>
    </row>
    <row r="76" spans="1:32" x14ac:dyDescent="0.3">
      <c r="AC76" s="259" t="s">
        <v>82</v>
      </c>
      <c r="AD76" s="260" t="s">
        <v>258</v>
      </c>
      <c r="AE76" s="261"/>
      <c r="AF76" s="261"/>
    </row>
    <row r="77" spans="1:32" x14ac:dyDescent="0.3">
      <c r="AC77" s="262" t="s">
        <v>423</v>
      </c>
      <c r="AD77" s="260" t="s">
        <v>257</v>
      </c>
      <c r="AE77" s="261"/>
      <c r="AF77" s="261"/>
    </row>
    <row r="78" spans="1:32" x14ac:dyDescent="0.3">
      <c r="AD78" s="263"/>
      <c r="AE78" s="263"/>
      <c r="AF78" s="263"/>
    </row>
    <row r="89" spans="6:16" x14ac:dyDescent="0.25">
      <c r="L89" s="393"/>
      <c r="M89" s="393"/>
      <c r="N89" s="393"/>
      <c r="P89" s="364"/>
    </row>
    <row r="90" spans="6:16" x14ac:dyDescent="0.25">
      <c r="L90" s="463"/>
      <c r="M90" s="463"/>
      <c r="N90" s="463"/>
      <c r="P90" s="484"/>
    </row>
    <row r="91" spans="6:16" x14ac:dyDescent="0.25">
      <c r="L91" s="463"/>
      <c r="M91" s="463"/>
      <c r="N91" s="463"/>
      <c r="P91" s="364"/>
    </row>
    <row r="93" spans="6:16" x14ac:dyDescent="0.25">
      <c r="F93" s="393"/>
      <c r="G93" s="393"/>
    </row>
    <row r="94" spans="6:16" x14ac:dyDescent="0.25">
      <c r="F94" s="393"/>
      <c r="G94" s="393"/>
    </row>
    <row r="95" spans="6:16" x14ac:dyDescent="0.25">
      <c r="F95" s="393"/>
      <c r="G95" s="393"/>
    </row>
    <row r="96" spans="6:16" x14ac:dyDescent="0.25">
      <c r="F96" s="393"/>
      <c r="G96" s="393"/>
    </row>
    <row r="97" spans="6:11" x14ac:dyDescent="0.25">
      <c r="F97" s="393"/>
      <c r="G97" s="393"/>
    </row>
    <row r="102" spans="6:11" ht="18.5" x14ac:dyDescent="0.25">
      <c r="H102" s="485"/>
    </row>
    <row r="111" spans="6:11" x14ac:dyDescent="0.25">
      <c r="K111" s="486"/>
    </row>
    <row r="112" spans="6:11" x14ac:dyDescent="0.25">
      <c r="K112" s="486"/>
    </row>
    <row r="113" spans="1:16" x14ac:dyDescent="0.25">
      <c r="K113" s="348"/>
    </row>
    <row r="114" spans="1:16" x14ac:dyDescent="0.25">
      <c r="K114" s="348"/>
      <c r="L114" s="486"/>
    </row>
    <row r="115" spans="1:16" x14ac:dyDescent="0.25">
      <c r="A115" s="390"/>
      <c r="K115" s="348"/>
      <c r="L115" s="486"/>
      <c r="M115" s="364"/>
      <c r="N115" s="364"/>
    </row>
    <row r="116" spans="1:16" x14ac:dyDescent="0.25">
      <c r="A116" s="390"/>
      <c r="K116" s="348"/>
      <c r="L116" s="364"/>
      <c r="P116" s="348"/>
    </row>
    <row r="117" spans="1:16" x14ac:dyDescent="0.25">
      <c r="A117" s="390"/>
      <c r="K117" s="348"/>
      <c r="L117" s="364"/>
      <c r="P117" s="348"/>
    </row>
    <row r="118" spans="1:16" x14ac:dyDescent="0.25">
      <c r="A118" s="390"/>
      <c r="K118" s="348"/>
      <c r="L118" s="364"/>
      <c r="P118" s="348"/>
    </row>
    <row r="119" spans="1:16" x14ac:dyDescent="0.25">
      <c r="A119" s="390"/>
      <c r="K119" s="465"/>
      <c r="L119" s="364"/>
      <c r="P119" s="348"/>
    </row>
    <row r="120" spans="1:16" x14ac:dyDescent="0.25">
      <c r="A120" s="390"/>
      <c r="K120" s="465"/>
      <c r="L120" s="364"/>
      <c r="P120" s="348"/>
    </row>
    <row r="121" spans="1:16" x14ac:dyDescent="0.25">
      <c r="A121" s="390"/>
      <c r="K121" s="465"/>
      <c r="L121" s="364"/>
      <c r="P121" s="348"/>
    </row>
    <row r="122" spans="1:16" x14ac:dyDescent="0.25">
      <c r="A122" s="390"/>
      <c r="K122" s="465"/>
      <c r="L122" s="364"/>
      <c r="P122" s="348"/>
    </row>
    <row r="123" spans="1:16" x14ac:dyDescent="0.25">
      <c r="A123" s="390"/>
      <c r="F123" s="393"/>
      <c r="G123" s="393"/>
      <c r="H123" s="393"/>
      <c r="I123" s="393"/>
      <c r="J123" s="393"/>
      <c r="K123" s="391"/>
      <c r="L123" s="364"/>
      <c r="P123" s="348"/>
    </row>
    <row r="124" spans="1:16" x14ac:dyDescent="0.25">
      <c r="A124" s="390"/>
      <c r="F124" s="393"/>
      <c r="G124" s="393"/>
      <c r="H124" s="393"/>
      <c r="I124" s="393"/>
      <c r="J124" s="393"/>
      <c r="K124" s="393"/>
      <c r="L124" s="364"/>
      <c r="P124" s="348"/>
    </row>
    <row r="125" spans="1:16" x14ac:dyDescent="0.25">
      <c r="A125" s="390"/>
      <c r="F125" s="393"/>
      <c r="G125" s="393"/>
      <c r="H125" s="393"/>
      <c r="I125" s="393"/>
      <c r="J125" s="393"/>
      <c r="K125" s="393"/>
      <c r="L125" s="364"/>
      <c r="P125" s="348"/>
    </row>
    <row r="126" spans="1:16" x14ac:dyDescent="0.25">
      <c r="A126" s="393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64"/>
      <c r="P126" s="348"/>
    </row>
    <row r="127" spans="1:16" x14ac:dyDescent="0.25">
      <c r="A127" s="487"/>
      <c r="B127" s="487"/>
      <c r="C127" s="487"/>
      <c r="D127" s="487"/>
      <c r="E127" s="487"/>
      <c r="F127" s="488"/>
      <c r="G127" s="488"/>
      <c r="H127" s="488"/>
      <c r="I127" s="488"/>
      <c r="J127" s="488"/>
      <c r="K127" s="393"/>
      <c r="L127" s="393"/>
      <c r="M127" s="393"/>
      <c r="N127" s="393"/>
      <c r="O127" s="393"/>
      <c r="P127" s="393"/>
    </row>
    <row r="128" spans="1:16" x14ac:dyDescent="0.25">
      <c r="A128" s="487"/>
      <c r="B128" s="487"/>
      <c r="C128" s="487"/>
      <c r="D128" s="487"/>
      <c r="E128" s="487"/>
      <c r="F128" s="488"/>
      <c r="G128" s="488"/>
      <c r="H128" s="488"/>
      <c r="I128" s="488"/>
      <c r="J128" s="488"/>
      <c r="K128" s="488"/>
      <c r="L128" s="393"/>
      <c r="M128" s="487"/>
      <c r="N128" s="487"/>
      <c r="O128" s="487"/>
      <c r="P128" s="487"/>
    </row>
    <row r="129" spans="1:16" x14ac:dyDescent="0.25">
      <c r="A129" s="487"/>
      <c r="B129" s="487"/>
      <c r="C129" s="487"/>
      <c r="D129" s="487"/>
      <c r="E129" s="487"/>
      <c r="F129" s="474"/>
      <c r="G129" s="474"/>
      <c r="H129" s="474"/>
      <c r="I129" s="474"/>
      <c r="J129" s="474"/>
      <c r="K129" s="488"/>
      <c r="L129" s="393"/>
      <c r="M129" s="487"/>
      <c r="N129" s="487"/>
      <c r="O129" s="487"/>
      <c r="P129" s="487"/>
    </row>
    <row r="130" spans="1:16" x14ac:dyDescent="0.25">
      <c r="A130" s="487"/>
      <c r="B130" s="487"/>
      <c r="C130" s="393"/>
      <c r="D130" s="393"/>
      <c r="E130" s="393"/>
      <c r="F130" s="488"/>
      <c r="G130" s="488"/>
      <c r="H130" s="488"/>
      <c r="I130" s="488"/>
      <c r="J130" s="488"/>
      <c r="K130" s="474"/>
      <c r="L130" s="393"/>
      <c r="M130" s="487"/>
      <c r="N130" s="487"/>
      <c r="O130" s="487"/>
      <c r="P130" s="487"/>
    </row>
    <row r="131" spans="1:16" x14ac:dyDescent="0.25">
      <c r="A131" s="487"/>
      <c r="B131" s="487"/>
      <c r="C131" s="393"/>
      <c r="D131" s="393"/>
      <c r="E131" s="393"/>
      <c r="F131" s="488"/>
      <c r="G131" s="488"/>
      <c r="H131" s="488"/>
      <c r="I131" s="488"/>
      <c r="J131" s="488"/>
      <c r="K131" s="488"/>
      <c r="L131" s="488"/>
      <c r="M131" s="415"/>
      <c r="N131" s="415"/>
      <c r="O131" s="489"/>
      <c r="P131" s="415"/>
    </row>
    <row r="132" spans="1:16" x14ac:dyDescent="0.25">
      <c r="A132" s="487"/>
      <c r="B132" s="487"/>
      <c r="C132" s="393"/>
      <c r="D132" s="393"/>
      <c r="E132" s="393"/>
      <c r="F132" s="474"/>
      <c r="G132" s="474"/>
      <c r="H132" s="474"/>
      <c r="I132" s="474"/>
      <c r="J132" s="474"/>
      <c r="K132" s="488"/>
      <c r="L132" s="488"/>
      <c r="M132" s="415"/>
      <c r="N132" s="415"/>
      <c r="O132" s="487"/>
      <c r="P132" s="415"/>
    </row>
    <row r="133" spans="1:16" x14ac:dyDescent="0.25">
      <c r="A133" s="393"/>
      <c r="B133" s="487"/>
      <c r="C133" s="393"/>
      <c r="D133" s="393"/>
      <c r="E133" s="393"/>
      <c r="F133" s="488"/>
      <c r="G133" s="488"/>
      <c r="H133" s="488"/>
      <c r="I133" s="488"/>
      <c r="J133" s="488"/>
      <c r="K133" s="474"/>
      <c r="L133" s="474"/>
      <c r="M133" s="393"/>
      <c r="N133" s="393"/>
      <c r="O133" s="487"/>
      <c r="P133" s="415"/>
    </row>
    <row r="134" spans="1:16" x14ac:dyDescent="0.25">
      <c r="A134" s="393"/>
      <c r="B134" s="487"/>
      <c r="C134" s="393"/>
      <c r="D134" s="393"/>
      <c r="E134" s="393"/>
      <c r="F134" s="488"/>
      <c r="G134" s="488"/>
      <c r="H134" s="488"/>
      <c r="I134" s="488"/>
      <c r="J134" s="488"/>
      <c r="K134" s="488"/>
      <c r="L134" s="488"/>
      <c r="M134" s="415"/>
      <c r="N134" s="415"/>
      <c r="O134" s="489"/>
      <c r="P134" s="415"/>
    </row>
    <row r="135" spans="1:16" x14ac:dyDescent="0.25">
      <c r="A135" s="393"/>
      <c r="B135" s="487"/>
      <c r="C135" s="393"/>
      <c r="D135" s="393"/>
      <c r="E135" s="393"/>
      <c r="F135" s="488"/>
      <c r="G135" s="488"/>
      <c r="H135" s="488"/>
      <c r="I135" s="488"/>
      <c r="J135" s="488"/>
      <c r="K135" s="488"/>
      <c r="L135" s="488"/>
      <c r="M135" s="415"/>
      <c r="N135" s="415"/>
      <c r="O135" s="487"/>
      <c r="P135" s="415"/>
    </row>
    <row r="136" spans="1:16" x14ac:dyDescent="0.25">
      <c r="A136" s="393"/>
      <c r="B136" s="487"/>
      <c r="C136" s="393"/>
      <c r="D136" s="393"/>
      <c r="E136" s="393"/>
      <c r="F136" s="488"/>
      <c r="G136" s="488"/>
      <c r="H136" s="488"/>
      <c r="I136" s="488"/>
      <c r="J136" s="488"/>
      <c r="K136" s="488"/>
      <c r="L136" s="474"/>
      <c r="M136" s="393"/>
      <c r="N136" s="393"/>
      <c r="O136" s="487"/>
      <c r="P136" s="415"/>
    </row>
    <row r="137" spans="1:16" x14ac:dyDescent="0.25">
      <c r="A137" s="393"/>
      <c r="B137" s="487"/>
      <c r="C137" s="393"/>
      <c r="D137" s="393"/>
      <c r="E137" s="393"/>
      <c r="F137" s="488"/>
      <c r="G137" s="488"/>
      <c r="H137" s="488"/>
      <c r="I137" s="488"/>
      <c r="J137" s="488"/>
      <c r="K137" s="488"/>
      <c r="L137" s="488"/>
      <c r="M137" s="415"/>
      <c r="N137" s="415"/>
      <c r="O137" s="393"/>
      <c r="P137" s="415"/>
    </row>
    <row r="138" spans="1:16" x14ac:dyDescent="0.25">
      <c r="A138" s="487"/>
      <c r="B138" s="487"/>
      <c r="C138" s="487"/>
      <c r="D138" s="487"/>
      <c r="E138" s="487"/>
      <c r="F138" s="488"/>
      <c r="G138" s="488"/>
      <c r="H138" s="488"/>
      <c r="I138" s="488"/>
      <c r="J138" s="488"/>
      <c r="K138" s="488"/>
      <c r="L138" s="488"/>
      <c r="M138" s="415"/>
      <c r="N138" s="415"/>
      <c r="O138" s="415"/>
      <c r="P138" s="415"/>
    </row>
    <row r="139" spans="1:16" x14ac:dyDescent="0.25">
      <c r="A139" s="487"/>
      <c r="B139" s="487"/>
      <c r="C139" s="487"/>
      <c r="D139" s="487"/>
      <c r="E139" s="487"/>
      <c r="F139" s="488"/>
      <c r="G139" s="488"/>
      <c r="H139" s="488"/>
      <c r="I139" s="488"/>
      <c r="J139" s="488"/>
      <c r="K139" s="488"/>
      <c r="L139" s="488"/>
      <c r="M139" s="415"/>
      <c r="N139" s="415"/>
      <c r="O139" s="393"/>
      <c r="P139" s="415"/>
    </row>
    <row r="140" spans="1:16" x14ac:dyDescent="0.25">
      <c r="A140" s="487"/>
      <c r="B140" s="487"/>
      <c r="C140" s="487"/>
      <c r="D140" s="487"/>
      <c r="E140" s="487"/>
      <c r="F140" s="488"/>
      <c r="G140" s="488"/>
      <c r="H140" s="488"/>
      <c r="I140" s="488"/>
      <c r="J140" s="488"/>
      <c r="K140" s="488"/>
      <c r="L140" s="488"/>
      <c r="M140" s="415"/>
      <c r="N140" s="415"/>
      <c r="O140" s="415"/>
      <c r="P140" s="415"/>
    </row>
    <row r="141" spans="1:16" x14ac:dyDescent="0.25">
      <c r="A141" s="487"/>
      <c r="B141" s="487"/>
      <c r="C141" s="487"/>
      <c r="D141" s="487"/>
      <c r="E141" s="487"/>
      <c r="F141" s="488"/>
      <c r="G141" s="488"/>
      <c r="H141" s="488"/>
      <c r="I141" s="488"/>
      <c r="J141" s="488"/>
      <c r="K141" s="488"/>
      <c r="L141" s="488"/>
      <c r="M141" s="415"/>
      <c r="N141" s="415"/>
      <c r="O141" s="393"/>
      <c r="P141" s="415"/>
    </row>
    <row r="142" spans="1:16" x14ac:dyDescent="0.25">
      <c r="A142" s="487"/>
      <c r="B142" s="487"/>
      <c r="C142" s="487"/>
      <c r="D142" s="487"/>
      <c r="E142" s="487"/>
      <c r="K142" s="488"/>
      <c r="L142" s="488"/>
      <c r="M142" s="415"/>
      <c r="N142" s="415"/>
      <c r="O142" s="393"/>
      <c r="P142" s="415"/>
    </row>
    <row r="143" spans="1:16" x14ac:dyDescent="0.25">
      <c r="A143" s="487"/>
      <c r="B143" s="487"/>
      <c r="C143" s="487"/>
      <c r="D143" s="487"/>
      <c r="E143" s="487"/>
      <c r="F143" s="364"/>
      <c r="G143" s="364"/>
      <c r="H143" s="364"/>
      <c r="I143" s="364"/>
      <c r="J143" s="364"/>
      <c r="L143" s="488"/>
      <c r="M143" s="415"/>
      <c r="N143" s="415"/>
      <c r="O143" s="415"/>
      <c r="P143" s="415"/>
    </row>
    <row r="144" spans="1:16" x14ac:dyDescent="0.25">
      <c r="A144" s="487"/>
      <c r="B144" s="487"/>
      <c r="C144" s="487"/>
      <c r="D144" s="487"/>
      <c r="E144" s="487"/>
      <c r="F144" s="364"/>
      <c r="G144" s="364"/>
      <c r="H144" s="364"/>
      <c r="I144" s="364"/>
      <c r="J144" s="364"/>
      <c r="K144" s="364"/>
      <c r="L144" s="488"/>
      <c r="M144" s="415"/>
      <c r="N144" s="415"/>
      <c r="O144" s="393"/>
      <c r="P144" s="415"/>
    </row>
    <row r="145" spans="1:16" x14ac:dyDescent="0.25">
      <c r="K145" s="364"/>
      <c r="L145" s="488"/>
      <c r="M145" s="415"/>
      <c r="N145" s="415"/>
      <c r="O145" s="393"/>
      <c r="P145" s="415"/>
    </row>
    <row r="146" spans="1:16" x14ac:dyDescent="0.25">
      <c r="A146" s="348"/>
      <c r="B146" s="348"/>
      <c r="C146" s="364"/>
      <c r="D146" s="364"/>
      <c r="E146" s="364"/>
      <c r="P146" s="364"/>
    </row>
    <row r="147" spans="1:16" x14ac:dyDescent="0.25">
      <c r="A147" s="348"/>
      <c r="B147" s="348"/>
      <c r="C147" s="364"/>
      <c r="D147" s="364"/>
      <c r="E147" s="364"/>
      <c r="L147" s="381"/>
      <c r="M147" s="381"/>
      <c r="N147" s="381"/>
    </row>
    <row r="148" spans="1:16" x14ac:dyDescent="0.25">
      <c r="L148" s="381"/>
      <c r="M148" s="381"/>
      <c r="N148" s="381"/>
    </row>
    <row r="149" spans="1:16" x14ac:dyDescent="0.25">
      <c r="M149" s="381"/>
      <c r="N149" s="381"/>
      <c r="O149" s="424"/>
    </row>
    <row r="150" spans="1:16" x14ac:dyDescent="0.25">
      <c r="M150" s="381"/>
      <c r="N150" s="381"/>
      <c r="O150" s="424"/>
    </row>
    <row r="151" spans="1:16" x14ac:dyDescent="0.25">
      <c r="M151" s="381"/>
      <c r="N151" s="381"/>
      <c r="O151" s="424"/>
    </row>
    <row r="152" spans="1:16" x14ac:dyDescent="0.25">
      <c r="M152" s="381"/>
      <c r="N152" s="381"/>
      <c r="O152" s="424"/>
    </row>
    <row r="154" spans="1:16" x14ac:dyDescent="0.25">
      <c r="B154" s="393"/>
    </row>
    <row r="155" spans="1:16" x14ac:dyDescent="0.25">
      <c r="B155" s="393"/>
    </row>
    <row r="156" spans="1:16" x14ac:dyDescent="0.25">
      <c r="B156" s="393"/>
    </row>
  </sheetData>
  <sheetProtection formatCells="0" formatColumns="0" formatRows="0" insertColumns="0" insertRows="0" deleteColumns="0" deleteRows="0"/>
  <mergeCells count="40">
    <mergeCell ref="E8:F8"/>
    <mergeCell ref="E9:F9"/>
    <mergeCell ref="A1:O1"/>
    <mergeCell ref="A2:O2"/>
    <mergeCell ref="D31:D32"/>
    <mergeCell ref="C31:C32"/>
    <mergeCell ref="B31:B32"/>
    <mergeCell ref="I31:I32"/>
    <mergeCell ref="H31:H32"/>
    <mergeCell ref="E31:G32"/>
    <mergeCell ref="C24:H24"/>
    <mergeCell ref="I24:J24"/>
    <mergeCell ref="K24:L24"/>
    <mergeCell ref="K27:L27"/>
    <mergeCell ref="K25:L25"/>
    <mergeCell ref="A24:A25"/>
    <mergeCell ref="B39:B40"/>
    <mergeCell ref="C39:C40"/>
    <mergeCell ref="D39:D40"/>
    <mergeCell ref="H39:H40"/>
    <mergeCell ref="E34:G34"/>
    <mergeCell ref="E35:G35"/>
    <mergeCell ref="C33:C36"/>
    <mergeCell ref="E33:G33"/>
    <mergeCell ref="E39:G40"/>
    <mergeCell ref="E41:G41"/>
    <mergeCell ref="K26:L26"/>
    <mergeCell ref="J41:K41"/>
    <mergeCell ref="L39:M40"/>
    <mergeCell ref="E36:G36"/>
    <mergeCell ref="J33:K36"/>
    <mergeCell ref="L31:M32"/>
    <mergeCell ref="J31:K32"/>
    <mergeCell ref="I39:I40"/>
    <mergeCell ref="J39:K40"/>
    <mergeCell ref="E42:G42"/>
    <mergeCell ref="E43:G43"/>
    <mergeCell ref="J42:K42"/>
    <mergeCell ref="J43:K43"/>
    <mergeCell ref="B58:O59"/>
  </mergeCells>
  <phoneticPr fontId="0" type="noConversion"/>
  <dataValidations count="1">
    <dataValidation type="list" allowBlank="1" showInputMessage="1" showErrorMessage="1" sqref="L71" xr:uid="{55AFDB8A-E5CE-43ED-9419-B46BEA110E84}">
      <formula1>$AC$76:$AC$77</formula1>
    </dataValidation>
  </dataValidations>
  <printOptions horizontalCentered="1"/>
  <pageMargins left="0.511811023622047" right="7.8740157480315001E-2" top="0.511811023622047" bottom="0.23622047244094499" header="0.23622047244094499" footer="0.23622047244094499"/>
  <pageSetup paperSize="9" scale="74" orientation="portrait" horizontalDpi="4294967293" verticalDpi="4294967293" r:id="rId1"/>
  <headerFooter>
    <oddHeader xml:space="preserve">&amp;R&amp;"Times New Roman,Regular"&amp;9GM.LHK - 053.18 /  REV : 1
</oddHeader>
    <oddFooter>&amp;CDilarang keras mengutip/memperbanyak dan atau mempublikasikan sebagian isi sertifikat ini tanpa seijin LPFK Banjarbaru
Sertifikat ini sah apabila dibubuhi cap LPFK Banjarbaru dan ditandatangani oleh pejabat yang berwenang</oddFooter>
  </headerFooter>
  <colBreaks count="1" manualBreakCount="1">
    <brk id="15" max="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LK</vt:lpstr>
      <vt:lpstr>Revisi</vt:lpstr>
      <vt:lpstr>Riwayat Revisi</vt:lpstr>
      <vt:lpstr>UNCERT</vt:lpstr>
      <vt:lpstr>DB ANDILOG</vt:lpstr>
      <vt:lpstr>PENYELIA</vt:lpstr>
      <vt:lpstr>ID</vt:lpstr>
      <vt:lpstr>DB Stopwatch</vt:lpstr>
      <vt:lpstr>LH</vt:lpstr>
      <vt:lpstr>DB Kelistrikan</vt:lpstr>
      <vt:lpstr>DB Thermohygro (2)</vt:lpstr>
      <vt:lpstr>SERTIFIKAT</vt:lpstr>
      <vt:lpstr>Cetik - Cetik</vt:lpstr>
      <vt:lpstr>'DB ANDILOG'!Print_Area</vt:lpstr>
      <vt:lpstr>'DB Stopwatch'!Print_Area</vt:lpstr>
      <vt:lpstr>'DB Thermohygro (2)'!Print_Area</vt:lpstr>
      <vt:lpstr>ID!Print_Area</vt:lpstr>
      <vt:lpstr>LH!Print_Area</vt:lpstr>
      <vt:lpstr>LK!Print_Area</vt:lpstr>
      <vt:lpstr>PENYELIA!Print_Area</vt:lpstr>
      <vt:lpstr>SERTIFIKAT!Print_Area</vt:lpstr>
      <vt:lpstr>UNCERT!Print_Area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SOFTAWRE CENTRI 2017</dc:title>
  <dc:creator>DANNY</dc:creator>
  <cp:lastModifiedBy>hamdan syarif</cp:lastModifiedBy>
  <cp:lastPrinted>2022-04-06T02:37:37Z</cp:lastPrinted>
  <dcterms:created xsi:type="dcterms:W3CDTF">2003-07-23T01:21:42Z</dcterms:created>
  <dcterms:modified xsi:type="dcterms:W3CDTF">2023-09-21T11:21:42Z</dcterms:modified>
</cp:coreProperties>
</file>