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drawings/drawing2.xml" ContentType="application/vnd.openxmlformats-officedocument.drawing+xml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drawings/drawing4.xml" ContentType="application/vnd.openxmlformats-officedocument.drawing+xml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776AED1D-26BC-411B-BD7E-0C9F7F0432D3}" xr6:coauthVersionLast="47" xr6:coauthVersionMax="47" xr10:uidLastSave="{00000000-0000-0000-0000-000000000000}"/>
  <bookViews>
    <workbookView xWindow="-110" yWindow="-110" windowWidth="19420" windowHeight="10300" activeTab="7" xr2:uid="{00000000-000D-0000-FFFF-FFFF00000000}"/>
  </bookViews>
  <sheets>
    <sheet name="Riwayat Revisi" sheetId="25" r:id="rId1"/>
    <sheet name="LK" sheetId="8" r:id="rId2"/>
    <sheet name="ID" sheetId="7" r:id="rId3"/>
    <sheet name="UB TACHO" sheetId="12" state="hidden" r:id="rId4"/>
    <sheet name="UB BPM" sheetId="38" state="hidden" r:id="rId5"/>
    <sheet name="PENYELIA" sheetId="9" r:id="rId6"/>
    <sheet name="LH" sheetId="13" r:id="rId7"/>
    <sheet name="SERTIFIKAT" sheetId="36" r:id="rId8"/>
    <sheet name="LAPORAN" sheetId="37" r:id="rId9"/>
    <sheet name="DB ESA" sheetId="41" state="hidden" r:id="rId10"/>
    <sheet name="DB SUHU" sheetId="42" state="hidden" r:id="rId11"/>
    <sheet name="Konversi RPM" sheetId="32" state="hidden" r:id="rId12"/>
    <sheet name="DB TACHO" sheetId="33" state="hidden" r:id="rId13"/>
    <sheet name="DB ECG" sheetId="22" state="hidden" r:id="rId14"/>
    <sheet name="TES FORECAST" sheetId="43" state="hidden" r:id="rId15"/>
  </sheets>
  <externalReferences>
    <externalReference r:id="rId16"/>
  </externalReferences>
  <definedNames>
    <definedName name="_xlnm.Print_Area" localSheetId="2">ID!$A$1:$P$80</definedName>
    <definedName name="_xlnm.Print_Area" localSheetId="8">LAPORAN!$A$1:$O$78</definedName>
    <definedName name="_xlnm.Print_Area" localSheetId="6">LH!$A$1:$O$78</definedName>
    <definedName name="_xlnm.Print_Area" localSheetId="1">LK!$A$1:$P$76</definedName>
    <definedName name="_xlnm.Print_Area" localSheetId="5">PENYELIA!$A$1:$N$72</definedName>
    <definedName name="_xlnm.Print_Area" localSheetId="7">SERTIFIKAT!$A$1:$F$34</definedName>
    <definedName name="_xlnm.Print_Area" localSheetId="3">'UB TACHO'!$A$1:$L$67</definedName>
  </definedNames>
  <calcPr calcId="191028"/>
</workbook>
</file>

<file path=xl/calcChain.xml><?xml version="1.0" encoding="utf-8"?>
<calcChain xmlns="http://schemas.openxmlformats.org/spreadsheetml/2006/main">
  <c r="A3" i="36" l="1"/>
  <c r="L157" i="22"/>
  <c r="L158" i="22"/>
  <c r="L159" i="22"/>
  <c r="L160" i="22"/>
  <c r="L156" i="22"/>
  <c r="J157" i="22"/>
  <c r="J158" i="22"/>
  <c r="J159" i="22"/>
  <c r="J160" i="22"/>
  <c r="J156" i="22"/>
  <c r="C157" i="22"/>
  <c r="C158" i="22"/>
  <c r="C159" i="22"/>
  <c r="C160" i="22"/>
  <c r="C156" i="22"/>
  <c r="L174" i="43"/>
  <c r="J174" i="43"/>
  <c r="I174" i="43"/>
  <c r="L173" i="43"/>
  <c r="J173" i="43"/>
  <c r="I173" i="43"/>
  <c r="L172" i="43"/>
  <c r="J172" i="43"/>
  <c r="I172" i="43"/>
  <c r="L171" i="43"/>
  <c r="J171" i="43"/>
  <c r="I171" i="43"/>
  <c r="L170" i="43"/>
  <c r="J170" i="43"/>
  <c r="I170" i="43"/>
  <c r="L169" i="43"/>
  <c r="J169" i="43"/>
  <c r="I169" i="43"/>
  <c r="L168" i="43"/>
  <c r="J168" i="43"/>
  <c r="I168" i="43"/>
  <c r="L167" i="43"/>
  <c r="J167" i="43"/>
  <c r="I167" i="43"/>
  <c r="L166" i="43"/>
  <c r="J166" i="43"/>
  <c r="I166" i="43"/>
  <c r="L165" i="43"/>
  <c r="J165" i="43"/>
  <c r="I165" i="43"/>
  <c r="L164" i="43"/>
  <c r="J164" i="43"/>
  <c r="I164" i="43"/>
  <c r="L163" i="43"/>
  <c r="J163" i="43"/>
  <c r="I163" i="43"/>
  <c r="A162" i="43"/>
  <c r="A175" i="43" s="1"/>
  <c r="E160" i="43"/>
  <c r="B160" i="43"/>
  <c r="A160" i="43"/>
  <c r="F160" i="43" s="1"/>
  <c r="G160" i="43" s="1"/>
  <c r="G159" i="43"/>
  <c r="F159" i="43"/>
  <c r="E159" i="43"/>
  <c r="B159" i="43"/>
  <c r="A159" i="43"/>
  <c r="E158" i="43"/>
  <c r="B158" i="43"/>
  <c r="A158" i="43"/>
  <c r="E157" i="43"/>
  <c r="B157" i="43"/>
  <c r="A157" i="43"/>
  <c r="F157" i="43" s="1"/>
  <c r="G157" i="43" s="1"/>
  <c r="K156" i="43"/>
  <c r="E156" i="43"/>
  <c r="B156" i="43"/>
  <c r="F139" i="43" s="1"/>
  <c r="A156" i="43"/>
  <c r="F156" i="43" s="1"/>
  <c r="G156" i="43" s="1"/>
  <c r="A151" i="43"/>
  <c r="A143" i="43"/>
  <c r="A139" i="43"/>
  <c r="B125" i="43"/>
  <c r="A125" i="43"/>
  <c r="A124" i="43"/>
  <c r="B123" i="43"/>
  <c r="C125" i="43" s="1"/>
  <c r="G120" i="43"/>
  <c r="E120" i="43"/>
  <c r="D120" i="43"/>
  <c r="C120" i="43"/>
  <c r="F119" i="43"/>
  <c r="E119" i="43"/>
  <c r="D119" i="43"/>
  <c r="C119" i="43"/>
  <c r="E118" i="43"/>
  <c r="D118" i="43"/>
  <c r="C118" i="43"/>
  <c r="G117" i="43"/>
  <c r="E117" i="43"/>
  <c r="D117" i="43"/>
  <c r="C117" i="43"/>
  <c r="E116" i="43"/>
  <c r="D116" i="43"/>
  <c r="C116" i="43"/>
  <c r="E115" i="43"/>
  <c r="D115" i="43"/>
  <c r="C115" i="43"/>
  <c r="F114" i="43"/>
  <c r="E114" i="43"/>
  <c r="D114" i="43"/>
  <c r="C114" i="43"/>
  <c r="G113" i="43"/>
  <c r="F113" i="43"/>
  <c r="E113" i="43"/>
  <c r="D113" i="43"/>
  <c r="C113" i="43"/>
  <c r="E112" i="43"/>
  <c r="D112" i="43"/>
  <c r="C112" i="43"/>
  <c r="E111" i="43"/>
  <c r="D111" i="43"/>
  <c r="C111" i="43"/>
  <c r="F110" i="43"/>
  <c r="E110" i="43"/>
  <c r="D110" i="43"/>
  <c r="C110" i="43"/>
  <c r="E109" i="43"/>
  <c r="D109" i="43"/>
  <c r="C109" i="43"/>
  <c r="G108" i="43"/>
  <c r="E108" i="43"/>
  <c r="D108" i="43"/>
  <c r="C108" i="43"/>
  <c r="E107" i="43"/>
  <c r="D107" i="43"/>
  <c r="C107" i="43"/>
  <c r="P106" i="43"/>
  <c r="O106" i="43"/>
  <c r="N106" i="43"/>
  <c r="M106" i="43"/>
  <c r="L106" i="43"/>
  <c r="E106" i="43"/>
  <c r="D106" i="43"/>
  <c r="C106" i="43"/>
  <c r="P105" i="43"/>
  <c r="O105" i="43"/>
  <c r="N105" i="43"/>
  <c r="M105" i="43"/>
  <c r="L105" i="43"/>
  <c r="F105" i="43"/>
  <c r="E105" i="43"/>
  <c r="D105" i="43"/>
  <c r="C105" i="43"/>
  <c r="P104" i="43"/>
  <c r="O104" i="43"/>
  <c r="N104" i="43"/>
  <c r="M104" i="43"/>
  <c r="L104" i="43"/>
  <c r="G104" i="43"/>
  <c r="E104" i="43"/>
  <c r="D104" i="43"/>
  <c r="C104" i="43"/>
  <c r="P103" i="43"/>
  <c r="O103" i="43"/>
  <c r="N103" i="43"/>
  <c r="M103" i="43"/>
  <c r="L103" i="43"/>
  <c r="E103" i="43"/>
  <c r="D103" i="43"/>
  <c r="C103" i="43"/>
  <c r="P102" i="43"/>
  <c r="O102" i="43"/>
  <c r="N102" i="43"/>
  <c r="M102" i="43"/>
  <c r="L102" i="43"/>
  <c r="G102" i="43"/>
  <c r="E102" i="43"/>
  <c r="D102" i="43"/>
  <c r="C102" i="43"/>
  <c r="P101" i="43"/>
  <c r="O101" i="43"/>
  <c r="N101" i="43"/>
  <c r="M101" i="43"/>
  <c r="L101" i="43"/>
  <c r="F101" i="43"/>
  <c r="E101" i="43"/>
  <c r="D101" i="43"/>
  <c r="C101" i="43"/>
  <c r="P100" i="43"/>
  <c r="O100" i="43"/>
  <c r="N100" i="43"/>
  <c r="M100" i="43"/>
  <c r="L100" i="43"/>
  <c r="G100" i="43"/>
  <c r="F100" i="43"/>
  <c r="E100" i="43"/>
  <c r="D100" i="43"/>
  <c r="C100" i="43"/>
  <c r="P99" i="43"/>
  <c r="O99" i="43"/>
  <c r="N99" i="43"/>
  <c r="M99" i="43"/>
  <c r="L99" i="43"/>
  <c r="E99" i="43"/>
  <c r="D99" i="43"/>
  <c r="C99" i="43"/>
  <c r="P98" i="43"/>
  <c r="O98" i="43"/>
  <c r="N98" i="43"/>
  <c r="M98" i="43"/>
  <c r="L98" i="43"/>
  <c r="G98" i="43"/>
  <c r="E98" i="43"/>
  <c r="D98" i="43"/>
  <c r="C98" i="43"/>
  <c r="P97" i="43"/>
  <c r="O97" i="43"/>
  <c r="N97" i="43"/>
  <c r="M97" i="43"/>
  <c r="L97" i="43"/>
  <c r="F97" i="43"/>
  <c r="E97" i="43"/>
  <c r="D97" i="43"/>
  <c r="C97" i="43"/>
  <c r="G96" i="43"/>
  <c r="F96" i="43"/>
  <c r="E96" i="43"/>
  <c r="D96" i="43"/>
  <c r="C96" i="43"/>
  <c r="G95" i="43"/>
  <c r="E95" i="43"/>
  <c r="D95" i="43"/>
  <c r="C95" i="43"/>
  <c r="P94" i="43"/>
  <c r="O94" i="43"/>
  <c r="N94" i="43"/>
  <c r="M94" i="43"/>
  <c r="L94" i="43"/>
  <c r="E94" i="43"/>
  <c r="D94" i="43"/>
  <c r="C94" i="43"/>
  <c r="P93" i="43"/>
  <c r="O93" i="43"/>
  <c r="N93" i="43"/>
  <c r="M93" i="43"/>
  <c r="L93" i="43"/>
  <c r="E93" i="43"/>
  <c r="D93" i="43"/>
  <c r="C93" i="43"/>
  <c r="P92" i="43"/>
  <c r="O92" i="43"/>
  <c r="N92" i="43"/>
  <c r="M92" i="43"/>
  <c r="L92" i="43"/>
  <c r="F92" i="43"/>
  <c r="E92" i="43"/>
  <c r="D92" i="43"/>
  <c r="C92" i="43"/>
  <c r="P91" i="43"/>
  <c r="O91" i="43"/>
  <c r="N91" i="43"/>
  <c r="M91" i="43"/>
  <c r="L91" i="43"/>
  <c r="G91" i="43"/>
  <c r="E91" i="43"/>
  <c r="D91" i="43"/>
  <c r="C91" i="43"/>
  <c r="P90" i="43"/>
  <c r="O90" i="43"/>
  <c r="N90" i="43"/>
  <c r="M90" i="43"/>
  <c r="L90" i="43"/>
  <c r="E90" i="43"/>
  <c r="D90" i="43"/>
  <c r="C90" i="43"/>
  <c r="P89" i="43"/>
  <c r="O89" i="43"/>
  <c r="N89" i="43"/>
  <c r="M89" i="43"/>
  <c r="L89" i="43"/>
  <c r="G89" i="43"/>
  <c r="F89" i="43"/>
  <c r="E89" i="43"/>
  <c r="D89" i="43"/>
  <c r="C89" i="43"/>
  <c r="P88" i="43"/>
  <c r="O88" i="43"/>
  <c r="N88" i="43"/>
  <c r="M88" i="43"/>
  <c r="L88" i="43"/>
  <c r="E88" i="43"/>
  <c r="D88" i="43"/>
  <c r="C88" i="43"/>
  <c r="P87" i="43"/>
  <c r="O87" i="43"/>
  <c r="N87" i="43"/>
  <c r="M87" i="43"/>
  <c r="L87" i="43"/>
  <c r="G87" i="43"/>
  <c r="E87" i="43"/>
  <c r="D87" i="43"/>
  <c r="C87" i="43"/>
  <c r="P86" i="43"/>
  <c r="O86" i="43"/>
  <c r="N86" i="43"/>
  <c r="M86" i="43"/>
  <c r="L86" i="43"/>
  <c r="E86" i="43"/>
  <c r="D86" i="43"/>
  <c r="C86" i="43"/>
  <c r="P85" i="43"/>
  <c r="O85" i="43"/>
  <c r="N85" i="43"/>
  <c r="M85" i="43"/>
  <c r="L85" i="43"/>
  <c r="G85" i="43"/>
  <c r="E85" i="43"/>
  <c r="D85" i="43"/>
  <c r="C85" i="43"/>
  <c r="E84" i="43"/>
  <c r="D84" i="43"/>
  <c r="C84" i="43"/>
  <c r="F83" i="43"/>
  <c r="E83" i="43"/>
  <c r="D83" i="43"/>
  <c r="C83" i="43"/>
  <c r="P82" i="43"/>
  <c r="O82" i="43"/>
  <c r="N82" i="43"/>
  <c r="M82" i="43"/>
  <c r="L82" i="43"/>
  <c r="G82" i="43"/>
  <c r="F82" i="43"/>
  <c r="E82" i="43"/>
  <c r="D82" i="43"/>
  <c r="C82" i="43"/>
  <c r="P81" i="43"/>
  <c r="O81" i="43"/>
  <c r="N81" i="43"/>
  <c r="M81" i="43"/>
  <c r="L81" i="43"/>
  <c r="E81" i="43"/>
  <c r="D81" i="43"/>
  <c r="C81" i="43"/>
  <c r="P80" i="43"/>
  <c r="O80" i="43"/>
  <c r="N80" i="43"/>
  <c r="M80" i="43"/>
  <c r="L80" i="43"/>
  <c r="E80" i="43"/>
  <c r="D80" i="43"/>
  <c r="C80" i="43"/>
  <c r="P79" i="43"/>
  <c r="O79" i="43"/>
  <c r="N79" i="43"/>
  <c r="M79" i="43"/>
  <c r="L79" i="43"/>
  <c r="F79" i="43"/>
  <c r="E79" i="43"/>
  <c r="D79" i="43"/>
  <c r="C79" i="43"/>
  <c r="P78" i="43"/>
  <c r="O78" i="43"/>
  <c r="N78" i="43"/>
  <c r="M78" i="43"/>
  <c r="L78" i="43"/>
  <c r="E78" i="43"/>
  <c r="D78" i="43"/>
  <c r="C78" i="43"/>
  <c r="P77" i="43"/>
  <c r="O77" i="43"/>
  <c r="N77" i="43"/>
  <c r="M77" i="43"/>
  <c r="L77" i="43"/>
  <c r="F77" i="43"/>
  <c r="E77" i="43"/>
  <c r="D77" i="43"/>
  <c r="C77" i="43"/>
  <c r="P76" i="43"/>
  <c r="O76" i="43"/>
  <c r="N76" i="43"/>
  <c r="M76" i="43"/>
  <c r="L76" i="43"/>
  <c r="G76" i="43"/>
  <c r="E76" i="43"/>
  <c r="D76" i="43"/>
  <c r="C76" i="43"/>
  <c r="P75" i="43"/>
  <c r="O75" i="43"/>
  <c r="N75" i="43"/>
  <c r="M75" i="43"/>
  <c r="L75" i="43"/>
  <c r="F75" i="43"/>
  <c r="E75" i="43"/>
  <c r="D75" i="43"/>
  <c r="C75" i="43"/>
  <c r="P74" i="43"/>
  <c r="O74" i="43"/>
  <c r="N74" i="43"/>
  <c r="M74" i="43"/>
  <c r="L74" i="43"/>
  <c r="G74" i="43"/>
  <c r="E74" i="43"/>
  <c r="D74" i="43"/>
  <c r="C74" i="43"/>
  <c r="P73" i="43"/>
  <c r="O73" i="43"/>
  <c r="N73" i="43"/>
  <c r="M73" i="43"/>
  <c r="L73" i="43"/>
  <c r="E73" i="43"/>
  <c r="D73" i="43"/>
  <c r="C73" i="43"/>
  <c r="G72" i="43"/>
  <c r="F72" i="43"/>
  <c r="E72" i="43"/>
  <c r="D72" i="43"/>
  <c r="C72" i="43"/>
  <c r="E71" i="43"/>
  <c r="D71" i="43"/>
  <c r="C71" i="43"/>
  <c r="P70" i="43"/>
  <c r="O70" i="43"/>
  <c r="N70" i="43"/>
  <c r="M70" i="43"/>
  <c r="L70" i="43"/>
  <c r="F70" i="43"/>
  <c r="E70" i="43"/>
  <c r="D70" i="43"/>
  <c r="C70" i="43"/>
  <c r="P69" i="43"/>
  <c r="O69" i="43"/>
  <c r="N69" i="43"/>
  <c r="M69" i="43"/>
  <c r="L69" i="43"/>
  <c r="G69" i="43"/>
  <c r="E69" i="43"/>
  <c r="D69" i="43"/>
  <c r="C69" i="43"/>
  <c r="P68" i="43"/>
  <c r="O68" i="43"/>
  <c r="N68" i="43"/>
  <c r="M68" i="43"/>
  <c r="L68" i="43"/>
  <c r="E68" i="43"/>
  <c r="D68" i="43"/>
  <c r="C68" i="43"/>
  <c r="P67" i="43"/>
  <c r="O67" i="43"/>
  <c r="N67" i="43"/>
  <c r="M67" i="43"/>
  <c r="L67" i="43"/>
  <c r="E67" i="43"/>
  <c r="D67" i="43"/>
  <c r="C67" i="43"/>
  <c r="P66" i="43"/>
  <c r="O66" i="43"/>
  <c r="N66" i="43"/>
  <c r="M66" i="43"/>
  <c r="L66" i="43"/>
  <c r="F66" i="43"/>
  <c r="E66" i="43"/>
  <c r="D66" i="43"/>
  <c r="C66" i="43"/>
  <c r="P65" i="43"/>
  <c r="O65" i="43"/>
  <c r="N65" i="43"/>
  <c r="M65" i="43"/>
  <c r="L65" i="43"/>
  <c r="G65" i="43"/>
  <c r="F65" i="43"/>
  <c r="E65" i="43"/>
  <c r="D65" i="43"/>
  <c r="C65" i="43"/>
  <c r="P64" i="43"/>
  <c r="O64" i="43"/>
  <c r="N64" i="43"/>
  <c r="M64" i="43"/>
  <c r="L64" i="43"/>
  <c r="E64" i="43"/>
  <c r="D64" i="43"/>
  <c r="C64" i="43"/>
  <c r="P63" i="43"/>
  <c r="O63" i="43"/>
  <c r="N63" i="43"/>
  <c r="M63" i="43"/>
  <c r="L63" i="43"/>
  <c r="G63" i="43"/>
  <c r="E63" i="43"/>
  <c r="D63" i="43"/>
  <c r="C63" i="43"/>
  <c r="P62" i="43"/>
  <c r="O62" i="43"/>
  <c r="N62" i="43"/>
  <c r="M62" i="43"/>
  <c r="L62" i="43"/>
  <c r="F62" i="43"/>
  <c r="E62" i="43"/>
  <c r="D62" i="43"/>
  <c r="C62" i="43"/>
  <c r="P61" i="43"/>
  <c r="O61" i="43"/>
  <c r="N61" i="43"/>
  <c r="M61" i="43"/>
  <c r="L61" i="43"/>
  <c r="G61" i="43"/>
  <c r="E61" i="43"/>
  <c r="D61" i="43"/>
  <c r="C61" i="43"/>
  <c r="C60" i="43"/>
  <c r="J58" i="43"/>
  <c r="C58" i="43"/>
  <c r="P50" i="43"/>
  <c r="F120" i="43" s="1"/>
  <c r="K50" i="43"/>
  <c r="G119" i="43" s="1"/>
  <c r="J50" i="43"/>
  <c r="E50" i="43"/>
  <c r="G118" i="43" s="1"/>
  <c r="D50" i="43"/>
  <c r="F118" i="43" s="1"/>
  <c r="P49" i="43"/>
  <c r="F108" i="43" s="1"/>
  <c r="K49" i="43"/>
  <c r="G107" i="43" s="1"/>
  <c r="J49" i="43"/>
  <c r="F107" i="43" s="1"/>
  <c r="E49" i="43"/>
  <c r="G106" i="43" s="1"/>
  <c r="D49" i="43"/>
  <c r="F106" i="43" s="1"/>
  <c r="P48" i="43"/>
  <c r="K48" i="43"/>
  <c r="J48" i="43"/>
  <c r="F95" i="43" s="1"/>
  <c r="E48" i="43"/>
  <c r="G94" i="43" s="1"/>
  <c r="D48" i="43"/>
  <c r="F94" i="43" s="1"/>
  <c r="Q47" i="43"/>
  <c r="G84" i="43" s="1"/>
  <c r="P47" i="43"/>
  <c r="F84" i="43" s="1"/>
  <c r="K47" i="43"/>
  <c r="G83" i="43" s="1"/>
  <c r="J47" i="43"/>
  <c r="E47" i="43"/>
  <c r="D47" i="43"/>
  <c r="Q46" i="43"/>
  <c r="P46" i="43"/>
  <c r="K46" i="43"/>
  <c r="G71" i="43" s="1"/>
  <c r="J46" i="43"/>
  <c r="F71" i="43" s="1"/>
  <c r="E46" i="43"/>
  <c r="G70" i="43" s="1"/>
  <c r="D46" i="43"/>
  <c r="A45" i="43"/>
  <c r="M45" i="43" s="1"/>
  <c r="Q37" i="43"/>
  <c r="P37" i="43"/>
  <c r="F117" i="43" s="1"/>
  <c r="K37" i="43"/>
  <c r="G116" i="43" s="1"/>
  <c r="J37" i="43"/>
  <c r="F116" i="43" s="1"/>
  <c r="E37" i="43"/>
  <c r="G115" i="43" s="1"/>
  <c r="D37" i="43"/>
  <c r="F115" i="43" s="1"/>
  <c r="Q36" i="43"/>
  <c r="G105" i="43" s="1"/>
  <c r="P36" i="43"/>
  <c r="K36" i="43"/>
  <c r="J36" i="43"/>
  <c r="F104" i="43" s="1"/>
  <c r="E36" i="43"/>
  <c r="G103" i="43" s="1"/>
  <c r="D36" i="43"/>
  <c r="F103" i="43" s="1"/>
  <c r="Q35" i="43"/>
  <c r="G93" i="43" s="1"/>
  <c r="P35" i="43"/>
  <c r="F93" i="43" s="1"/>
  <c r="K35" i="43"/>
  <c r="G92" i="43" s="1"/>
  <c r="J35" i="43"/>
  <c r="E35" i="43"/>
  <c r="D35" i="43"/>
  <c r="F91" i="43" s="1"/>
  <c r="Q34" i="43"/>
  <c r="G81" i="43" s="1"/>
  <c r="P34" i="43"/>
  <c r="F81" i="43" s="1"/>
  <c r="K34" i="43"/>
  <c r="G80" i="43" s="1"/>
  <c r="J34" i="43"/>
  <c r="F80" i="43" s="1"/>
  <c r="E34" i="43"/>
  <c r="G79" i="43" s="1"/>
  <c r="D34" i="43"/>
  <c r="Q33" i="43"/>
  <c r="P33" i="43"/>
  <c r="F69" i="43" s="1"/>
  <c r="K33" i="43"/>
  <c r="G68" i="43" s="1"/>
  <c r="J33" i="43"/>
  <c r="F68" i="43" s="1"/>
  <c r="E33" i="43"/>
  <c r="G67" i="43" s="1"/>
  <c r="D33" i="43"/>
  <c r="F67" i="43" s="1"/>
  <c r="E30" i="43"/>
  <c r="K30" i="43" s="1"/>
  <c r="E43" i="43" s="1"/>
  <c r="Q43" i="43" s="1"/>
  <c r="Q23" i="43"/>
  <c r="G114" i="43" s="1"/>
  <c r="P23" i="43"/>
  <c r="K23" i="43"/>
  <c r="E23" i="43"/>
  <c r="G112" i="43" s="1"/>
  <c r="D23" i="43"/>
  <c r="F112" i="43" s="1"/>
  <c r="Q22" i="43"/>
  <c r="P22" i="43"/>
  <c r="F102" i="43" s="1"/>
  <c r="K22" i="43"/>
  <c r="G101" i="43" s="1"/>
  <c r="E22" i="43"/>
  <c r="D22" i="43"/>
  <c r="Q21" i="43"/>
  <c r="G90" i="43" s="1"/>
  <c r="P21" i="43"/>
  <c r="F90" i="43" s="1"/>
  <c r="K21" i="43"/>
  <c r="E21" i="43"/>
  <c r="G88" i="43" s="1"/>
  <c r="D21" i="43"/>
  <c r="F88" i="43" s="1"/>
  <c r="Q20" i="43"/>
  <c r="G78" i="43" s="1"/>
  <c r="P20" i="43"/>
  <c r="F78" i="43" s="1"/>
  <c r="K20" i="43"/>
  <c r="G77" i="43" s="1"/>
  <c r="E20" i="43"/>
  <c r="D20" i="43"/>
  <c r="F76" i="43" s="1"/>
  <c r="Q19" i="43"/>
  <c r="G66" i="43" s="1"/>
  <c r="P19" i="43"/>
  <c r="K19" i="43"/>
  <c r="E19" i="43"/>
  <c r="G64" i="43" s="1"/>
  <c r="D19" i="43"/>
  <c r="F64" i="43" s="1"/>
  <c r="A18" i="43"/>
  <c r="A32" i="43" s="1"/>
  <c r="M32" i="43" s="1"/>
  <c r="A17" i="43"/>
  <c r="A31" i="43" s="1"/>
  <c r="M31" i="43" s="1"/>
  <c r="G44" i="43" s="1"/>
  <c r="Q16" i="43"/>
  <c r="K16" i="43"/>
  <c r="E16" i="43"/>
  <c r="Q10" i="43"/>
  <c r="G111" i="43" s="1"/>
  <c r="P10" i="43"/>
  <c r="F111" i="43" s="1"/>
  <c r="K10" i="43"/>
  <c r="G110" i="43" s="1"/>
  <c r="J10" i="43"/>
  <c r="E10" i="43"/>
  <c r="G109" i="43" s="1"/>
  <c r="D10" i="43"/>
  <c r="F109" i="43" s="1"/>
  <c r="Q9" i="43"/>
  <c r="G99" i="43" s="1"/>
  <c r="P9" i="43"/>
  <c r="F99" i="43" s="1"/>
  <c r="K9" i="43"/>
  <c r="J9" i="43"/>
  <c r="F98" i="43" s="1"/>
  <c r="E9" i="43"/>
  <c r="G97" i="43" s="1"/>
  <c r="D9" i="43"/>
  <c r="Q8" i="43"/>
  <c r="P8" i="43"/>
  <c r="F87" i="43" s="1"/>
  <c r="K8" i="43"/>
  <c r="G86" i="43" s="1"/>
  <c r="J8" i="43"/>
  <c r="F86" i="43" s="1"/>
  <c r="E8" i="43"/>
  <c r="D8" i="43"/>
  <c r="F85" i="43" s="1"/>
  <c r="Q7" i="43"/>
  <c r="G75" i="43" s="1"/>
  <c r="P7" i="43"/>
  <c r="K7" i="43"/>
  <c r="J7" i="43"/>
  <c r="F74" i="43" s="1"/>
  <c r="E7" i="43"/>
  <c r="G73" i="43" s="1"/>
  <c r="D7" i="43"/>
  <c r="F73" i="43" s="1"/>
  <c r="Q6" i="43"/>
  <c r="P6" i="43"/>
  <c r="F63" i="43" s="1"/>
  <c r="K6" i="43"/>
  <c r="G62" i="43" s="1"/>
  <c r="J6" i="43"/>
  <c r="E6" i="43"/>
  <c r="D6" i="43"/>
  <c r="F61" i="43" s="1"/>
  <c r="M5" i="43"/>
  <c r="G5" i="43"/>
  <c r="G4" i="43"/>
  <c r="M4" i="43" s="1"/>
  <c r="Q3" i="43"/>
  <c r="K3" i="43"/>
  <c r="E209" i="33"/>
  <c r="D138" i="22"/>
  <c r="A123" i="43" l="1"/>
  <c r="L175" i="43"/>
  <c r="P162" i="43"/>
  <c r="P175" i="43" s="1"/>
  <c r="G17" i="43"/>
  <c r="M17" i="43" s="1"/>
  <c r="Q30" i="43"/>
  <c r="K43" i="43" s="1"/>
  <c r="F143" i="43"/>
  <c r="F151" i="43"/>
  <c r="A147" i="43"/>
  <c r="F158" i="43"/>
  <c r="G158" i="43" s="1"/>
  <c r="G18" i="43"/>
  <c r="M18" i="43" s="1"/>
  <c r="G31" i="43" s="1"/>
  <c r="A44" i="43" s="1"/>
  <c r="M44" i="43" s="1"/>
  <c r="F147" i="43"/>
  <c r="E210" i="33"/>
  <c r="K205" i="33"/>
  <c r="K203" i="33"/>
  <c r="K201" i="33"/>
  <c r="K199" i="33"/>
  <c r="K197" i="33"/>
  <c r="K195" i="33"/>
  <c r="K193" i="33"/>
  <c r="K191" i="33"/>
  <c r="J204" i="33"/>
  <c r="J200" i="33"/>
  <c r="J196" i="33"/>
  <c r="J192" i="33"/>
  <c r="J27" i="13"/>
  <c r="J28" i="13"/>
  <c r="M38" i="33"/>
  <c r="M27" i="33"/>
  <c r="M28" i="33"/>
  <c r="M29" i="33"/>
  <c r="M30" i="33"/>
  <c r="M31" i="33"/>
  <c r="M32" i="33"/>
  <c r="M33" i="33"/>
  <c r="M34" i="33"/>
  <c r="M35" i="33"/>
  <c r="M36" i="33"/>
  <c r="M37" i="33"/>
  <c r="M39" i="33"/>
  <c r="M40" i="33"/>
  <c r="M41" i="33"/>
  <c r="M26" i="33"/>
  <c r="V16" i="37"/>
  <c r="U16" i="37"/>
  <c r="Q17" i="37"/>
  <c r="R17" i="37"/>
  <c r="R16" i="37"/>
  <c r="Q16" i="37"/>
  <c r="R17" i="13"/>
  <c r="R16" i="13"/>
  <c r="Q17" i="13"/>
  <c r="Q16" i="13"/>
  <c r="E17" i="9"/>
  <c r="E16" i="9"/>
  <c r="H18" i="7"/>
  <c r="H17" i="7"/>
  <c r="G18" i="7"/>
  <c r="G17" i="7"/>
  <c r="A389" i="42"/>
  <c r="V378" i="42"/>
  <c r="V377" i="42"/>
  <c r="T378" i="42"/>
  <c r="T377" i="42"/>
  <c r="K409" i="42"/>
  <c r="J409" i="42"/>
  <c r="I409" i="42"/>
  <c r="K408" i="42"/>
  <c r="J408" i="42"/>
  <c r="I408" i="42"/>
  <c r="K407" i="42"/>
  <c r="J407" i="42"/>
  <c r="I407" i="42"/>
  <c r="K406" i="42"/>
  <c r="J406" i="42"/>
  <c r="I406" i="42"/>
  <c r="K405" i="42"/>
  <c r="J405" i="42"/>
  <c r="I405" i="42"/>
  <c r="K404" i="42"/>
  <c r="J404" i="42"/>
  <c r="I404" i="42"/>
  <c r="K403" i="42"/>
  <c r="J403" i="42"/>
  <c r="I403" i="42"/>
  <c r="K402" i="42"/>
  <c r="J402" i="42"/>
  <c r="I402" i="42"/>
  <c r="K401" i="42"/>
  <c r="J401" i="42"/>
  <c r="I401" i="42"/>
  <c r="K400" i="42"/>
  <c r="J400" i="42"/>
  <c r="I400" i="42"/>
  <c r="K399" i="42"/>
  <c r="J399" i="42"/>
  <c r="I399" i="42"/>
  <c r="K398" i="42"/>
  <c r="J398" i="42"/>
  <c r="I398" i="42"/>
  <c r="K397" i="42"/>
  <c r="J397" i="42"/>
  <c r="I397" i="42"/>
  <c r="K396" i="42"/>
  <c r="J396" i="42"/>
  <c r="I396" i="42"/>
  <c r="K395" i="42"/>
  <c r="J395" i="42"/>
  <c r="I395" i="42"/>
  <c r="K394" i="42"/>
  <c r="J394" i="42"/>
  <c r="I394" i="42"/>
  <c r="K393" i="42"/>
  <c r="J393" i="42"/>
  <c r="I393" i="42"/>
  <c r="K392" i="42"/>
  <c r="J392" i="42"/>
  <c r="I392" i="42"/>
  <c r="K391" i="42"/>
  <c r="J391" i="42"/>
  <c r="I391" i="42"/>
  <c r="K390" i="42"/>
  <c r="J390" i="42"/>
  <c r="I390" i="42"/>
  <c r="W371" i="42"/>
  <c r="V371" i="42"/>
  <c r="U371" i="42"/>
  <c r="T371" i="42"/>
  <c r="S371" i="42"/>
  <c r="N371" i="42"/>
  <c r="M371" i="42"/>
  <c r="L371" i="42"/>
  <c r="K371" i="42"/>
  <c r="F371" i="42"/>
  <c r="E371" i="42"/>
  <c r="D371" i="42"/>
  <c r="C371" i="42"/>
  <c r="W370" i="42"/>
  <c r="V370" i="42"/>
  <c r="U370" i="42"/>
  <c r="T370" i="42"/>
  <c r="S370" i="42"/>
  <c r="N370" i="42"/>
  <c r="M370" i="42"/>
  <c r="L370" i="42"/>
  <c r="K370" i="42"/>
  <c r="G370" i="42"/>
  <c r="F370" i="42"/>
  <c r="E370" i="42"/>
  <c r="D370" i="42"/>
  <c r="C370" i="42"/>
  <c r="V369" i="42"/>
  <c r="U369" i="42"/>
  <c r="T369" i="42"/>
  <c r="S369" i="42"/>
  <c r="N369" i="42"/>
  <c r="M369" i="42"/>
  <c r="L369" i="42"/>
  <c r="K369" i="42"/>
  <c r="F369" i="42"/>
  <c r="E369" i="42"/>
  <c r="D369" i="42"/>
  <c r="C369" i="42"/>
  <c r="V368" i="42"/>
  <c r="U368" i="42"/>
  <c r="T368" i="42"/>
  <c r="S368" i="42"/>
  <c r="N368" i="42"/>
  <c r="M368" i="42"/>
  <c r="L368" i="42"/>
  <c r="K368" i="42"/>
  <c r="F368" i="42"/>
  <c r="E368" i="42"/>
  <c r="D368" i="42"/>
  <c r="C368" i="42"/>
  <c r="V367" i="42"/>
  <c r="U367" i="42"/>
  <c r="T367" i="42"/>
  <c r="S367" i="42"/>
  <c r="N367" i="42"/>
  <c r="M367" i="42"/>
  <c r="L367" i="42"/>
  <c r="K367" i="42"/>
  <c r="F367" i="42"/>
  <c r="E367" i="42"/>
  <c r="D367" i="42"/>
  <c r="C367" i="42"/>
  <c r="V366" i="42"/>
  <c r="U366" i="42"/>
  <c r="T366" i="42"/>
  <c r="S366" i="42"/>
  <c r="O366" i="42"/>
  <c r="N366" i="42"/>
  <c r="M366" i="42"/>
  <c r="L366" i="42"/>
  <c r="K366" i="42"/>
  <c r="F366" i="42"/>
  <c r="E366" i="42"/>
  <c r="D366" i="42"/>
  <c r="C366" i="42"/>
  <c r="V365" i="42"/>
  <c r="U365" i="42"/>
  <c r="T365" i="42"/>
  <c r="S365" i="42"/>
  <c r="O365" i="42"/>
  <c r="N365" i="42"/>
  <c r="M365" i="42"/>
  <c r="L365" i="42"/>
  <c r="K365" i="42"/>
  <c r="F365" i="42"/>
  <c r="E365" i="42"/>
  <c r="D365" i="42"/>
  <c r="C365" i="42"/>
  <c r="V364" i="42"/>
  <c r="T364" i="42"/>
  <c r="S364" i="42"/>
  <c r="N364" i="42"/>
  <c r="M364" i="42"/>
  <c r="L364" i="42"/>
  <c r="K364" i="42"/>
  <c r="F364" i="42"/>
  <c r="E364" i="42"/>
  <c r="D364" i="42"/>
  <c r="C364" i="42"/>
  <c r="V363" i="42"/>
  <c r="U363" i="42"/>
  <c r="T363" i="42"/>
  <c r="S363" i="42"/>
  <c r="O363" i="42"/>
  <c r="N363" i="42"/>
  <c r="M363" i="42"/>
  <c r="L363" i="42"/>
  <c r="K363" i="42"/>
  <c r="F363" i="42"/>
  <c r="E363" i="42"/>
  <c r="D363" i="42"/>
  <c r="C363" i="42"/>
  <c r="V362" i="42"/>
  <c r="U362" i="42"/>
  <c r="T362" i="42"/>
  <c r="S362" i="42"/>
  <c r="N362" i="42"/>
  <c r="M362" i="42"/>
  <c r="L362" i="42"/>
  <c r="K362" i="42"/>
  <c r="F362" i="42"/>
  <c r="E362" i="42"/>
  <c r="D362" i="42"/>
  <c r="C362" i="42"/>
  <c r="V361" i="42"/>
  <c r="U361" i="42"/>
  <c r="T361" i="42"/>
  <c r="S361" i="42"/>
  <c r="N361" i="42"/>
  <c r="M361" i="42"/>
  <c r="L361" i="42"/>
  <c r="K361" i="42"/>
  <c r="G361" i="42"/>
  <c r="F361" i="42"/>
  <c r="E361" i="42"/>
  <c r="D361" i="42"/>
  <c r="C361" i="42"/>
  <c r="W360" i="42"/>
  <c r="V360" i="42"/>
  <c r="U360" i="42"/>
  <c r="T360" i="42"/>
  <c r="S360" i="42"/>
  <c r="N360" i="42"/>
  <c r="M360" i="42"/>
  <c r="L360" i="42"/>
  <c r="K360" i="42"/>
  <c r="G360" i="42"/>
  <c r="F360" i="42"/>
  <c r="E360" i="42"/>
  <c r="D360" i="42"/>
  <c r="C360" i="42"/>
  <c r="V359" i="42"/>
  <c r="U359" i="42"/>
  <c r="T359" i="42"/>
  <c r="S359" i="42"/>
  <c r="N359" i="42"/>
  <c r="M359" i="42"/>
  <c r="L359" i="42"/>
  <c r="K359" i="42"/>
  <c r="F359" i="42"/>
  <c r="E359" i="42"/>
  <c r="D359" i="42"/>
  <c r="C359" i="42"/>
  <c r="V358" i="42"/>
  <c r="U358" i="42"/>
  <c r="T358" i="42"/>
  <c r="S358" i="42"/>
  <c r="N358" i="42"/>
  <c r="M358" i="42"/>
  <c r="L358" i="42"/>
  <c r="K358" i="42"/>
  <c r="G358" i="42"/>
  <c r="F358" i="42"/>
  <c r="E358" i="42"/>
  <c r="D358" i="42"/>
  <c r="C358" i="42"/>
  <c r="V357" i="42"/>
  <c r="U357" i="42"/>
  <c r="T357" i="42"/>
  <c r="S357" i="42"/>
  <c r="N357" i="42"/>
  <c r="M357" i="42"/>
  <c r="L357" i="42"/>
  <c r="K357" i="42"/>
  <c r="F357" i="42"/>
  <c r="E357" i="42"/>
  <c r="D357" i="42"/>
  <c r="C357" i="42"/>
  <c r="V356" i="42"/>
  <c r="U356" i="42"/>
  <c r="T356" i="42"/>
  <c r="S356" i="42"/>
  <c r="N356" i="42"/>
  <c r="M356" i="42"/>
  <c r="L356" i="42"/>
  <c r="K356" i="42"/>
  <c r="F356" i="42"/>
  <c r="E356" i="42"/>
  <c r="D356" i="42"/>
  <c r="C356" i="42"/>
  <c r="W355" i="42"/>
  <c r="V355" i="42"/>
  <c r="U355" i="42"/>
  <c r="T355" i="42"/>
  <c r="S355" i="42"/>
  <c r="O355" i="42"/>
  <c r="N355" i="42"/>
  <c r="M355" i="42"/>
  <c r="L355" i="42"/>
  <c r="K355" i="42"/>
  <c r="F355" i="42"/>
  <c r="E355" i="42"/>
  <c r="D355" i="42"/>
  <c r="C355" i="42"/>
  <c r="V354" i="42"/>
  <c r="U354" i="42"/>
  <c r="T354" i="42"/>
  <c r="S354" i="42"/>
  <c r="N354" i="42"/>
  <c r="M354" i="42"/>
  <c r="L354" i="42"/>
  <c r="K354" i="42"/>
  <c r="F354" i="42"/>
  <c r="E354" i="42"/>
  <c r="D354" i="42"/>
  <c r="C354" i="42"/>
  <c r="V353" i="42"/>
  <c r="U353" i="42"/>
  <c r="T353" i="42"/>
  <c r="S353" i="42"/>
  <c r="N353" i="42"/>
  <c r="M353" i="42"/>
  <c r="L353" i="42"/>
  <c r="K353" i="42"/>
  <c r="F353" i="42"/>
  <c r="E353" i="42"/>
  <c r="D353" i="42"/>
  <c r="C353" i="42"/>
  <c r="W352" i="42"/>
  <c r="V352" i="42"/>
  <c r="U352" i="42"/>
  <c r="T352" i="42"/>
  <c r="S352" i="42"/>
  <c r="N352" i="42"/>
  <c r="M352" i="42"/>
  <c r="L352" i="42"/>
  <c r="K352" i="42"/>
  <c r="F352" i="42"/>
  <c r="E352" i="42"/>
  <c r="D352" i="42"/>
  <c r="C352" i="42"/>
  <c r="V350" i="42"/>
  <c r="U350" i="42"/>
  <c r="T350" i="42"/>
  <c r="S350" i="42"/>
  <c r="O350" i="42"/>
  <c r="N350" i="42"/>
  <c r="M350" i="42"/>
  <c r="L350" i="42"/>
  <c r="K350" i="42"/>
  <c r="F350" i="42"/>
  <c r="E350" i="42"/>
  <c r="D350" i="42"/>
  <c r="C350" i="42"/>
  <c r="V349" i="42"/>
  <c r="U349" i="42"/>
  <c r="T349" i="42"/>
  <c r="S349" i="42"/>
  <c r="O349" i="42"/>
  <c r="N349" i="42"/>
  <c r="M349" i="42"/>
  <c r="L349" i="42"/>
  <c r="K349" i="42"/>
  <c r="F349" i="42"/>
  <c r="E349" i="42"/>
  <c r="D349" i="42"/>
  <c r="C349" i="42"/>
  <c r="V348" i="42"/>
  <c r="U348" i="42"/>
  <c r="T348" i="42"/>
  <c r="S348" i="42"/>
  <c r="N348" i="42"/>
  <c r="M348" i="42"/>
  <c r="L348" i="42"/>
  <c r="K348" i="42"/>
  <c r="F348" i="42"/>
  <c r="E348" i="42"/>
  <c r="D348" i="42"/>
  <c r="C348" i="42"/>
  <c r="W347" i="42"/>
  <c r="V347" i="42"/>
  <c r="U347" i="42"/>
  <c r="T347" i="42"/>
  <c r="S347" i="42"/>
  <c r="N347" i="42"/>
  <c r="M347" i="42"/>
  <c r="L347" i="42"/>
  <c r="K347" i="42"/>
  <c r="F347" i="42"/>
  <c r="E347" i="42"/>
  <c r="D347" i="42"/>
  <c r="C347" i="42"/>
  <c r="V346" i="42"/>
  <c r="U346" i="42"/>
  <c r="T346" i="42"/>
  <c r="S346" i="42"/>
  <c r="O346" i="42"/>
  <c r="N346" i="42"/>
  <c r="M346" i="42"/>
  <c r="L346" i="42"/>
  <c r="K346" i="42"/>
  <c r="F346" i="42"/>
  <c r="E346" i="42"/>
  <c r="D346" i="42"/>
  <c r="C346" i="42"/>
  <c r="V345" i="42"/>
  <c r="U345" i="42"/>
  <c r="T345" i="42"/>
  <c r="S345" i="42"/>
  <c r="N345" i="42"/>
  <c r="M345" i="42"/>
  <c r="L345" i="42"/>
  <c r="K345" i="42"/>
  <c r="F345" i="42"/>
  <c r="E345" i="42"/>
  <c r="D345" i="42"/>
  <c r="C345" i="42"/>
  <c r="V344" i="42"/>
  <c r="U344" i="42"/>
  <c r="T344" i="42"/>
  <c r="S344" i="42"/>
  <c r="N344" i="42"/>
  <c r="M344" i="42"/>
  <c r="L344" i="42"/>
  <c r="K344" i="42"/>
  <c r="G344" i="42"/>
  <c r="F344" i="42"/>
  <c r="E344" i="42"/>
  <c r="D344" i="42"/>
  <c r="C344" i="42"/>
  <c r="V343" i="42"/>
  <c r="U343" i="42"/>
  <c r="T343" i="42"/>
  <c r="S343" i="42"/>
  <c r="N343" i="42"/>
  <c r="M343" i="42"/>
  <c r="L343" i="42"/>
  <c r="K343" i="42"/>
  <c r="G343" i="42"/>
  <c r="F343" i="42"/>
  <c r="E343" i="42"/>
  <c r="D343" i="42"/>
  <c r="C343" i="42"/>
  <c r="V342" i="42"/>
  <c r="U342" i="42"/>
  <c r="T342" i="42"/>
  <c r="S342" i="42"/>
  <c r="O342" i="42"/>
  <c r="N342" i="42"/>
  <c r="M342" i="42"/>
  <c r="L342" i="42"/>
  <c r="K342" i="42"/>
  <c r="F342" i="42"/>
  <c r="E342" i="42"/>
  <c r="D342" i="42"/>
  <c r="C342" i="42"/>
  <c r="V341" i="42"/>
  <c r="U341" i="42"/>
  <c r="T341" i="42"/>
  <c r="S341" i="42"/>
  <c r="N341" i="42"/>
  <c r="M341" i="42"/>
  <c r="L341" i="42"/>
  <c r="K341" i="42"/>
  <c r="G341" i="42"/>
  <c r="F341" i="42"/>
  <c r="E341" i="42"/>
  <c r="D341" i="42"/>
  <c r="C341" i="42"/>
  <c r="V340" i="42"/>
  <c r="U340" i="42"/>
  <c r="T340" i="42"/>
  <c r="S340" i="42"/>
  <c r="N340" i="42"/>
  <c r="M340" i="42"/>
  <c r="L340" i="42"/>
  <c r="K340" i="42"/>
  <c r="F340" i="42"/>
  <c r="E340" i="42"/>
  <c r="D340" i="42"/>
  <c r="C340" i="42"/>
  <c r="V339" i="42"/>
  <c r="U339" i="42"/>
  <c r="T339" i="42"/>
  <c r="S339" i="42"/>
  <c r="N339" i="42"/>
  <c r="M339" i="42"/>
  <c r="L339" i="42"/>
  <c r="K339" i="42"/>
  <c r="F339" i="42"/>
  <c r="E339" i="42"/>
  <c r="D339" i="42"/>
  <c r="C339" i="42"/>
  <c r="V338" i="42"/>
  <c r="U338" i="42"/>
  <c r="T338" i="42"/>
  <c r="S338" i="42"/>
  <c r="O338" i="42"/>
  <c r="N338" i="42"/>
  <c r="M338" i="42"/>
  <c r="L338" i="42"/>
  <c r="K338" i="42"/>
  <c r="F338" i="42"/>
  <c r="E338" i="42"/>
  <c r="D338" i="42"/>
  <c r="C338" i="42"/>
  <c r="W337" i="42"/>
  <c r="V337" i="42"/>
  <c r="U337" i="42"/>
  <c r="T337" i="42"/>
  <c r="S337" i="42"/>
  <c r="N337" i="42"/>
  <c r="M337" i="42"/>
  <c r="L337" i="42"/>
  <c r="K337" i="42"/>
  <c r="G337" i="42"/>
  <c r="F337" i="42"/>
  <c r="E337" i="42"/>
  <c r="D337" i="42"/>
  <c r="C337" i="42"/>
  <c r="V336" i="42"/>
  <c r="U336" i="42"/>
  <c r="T336" i="42"/>
  <c r="S336" i="42"/>
  <c r="N336" i="42"/>
  <c r="M336" i="42"/>
  <c r="L336" i="42"/>
  <c r="K336" i="42"/>
  <c r="F336" i="42"/>
  <c r="E336" i="42"/>
  <c r="D336" i="42"/>
  <c r="C336" i="42"/>
  <c r="W335" i="42"/>
  <c r="V335" i="42"/>
  <c r="U335" i="42"/>
  <c r="T335" i="42"/>
  <c r="S335" i="42"/>
  <c r="N335" i="42"/>
  <c r="M335" i="42"/>
  <c r="L335" i="42"/>
  <c r="K335" i="42"/>
  <c r="F335" i="42"/>
  <c r="E335" i="42"/>
  <c r="D335" i="42"/>
  <c r="C335" i="42"/>
  <c r="V334" i="42"/>
  <c r="U334" i="42"/>
  <c r="T334" i="42"/>
  <c r="S334" i="42"/>
  <c r="N334" i="42"/>
  <c r="M334" i="42"/>
  <c r="L334" i="42"/>
  <c r="K334" i="42"/>
  <c r="F334" i="42"/>
  <c r="E334" i="42"/>
  <c r="D334" i="42"/>
  <c r="C334" i="42"/>
  <c r="V333" i="42"/>
  <c r="U333" i="42"/>
  <c r="T333" i="42"/>
  <c r="S333" i="42"/>
  <c r="N333" i="42"/>
  <c r="M333" i="42"/>
  <c r="L333" i="42"/>
  <c r="K333" i="42"/>
  <c r="G333" i="42"/>
  <c r="F333" i="42"/>
  <c r="E333" i="42"/>
  <c r="D333" i="42"/>
  <c r="C333" i="42"/>
  <c r="V332" i="42"/>
  <c r="U332" i="42"/>
  <c r="T332" i="42"/>
  <c r="S332" i="42"/>
  <c r="O332" i="42"/>
  <c r="N332" i="42"/>
  <c r="M332" i="42"/>
  <c r="L332" i="42"/>
  <c r="K332" i="42"/>
  <c r="F332" i="42"/>
  <c r="E332" i="42"/>
  <c r="D332" i="42"/>
  <c r="C332" i="42"/>
  <c r="W331" i="42"/>
  <c r="V331" i="42"/>
  <c r="U331" i="42"/>
  <c r="T331" i="42"/>
  <c r="S331" i="42"/>
  <c r="N331" i="42"/>
  <c r="M331" i="42"/>
  <c r="L331" i="42"/>
  <c r="K331" i="42"/>
  <c r="F331" i="42"/>
  <c r="E331" i="42"/>
  <c r="D331" i="42"/>
  <c r="C331" i="42"/>
  <c r="W329" i="42"/>
  <c r="V329" i="42"/>
  <c r="U329" i="42"/>
  <c r="T329" i="42"/>
  <c r="S329" i="42"/>
  <c r="O329" i="42"/>
  <c r="N329" i="42"/>
  <c r="M329" i="42"/>
  <c r="L329" i="42"/>
  <c r="K329" i="42"/>
  <c r="F329" i="42"/>
  <c r="E329" i="42"/>
  <c r="D329" i="42"/>
  <c r="C329" i="42"/>
  <c r="V328" i="42"/>
  <c r="U328" i="42"/>
  <c r="T328" i="42"/>
  <c r="S328" i="42"/>
  <c r="N328" i="42"/>
  <c r="M328" i="42"/>
  <c r="L328" i="42"/>
  <c r="K328" i="42"/>
  <c r="G328" i="42"/>
  <c r="F328" i="42"/>
  <c r="E328" i="42"/>
  <c r="D328" i="42"/>
  <c r="C328" i="42"/>
  <c r="V327" i="42"/>
  <c r="U327" i="42"/>
  <c r="T327" i="42"/>
  <c r="S327" i="42"/>
  <c r="N327" i="42"/>
  <c r="M327" i="42"/>
  <c r="L327" i="42"/>
  <c r="K327" i="42"/>
  <c r="G327" i="42"/>
  <c r="F327" i="42"/>
  <c r="E327" i="42"/>
  <c r="D327" i="42"/>
  <c r="C327" i="42"/>
  <c r="V326" i="42"/>
  <c r="U326" i="42"/>
  <c r="T326" i="42"/>
  <c r="S326" i="42"/>
  <c r="N326" i="42"/>
  <c r="M326" i="42"/>
  <c r="L326" i="42"/>
  <c r="K326" i="42"/>
  <c r="F326" i="42"/>
  <c r="E326" i="42"/>
  <c r="D326" i="42"/>
  <c r="C326" i="42"/>
  <c r="V325" i="42"/>
  <c r="U325" i="42"/>
  <c r="T325" i="42"/>
  <c r="S325" i="42"/>
  <c r="N325" i="42"/>
  <c r="M325" i="42"/>
  <c r="L325" i="42"/>
  <c r="K325" i="42"/>
  <c r="F325" i="42"/>
  <c r="E325" i="42"/>
  <c r="D325" i="42"/>
  <c r="C325" i="42"/>
  <c r="V324" i="42"/>
  <c r="U324" i="42"/>
  <c r="T324" i="42"/>
  <c r="S324" i="42"/>
  <c r="N324" i="42"/>
  <c r="M324" i="42"/>
  <c r="L324" i="42"/>
  <c r="K324" i="42"/>
  <c r="G324" i="42"/>
  <c r="F324" i="42"/>
  <c r="E324" i="42"/>
  <c r="D324" i="42"/>
  <c r="C324" i="42"/>
  <c r="V323" i="42"/>
  <c r="U323" i="42"/>
  <c r="T323" i="42"/>
  <c r="S323" i="42"/>
  <c r="N323" i="42"/>
  <c r="M323" i="42"/>
  <c r="L323" i="42"/>
  <c r="K323" i="42"/>
  <c r="F323" i="42"/>
  <c r="E323" i="42"/>
  <c r="D323" i="42"/>
  <c r="C323" i="42"/>
  <c r="V322" i="42"/>
  <c r="U322" i="42"/>
  <c r="T322" i="42"/>
  <c r="S322" i="42"/>
  <c r="N322" i="42"/>
  <c r="M322" i="42"/>
  <c r="L322" i="42"/>
  <c r="K322" i="42"/>
  <c r="F322" i="42"/>
  <c r="E322" i="42"/>
  <c r="D322" i="42"/>
  <c r="C322" i="42"/>
  <c r="V321" i="42"/>
  <c r="U321" i="42"/>
  <c r="T321" i="42"/>
  <c r="S321" i="42"/>
  <c r="N321" i="42"/>
  <c r="M321" i="42"/>
  <c r="L321" i="42"/>
  <c r="K321" i="42"/>
  <c r="F321" i="42"/>
  <c r="E321" i="42"/>
  <c r="D321" i="42"/>
  <c r="C321" i="42"/>
  <c r="W320" i="42"/>
  <c r="V320" i="42"/>
  <c r="U320" i="42"/>
  <c r="T320" i="42"/>
  <c r="S320" i="42"/>
  <c r="N320" i="42"/>
  <c r="M320" i="42"/>
  <c r="L320" i="42"/>
  <c r="K320" i="42"/>
  <c r="G320" i="42"/>
  <c r="F320" i="42"/>
  <c r="E320" i="42"/>
  <c r="D320" i="42"/>
  <c r="C320" i="42"/>
  <c r="V319" i="42"/>
  <c r="U319" i="42"/>
  <c r="T319" i="42"/>
  <c r="S319" i="42"/>
  <c r="N319" i="42"/>
  <c r="M319" i="42"/>
  <c r="L319" i="42"/>
  <c r="K319" i="42"/>
  <c r="F319" i="42"/>
  <c r="E319" i="42"/>
  <c r="D319" i="42"/>
  <c r="C319" i="42"/>
  <c r="V318" i="42"/>
  <c r="U318" i="42"/>
  <c r="T318" i="42"/>
  <c r="S318" i="42"/>
  <c r="N318" i="42"/>
  <c r="M318" i="42"/>
  <c r="L318" i="42"/>
  <c r="K318" i="42"/>
  <c r="F318" i="42"/>
  <c r="E318" i="42"/>
  <c r="D318" i="42"/>
  <c r="C318" i="42"/>
  <c r="V317" i="42"/>
  <c r="U317" i="42"/>
  <c r="T317" i="42"/>
  <c r="S317" i="42"/>
  <c r="N317" i="42"/>
  <c r="M317" i="42"/>
  <c r="L317" i="42"/>
  <c r="K317" i="42"/>
  <c r="F317" i="42"/>
  <c r="E317" i="42"/>
  <c r="D317" i="42"/>
  <c r="C317" i="42"/>
  <c r="V316" i="42"/>
  <c r="U316" i="42"/>
  <c r="T316" i="42"/>
  <c r="S316" i="42"/>
  <c r="N316" i="42"/>
  <c r="M316" i="42"/>
  <c r="L316" i="42"/>
  <c r="K316" i="42"/>
  <c r="F316" i="42"/>
  <c r="E316" i="42"/>
  <c r="D316" i="42"/>
  <c r="C316" i="42"/>
  <c r="V315" i="42"/>
  <c r="U315" i="42"/>
  <c r="T315" i="42"/>
  <c r="S315" i="42"/>
  <c r="O315" i="42"/>
  <c r="N315" i="42"/>
  <c r="M315" i="42"/>
  <c r="L315" i="42"/>
  <c r="K315" i="42"/>
  <c r="F315" i="42"/>
  <c r="E315" i="42"/>
  <c r="D315" i="42"/>
  <c r="C315" i="42"/>
  <c r="W314" i="42"/>
  <c r="V314" i="42"/>
  <c r="U314" i="42"/>
  <c r="T314" i="42"/>
  <c r="S314" i="42"/>
  <c r="N314" i="42"/>
  <c r="M314" i="42"/>
  <c r="L314" i="42"/>
  <c r="K314" i="42"/>
  <c r="F314" i="42"/>
  <c r="E314" i="42"/>
  <c r="D314" i="42"/>
  <c r="C314" i="42"/>
  <c r="V313" i="42"/>
  <c r="U313" i="42"/>
  <c r="T313" i="42"/>
  <c r="S313" i="42"/>
  <c r="N313" i="42"/>
  <c r="M313" i="42"/>
  <c r="L313" i="42"/>
  <c r="K313" i="42"/>
  <c r="F313" i="42"/>
  <c r="E313" i="42"/>
  <c r="D313" i="42"/>
  <c r="C313" i="42"/>
  <c r="V312" i="42"/>
  <c r="U312" i="42"/>
  <c r="T312" i="42"/>
  <c r="S312" i="42"/>
  <c r="N312" i="42"/>
  <c r="M312" i="42"/>
  <c r="L312" i="42"/>
  <c r="K312" i="42"/>
  <c r="F312" i="42"/>
  <c r="E312" i="42"/>
  <c r="D312" i="42"/>
  <c r="C312" i="42"/>
  <c r="V311" i="42"/>
  <c r="U311" i="42"/>
  <c r="T311" i="42"/>
  <c r="S311" i="42"/>
  <c r="N311" i="42"/>
  <c r="M311" i="42"/>
  <c r="L311" i="42"/>
  <c r="K311" i="42"/>
  <c r="F311" i="42"/>
  <c r="E311" i="42"/>
  <c r="D311" i="42"/>
  <c r="C311" i="42"/>
  <c r="V310" i="42"/>
  <c r="U310" i="42"/>
  <c r="T310" i="42"/>
  <c r="S310" i="42"/>
  <c r="N310" i="42"/>
  <c r="M310" i="42"/>
  <c r="L310" i="42"/>
  <c r="K310" i="42"/>
  <c r="G310" i="42"/>
  <c r="F310" i="42"/>
  <c r="E310" i="42"/>
  <c r="D310" i="42"/>
  <c r="C310" i="42"/>
  <c r="V308" i="42"/>
  <c r="U308" i="42"/>
  <c r="T308" i="42"/>
  <c r="S308" i="42"/>
  <c r="O308" i="42"/>
  <c r="N308" i="42"/>
  <c r="M308" i="42"/>
  <c r="L308" i="42"/>
  <c r="K308" i="42"/>
  <c r="F308" i="42"/>
  <c r="E308" i="42"/>
  <c r="D308" i="42"/>
  <c r="C308" i="42"/>
  <c r="V307" i="42"/>
  <c r="U307" i="42"/>
  <c r="T307" i="42"/>
  <c r="S307" i="42"/>
  <c r="N307" i="42"/>
  <c r="M307" i="42"/>
  <c r="L307" i="42"/>
  <c r="K307" i="42"/>
  <c r="G307" i="42"/>
  <c r="F307" i="42"/>
  <c r="E307" i="42"/>
  <c r="D307" i="42"/>
  <c r="C307" i="42"/>
  <c r="V306" i="42"/>
  <c r="U306" i="42"/>
  <c r="T306" i="42"/>
  <c r="S306" i="42"/>
  <c r="N306" i="42"/>
  <c r="M306" i="42"/>
  <c r="L306" i="42"/>
  <c r="K306" i="42"/>
  <c r="F306" i="42"/>
  <c r="E306" i="42"/>
  <c r="D306" i="42"/>
  <c r="C306" i="42"/>
  <c r="V305" i="42"/>
  <c r="U305" i="42"/>
  <c r="T305" i="42"/>
  <c r="S305" i="42"/>
  <c r="N305" i="42"/>
  <c r="M305" i="42"/>
  <c r="L305" i="42"/>
  <c r="K305" i="42"/>
  <c r="F305" i="42"/>
  <c r="E305" i="42"/>
  <c r="D305" i="42"/>
  <c r="C305" i="42"/>
  <c r="W304" i="42"/>
  <c r="V304" i="42"/>
  <c r="U304" i="42"/>
  <c r="T304" i="42"/>
  <c r="S304" i="42"/>
  <c r="O304" i="42"/>
  <c r="N304" i="42"/>
  <c r="M304" i="42"/>
  <c r="L304" i="42"/>
  <c r="K304" i="42"/>
  <c r="F304" i="42"/>
  <c r="E304" i="42"/>
  <c r="D304" i="42"/>
  <c r="C304" i="42"/>
  <c r="V303" i="42"/>
  <c r="U303" i="42"/>
  <c r="T303" i="42"/>
  <c r="S303" i="42"/>
  <c r="N303" i="42"/>
  <c r="M303" i="42"/>
  <c r="L303" i="42"/>
  <c r="K303" i="42"/>
  <c r="F303" i="42"/>
  <c r="E303" i="42"/>
  <c r="D303" i="42"/>
  <c r="C303" i="42"/>
  <c r="V302" i="42"/>
  <c r="U302" i="42"/>
  <c r="T302" i="42"/>
  <c r="S302" i="42"/>
  <c r="N302" i="42"/>
  <c r="M302" i="42"/>
  <c r="L302" i="42"/>
  <c r="K302" i="42"/>
  <c r="F302" i="42"/>
  <c r="E302" i="42"/>
  <c r="D302" i="42"/>
  <c r="C302" i="42"/>
  <c r="W301" i="42"/>
  <c r="V301" i="42"/>
  <c r="U301" i="42"/>
  <c r="T301" i="42"/>
  <c r="S301" i="42"/>
  <c r="N301" i="42"/>
  <c r="M301" i="42"/>
  <c r="L301" i="42"/>
  <c r="K301" i="42"/>
  <c r="F301" i="42"/>
  <c r="E301" i="42"/>
  <c r="D301" i="42"/>
  <c r="C301" i="42"/>
  <c r="V300" i="42"/>
  <c r="U300" i="42"/>
  <c r="T300" i="42"/>
  <c r="S300" i="42"/>
  <c r="N300" i="42"/>
  <c r="M300" i="42"/>
  <c r="L300" i="42"/>
  <c r="K300" i="42"/>
  <c r="F300" i="42"/>
  <c r="E300" i="42"/>
  <c r="D300" i="42"/>
  <c r="C300" i="42"/>
  <c r="V299" i="42"/>
  <c r="U299" i="42"/>
  <c r="T299" i="42"/>
  <c r="S299" i="42"/>
  <c r="O299" i="42"/>
  <c r="N299" i="42"/>
  <c r="M299" i="42"/>
  <c r="L299" i="42"/>
  <c r="K299" i="42"/>
  <c r="F299" i="42"/>
  <c r="E299" i="42"/>
  <c r="D299" i="42"/>
  <c r="C299" i="42"/>
  <c r="V298" i="42"/>
  <c r="U298" i="42"/>
  <c r="T298" i="42"/>
  <c r="S298" i="42"/>
  <c r="O298" i="42"/>
  <c r="N298" i="42"/>
  <c r="M298" i="42"/>
  <c r="L298" i="42"/>
  <c r="K298" i="42"/>
  <c r="F298" i="42"/>
  <c r="E298" i="42"/>
  <c r="D298" i="42"/>
  <c r="C298" i="42"/>
  <c r="W297" i="42"/>
  <c r="V297" i="42"/>
  <c r="U297" i="42"/>
  <c r="T297" i="42"/>
  <c r="S297" i="42"/>
  <c r="N297" i="42"/>
  <c r="M297" i="42"/>
  <c r="L297" i="42"/>
  <c r="K297" i="42"/>
  <c r="F297" i="42"/>
  <c r="E297" i="42"/>
  <c r="D297" i="42"/>
  <c r="C297" i="42"/>
  <c r="V296" i="42"/>
  <c r="U296" i="42"/>
  <c r="T296" i="42"/>
  <c r="S296" i="42"/>
  <c r="O296" i="42"/>
  <c r="N296" i="42"/>
  <c r="M296" i="42"/>
  <c r="L296" i="42"/>
  <c r="K296" i="42"/>
  <c r="F296" i="42"/>
  <c r="E296" i="42"/>
  <c r="D296" i="42"/>
  <c r="C296" i="42"/>
  <c r="V295" i="42"/>
  <c r="U295" i="42"/>
  <c r="T295" i="42"/>
  <c r="S295" i="42"/>
  <c r="N295" i="42"/>
  <c r="M295" i="42"/>
  <c r="L295" i="42"/>
  <c r="K295" i="42"/>
  <c r="F295" i="42"/>
  <c r="E295" i="42"/>
  <c r="D295" i="42"/>
  <c r="C295" i="42"/>
  <c r="V294" i="42"/>
  <c r="U294" i="42"/>
  <c r="T294" i="42"/>
  <c r="S294" i="42"/>
  <c r="N294" i="42"/>
  <c r="M294" i="42"/>
  <c r="L294" i="42"/>
  <c r="K294" i="42"/>
  <c r="G294" i="42"/>
  <c r="F294" i="42"/>
  <c r="E294" i="42"/>
  <c r="D294" i="42"/>
  <c r="C294" i="42"/>
  <c r="V293" i="42"/>
  <c r="U293" i="42"/>
  <c r="T293" i="42"/>
  <c r="S293" i="42"/>
  <c r="N293" i="42"/>
  <c r="M293" i="42"/>
  <c r="L293" i="42"/>
  <c r="K293" i="42"/>
  <c r="G293" i="42"/>
  <c r="F293" i="42"/>
  <c r="E293" i="42"/>
  <c r="D293" i="42"/>
  <c r="C293" i="42"/>
  <c r="Z292" i="42"/>
  <c r="V292" i="42"/>
  <c r="U292" i="42"/>
  <c r="T292" i="42"/>
  <c r="S292" i="42"/>
  <c r="N292" i="42"/>
  <c r="M292" i="42"/>
  <c r="L292" i="42"/>
  <c r="K292" i="42"/>
  <c r="F292" i="42"/>
  <c r="E292" i="42"/>
  <c r="D292" i="42"/>
  <c r="C292" i="42"/>
  <c r="Z291" i="42"/>
  <c r="V291" i="42"/>
  <c r="U291" i="42"/>
  <c r="T291" i="42"/>
  <c r="S291" i="42"/>
  <c r="N291" i="42"/>
  <c r="M291" i="42"/>
  <c r="L291" i="42"/>
  <c r="K291" i="42"/>
  <c r="F291" i="42"/>
  <c r="E291" i="42"/>
  <c r="D291" i="42"/>
  <c r="C291" i="42"/>
  <c r="Z290" i="42"/>
  <c r="V290" i="42"/>
  <c r="U290" i="42"/>
  <c r="T290" i="42"/>
  <c r="S290" i="42"/>
  <c r="N290" i="42"/>
  <c r="M290" i="42"/>
  <c r="L290" i="42"/>
  <c r="K290" i="42"/>
  <c r="F290" i="42"/>
  <c r="E290" i="42"/>
  <c r="D290" i="42"/>
  <c r="C290" i="42"/>
  <c r="Z289" i="42"/>
  <c r="W289" i="42"/>
  <c r="V289" i="42"/>
  <c r="U289" i="42"/>
  <c r="T289" i="42"/>
  <c r="S289" i="42"/>
  <c r="N289" i="42"/>
  <c r="M289" i="42"/>
  <c r="L289" i="42"/>
  <c r="K289" i="42"/>
  <c r="F289" i="42"/>
  <c r="E289" i="42"/>
  <c r="D289" i="42"/>
  <c r="C289" i="42"/>
  <c r="Z288" i="42"/>
  <c r="Z287" i="42"/>
  <c r="V287" i="42"/>
  <c r="U287" i="42"/>
  <c r="T287" i="42"/>
  <c r="S287" i="42"/>
  <c r="N287" i="42"/>
  <c r="M287" i="42"/>
  <c r="L287" i="42"/>
  <c r="K287" i="42"/>
  <c r="G287" i="42"/>
  <c r="F287" i="42"/>
  <c r="E287" i="42"/>
  <c r="D287" i="42"/>
  <c r="C287" i="42"/>
  <c r="Z286" i="42"/>
  <c r="V286" i="42"/>
  <c r="U286" i="42"/>
  <c r="T286" i="42"/>
  <c r="S286" i="42"/>
  <c r="N286" i="42"/>
  <c r="M286" i="42"/>
  <c r="L286" i="42"/>
  <c r="K286" i="42"/>
  <c r="G286" i="42"/>
  <c r="F286" i="42"/>
  <c r="E286" i="42"/>
  <c r="D286" i="42"/>
  <c r="C286" i="42"/>
  <c r="Z285" i="42"/>
  <c r="V285" i="42"/>
  <c r="U285" i="42"/>
  <c r="T285" i="42"/>
  <c r="S285" i="42"/>
  <c r="N285" i="42"/>
  <c r="M285" i="42"/>
  <c r="L285" i="42"/>
  <c r="K285" i="42"/>
  <c r="G285" i="42"/>
  <c r="F285" i="42"/>
  <c r="E285" i="42"/>
  <c r="D285" i="42"/>
  <c r="C285" i="42"/>
  <c r="Z284" i="42"/>
  <c r="V284" i="42"/>
  <c r="U284" i="42"/>
  <c r="T284" i="42"/>
  <c r="S284" i="42"/>
  <c r="N284" i="42"/>
  <c r="M284" i="42"/>
  <c r="L284" i="42"/>
  <c r="K284" i="42"/>
  <c r="F284" i="42"/>
  <c r="E284" i="42"/>
  <c r="D284" i="42"/>
  <c r="C284" i="42"/>
  <c r="Z283" i="42"/>
  <c r="V283" i="42"/>
  <c r="U283" i="42"/>
  <c r="T283" i="42"/>
  <c r="S283" i="42"/>
  <c r="N283" i="42"/>
  <c r="M283" i="42"/>
  <c r="L283" i="42"/>
  <c r="K283" i="42"/>
  <c r="G283" i="42"/>
  <c r="F283" i="42"/>
  <c r="E283" i="42"/>
  <c r="D283" i="42"/>
  <c r="C283" i="42"/>
  <c r="Z282" i="42"/>
  <c r="V282" i="42"/>
  <c r="U282" i="42"/>
  <c r="T282" i="42"/>
  <c r="S282" i="42"/>
  <c r="N282" i="42"/>
  <c r="M282" i="42"/>
  <c r="L282" i="42"/>
  <c r="K282" i="42"/>
  <c r="G282" i="42"/>
  <c r="F282" i="42"/>
  <c r="E282" i="42"/>
  <c r="D282" i="42"/>
  <c r="C282" i="42"/>
  <c r="Z281" i="42"/>
  <c r="V281" i="42"/>
  <c r="U281" i="42"/>
  <c r="T281" i="42"/>
  <c r="S281" i="42"/>
  <c r="N281" i="42"/>
  <c r="M281" i="42"/>
  <c r="L281" i="42"/>
  <c r="K281" i="42"/>
  <c r="F281" i="42"/>
  <c r="E281" i="42"/>
  <c r="D281" i="42"/>
  <c r="C281" i="42"/>
  <c r="Z280" i="42"/>
  <c r="V280" i="42"/>
  <c r="U280" i="42"/>
  <c r="T280" i="42"/>
  <c r="S280" i="42"/>
  <c r="N280" i="42"/>
  <c r="M280" i="42"/>
  <c r="L280" i="42"/>
  <c r="K280" i="42"/>
  <c r="F280" i="42"/>
  <c r="E280" i="42"/>
  <c r="D280" i="42"/>
  <c r="C280" i="42"/>
  <c r="Z279" i="42"/>
  <c r="V279" i="42"/>
  <c r="U279" i="42"/>
  <c r="T279" i="42"/>
  <c r="S279" i="42"/>
  <c r="N279" i="42"/>
  <c r="M279" i="42"/>
  <c r="L279" i="42"/>
  <c r="K279" i="42"/>
  <c r="G279" i="42"/>
  <c r="F279" i="42"/>
  <c r="E279" i="42"/>
  <c r="D279" i="42"/>
  <c r="C279" i="42"/>
  <c r="Z278" i="42"/>
  <c r="V278" i="42"/>
  <c r="U278" i="42"/>
  <c r="T278" i="42"/>
  <c r="S278" i="42"/>
  <c r="N278" i="42"/>
  <c r="M278" i="42"/>
  <c r="L278" i="42"/>
  <c r="K278" i="42"/>
  <c r="G278" i="42"/>
  <c r="F278" i="42"/>
  <c r="E278" i="42"/>
  <c r="D278" i="42"/>
  <c r="C278" i="42"/>
  <c r="Z277" i="42"/>
  <c r="V277" i="42"/>
  <c r="U277" i="42"/>
  <c r="T277" i="42"/>
  <c r="S277" i="42"/>
  <c r="N277" i="42"/>
  <c r="M277" i="42"/>
  <c r="L277" i="42"/>
  <c r="K277" i="42"/>
  <c r="F277" i="42"/>
  <c r="E277" i="42"/>
  <c r="D277" i="42"/>
  <c r="C277" i="42"/>
  <c r="Z276" i="42"/>
  <c r="V276" i="42"/>
  <c r="U276" i="42"/>
  <c r="T276" i="42"/>
  <c r="S276" i="42"/>
  <c r="N276" i="42"/>
  <c r="M276" i="42"/>
  <c r="L276" i="42"/>
  <c r="K276" i="42"/>
  <c r="F276" i="42"/>
  <c r="E276" i="42"/>
  <c r="D276" i="42"/>
  <c r="C276" i="42"/>
  <c r="Z275" i="42"/>
  <c r="V275" i="42"/>
  <c r="U275" i="42"/>
  <c r="T275" i="42"/>
  <c r="S275" i="42"/>
  <c r="N275" i="42"/>
  <c r="M275" i="42"/>
  <c r="L275" i="42"/>
  <c r="K275" i="42"/>
  <c r="G275" i="42"/>
  <c r="F275" i="42"/>
  <c r="E275" i="42"/>
  <c r="D275" i="42"/>
  <c r="C275" i="42"/>
  <c r="Z274" i="42"/>
  <c r="V274" i="42"/>
  <c r="U274" i="42"/>
  <c r="T274" i="42"/>
  <c r="S274" i="42"/>
  <c r="N274" i="42"/>
  <c r="M274" i="42"/>
  <c r="L274" i="42"/>
  <c r="K274" i="42"/>
  <c r="F274" i="42"/>
  <c r="E274" i="42"/>
  <c r="D274" i="42"/>
  <c r="C274" i="42"/>
  <c r="Z273" i="42"/>
  <c r="V273" i="42"/>
  <c r="U273" i="42"/>
  <c r="T273" i="42"/>
  <c r="S273" i="42"/>
  <c r="N273" i="42"/>
  <c r="M273" i="42"/>
  <c r="L273" i="42"/>
  <c r="K273" i="42"/>
  <c r="G273" i="42"/>
  <c r="F273" i="42"/>
  <c r="E273" i="42"/>
  <c r="D273" i="42"/>
  <c r="C273" i="42"/>
  <c r="V272" i="42"/>
  <c r="U272" i="42"/>
  <c r="T272" i="42"/>
  <c r="S272" i="42"/>
  <c r="N272" i="42"/>
  <c r="M272" i="42"/>
  <c r="L272" i="42"/>
  <c r="K272" i="42"/>
  <c r="F272" i="42"/>
  <c r="E272" i="42"/>
  <c r="D272" i="42"/>
  <c r="C272" i="42"/>
  <c r="V271" i="42"/>
  <c r="U271" i="42"/>
  <c r="T271" i="42"/>
  <c r="S271" i="42"/>
  <c r="N271" i="42"/>
  <c r="M271" i="42"/>
  <c r="L271" i="42"/>
  <c r="K271" i="42"/>
  <c r="F271" i="42"/>
  <c r="E271" i="42"/>
  <c r="D271" i="42"/>
  <c r="C271" i="42"/>
  <c r="V270" i="42"/>
  <c r="U270" i="42"/>
  <c r="T270" i="42"/>
  <c r="S270" i="42"/>
  <c r="O270" i="42"/>
  <c r="N270" i="42"/>
  <c r="M270" i="42"/>
  <c r="L270" i="42"/>
  <c r="K270" i="42"/>
  <c r="G270" i="42"/>
  <c r="F270" i="42"/>
  <c r="E270" i="42"/>
  <c r="D270" i="42"/>
  <c r="C270" i="42"/>
  <c r="V269" i="42"/>
  <c r="U269" i="42"/>
  <c r="T269" i="42"/>
  <c r="S269" i="42"/>
  <c r="O269" i="42"/>
  <c r="N269" i="42"/>
  <c r="M269" i="42"/>
  <c r="L269" i="42"/>
  <c r="K269" i="42"/>
  <c r="F269" i="42"/>
  <c r="E269" i="42"/>
  <c r="D269" i="42"/>
  <c r="C269" i="42"/>
  <c r="Z268" i="42"/>
  <c r="V268" i="42"/>
  <c r="U268" i="42"/>
  <c r="T268" i="42"/>
  <c r="S268" i="42"/>
  <c r="N268" i="42"/>
  <c r="M268" i="42"/>
  <c r="L268" i="42"/>
  <c r="K268" i="42"/>
  <c r="F268" i="42"/>
  <c r="E268" i="42"/>
  <c r="D268" i="42"/>
  <c r="C268" i="42"/>
  <c r="Z267" i="42"/>
  <c r="Z266" i="42"/>
  <c r="V266" i="42"/>
  <c r="U266" i="42"/>
  <c r="T266" i="42"/>
  <c r="S266" i="42"/>
  <c r="N266" i="42"/>
  <c r="M266" i="42"/>
  <c r="L266" i="42"/>
  <c r="K266" i="42"/>
  <c r="F266" i="42"/>
  <c r="E266" i="42"/>
  <c r="D266" i="42"/>
  <c r="C266" i="42"/>
  <c r="Z265" i="42"/>
  <c r="V265" i="42"/>
  <c r="U265" i="42"/>
  <c r="T265" i="42"/>
  <c r="S265" i="42"/>
  <c r="O265" i="42"/>
  <c r="N265" i="42"/>
  <c r="M265" i="42"/>
  <c r="L265" i="42"/>
  <c r="K265" i="42"/>
  <c r="G265" i="42"/>
  <c r="F265" i="42"/>
  <c r="E265" i="42"/>
  <c r="D265" i="42"/>
  <c r="C265" i="42"/>
  <c r="Z264" i="42"/>
  <c r="V264" i="42"/>
  <c r="U264" i="42"/>
  <c r="T264" i="42"/>
  <c r="S264" i="42"/>
  <c r="O264" i="42"/>
  <c r="N264" i="42"/>
  <c r="M264" i="42"/>
  <c r="L264" i="42"/>
  <c r="K264" i="42"/>
  <c r="G264" i="42"/>
  <c r="F264" i="42"/>
  <c r="E264" i="42"/>
  <c r="D264" i="42"/>
  <c r="C264" i="42"/>
  <c r="Z263" i="42"/>
  <c r="V263" i="42"/>
  <c r="U263" i="42"/>
  <c r="T263" i="42"/>
  <c r="S263" i="42"/>
  <c r="O263" i="42"/>
  <c r="N263" i="42"/>
  <c r="M263" i="42"/>
  <c r="L263" i="42"/>
  <c r="K263" i="42"/>
  <c r="F263" i="42"/>
  <c r="E263" i="42"/>
  <c r="D263" i="42"/>
  <c r="C263" i="42"/>
  <c r="Z262" i="42"/>
  <c r="V262" i="42"/>
  <c r="U262" i="42"/>
  <c r="T262" i="42"/>
  <c r="S262" i="42"/>
  <c r="O262" i="42"/>
  <c r="N262" i="42"/>
  <c r="M262" i="42"/>
  <c r="L262" i="42"/>
  <c r="K262" i="42"/>
  <c r="G262" i="42"/>
  <c r="F262" i="42"/>
  <c r="E262" i="42"/>
  <c r="D262" i="42"/>
  <c r="C262" i="42"/>
  <c r="Z261" i="42"/>
  <c r="V261" i="42"/>
  <c r="U261" i="42"/>
  <c r="T261" i="42"/>
  <c r="S261" i="42"/>
  <c r="O261" i="42"/>
  <c r="N261" i="42"/>
  <c r="M261" i="42"/>
  <c r="L261" i="42"/>
  <c r="K261" i="42"/>
  <c r="F261" i="42"/>
  <c r="E261" i="42"/>
  <c r="D261" i="42"/>
  <c r="C261" i="42"/>
  <c r="Z260" i="42"/>
  <c r="V260" i="42"/>
  <c r="U260" i="42"/>
  <c r="T260" i="42"/>
  <c r="S260" i="42"/>
  <c r="N260" i="42"/>
  <c r="M260" i="42"/>
  <c r="L260" i="42"/>
  <c r="K260" i="42"/>
  <c r="F260" i="42"/>
  <c r="E260" i="42"/>
  <c r="D260" i="42"/>
  <c r="C260" i="42"/>
  <c r="Z259" i="42"/>
  <c r="V259" i="42"/>
  <c r="U259" i="42"/>
  <c r="T259" i="42"/>
  <c r="S259" i="42"/>
  <c r="N259" i="42"/>
  <c r="M259" i="42"/>
  <c r="L259" i="42"/>
  <c r="K259" i="42"/>
  <c r="F259" i="42"/>
  <c r="E259" i="42"/>
  <c r="D259" i="42"/>
  <c r="C259" i="42"/>
  <c r="Z258" i="42"/>
  <c r="V258" i="42"/>
  <c r="U258" i="42"/>
  <c r="T258" i="42"/>
  <c r="S258" i="42"/>
  <c r="N258" i="42"/>
  <c r="M258" i="42"/>
  <c r="L258" i="42"/>
  <c r="K258" i="42"/>
  <c r="G258" i="42"/>
  <c r="F258" i="42"/>
  <c r="E258" i="42"/>
  <c r="D258" i="42"/>
  <c r="C258" i="42"/>
  <c r="Z257" i="42"/>
  <c r="V257" i="42"/>
  <c r="U257" i="42"/>
  <c r="T257" i="42"/>
  <c r="S257" i="42"/>
  <c r="N257" i="42"/>
  <c r="M257" i="42"/>
  <c r="L257" i="42"/>
  <c r="K257" i="42"/>
  <c r="G257" i="42"/>
  <c r="F257" i="42"/>
  <c r="E257" i="42"/>
  <c r="D257" i="42"/>
  <c r="C257" i="42"/>
  <c r="Z256" i="42"/>
  <c r="V256" i="42"/>
  <c r="U256" i="42"/>
  <c r="T256" i="42"/>
  <c r="S256" i="42"/>
  <c r="N256" i="42"/>
  <c r="M256" i="42"/>
  <c r="L256" i="42"/>
  <c r="K256" i="42"/>
  <c r="F256" i="42"/>
  <c r="E256" i="42"/>
  <c r="D256" i="42"/>
  <c r="C256" i="42"/>
  <c r="Z255" i="42"/>
  <c r="V255" i="42"/>
  <c r="U255" i="42"/>
  <c r="T255" i="42"/>
  <c r="S255" i="42"/>
  <c r="O255" i="42"/>
  <c r="N255" i="42"/>
  <c r="M255" i="42"/>
  <c r="L255" i="42"/>
  <c r="K255" i="42"/>
  <c r="G255" i="42"/>
  <c r="F255" i="42"/>
  <c r="E255" i="42"/>
  <c r="D255" i="42"/>
  <c r="C255" i="42"/>
  <c r="Z254" i="42"/>
  <c r="V254" i="42"/>
  <c r="U254" i="42"/>
  <c r="T254" i="42"/>
  <c r="S254" i="42"/>
  <c r="O254" i="42"/>
  <c r="N254" i="42"/>
  <c r="M254" i="42"/>
  <c r="L254" i="42"/>
  <c r="K254" i="42"/>
  <c r="F254" i="42"/>
  <c r="E254" i="42"/>
  <c r="D254" i="42"/>
  <c r="C254" i="42"/>
  <c r="Z253" i="42"/>
  <c r="V253" i="42"/>
  <c r="U253" i="42"/>
  <c r="T253" i="42"/>
  <c r="S253" i="42"/>
  <c r="N253" i="42"/>
  <c r="M253" i="42"/>
  <c r="L253" i="42"/>
  <c r="K253" i="42"/>
  <c r="F253" i="42"/>
  <c r="E253" i="42"/>
  <c r="D253" i="42"/>
  <c r="C253" i="42"/>
  <c r="Z252" i="42"/>
  <c r="V252" i="42"/>
  <c r="U252" i="42"/>
  <c r="T252" i="42"/>
  <c r="S252" i="42"/>
  <c r="O252" i="42"/>
  <c r="N252" i="42"/>
  <c r="M252" i="42"/>
  <c r="L252" i="42"/>
  <c r="K252" i="42"/>
  <c r="F252" i="42"/>
  <c r="E252" i="42"/>
  <c r="D252" i="42"/>
  <c r="C252" i="42"/>
  <c r="Z251" i="42"/>
  <c r="V251" i="42"/>
  <c r="U251" i="42"/>
  <c r="T251" i="42"/>
  <c r="S251" i="42"/>
  <c r="N251" i="42"/>
  <c r="M251" i="42"/>
  <c r="L251" i="42"/>
  <c r="K251" i="42"/>
  <c r="F251" i="42"/>
  <c r="E251" i="42"/>
  <c r="D251" i="42"/>
  <c r="C251" i="42"/>
  <c r="Z250" i="42"/>
  <c r="V250" i="42"/>
  <c r="U250" i="42"/>
  <c r="T250" i="42"/>
  <c r="S250" i="42"/>
  <c r="N250" i="42"/>
  <c r="M250" i="42"/>
  <c r="L250" i="42"/>
  <c r="K250" i="42"/>
  <c r="G250" i="42"/>
  <c r="F250" i="42"/>
  <c r="E250" i="42"/>
  <c r="D250" i="42"/>
  <c r="C250" i="42"/>
  <c r="Z249" i="42"/>
  <c r="V249" i="42"/>
  <c r="U249" i="42"/>
  <c r="T249" i="42"/>
  <c r="S249" i="42"/>
  <c r="N249" i="42"/>
  <c r="M249" i="42"/>
  <c r="L249" i="42"/>
  <c r="K249" i="42"/>
  <c r="G249" i="42"/>
  <c r="F249" i="42"/>
  <c r="E249" i="42"/>
  <c r="D249" i="42"/>
  <c r="C249" i="42"/>
  <c r="V248" i="42"/>
  <c r="U248" i="42"/>
  <c r="T248" i="42"/>
  <c r="S248" i="42"/>
  <c r="O248" i="42"/>
  <c r="N248" i="42"/>
  <c r="M248" i="42"/>
  <c r="L248" i="42"/>
  <c r="K248" i="42"/>
  <c r="F248" i="42"/>
  <c r="E248" i="42"/>
  <c r="D248" i="42"/>
  <c r="C248" i="42"/>
  <c r="V247" i="42"/>
  <c r="U247" i="42"/>
  <c r="T247" i="42"/>
  <c r="S247" i="42"/>
  <c r="N247" i="42"/>
  <c r="M247" i="42"/>
  <c r="L247" i="42"/>
  <c r="K247" i="42"/>
  <c r="F247" i="42"/>
  <c r="E247" i="42"/>
  <c r="D247" i="42"/>
  <c r="C247" i="42"/>
  <c r="W245" i="42"/>
  <c r="V245" i="42"/>
  <c r="U245" i="42"/>
  <c r="T245" i="42"/>
  <c r="S245" i="42"/>
  <c r="O245" i="42"/>
  <c r="N245" i="42"/>
  <c r="M245" i="42"/>
  <c r="L245" i="42"/>
  <c r="K245" i="42"/>
  <c r="F245" i="42"/>
  <c r="E245" i="42"/>
  <c r="D245" i="42"/>
  <c r="C245" i="42"/>
  <c r="Z244" i="42"/>
  <c r="W244" i="42"/>
  <c r="V244" i="42"/>
  <c r="U244" i="42"/>
  <c r="T244" i="42"/>
  <c r="S244" i="42"/>
  <c r="O244" i="42"/>
  <c r="N244" i="42"/>
  <c r="M244" i="42"/>
  <c r="L244" i="42"/>
  <c r="K244" i="42"/>
  <c r="F244" i="42"/>
  <c r="E244" i="42"/>
  <c r="D244" i="42"/>
  <c r="C244" i="42"/>
  <c r="Z243" i="42"/>
  <c r="V243" i="42"/>
  <c r="U243" i="42"/>
  <c r="T243" i="42"/>
  <c r="S243" i="42"/>
  <c r="N243" i="42"/>
  <c r="M243" i="42"/>
  <c r="L243" i="42"/>
  <c r="K243" i="42"/>
  <c r="F243" i="42"/>
  <c r="E243" i="42"/>
  <c r="D243" i="42"/>
  <c r="C243" i="42"/>
  <c r="Z242" i="42"/>
  <c r="V242" i="42"/>
  <c r="U242" i="42"/>
  <c r="T242" i="42"/>
  <c r="S242" i="42"/>
  <c r="O242" i="42"/>
  <c r="N242" i="42"/>
  <c r="M242" i="42"/>
  <c r="L242" i="42"/>
  <c r="K242" i="42"/>
  <c r="F242" i="42"/>
  <c r="E242" i="42"/>
  <c r="D242" i="42"/>
  <c r="C242" i="42"/>
  <c r="Z241" i="42"/>
  <c r="V241" i="42"/>
  <c r="U241" i="42"/>
  <c r="T241" i="42"/>
  <c r="S241" i="42"/>
  <c r="O241" i="42"/>
  <c r="N241" i="42"/>
  <c r="M241" i="42"/>
  <c r="L241" i="42"/>
  <c r="K241" i="42"/>
  <c r="F241" i="42"/>
  <c r="E241" i="42"/>
  <c r="D241" i="42"/>
  <c r="C241" i="42"/>
  <c r="Z240" i="42"/>
  <c r="V240" i="42"/>
  <c r="U240" i="42"/>
  <c r="S240" i="42"/>
  <c r="N240" i="42"/>
  <c r="M240" i="42"/>
  <c r="L240" i="42"/>
  <c r="K240" i="42"/>
  <c r="F240" i="42"/>
  <c r="E240" i="42"/>
  <c r="D240" i="42"/>
  <c r="C240" i="42"/>
  <c r="Z239" i="42"/>
  <c r="W239" i="42"/>
  <c r="V239" i="42"/>
  <c r="U239" i="42"/>
  <c r="S239" i="42"/>
  <c r="N239" i="42"/>
  <c r="M239" i="42"/>
  <c r="L239" i="42"/>
  <c r="K239" i="42"/>
  <c r="F239" i="42"/>
  <c r="E239" i="42"/>
  <c r="D239" i="42"/>
  <c r="C239" i="42"/>
  <c r="Z238" i="42"/>
  <c r="V238" i="42"/>
  <c r="U238" i="42"/>
  <c r="S238" i="42"/>
  <c r="N238" i="42"/>
  <c r="M238" i="42"/>
  <c r="L238" i="42"/>
  <c r="K238" i="42"/>
  <c r="F238" i="42"/>
  <c r="E238" i="42"/>
  <c r="D238" i="42"/>
  <c r="C238" i="42"/>
  <c r="Z237" i="42"/>
  <c r="V237" i="42"/>
  <c r="U237" i="42"/>
  <c r="T237" i="42"/>
  <c r="S237" i="42"/>
  <c r="O237" i="42"/>
  <c r="N237" i="42"/>
  <c r="M237" i="42"/>
  <c r="L237" i="42"/>
  <c r="K237" i="42"/>
  <c r="F237" i="42"/>
  <c r="E237" i="42"/>
  <c r="D237" i="42"/>
  <c r="C237" i="42"/>
  <c r="Z236" i="42"/>
  <c r="V236" i="42"/>
  <c r="U236" i="42"/>
  <c r="T236" i="42"/>
  <c r="S236" i="42"/>
  <c r="N236" i="42"/>
  <c r="M236" i="42"/>
  <c r="L236" i="42"/>
  <c r="K236" i="42"/>
  <c r="F236" i="42"/>
  <c r="E236" i="42"/>
  <c r="D236" i="42"/>
  <c r="C236" i="42"/>
  <c r="Z235" i="42"/>
  <c r="V235" i="42"/>
  <c r="U235" i="42"/>
  <c r="T235" i="42"/>
  <c r="S235" i="42"/>
  <c r="O235" i="42"/>
  <c r="N235" i="42"/>
  <c r="M235" i="42"/>
  <c r="L235" i="42"/>
  <c r="K235" i="42"/>
  <c r="F235" i="42"/>
  <c r="E235" i="42"/>
  <c r="D235" i="42"/>
  <c r="C235" i="42"/>
  <c r="Z234" i="42"/>
  <c r="W234" i="42"/>
  <c r="V234" i="42"/>
  <c r="U234" i="42"/>
  <c r="T234" i="42"/>
  <c r="S234" i="42"/>
  <c r="N234" i="42"/>
  <c r="M234" i="42"/>
  <c r="L234" i="42"/>
  <c r="K234" i="42"/>
  <c r="F234" i="42"/>
  <c r="E234" i="42"/>
  <c r="D234" i="42"/>
  <c r="C234" i="42"/>
  <c r="Z233" i="42"/>
  <c r="V233" i="42"/>
  <c r="U233" i="42"/>
  <c r="T233" i="42"/>
  <c r="S233" i="42"/>
  <c r="N233" i="42"/>
  <c r="M233" i="42"/>
  <c r="L233" i="42"/>
  <c r="K233" i="42"/>
  <c r="F233" i="42"/>
  <c r="E233" i="42"/>
  <c r="D233" i="42"/>
  <c r="C233" i="42"/>
  <c r="Z232" i="42"/>
  <c r="W232" i="42"/>
  <c r="V232" i="42"/>
  <c r="U232" i="42"/>
  <c r="T232" i="42"/>
  <c r="S232" i="42"/>
  <c r="N232" i="42"/>
  <c r="M232" i="42"/>
  <c r="L232" i="42"/>
  <c r="K232" i="42"/>
  <c r="F232" i="42"/>
  <c r="E232" i="42"/>
  <c r="D232" i="42"/>
  <c r="C232" i="42"/>
  <c r="Z231" i="42"/>
  <c r="V231" i="42"/>
  <c r="U231" i="42"/>
  <c r="T231" i="42"/>
  <c r="S231" i="42"/>
  <c r="N231" i="42"/>
  <c r="M231" i="42"/>
  <c r="L231" i="42"/>
  <c r="K231" i="42"/>
  <c r="F231" i="42"/>
  <c r="E231" i="42"/>
  <c r="D231" i="42"/>
  <c r="C231" i="42"/>
  <c r="Z230" i="42"/>
  <c r="V230" i="42"/>
  <c r="U230" i="42"/>
  <c r="T230" i="42"/>
  <c r="S230" i="42"/>
  <c r="N230" i="42"/>
  <c r="M230" i="42"/>
  <c r="L230" i="42"/>
  <c r="K230" i="42"/>
  <c r="F230" i="42"/>
  <c r="E230" i="42"/>
  <c r="D230" i="42"/>
  <c r="C230" i="42"/>
  <c r="Z229" i="42"/>
  <c r="V229" i="42"/>
  <c r="U229" i="42"/>
  <c r="T229" i="42"/>
  <c r="S229" i="42"/>
  <c r="O229" i="42"/>
  <c r="N229" i="42"/>
  <c r="M229" i="42"/>
  <c r="L229" i="42"/>
  <c r="K229" i="42"/>
  <c r="F229" i="42"/>
  <c r="E229" i="42"/>
  <c r="D229" i="42"/>
  <c r="C229" i="42"/>
  <c r="Z228" i="42"/>
  <c r="V228" i="42"/>
  <c r="U228" i="42"/>
  <c r="T228" i="42"/>
  <c r="S228" i="42"/>
  <c r="N228" i="42"/>
  <c r="M228" i="42"/>
  <c r="L228" i="42"/>
  <c r="K228" i="42"/>
  <c r="F228" i="42"/>
  <c r="E228" i="42"/>
  <c r="D228" i="42"/>
  <c r="C228" i="42"/>
  <c r="Z227" i="42"/>
  <c r="V227" i="42"/>
  <c r="U227" i="42"/>
  <c r="T227" i="42"/>
  <c r="S227" i="42"/>
  <c r="O227" i="42"/>
  <c r="N227" i="42"/>
  <c r="M227" i="42"/>
  <c r="L227" i="42"/>
  <c r="K227" i="42"/>
  <c r="F227" i="42"/>
  <c r="E227" i="42"/>
  <c r="D227" i="42"/>
  <c r="C227" i="42"/>
  <c r="Z226" i="42"/>
  <c r="W226" i="42"/>
  <c r="V226" i="42"/>
  <c r="U226" i="42"/>
  <c r="T226" i="42"/>
  <c r="S226" i="42"/>
  <c r="N226" i="42"/>
  <c r="M226" i="42"/>
  <c r="L226" i="42"/>
  <c r="K226" i="42"/>
  <c r="F226" i="42"/>
  <c r="E226" i="42"/>
  <c r="D226" i="42"/>
  <c r="C226" i="42"/>
  <c r="Z225" i="42"/>
  <c r="U220" i="42"/>
  <c r="N220" i="42"/>
  <c r="O371" i="42" s="1"/>
  <c r="G220" i="42"/>
  <c r="G371" i="42" s="1"/>
  <c r="U219" i="42"/>
  <c r="W350" i="42" s="1"/>
  <c r="N219" i="42"/>
  <c r="G219" i="42"/>
  <c r="G350" i="42" s="1"/>
  <c r="U218" i="42"/>
  <c r="N218" i="42"/>
  <c r="G218" i="42"/>
  <c r="G329" i="42" s="1"/>
  <c r="U217" i="42"/>
  <c r="W308" i="42" s="1"/>
  <c r="N217" i="42"/>
  <c r="G217" i="42"/>
  <c r="G308" i="42" s="1"/>
  <c r="U216" i="42"/>
  <c r="W287" i="42" s="1"/>
  <c r="N216" i="42"/>
  <c r="O287" i="42" s="1"/>
  <c r="G216" i="42"/>
  <c r="U215" i="42"/>
  <c r="W266" i="42" s="1"/>
  <c r="N215" i="42"/>
  <c r="O266" i="42" s="1"/>
  <c r="G215" i="42"/>
  <c r="G266" i="42" s="1"/>
  <c r="U214" i="42"/>
  <c r="N214" i="42"/>
  <c r="G214" i="42"/>
  <c r="G245" i="42" s="1"/>
  <c r="L213" i="42"/>
  <c r="S213" i="42" s="1"/>
  <c r="K213" i="42"/>
  <c r="R213" i="42" s="1"/>
  <c r="P211" i="42"/>
  <c r="I211" i="42"/>
  <c r="U209" i="42"/>
  <c r="N209" i="42"/>
  <c r="O370" i="42" s="1"/>
  <c r="G209" i="42"/>
  <c r="U208" i="42"/>
  <c r="W349" i="42" s="1"/>
  <c r="N208" i="42"/>
  <c r="G208" i="42"/>
  <c r="G349" i="42" s="1"/>
  <c r="U207" i="42"/>
  <c r="W328" i="42" s="1"/>
  <c r="N207" i="42"/>
  <c r="O328" i="42" s="1"/>
  <c r="G207" i="42"/>
  <c r="U206" i="42"/>
  <c r="W307" i="42" s="1"/>
  <c r="N206" i="42"/>
  <c r="O307" i="42" s="1"/>
  <c r="G206" i="42"/>
  <c r="U205" i="42"/>
  <c r="W286" i="42" s="1"/>
  <c r="N205" i="42"/>
  <c r="O286" i="42" s="1"/>
  <c r="G205" i="42"/>
  <c r="U204" i="42"/>
  <c r="W265" i="42" s="1"/>
  <c r="N204" i="42"/>
  <c r="G204" i="42"/>
  <c r="U203" i="42"/>
  <c r="N203" i="42"/>
  <c r="G203" i="42"/>
  <c r="G244" i="42" s="1"/>
  <c r="S202" i="42"/>
  <c r="R202" i="42"/>
  <c r="L202" i="42"/>
  <c r="K202" i="42"/>
  <c r="I200" i="42"/>
  <c r="P200" i="42" s="1"/>
  <c r="U198" i="42"/>
  <c r="W369" i="42" s="1"/>
  <c r="N198" i="42"/>
  <c r="O369" i="42" s="1"/>
  <c r="G198" i="42"/>
  <c r="G369" i="42" s="1"/>
  <c r="U197" i="42"/>
  <c r="W348" i="42" s="1"/>
  <c r="N197" i="42"/>
  <c r="O348" i="42" s="1"/>
  <c r="G197" i="42"/>
  <c r="G348" i="42" s="1"/>
  <c r="U196" i="42"/>
  <c r="W327" i="42" s="1"/>
  <c r="N196" i="42"/>
  <c r="O327" i="42" s="1"/>
  <c r="G196" i="42"/>
  <c r="U195" i="42"/>
  <c r="W306" i="42" s="1"/>
  <c r="N195" i="42"/>
  <c r="O306" i="42" s="1"/>
  <c r="G195" i="42"/>
  <c r="G306" i="42" s="1"/>
  <c r="U194" i="42"/>
  <c r="W285" i="42" s="1"/>
  <c r="N194" i="42"/>
  <c r="O285" i="42" s="1"/>
  <c r="G194" i="42"/>
  <c r="U193" i="42"/>
  <c r="W264" i="42" s="1"/>
  <c r="N193" i="42"/>
  <c r="G193" i="42"/>
  <c r="U192" i="42"/>
  <c r="W243" i="42" s="1"/>
  <c r="N192" i="42"/>
  <c r="O243" i="42" s="1"/>
  <c r="G192" i="42"/>
  <c r="G243" i="42" s="1"/>
  <c r="R191" i="42"/>
  <c r="L191" i="42"/>
  <c r="S191" i="42" s="1"/>
  <c r="K191" i="42"/>
  <c r="I189" i="42"/>
  <c r="P189" i="42" s="1"/>
  <c r="U187" i="42"/>
  <c r="W368" i="42" s="1"/>
  <c r="N187" i="42"/>
  <c r="O368" i="42" s="1"/>
  <c r="G187" i="42"/>
  <c r="G368" i="42" s="1"/>
  <c r="U186" i="42"/>
  <c r="N186" i="42"/>
  <c r="O347" i="42" s="1"/>
  <c r="G186" i="42"/>
  <c r="G347" i="42" s="1"/>
  <c r="U185" i="42"/>
  <c r="W326" i="42" s="1"/>
  <c r="N185" i="42"/>
  <c r="O326" i="42" s="1"/>
  <c r="G185" i="42"/>
  <c r="G326" i="42" s="1"/>
  <c r="U184" i="42"/>
  <c r="W305" i="42" s="1"/>
  <c r="N184" i="42"/>
  <c r="O305" i="42" s="1"/>
  <c r="G184" i="42"/>
  <c r="G305" i="42" s="1"/>
  <c r="U183" i="42"/>
  <c r="W284" i="42" s="1"/>
  <c r="N183" i="42"/>
  <c r="O284" i="42" s="1"/>
  <c r="G183" i="42"/>
  <c r="G284" i="42" s="1"/>
  <c r="U182" i="42"/>
  <c r="W263" i="42" s="1"/>
  <c r="N182" i="42"/>
  <c r="G182" i="42"/>
  <c r="G263" i="42" s="1"/>
  <c r="U181" i="42"/>
  <c r="W242" i="42" s="1"/>
  <c r="N181" i="42"/>
  <c r="G181" i="42"/>
  <c r="G242" i="42" s="1"/>
  <c r="L180" i="42"/>
  <c r="S180" i="42" s="1"/>
  <c r="K180" i="42"/>
  <c r="R180" i="42" s="1"/>
  <c r="I178" i="42"/>
  <c r="P178" i="42" s="1"/>
  <c r="U176" i="42"/>
  <c r="W367" i="42" s="1"/>
  <c r="N176" i="42"/>
  <c r="O367" i="42" s="1"/>
  <c r="G176" i="42"/>
  <c r="G367" i="42" s="1"/>
  <c r="U175" i="42"/>
  <c r="W346" i="42" s="1"/>
  <c r="N175" i="42"/>
  <c r="G175" i="42"/>
  <c r="G346" i="42" s="1"/>
  <c r="U174" i="42"/>
  <c r="W325" i="42" s="1"/>
  <c r="N174" i="42"/>
  <c r="O325" i="42" s="1"/>
  <c r="G174" i="42"/>
  <c r="G325" i="42" s="1"/>
  <c r="U173" i="42"/>
  <c r="N173" i="42"/>
  <c r="G173" i="42"/>
  <c r="G304" i="42" s="1"/>
  <c r="U172" i="42"/>
  <c r="W283" i="42" s="1"/>
  <c r="N172" i="42"/>
  <c r="O283" i="42" s="1"/>
  <c r="G172" i="42"/>
  <c r="U171" i="42"/>
  <c r="W262" i="42" s="1"/>
  <c r="N171" i="42"/>
  <c r="G171" i="42"/>
  <c r="U170" i="42"/>
  <c r="W241" i="42" s="1"/>
  <c r="N170" i="42"/>
  <c r="G170" i="42"/>
  <c r="G241" i="42" s="1"/>
  <c r="R169" i="42"/>
  <c r="L169" i="42"/>
  <c r="S169" i="42" s="1"/>
  <c r="K169" i="42"/>
  <c r="I167" i="42"/>
  <c r="P167" i="42" s="1"/>
  <c r="U165" i="42"/>
  <c r="W366" i="42" s="1"/>
  <c r="N165" i="42"/>
  <c r="G165" i="42"/>
  <c r="G366" i="42" s="1"/>
  <c r="U164" i="42"/>
  <c r="W345" i="42" s="1"/>
  <c r="N164" i="42"/>
  <c r="O345" i="42" s="1"/>
  <c r="G164" i="42"/>
  <c r="G345" i="42" s="1"/>
  <c r="U163" i="42"/>
  <c r="W324" i="42" s="1"/>
  <c r="N163" i="42"/>
  <c r="O324" i="42" s="1"/>
  <c r="G163" i="42"/>
  <c r="U162" i="42"/>
  <c r="W303" i="42" s="1"/>
  <c r="N162" i="42"/>
  <c r="O303" i="42" s="1"/>
  <c r="G162" i="42"/>
  <c r="G303" i="42" s="1"/>
  <c r="U161" i="42"/>
  <c r="W282" i="42" s="1"/>
  <c r="N161" i="42"/>
  <c r="O282" i="42" s="1"/>
  <c r="G161" i="42"/>
  <c r="U160" i="42"/>
  <c r="W261" i="42" s="1"/>
  <c r="N160" i="42"/>
  <c r="G160" i="42"/>
  <c r="G261" i="42" s="1"/>
  <c r="U159" i="42"/>
  <c r="W240" i="42" s="1"/>
  <c r="R159" i="42"/>
  <c r="T240" i="42" s="1"/>
  <c r="N159" i="42"/>
  <c r="O240" i="42" s="1"/>
  <c r="G159" i="42"/>
  <c r="G240" i="42" s="1"/>
  <c r="M158" i="42"/>
  <c r="T158" i="42" s="1"/>
  <c r="L158" i="42"/>
  <c r="S158" i="42" s="1"/>
  <c r="I156" i="42"/>
  <c r="P156" i="42" s="1"/>
  <c r="U154" i="42"/>
  <c r="W365" i="42" s="1"/>
  <c r="N154" i="42"/>
  <c r="G154" i="42"/>
  <c r="G365" i="42" s="1"/>
  <c r="U153" i="42"/>
  <c r="W344" i="42" s="1"/>
  <c r="N153" i="42"/>
  <c r="O344" i="42" s="1"/>
  <c r="G153" i="42"/>
  <c r="U152" i="42"/>
  <c r="W323" i="42" s="1"/>
  <c r="N152" i="42"/>
  <c r="O323" i="42" s="1"/>
  <c r="G152" i="42"/>
  <c r="G323" i="42" s="1"/>
  <c r="U151" i="42"/>
  <c r="W302" i="42" s="1"/>
  <c r="N151" i="42"/>
  <c r="G151" i="42"/>
  <c r="G301" i="42" s="1"/>
  <c r="U150" i="42"/>
  <c r="W281" i="42" s="1"/>
  <c r="N150" i="42"/>
  <c r="G150" i="42"/>
  <c r="G281" i="42" s="1"/>
  <c r="U149" i="42"/>
  <c r="W260" i="42" s="1"/>
  <c r="N149" i="42"/>
  <c r="O260" i="42" s="1"/>
  <c r="G149" i="42"/>
  <c r="G260" i="42" s="1"/>
  <c r="U148" i="42"/>
  <c r="R148" i="42"/>
  <c r="T239" i="42" s="1"/>
  <c r="N148" i="42"/>
  <c r="O239" i="42" s="1"/>
  <c r="G148" i="42"/>
  <c r="G239" i="42" s="1"/>
  <c r="S147" i="42"/>
  <c r="M147" i="42"/>
  <c r="T147" i="42" s="1"/>
  <c r="L147" i="42"/>
  <c r="I145" i="42"/>
  <c r="P145" i="42" s="1"/>
  <c r="S143" i="42"/>
  <c r="U364" i="42" s="1"/>
  <c r="N143" i="42"/>
  <c r="O364" i="42" s="1"/>
  <c r="G143" i="42"/>
  <c r="G364" i="42" s="1"/>
  <c r="U142" i="42"/>
  <c r="W343" i="42" s="1"/>
  <c r="N142" i="42"/>
  <c r="O343" i="42" s="1"/>
  <c r="G142" i="42"/>
  <c r="U141" i="42"/>
  <c r="W322" i="42" s="1"/>
  <c r="N141" i="42"/>
  <c r="O322" i="42" s="1"/>
  <c r="G141" i="42"/>
  <c r="G322" i="42" s="1"/>
  <c r="U140" i="42"/>
  <c r="N140" i="42"/>
  <c r="O301" i="42" s="1"/>
  <c r="G140" i="42"/>
  <c r="U139" i="42"/>
  <c r="W280" i="42" s="1"/>
  <c r="N139" i="42"/>
  <c r="O280" i="42" s="1"/>
  <c r="G139" i="42"/>
  <c r="G280" i="42" s="1"/>
  <c r="U138" i="42"/>
  <c r="W259" i="42" s="1"/>
  <c r="N138" i="42"/>
  <c r="O259" i="42" s="1"/>
  <c r="G138" i="42"/>
  <c r="G259" i="42" s="1"/>
  <c r="U137" i="42"/>
  <c r="W238" i="42" s="1"/>
  <c r="R137" i="42"/>
  <c r="T238" i="42" s="1"/>
  <c r="N137" i="42"/>
  <c r="O238" i="42" s="1"/>
  <c r="G137" i="42"/>
  <c r="G238" i="42" s="1"/>
  <c r="M136" i="42"/>
  <c r="T136" i="42" s="1"/>
  <c r="L136" i="42"/>
  <c r="S136" i="42" s="1"/>
  <c r="I134" i="42"/>
  <c r="P134" i="42" s="1"/>
  <c r="U132" i="42"/>
  <c r="W363" i="42" s="1"/>
  <c r="N132" i="42"/>
  <c r="G132" i="42"/>
  <c r="G363" i="42" s="1"/>
  <c r="U131" i="42"/>
  <c r="W342" i="42" s="1"/>
  <c r="N131" i="42"/>
  <c r="G131" i="42"/>
  <c r="G342" i="42" s="1"/>
  <c r="U130" i="42"/>
  <c r="W321" i="42" s="1"/>
  <c r="N130" i="42"/>
  <c r="O321" i="42" s="1"/>
  <c r="G130" i="42"/>
  <c r="G321" i="42" s="1"/>
  <c r="U129" i="42"/>
  <c r="W300" i="42" s="1"/>
  <c r="N129" i="42"/>
  <c r="O300" i="42" s="1"/>
  <c r="G129" i="42"/>
  <c r="G300" i="42" s="1"/>
  <c r="U128" i="42"/>
  <c r="W279" i="42" s="1"/>
  <c r="N128" i="42"/>
  <c r="O279" i="42" s="1"/>
  <c r="G128" i="42"/>
  <c r="U127" i="42"/>
  <c r="W258" i="42" s="1"/>
  <c r="N127" i="42"/>
  <c r="O258" i="42" s="1"/>
  <c r="G127" i="42"/>
  <c r="U126" i="42"/>
  <c r="W237" i="42" s="1"/>
  <c r="N126" i="42"/>
  <c r="G126" i="42"/>
  <c r="G237" i="42" s="1"/>
  <c r="R125" i="42"/>
  <c r="L125" i="42"/>
  <c r="S125" i="42" s="1"/>
  <c r="K125" i="42"/>
  <c r="I123" i="42"/>
  <c r="P123" i="42" s="1"/>
  <c r="U121" i="42"/>
  <c r="W362" i="42" s="1"/>
  <c r="N121" i="42"/>
  <c r="O362" i="42" s="1"/>
  <c r="G121" i="42"/>
  <c r="G362" i="42" s="1"/>
  <c r="U120" i="42"/>
  <c r="W341" i="42" s="1"/>
  <c r="N120" i="42"/>
  <c r="O341" i="42" s="1"/>
  <c r="G120" i="42"/>
  <c r="U119" i="42"/>
  <c r="N119" i="42"/>
  <c r="O320" i="42" s="1"/>
  <c r="G119" i="42"/>
  <c r="U118" i="42"/>
  <c r="W299" i="42" s="1"/>
  <c r="N118" i="42"/>
  <c r="G118" i="42"/>
  <c r="G299" i="42" s="1"/>
  <c r="U117" i="42"/>
  <c r="W278" i="42" s="1"/>
  <c r="N117" i="42"/>
  <c r="O278" i="42" s="1"/>
  <c r="G117" i="42"/>
  <c r="U116" i="42"/>
  <c r="W257" i="42" s="1"/>
  <c r="N116" i="42"/>
  <c r="O257" i="42" s="1"/>
  <c r="G116" i="42"/>
  <c r="U115" i="42"/>
  <c r="W236" i="42" s="1"/>
  <c r="N115" i="42"/>
  <c r="O236" i="42" s="1"/>
  <c r="G115" i="42"/>
  <c r="G236" i="42" s="1"/>
  <c r="L114" i="42"/>
  <c r="S114" i="42" s="1"/>
  <c r="K114" i="42"/>
  <c r="R114" i="42" s="1"/>
  <c r="I112" i="42"/>
  <c r="P112" i="42" s="1"/>
  <c r="U110" i="42"/>
  <c r="W361" i="42" s="1"/>
  <c r="N110" i="42"/>
  <c r="O361" i="42" s="1"/>
  <c r="G110" i="42"/>
  <c r="U109" i="42"/>
  <c r="W340" i="42" s="1"/>
  <c r="N109" i="42"/>
  <c r="O340" i="42" s="1"/>
  <c r="G109" i="42"/>
  <c r="G340" i="42" s="1"/>
  <c r="U108" i="42"/>
  <c r="W319" i="42" s="1"/>
  <c r="N108" i="42"/>
  <c r="O319" i="42" s="1"/>
  <c r="G108" i="42"/>
  <c r="G319" i="42" s="1"/>
  <c r="U107" i="42"/>
  <c r="W298" i="42" s="1"/>
  <c r="N107" i="42"/>
  <c r="G107" i="42"/>
  <c r="G298" i="42" s="1"/>
  <c r="U106" i="42"/>
  <c r="W277" i="42" s="1"/>
  <c r="N106" i="42"/>
  <c r="O277" i="42" s="1"/>
  <c r="G106" i="42"/>
  <c r="G277" i="42" s="1"/>
  <c r="U105" i="42"/>
  <c r="W256" i="42" s="1"/>
  <c r="N105" i="42"/>
  <c r="O256" i="42" s="1"/>
  <c r="G105" i="42"/>
  <c r="G256" i="42" s="1"/>
  <c r="U104" i="42"/>
  <c r="W235" i="42" s="1"/>
  <c r="N104" i="42"/>
  <c r="G104" i="42"/>
  <c r="G235" i="42" s="1"/>
  <c r="L103" i="42"/>
  <c r="S103" i="42" s="1"/>
  <c r="K103" i="42"/>
  <c r="R103" i="42" s="1"/>
  <c r="P101" i="42"/>
  <c r="I101" i="42"/>
  <c r="U99" i="42"/>
  <c r="N99" i="42"/>
  <c r="O360" i="42" s="1"/>
  <c r="G99" i="42"/>
  <c r="U98" i="42"/>
  <c r="W339" i="42" s="1"/>
  <c r="N98" i="42"/>
  <c r="O339" i="42" s="1"/>
  <c r="G98" i="42"/>
  <c r="G339" i="42" s="1"/>
  <c r="U97" i="42"/>
  <c r="W318" i="42" s="1"/>
  <c r="N97" i="42"/>
  <c r="O318" i="42" s="1"/>
  <c r="G97" i="42"/>
  <c r="G318" i="42" s="1"/>
  <c r="U96" i="42"/>
  <c r="N96" i="42"/>
  <c r="O297" i="42" s="1"/>
  <c r="G96" i="42"/>
  <c r="G297" i="42" s="1"/>
  <c r="U95" i="42"/>
  <c r="W276" i="42" s="1"/>
  <c r="N95" i="42"/>
  <c r="O276" i="42" s="1"/>
  <c r="G95" i="42"/>
  <c r="G276" i="42" s="1"/>
  <c r="U94" i="42"/>
  <c r="W255" i="42" s="1"/>
  <c r="N94" i="42"/>
  <c r="G94" i="42"/>
  <c r="U93" i="42"/>
  <c r="N93" i="42"/>
  <c r="O234" i="42" s="1"/>
  <c r="G93" i="42"/>
  <c r="G234" i="42" s="1"/>
  <c r="S92" i="42"/>
  <c r="R92" i="42"/>
  <c r="L92" i="42"/>
  <c r="K92" i="42"/>
  <c r="I90" i="42"/>
  <c r="P90" i="42" s="1"/>
  <c r="U88" i="42"/>
  <c r="W359" i="42" s="1"/>
  <c r="N88" i="42"/>
  <c r="O359" i="42" s="1"/>
  <c r="G88" i="42"/>
  <c r="G359" i="42" s="1"/>
  <c r="U87" i="42"/>
  <c r="W338" i="42" s="1"/>
  <c r="N87" i="42"/>
  <c r="G87" i="42"/>
  <c r="G338" i="42" s="1"/>
  <c r="U86" i="42"/>
  <c r="W317" i="42" s="1"/>
  <c r="N86" i="42"/>
  <c r="O317" i="42" s="1"/>
  <c r="G86" i="42"/>
  <c r="G317" i="42" s="1"/>
  <c r="U85" i="42"/>
  <c r="W296" i="42" s="1"/>
  <c r="N85" i="42"/>
  <c r="G85" i="42"/>
  <c r="G296" i="42" s="1"/>
  <c r="U84" i="42"/>
  <c r="W275" i="42" s="1"/>
  <c r="N84" i="42"/>
  <c r="O275" i="42" s="1"/>
  <c r="G84" i="42"/>
  <c r="U83" i="42"/>
  <c r="W254" i="42" s="1"/>
  <c r="N83" i="42"/>
  <c r="G83" i="42"/>
  <c r="G254" i="42" s="1"/>
  <c r="U82" i="42"/>
  <c r="W233" i="42" s="1"/>
  <c r="N82" i="42"/>
  <c r="O233" i="42" s="1"/>
  <c r="G82" i="42"/>
  <c r="G233" i="42" s="1"/>
  <c r="L81" i="42"/>
  <c r="S81" i="42" s="1"/>
  <c r="K81" i="42"/>
  <c r="R81" i="42" s="1"/>
  <c r="I79" i="42"/>
  <c r="P79" i="42" s="1"/>
  <c r="U77" i="42"/>
  <c r="W358" i="42" s="1"/>
  <c r="N77" i="42"/>
  <c r="O358" i="42" s="1"/>
  <c r="G77" i="42"/>
  <c r="U76" i="42"/>
  <c r="N76" i="42"/>
  <c r="O337" i="42" s="1"/>
  <c r="G76" i="42"/>
  <c r="U75" i="42"/>
  <c r="W316" i="42" s="1"/>
  <c r="N75" i="42"/>
  <c r="O316" i="42" s="1"/>
  <c r="G75" i="42"/>
  <c r="G316" i="42" s="1"/>
  <c r="U74" i="42"/>
  <c r="W295" i="42" s="1"/>
  <c r="N74" i="42"/>
  <c r="O295" i="42" s="1"/>
  <c r="G74" i="42"/>
  <c r="G295" i="42" s="1"/>
  <c r="U73" i="42"/>
  <c r="W274" i="42" s="1"/>
  <c r="N73" i="42"/>
  <c r="O274" i="42" s="1"/>
  <c r="G73" i="42"/>
  <c r="G274" i="42" s="1"/>
  <c r="U72" i="42"/>
  <c r="W253" i="42" s="1"/>
  <c r="N72" i="42"/>
  <c r="O253" i="42" s="1"/>
  <c r="G72" i="42"/>
  <c r="G253" i="42" s="1"/>
  <c r="U71" i="42"/>
  <c r="N71" i="42"/>
  <c r="O232" i="42" s="1"/>
  <c r="G71" i="42"/>
  <c r="G232" i="42" s="1"/>
  <c r="L70" i="42"/>
  <c r="S70" i="42" s="1"/>
  <c r="K70" i="42"/>
  <c r="R70" i="42" s="1"/>
  <c r="I68" i="42"/>
  <c r="P68" i="42" s="1"/>
  <c r="U66" i="42"/>
  <c r="W357" i="42" s="1"/>
  <c r="N66" i="42"/>
  <c r="O357" i="42" s="1"/>
  <c r="G66" i="42"/>
  <c r="G357" i="42" s="1"/>
  <c r="U65" i="42"/>
  <c r="W336" i="42" s="1"/>
  <c r="N65" i="42"/>
  <c r="O336" i="42" s="1"/>
  <c r="G65" i="42"/>
  <c r="G336" i="42" s="1"/>
  <c r="U64" i="42"/>
  <c r="W315" i="42" s="1"/>
  <c r="N64" i="42"/>
  <c r="G64" i="42"/>
  <c r="G315" i="42" s="1"/>
  <c r="U63" i="42"/>
  <c r="W294" i="42" s="1"/>
  <c r="N63" i="42"/>
  <c r="O294" i="42" s="1"/>
  <c r="G63" i="42"/>
  <c r="U62" i="42"/>
  <c r="W273" i="42" s="1"/>
  <c r="N62" i="42"/>
  <c r="O273" i="42" s="1"/>
  <c r="G62" i="42"/>
  <c r="U61" i="42"/>
  <c r="W252" i="42" s="1"/>
  <c r="N61" i="42"/>
  <c r="G61" i="42"/>
  <c r="G252" i="42" s="1"/>
  <c r="U60" i="42"/>
  <c r="W231" i="42" s="1"/>
  <c r="N60" i="42"/>
  <c r="O231" i="42" s="1"/>
  <c r="G60" i="42"/>
  <c r="G231" i="42" s="1"/>
  <c r="S59" i="42"/>
  <c r="L59" i="42"/>
  <c r="K59" i="42"/>
  <c r="R59" i="42" s="1"/>
  <c r="I57" i="42"/>
  <c r="P57" i="42" s="1"/>
  <c r="U55" i="42"/>
  <c r="W356" i="42" s="1"/>
  <c r="N55" i="42"/>
  <c r="O356" i="42" s="1"/>
  <c r="G55" i="42"/>
  <c r="G356" i="42" s="1"/>
  <c r="U54" i="42"/>
  <c r="N54" i="42"/>
  <c r="O335" i="42" s="1"/>
  <c r="G54" i="42"/>
  <c r="G335" i="42" s="1"/>
  <c r="U53" i="42"/>
  <c r="N53" i="42"/>
  <c r="O314" i="42" s="1"/>
  <c r="G53" i="42"/>
  <c r="G314" i="42" s="1"/>
  <c r="U52" i="42"/>
  <c r="W293" i="42" s="1"/>
  <c r="N52" i="42"/>
  <c r="O293" i="42" s="1"/>
  <c r="G52" i="42"/>
  <c r="U51" i="42"/>
  <c r="W272" i="42" s="1"/>
  <c r="N51" i="42"/>
  <c r="O272" i="42" s="1"/>
  <c r="G51" i="42"/>
  <c r="G272" i="42" s="1"/>
  <c r="U50" i="42"/>
  <c r="W251" i="42" s="1"/>
  <c r="N50" i="42"/>
  <c r="O251" i="42" s="1"/>
  <c r="G50" i="42"/>
  <c r="G251" i="42" s="1"/>
  <c r="U49" i="42"/>
  <c r="W230" i="42" s="1"/>
  <c r="N49" i="42"/>
  <c r="O230" i="42" s="1"/>
  <c r="G49" i="42"/>
  <c r="G230" i="42" s="1"/>
  <c r="L48" i="42"/>
  <c r="S48" i="42" s="1"/>
  <c r="K48" i="42"/>
  <c r="R48" i="42" s="1"/>
  <c r="I46" i="42"/>
  <c r="P46" i="42" s="1"/>
  <c r="U44" i="42"/>
  <c r="N44" i="42"/>
  <c r="G44" i="42"/>
  <c r="G355" i="42" s="1"/>
  <c r="U43" i="42"/>
  <c r="W334" i="42" s="1"/>
  <c r="N43" i="42"/>
  <c r="O334" i="42" s="1"/>
  <c r="G43" i="42"/>
  <c r="G334" i="42" s="1"/>
  <c r="U42" i="42"/>
  <c r="W313" i="42" s="1"/>
  <c r="N42" i="42"/>
  <c r="O313" i="42" s="1"/>
  <c r="G42" i="42"/>
  <c r="G313" i="42" s="1"/>
  <c r="U41" i="42"/>
  <c r="W292" i="42" s="1"/>
  <c r="N41" i="42"/>
  <c r="O292" i="42" s="1"/>
  <c r="G41" i="42"/>
  <c r="G292" i="42" s="1"/>
  <c r="U40" i="42"/>
  <c r="W271" i="42" s="1"/>
  <c r="N40" i="42"/>
  <c r="O271" i="42" s="1"/>
  <c r="G40" i="42"/>
  <c r="G271" i="42" s="1"/>
  <c r="U39" i="42"/>
  <c r="W250" i="42" s="1"/>
  <c r="N39" i="42"/>
  <c r="O250" i="42" s="1"/>
  <c r="G39" i="42"/>
  <c r="U38" i="42"/>
  <c r="W229" i="42" s="1"/>
  <c r="N38" i="42"/>
  <c r="G38" i="42"/>
  <c r="G229" i="42" s="1"/>
  <c r="R37" i="42"/>
  <c r="L37" i="42"/>
  <c r="S37" i="42" s="1"/>
  <c r="K37" i="42"/>
  <c r="I35" i="42"/>
  <c r="P35" i="42" s="1"/>
  <c r="U33" i="42"/>
  <c r="W354" i="42" s="1"/>
  <c r="N33" i="42"/>
  <c r="O354" i="42" s="1"/>
  <c r="G33" i="42"/>
  <c r="G354" i="42" s="1"/>
  <c r="U32" i="42"/>
  <c r="W333" i="42" s="1"/>
  <c r="N32" i="42"/>
  <c r="O333" i="42" s="1"/>
  <c r="G32" i="42"/>
  <c r="U31" i="42"/>
  <c r="W312" i="42" s="1"/>
  <c r="N31" i="42"/>
  <c r="O312" i="42" s="1"/>
  <c r="G31" i="42"/>
  <c r="G312" i="42" s="1"/>
  <c r="U30" i="42"/>
  <c r="W291" i="42" s="1"/>
  <c r="N30" i="42"/>
  <c r="O291" i="42" s="1"/>
  <c r="G30" i="42"/>
  <c r="G291" i="42" s="1"/>
  <c r="U29" i="42"/>
  <c r="W270" i="42" s="1"/>
  <c r="N29" i="42"/>
  <c r="G29" i="42"/>
  <c r="U28" i="42"/>
  <c r="W249" i="42" s="1"/>
  <c r="N28" i="42"/>
  <c r="O249" i="42" s="1"/>
  <c r="G28" i="42"/>
  <c r="U27" i="42"/>
  <c r="W228" i="42" s="1"/>
  <c r="N27" i="42"/>
  <c r="O228" i="42" s="1"/>
  <c r="G27" i="42"/>
  <c r="G228" i="42" s="1"/>
  <c r="L26" i="42"/>
  <c r="S26" i="42" s="1"/>
  <c r="K26" i="42"/>
  <c r="R26" i="42" s="1"/>
  <c r="I24" i="42"/>
  <c r="P24" i="42" s="1"/>
  <c r="U22" i="42"/>
  <c r="W353" i="42" s="1"/>
  <c r="N22" i="42"/>
  <c r="O353" i="42" s="1"/>
  <c r="G22" i="42"/>
  <c r="G353" i="42" s="1"/>
  <c r="U21" i="42"/>
  <c r="W332" i="42" s="1"/>
  <c r="N21" i="42"/>
  <c r="G21" i="42"/>
  <c r="G332" i="42" s="1"/>
  <c r="U20" i="42"/>
  <c r="W311" i="42" s="1"/>
  <c r="N20" i="42"/>
  <c r="G20" i="42"/>
  <c r="G311" i="42" s="1"/>
  <c r="U19" i="42"/>
  <c r="W290" i="42" s="1"/>
  <c r="N19" i="42"/>
  <c r="O290" i="42" s="1"/>
  <c r="G19" i="42"/>
  <c r="G290" i="42" s="1"/>
  <c r="U18" i="42"/>
  <c r="W269" i="42" s="1"/>
  <c r="N18" i="42"/>
  <c r="G18" i="42"/>
  <c r="G269" i="42" s="1"/>
  <c r="U17" i="42"/>
  <c r="W248" i="42" s="1"/>
  <c r="N17" i="42"/>
  <c r="G17" i="42"/>
  <c r="G248" i="42" s="1"/>
  <c r="U16" i="42"/>
  <c r="W227" i="42" s="1"/>
  <c r="N16" i="42"/>
  <c r="G16" i="42"/>
  <c r="G227" i="42" s="1"/>
  <c r="L15" i="42"/>
  <c r="S15" i="42" s="1"/>
  <c r="K15" i="42"/>
  <c r="R15" i="42" s="1"/>
  <c r="P13" i="42"/>
  <c r="I13" i="42"/>
  <c r="U11" i="42"/>
  <c r="N11" i="42"/>
  <c r="O352" i="42" s="1"/>
  <c r="G11" i="42"/>
  <c r="G352" i="42" s="1"/>
  <c r="U10" i="42"/>
  <c r="N10" i="42"/>
  <c r="O331" i="42" s="1"/>
  <c r="G10" i="42"/>
  <c r="G331" i="42" s="1"/>
  <c r="U9" i="42"/>
  <c r="W310" i="42" s="1"/>
  <c r="N9" i="42"/>
  <c r="G9" i="42"/>
  <c r="U8" i="42"/>
  <c r="N8" i="42"/>
  <c r="O289" i="42" s="1"/>
  <c r="G8" i="42"/>
  <c r="G289" i="42" s="1"/>
  <c r="U7" i="42"/>
  <c r="W268" i="42" s="1"/>
  <c r="N7" i="42"/>
  <c r="O268" i="42" s="1"/>
  <c r="G7" i="42"/>
  <c r="G268" i="42" s="1"/>
  <c r="U6" i="42"/>
  <c r="W247" i="42" s="1"/>
  <c r="N6" i="42"/>
  <c r="O247" i="42" s="1"/>
  <c r="G6" i="42"/>
  <c r="G247" i="42" s="1"/>
  <c r="U5" i="42"/>
  <c r="N5" i="42"/>
  <c r="O226" i="42" s="1"/>
  <c r="G5" i="42"/>
  <c r="G226" i="42" s="1"/>
  <c r="S4" i="42"/>
  <c r="R4" i="42"/>
  <c r="L4" i="42"/>
  <c r="K4" i="42"/>
  <c r="I2" i="42"/>
  <c r="P2" i="42" s="1"/>
  <c r="V16" i="13"/>
  <c r="U16" i="13"/>
  <c r="K29" i="9"/>
  <c r="K27" i="9"/>
  <c r="T22" i="9"/>
  <c r="E18" i="9"/>
  <c r="B61" i="7"/>
  <c r="A298" i="41"/>
  <c r="M273" i="41"/>
  <c r="M272" i="41"/>
  <c r="M271" i="41"/>
  <c r="M270" i="41"/>
  <c r="M269" i="41"/>
  <c r="M268" i="41"/>
  <c r="K310" i="41"/>
  <c r="J310" i="41"/>
  <c r="I310" i="41"/>
  <c r="K309" i="41"/>
  <c r="J309" i="41"/>
  <c r="I309" i="41"/>
  <c r="K308" i="41"/>
  <c r="J308" i="41"/>
  <c r="I308" i="41"/>
  <c r="K307" i="41"/>
  <c r="J307" i="41"/>
  <c r="I307" i="41"/>
  <c r="K306" i="41"/>
  <c r="J306" i="41"/>
  <c r="I306" i="41"/>
  <c r="K305" i="41"/>
  <c r="J305" i="41"/>
  <c r="I305" i="41"/>
  <c r="K304" i="41"/>
  <c r="J304" i="41"/>
  <c r="I304" i="41"/>
  <c r="K303" i="41"/>
  <c r="J303" i="41"/>
  <c r="I303" i="41"/>
  <c r="K302" i="41"/>
  <c r="J302" i="41"/>
  <c r="I302" i="41"/>
  <c r="K301" i="41"/>
  <c r="J301" i="41"/>
  <c r="I301" i="41"/>
  <c r="K300" i="41"/>
  <c r="J300" i="41"/>
  <c r="I300" i="41"/>
  <c r="K299" i="41"/>
  <c r="J299" i="41"/>
  <c r="I299" i="41"/>
  <c r="A289" i="41"/>
  <c r="A283" i="41"/>
  <c r="A275" i="41"/>
  <c r="A267" i="41"/>
  <c r="Q262" i="41"/>
  <c r="P262" i="41"/>
  <c r="O262" i="41"/>
  <c r="N262" i="41"/>
  <c r="M262" i="41"/>
  <c r="L262" i="41"/>
  <c r="H262" i="41"/>
  <c r="F262" i="41"/>
  <c r="E262" i="41"/>
  <c r="D262" i="41"/>
  <c r="C262" i="41"/>
  <c r="Q261" i="41"/>
  <c r="P261" i="41"/>
  <c r="O261" i="41"/>
  <c r="N261" i="41"/>
  <c r="M261" i="41"/>
  <c r="L261" i="41"/>
  <c r="H261" i="41"/>
  <c r="G261" i="41"/>
  <c r="F261" i="41"/>
  <c r="E261" i="41"/>
  <c r="D261" i="41"/>
  <c r="C261" i="41"/>
  <c r="Q260" i="41"/>
  <c r="P260" i="41"/>
  <c r="O260" i="41"/>
  <c r="N260" i="41"/>
  <c r="M260" i="41"/>
  <c r="L260" i="41"/>
  <c r="H260" i="41"/>
  <c r="F260" i="41"/>
  <c r="E260" i="41"/>
  <c r="D260" i="41"/>
  <c r="C260" i="41"/>
  <c r="P259" i="41"/>
  <c r="O259" i="41"/>
  <c r="N259" i="41"/>
  <c r="M259" i="41"/>
  <c r="L259" i="41"/>
  <c r="H259" i="41"/>
  <c r="G259" i="41"/>
  <c r="F259" i="41"/>
  <c r="E259" i="41"/>
  <c r="D259" i="41"/>
  <c r="C259" i="41"/>
  <c r="P258" i="41"/>
  <c r="O258" i="41"/>
  <c r="N258" i="41"/>
  <c r="M258" i="41"/>
  <c r="L258" i="41"/>
  <c r="F258" i="41"/>
  <c r="E258" i="41"/>
  <c r="D258" i="41"/>
  <c r="C258" i="41"/>
  <c r="Q257" i="41"/>
  <c r="P257" i="41"/>
  <c r="O257" i="41"/>
  <c r="N257" i="41"/>
  <c r="M257" i="41"/>
  <c r="L257" i="41"/>
  <c r="H257" i="41"/>
  <c r="F257" i="41"/>
  <c r="E257" i="41"/>
  <c r="D257" i="41"/>
  <c r="C257" i="41"/>
  <c r="P256" i="41"/>
  <c r="O256" i="41"/>
  <c r="N256" i="41"/>
  <c r="M256" i="41"/>
  <c r="L256" i="41"/>
  <c r="F256" i="41"/>
  <c r="E256" i="41"/>
  <c r="D256" i="41"/>
  <c r="C256" i="41"/>
  <c r="Q255" i="41"/>
  <c r="O255" i="41"/>
  <c r="N255" i="41"/>
  <c r="M255" i="41"/>
  <c r="L255" i="41"/>
  <c r="F255" i="41"/>
  <c r="E255" i="41"/>
  <c r="D255" i="41"/>
  <c r="C255" i="41"/>
  <c r="O254" i="41"/>
  <c r="N254" i="41"/>
  <c r="M254" i="41"/>
  <c r="L254" i="41"/>
  <c r="F254" i="41"/>
  <c r="E254" i="41"/>
  <c r="D254" i="41"/>
  <c r="C254" i="41"/>
  <c r="O253" i="41"/>
  <c r="N253" i="41"/>
  <c r="M253" i="41"/>
  <c r="L253" i="41"/>
  <c r="H253" i="41"/>
  <c r="G253" i="41"/>
  <c r="F253" i="41"/>
  <c r="E253" i="41"/>
  <c r="D253" i="41"/>
  <c r="C253" i="41"/>
  <c r="Q252" i="41"/>
  <c r="P252" i="41"/>
  <c r="O252" i="41"/>
  <c r="N252" i="41"/>
  <c r="M252" i="41"/>
  <c r="L252" i="41"/>
  <c r="F252" i="41"/>
  <c r="E252" i="41"/>
  <c r="D252" i="41"/>
  <c r="C252" i="41"/>
  <c r="Q251" i="41"/>
  <c r="P251" i="41"/>
  <c r="O251" i="41"/>
  <c r="N251" i="41"/>
  <c r="M251" i="41"/>
  <c r="L251" i="41"/>
  <c r="F251" i="41"/>
  <c r="E251" i="41"/>
  <c r="D251" i="41"/>
  <c r="C251" i="41"/>
  <c r="Q249" i="41"/>
  <c r="O249" i="41"/>
  <c r="N249" i="41"/>
  <c r="M249" i="41"/>
  <c r="L249" i="41"/>
  <c r="H249" i="41"/>
  <c r="F249" i="41"/>
  <c r="E249" i="41"/>
  <c r="D249" i="41"/>
  <c r="C249" i="41"/>
  <c r="Q248" i="41"/>
  <c r="P248" i="41"/>
  <c r="O248" i="41"/>
  <c r="N248" i="41"/>
  <c r="M248" i="41"/>
  <c r="L248" i="41"/>
  <c r="H248" i="41"/>
  <c r="G248" i="41"/>
  <c r="F248" i="41"/>
  <c r="E248" i="41"/>
  <c r="D248" i="41"/>
  <c r="C248" i="41"/>
  <c r="Q247" i="41"/>
  <c r="O247" i="41"/>
  <c r="N247" i="41"/>
  <c r="M247" i="41"/>
  <c r="L247" i="41"/>
  <c r="H247" i="41"/>
  <c r="F247" i="41"/>
  <c r="E247" i="41"/>
  <c r="D247" i="41"/>
  <c r="C247" i="41"/>
  <c r="O246" i="41"/>
  <c r="N246" i="41"/>
  <c r="M246" i="41"/>
  <c r="L246" i="41"/>
  <c r="H246" i="41"/>
  <c r="F246" i="41"/>
  <c r="E246" i="41"/>
  <c r="D246" i="41"/>
  <c r="C246" i="41"/>
  <c r="O245" i="41"/>
  <c r="N245" i="41"/>
  <c r="M245" i="41"/>
  <c r="L245" i="41"/>
  <c r="F245" i="41"/>
  <c r="E245" i="41"/>
  <c r="D245" i="41"/>
  <c r="C245" i="41"/>
  <c r="P244" i="41"/>
  <c r="O244" i="41"/>
  <c r="N244" i="41"/>
  <c r="M244" i="41"/>
  <c r="L244" i="41"/>
  <c r="F244" i="41"/>
  <c r="E244" i="41"/>
  <c r="D244" i="41"/>
  <c r="C244" i="41"/>
  <c r="Q243" i="41"/>
  <c r="P243" i="41"/>
  <c r="O243" i="41"/>
  <c r="N243" i="41"/>
  <c r="M243" i="41"/>
  <c r="L243" i="41"/>
  <c r="F243" i="41"/>
  <c r="E243" i="41"/>
  <c r="D243" i="41"/>
  <c r="C243" i="41"/>
  <c r="P242" i="41"/>
  <c r="O242" i="41"/>
  <c r="N242" i="41"/>
  <c r="M242" i="41"/>
  <c r="L242" i="41"/>
  <c r="H242" i="41"/>
  <c r="G242" i="41"/>
  <c r="F242" i="41"/>
  <c r="E242" i="41"/>
  <c r="D242" i="41"/>
  <c r="C242" i="41"/>
  <c r="Q241" i="41"/>
  <c r="P241" i="41"/>
  <c r="O241" i="41"/>
  <c r="N241" i="41"/>
  <c r="M241" i="41"/>
  <c r="L241" i="41"/>
  <c r="F241" i="41"/>
  <c r="E241" i="41"/>
  <c r="D241" i="41"/>
  <c r="C241" i="41"/>
  <c r="Q240" i="41"/>
  <c r="P240" i="41"/>
  <c r="O240" i="41"/>
  <c r="N240" i="41"/>
  <c r="M240" i="41"/>
  <c r="L240" i="41"/>
  <c r="G240" i="41"/>
  <c r="F240" i="41"/>
  <c r="E240" i="41"/>
  <c r="D240" i="41"/>
  <c r="C240" i="41"/>
  <c r="O239" i="41"/>
  <c r="N239" i="41"/>
  <c r="M239" i="41"/>
  <c r="L239" i="41"/>
  <c r="F239" i="41"/>
  <c r="E239" i="41"/>
  <c r="D239" i="41"/>
  <c r="C239" i="41"/>
  <c r="Q238" i="41"/>
  <c r="P238" i="41"/>
  <c r="O238" i="41"/>
  <c r="N238" i="41"/>
  <c r="M238" i="41"/>
  <c r="L238" i="41"/>
  <c r="F238" i="41"/>
  <c r="E238" i="41"/>
  <c r="D238" i="41"/>
  <c r="C238" i="41"/>
  <c r="Q236" i="41"/>
  <c r="O236" i="41"/>
  <c r="N236" i="41"/>
  <c r="M236" i="41"/>
  <c r="L236" i="41"/>
  <c r="H236" i="41"/>
  <c r="F236" i="41"/>
  <c r="E236" i="41"/>
  <c r="D236" i="41"/>
  <c r="C236" i="41"/>
  <c r="Q235" i="41"/>
  <c r="P235" i="41"/>
  <c r="O235" i="41"/>
  <c r="N235" i="41"/>
  <c r="M235" i="41"/>
  <c r="L235" i="41"/>
  <c r="H235" i="41"/>
  <c r="F235" i="41"/>
  <c r="E235" i="41"/>
  <c r="D235" i="41"/>
  <c r="C235" i="41"/>
  <c r="Q234" i="41"/>
  <c r="O234" i="41"/>
  <c r="N234" i="41"/>
  <c r="M234" i="41"/>
  <c r="L234" i="41"/>
  <c r="H234" i="41"/>
  <c r="F234" i="41"/>
  <c r="E234" i="41"/>
  <c r="D234" i="41"/>
  <c r="C234" i="41"/>
  <c r="Q233" i="41"/>
  <c r="P233" i="41"/>
  <c r="O233" i="41"/>
  <c r="N233" i="41"/>
  <c r="M233" i="41"/>
  <c r="L233" i="41"/>
  <c r="H233" i="41"/>
  <c r="G233" i="41"/>
  <c r="F233" i="41"/>
  <c r="E233" i="41"/>
  <c r="D233" i="41"/>
  <c r="C233" i="41"/>
  <c r="Q232" i="41"/>
  <c r="O232" i="41"/>
  <c r="N232" i="41"/>
  <c r="M232" i="41"/>
  <c r="L232" i="41"/>
  <c r="F232" i="41"/>
  <c r="E232" i="41"/>
  <c r="D232" i="41"/>
  <c r="C232" i="41"/>
  <c r="O231" i="41"/>
  <c r="N231" i="41"/>
  <c r="M231" i="41"/>
  <c r="L231" i="41"/>
  <c r="F231" i="41"/>
  <c r="E231" i="41"/>
  <c r="D231" i="41"/>
  <c r="C231" i="41"/>
  <c r="O230" i="41"/>
  <c r="N230" i="41"/>
  <c r="M230" i="41"/>
  <c r="L230" i="41"/>
  <c r="F230" i="41"/>
  <c r="E230" i="41"/>
  <c r="D230" i="41"/>
  <c r="C230" i="41"/>
  <c r="P229" i="41"/>
  <c r="O229" i="41"/>
  <c r="N229" i="41"/>
  <c r="M229" i="41"/>
  <c r="L229" i="41"/>
  <c r="H229" i="41"/>
  <c r="G229" i="41"/>
  <c r="F229" i="41"/>
  <c r="E229" i="41"/>
  <c r="D229" i="41"/>
  <c r="C229" i="41"/>
  <c r="P228" i="41"/>
  <c r="O228" i="41"/>
  <c r="N228" i="41"/>
  <c r="M228" i="41"/>
  <c r="L228" i="41"/>
  <c r="F228" i="41"/>
  <c r="E228" i="41"/>
  <c r="D228" i="41"/>
  <c r="C228" i="41"/>
  <c r="Q227" i="41"/>
  <c r="P227" i="41"/>
  <c r="O227" i="41"/>
  <c r="N227" i="41"/>
  <c r="M227" i="41"/>
  <c r="L227" i="41"/>
  <c r="F227" i="41"/>
  <c r="E227" i="41"/>
  <c r="D227" i="41"/>
  <c r="C227" i="41"/>
  <c r="O226" i="41"/>
  <c r="N226" i="41"/>
  <c r="M226" i="41"/>
  <c r="L226" i="41"/>
  <c r="F226" i="41"/>
  <c r="E226" i="41"/>
  <c r="D226" i="41"/>
  <c r="C226" i="41"/>
  <c r="O225" i="41"/>
  <c r="N225" i="41"/>
  <c r="M225" i="41"/>
  <c r="L225" i="41"/>
  <c r="H225" i="41"/>
  <c r="F225" i="41"/>
  <c r="E225" i="41"/>
  <c r="D225" i="41"/>
  <c r="C225" i="41"/>
  <c r="Q223" i="41"/>
  <c r="P223" i="41"/>
  <c r="O223" i="41"/>
  <c r="N223" i="41"/>
  <c r="M223" i="41"/>
  <c r="L223" i="41"/>
  <c r="H223" i="41"/>
  <c r="F223" i="41"/>
  <c r="E223" i="41"/>
  <c r="D223" i="41"/>
  <c r="C223" i="41"/>
  <c r="Q222" i="41"/>
  <c r="P222" i="41"/>
  <c r="O222" i="41"/>
  <c r="N222" i="41"/>
  <c r="M222" i="41"/>
  <c r="L222" i="41"/>
  <c r="H222" i="41"/>
  <c r="F222" i="41"/>
  <c r="E222" i="41"/>
  <c r="D222" i="41"/>
  <c r="C222" i="41"/>
  <c r="Q221" i="41"/>
  <c r="P221" i="41"/>
  <c r="O221" i="41"/>
  <c r="N221" i="41"/>
  <c r="M221" i="41"/>
  <c r="L221" i="41"/>
  <c r="H221" i="41"/>
  <c r="F221" i="41"/>
  <c r="E221" i="41"/>
  <c r="D221" i="41"/>
  <c r="C221" i="41"/>
  <c r="O220" i="41"/>
  <c r="N220" i="41"/>
  <c r="M220" i="41"/>
  <c r="L220" i="41"/>
  <c r="H220" i="41"/>
  <c r="G220" i="41"/>
  <c r="F220" i="41"/>
  <c r="E220" i="41"/>
  <c r="D220" i="41"/>
  <c r="C220" i="41"/>
  <c r="Q219" i="41"/>
  <c r="P219" i="41"/>
  <c r="O219" i="41"/>
  <c r="N219" i="41"/>
  <c r="M219" i="41"/>
  <c r="L219" i="41"/>
  <c r="F219" i="41"/>
  <c r="E219" i="41"/>
  <c r="D219" i="41"/>
  <c r="C219" i="41"/>
  <c r="Q218" i="41"/>
  <c r="P218" i="41"/>
  <c r="O218" i="41"/>
  <c r="N218" i="41"/>
  <c r="M218" i="41"/>
  <c r="L218" i="41"/>
  <c r="H218" i="41"/>
  <c r="G218" i="41"/>
  <c r="F218" i="41"/>
  <c r="E218" i="41"/>
  <c r="D218" i="41"/>
  <c r="C218" i="41"/>
  <c r="Q217" i="41"/>
  <c r="O217" i="41"/>
  <c r="N217" i="41"/>
  <c r="M217" i="41"/>
  <c r="L217" i="41"/>
  <c r="F217" i="41"/>
  <c r="E217" i="41"/>
  <c r="D217" i="41"/>
  <c r="C217" i="41"/>
  <c r="O216" i="41"/>
  <c r="N216" i="41"/>
  <c r="M216" i="41"/>
  <c r="L216" i="41"/>
  <c r="G216" i="41"/>
  <c r="F216" i="41"/>
  <c r="E216" i="41"/>
  <c r="D216" i="41"/>
  <c r="C216" i="41"/>
  <c r="O215" i="41"/>
  <c r="N215" i="41"/>
  <c r="M215" i="41"/>
  <c r="L215" i="41"/>
  <c r="F215" i="41"/>
  <c r="E215" i="41"/>
  <c r="D215" i="41"/>
  <c r="C215" i="41"/>
  <c r="Q214" i="41"/>
  <c r="P214" i="41"/>
  <c r="O214" i="41"/>
  <c r="N214" i="41"/>
  <c r="M214" i="41"/>
  <c r="L214" i="41"/>
  <c r="F214" i="41"/>
  <c r="E214" i="41"/>
  <c r="D214" i="41"/>
  <c r="C214" i="41"/>
  <c r="Q213" i="41"/>
  <c r="P213" i="41"/>
  <c r="O213" i="41"/>
  <c r="N213" i="41"/>
  <c r="M213" i="41"/>
  <c r="L213" i="41"/>
  <c r="F213" i="41"/>
  <c r="E213" i="41"/>
  <c r="D213" i="41"/>
  <c r="C213" i="41"/>
  <c r="O212" i="41"/>
  <c r="N212" i="41"/>
  <c r="M212" i="41"/>
  <c r="L212" i="41"/>
  <c r="G212" i="41"/>
  <c r="F212" i="41"/>
  <c r="E212" i="41"/>
  <c r="D212" i="41"/>
  <c r="C212" i="41"/>
  <c r="L210" i="41"/>
  <c r="C210" i="41"/>
  <c r="Q207" i="41"/>
  <c r="O207" i="41"/>
  <c r="N207" i="41"/>
  <c r="M207" i="41"/>
  <c r="L207" i="41"/>
  <c r="H207" i="41"/>
  <c r="G207" i="41"/>
  <c r="F207" i="41"/>
  <c r="E207" i="41"/>
  <c r="D207" i="41"/>
  <c r="C207" i="41"/>
  <c r="Q206" i="41"/>
  <c r="O206" i="41"/>
  <c r="N206" i="41"/>
  <c r="M206" i="41"/>
  <c r="L206" i="41"/>
  <c r="H206" i="41"/>
  <c r="G206" i="41"/>
  <c r="F206" i="41"/>
  <c r="E206" i="41"/>
  <c r="D206" i="41"/>
  <c r="C206" i="41"/>
  <c r="Q205" i="41"/>
  <c r="P205" i="41"/>
  <c r="O205" i="41"/>
  <c r="N205" i="41"/>
  <c r="M205" i="41"/>
  <c r="L205" i="41"/>
  <c r="H205" i="41"/>
  <c r="F205" i="41"/>
  <c r="E205" i="41"/>
  <c r="D205" i="41"/>
  <c r="C205" i="41"/>
  <c r="Q204" i="41"/>
  <c r="O204" i="41"/>
  <c r="N204" i="41"/>
  <c r="M204" i="41"/>
  <c r="L204" i="41"/>
  <c r="H204" i="41"/>
  <c r="G204" i="41"/>
  <c r="F204" i="41"/>
  <c r="E204" i="41"/>
  <c r="D204" i="41"/>
  <c r="C204" i="41"/>
  <c r="P203" i="41"/>
  <c r="O203" i="41"/>
  <c r="N203" i="41"/>
  <c r="M203" i="41"/>
  <c r="L203" i="41"/>
  <c r="F203" i="41"/>
  <c r="E203" i="41"/>
  <c r="D203" i="41"/>
  <c r="C203" i="41"/>
  <c r="O202" i="41"/>
  <c r="N202" i="41"/>
  <c r="M202" i="41"/>
  <c r="L202" i="41"/>
  <c r="G202" i="41"/>
  <c r="F202" i="41"/>
  <c r="E202" i="41"/>
  <c r="D202" i="41"/>
  <c r="C202" i="41"/>
  <c r="P201" i="41"/>
  <c r="O201" i="41"/>
  <c r="N201" i="41"/>
  <c r="M201" i="41"/>
  <c r="L201" i="41"/>
  <c r="G201" i="41"/>
  <c r="F201" i="41"/>
  <c r="E201" i="41"/>
  <c r="D201" i="41"/>
  <c r="C201" i="41"/>
  <c r="O200" i="41"/>
  <c r="N200" i="41"/>
  <c r="M200" i="41"/>
  <c r="L200" i="41"/>
  <c r="H200" i="41"/>
  <c r="G200" i="41"/>
  <c r="F200" i="41"/>
  <c r="E200" i="41"/>
  <c r="D200" i="41"/>
  <c r="C200" i="41"/>
  <c r="O199" i="41"/>
  <c r="N199" i="41"/>
  <c r="M199" i="41"/>
  <c r="L199" i="41"/>
  <c r="H199" i="41"/>
  <c r="G199" i="41"/>
  <c r="F199" i="41"/>
  <c r="E199" i="41"/>
  <c r="D199" i="41"/>
  <c r="C199" i="41"/>
  <c r="O198" i="41"/>
  <c r="N198" i="41"/>
  <c r="M198" i="41"/>
  <c r="L198" i="41"/>
  <c r="F198" i="41"/>
  <c r="E198" i="41"/>
  <c r="D198" i="41"/>
  <c r="C198" i="41"/>
  <c r="O197" i="41"/>
  <c r="N197" i="41"/>
  <c r="M197" i="41"/>
  <c r="L197" i="41"/>
  <c r="H197" i="41"/>
  <c r="F197" i="41"/>
  <c r="E197" i="41"/>
  <c r="D197" i="41"/>
  <c r="C197" i="41"/>
  <c r="O196" i="41"/>
  <c r="N196" i="41"/>
  <c r="M196" i="41"/>
  <c r="L196" i="41"/>
  <c r="F196" i="41"/>
  <c r="E196" i="41"/>
  <c r="D196" i="41"/>
  <c r="C196" i="41"/>
  <c r="Q194" i="41"/>
  <c r="P194" i="41"/>
  <c r="O194" i="41"/>
  <c r="N194" i="41"/>
  <c r="M194" i="41"/>
  <c r="L194" i="41"/>
  <c r="H194" i="41"/>
  <c r="F194" i="41"/>
  <c r="E194" i="41"/>
  <c r="D194" i="41"/>
  <c r="C194" i="41"/>
  <c r="Q193" i="41"/>
  <c r="O193" i="41"/>
  <c r="N193" i="41"/>
  <c r="M193" i="41"/>
  <c r="L193" i="41"/>
  <c r="H193" i="41"/>
  <c r="F193" i="41"/>
  <c r="E193" i="41"/>
  <c r="D193" i="41"/>
  <c r="C193" i="41"/>
  <c r="Q192" i="41"/>
  <c r="P192" i="41"/>
  <c r="O192" i="41"/>
  <c r="N192" i="41"/>
  <c r="M192" i="41"/>
  <c r="L192" i="41"/>
  <c r="H192" i="41"/>
  <c r="F192" i="41"/>
  <c r="E192" i="41"/>
  <c r="D192" i="41"/>
  <c r="C192" i="41"/>
  <c r="O191" i="41"/>
  <c r="N191" i="41"/>
  <c r="M191" i="41"/>
  <c r="L191" i="41"/>
  <c r="H191" i="41"/>
  <c r="G191" i="41"/>
  <c r="F191" i="41"/>
  <c r="E191" i="41"/>
  <c r="D191" i="41"/>
  <c r="C191" i="41"/>
  <c r="O190" i="41"/>
  <c r="N190" i="41"/>
  <c r="M190" i="41"/>
  <c r="L190" i="41"/>
  <c r="H190" i="41"/>
  <c r="F190" i="41"/>
  <c r="E190" i="41"/>
  <c r="D190" i="41"/>
  <c r="C190" i="41"/>
  <c r="O189" i="41"/>
  <c r="N189" i="41"/>
  <c r="M189" i="41"/>
  <c r="L189" i="41"/>
  <c r="F189" i="41"/>
  <c r="E189" i="41"/>
  <c r="D189" i="41"/>
  <c r="C189" i="41"/>
  <c r="O188" i="41"/>
  <c r="N188" i="41"/>
  <c r="M188" i="41"/>
  <c r="L188" i="41"/>
  <c r="G188" i="41"/>
  <c r="F188" i="41"/>
  <c r="E188" i="41"/>
  <c r="D188" i="41"/>
  <c r="C188" i="41"/>
  <c r="O187" i="41"/>
  <c r="N187" i="41"/>
  <c r="M187" i="41"/>
  <c r="L187" i="41"/>
  <c r="G187" i="41"/>
  <c r="F187" i="41"/>
  <c r="E187" i="41"/>
  <c r="D187" i="41"/>
  <c r="C187" i="41"/>
  <c r="Q186" i="41"/>
  <c r="P186" i="41"/>
  <c r="O186" i="41"/>
  <c r="N186" i="41"/>
  <c r="M186" i="41"/>
  <c r="L186" i="41"/>
  <c r="H186" i="41"/>
  <c r="G186" i="41"/>
  <c r="F186" i="41"/>
  <c r="E186" i="41"/>
  <c r="D186" i="41"/>
  <c r="C186" i="41"/>
  <c r="O185" i="41"/>
  <c r="N185" i="41"/>
  <c r="M185" i="41"/>
  <c r="L185" i="41"/>
  <c r="H185" i="41"/>
  <c r="G185" i="41"/>
  <c r="F185" i="41"/>
  <c r="E185" i="41"/>
  <c r="D185" i="41"/>
  <c r="C185" i="41"/>
  <c r="O184" i="41"/>
  <c r="N184" i="41"/>
  <c r="M184" i="41"/>
  <c r="L184" i="41"/>
  <c r="F184" i="41"/>
  <c r="E184" i="41"/>
  <c r="D184" i="41"/>
  <c r="C184" i="41"/>
  <c r="O183" i="41"/>
  <c r="N183" i="41"/>
  <c r="M183" i="41"/>
  <c r="L183" i="41"/>
  <c r="F183" i="41"/>
  <c r="E183" i="41"/>
  <c r="D183" i="41"/>
  <c r="C183" i="41"/>
  <c r="Q181" i="41"/>
  <c r="P181" i="41"/>
  <c r="O181" i="41"/>
  <c r="N181" i="41"/>
  <c r="M181" i="41"/>
  <c r="L181" i="41"/>
  <c r="H181" i="41"/>
  <c r="F181" i="41"/>
  <c r="E181" i="41"/>
  <c r="D181" i="41"/>
  <c r="C181" i="41"/>
  <c r="Q180" i="41"/>
  <c r="O180" i="41"/>
  <c r="N180" i="41"/>
  <c r="M180" i="41"/>
  <c r="L180" i="41"/>
  <c r="H180" i="41"/>
  <c r="G180" i="41"/>
  <c r="F180" i="41"/>
  <c r="E180" i="41"/>
  <c r="D180" i="41"/>
  <c r="C180" i="41"/>
  <c r="Q179" i="41"/>
  <c r="O179" i="41"/>
  <c r="N179" i="41"/>
  <c r="M179" i="41"/>
  <c r="L179" i="41"/>
  <c r="H179" i="41"/>
  <c r="G179" i="41"/>
  <c r="F179" i="41"/>
  <c r="E179" i="41"/>
  <c r="D179" i="41"/>
  <c r="C179" i="41"/>
  <c r="O178" i="41"/>
  <c r="N178" i="41"/>
  <c r="M178" i="41"/>
  <c r="L178" i="41"/>
  <c r="F178" i="41"/>
  <c r="E178" i="41"/>
  <c r="D178" i="41"/>
  <c r="C178" i="41"/>
  <c r="Q177" i="41"/>
  <c r="P177" i="41"/>
  <c r="O177" i="41"/>
  <c r="N177" i="41"/>
  <c r="M177" i="41"/>
  <c r="L177" i="41"/>
  <c r="H177" i="41"/>
  <c r="G177" i="41"/>
  <c r="F177" i="41"/>
  <c r="E177" i="41"/>
  <c r="D177" i="41"/>
  <c r="C177" i="41"/>
  <c r="O176" i="41"/>
  <c r="N176" i="41"/>
  <c r="M176" i="41"/>
  <c r="L176" i="41"/>
  <c r="H176" i="41"/>
  <c r="G176" i="41"/>
  <c r="F176" i="41"/>
  <c r="E176" i="41"/>
  <c r="D176" i="41"/>
  <c r="C176" i="41"/>
  <c r="Q175" i="41"/>
  <c r="P175" i="41"/>
  <c r="O175" i="41"/>
  <c r="N175" i="41"/>
  <c r="M175" i="41"/>
  <c r="L175" i="41"/>
  <c r="F175" i="41"/>
  <c r="E175" i="41"/>
  <c r="D175" i="41"/>
  <c r="C175" i="41"/>
  <c r="O174" i="41"/>
  <c r="N174" i="41"/>
  <c r="M174" i="41"/>
  <c r="L174" i="41"/>
  <c r="F174" i="41"/>
  <c r="E174" i="41"/>
  <c r="D174" i="41"/>
  <c r="C174" i="41"/>
  <c r="P173" i="41"/>
  <c r="O173" i="41"/>
  <c r="N173" i="41"/>
  <c r="M173" i="41"/>
  <c r="L173" i="41"/>
  <c r="G173" i="41"/>
  <c r="F173" i="41"/>
  <c r="E173" i="41"/>
  <c r="D173" i="41"/>
  <c r="C173" i="41"/>
  <c r="O172" i="41"/>
  <c r="N172" i="41"/>
  <c r="M172" i="41"/>
  <c r="L172" i="41"/>
  <c r="F172" i="41"/>
  <c r="E172" i="41"/>
  <c r="D172" i="41"/>
  <c r="C172" i="41"/>
  <c r="O171" i="41"/>
  <c r="N171" i="41"/>
  <c r="M171" i="41"/>
  <c r="L171" i="41"/>
  <c r="H171" i="41"/>
  <c r="G171" i="41"/>
  <c r="F171" i="41"/>
  <c r="E171" i="41"/>
  <c r="D171" i="41"/>
  <c r="C171" i="41"/>
  <c r="O170" i="41"/>
  <c r="N170" i="41"/>
  <c r="M170" i="41"/>
  <c r="L170" i="41"/>
  <c r="F170" i="41"/>
  <c r="E170" i="41"/>
  <c r="D170" i="41"/>
  <c r="C170" i="41"/>
  <c r="Q168" i="41"/>
  <c r="O168" i="41"/>
  <c r="N168" i="41"/>
  <c r="M168" i="41"/>
  <c r="L168" i="41"/>
  <c r="H168" i="41"/>
  <c r="G168" i="41"/>
  <c r="F168" i="41"/>
  <c r="E168" i="41"/>
  <c r="D168" i="41"/>
  <c r="C168" i="41"/>
  <c r="Q167" i="41"/>
  <c r="O167" i="41"/>
  <c r="N167" i="41"/>
  <c r="M167" i="41"/>
  <c r="L167" i="41"/>
  <c r="H167" i="41"/>
  <c r="F167" i="41"/>
  <c r="E167" i="41"/>
  <c r="D167" i="41"/>
  <c r="C167" i="41"/>
  <c r="Q166" i="41"/>
  <c r="P166" i="41"/>
  <c r="O166" i="41"/>
  <c r="N166" i="41"/>
  <c r="M166" i="41"/>
  <c r="L166" i="41"/>
  <c r="H166" i="41"/>
  <c r="F166" i="41"/>
  <c r="E166" i="41"/>
  <c r="D166" i="41"/>
  <c r="C166" i="41"/>
  <c r="O165" i="41"/>
  <c r="N165" i="41"/>
  <c r="M165" i="41"/>
  <c r="L165" i="41"/>
  <c r="F165" i="41"/>
  <c r="E165" i="41"/>
  <c r="D165" i="41"/>
  <c r="C165" i="41"/>
  <c r="Q164" i="41"/>
  <c r="P164" i="41"/>
  <c r="O164" i="41"/>
  <c r="N164" i="41"/>
  <c r="M164" i="41"/>
  <c r="L164" i="41"/>
  <c r="F164" i="41"/>
  <c r="E164" i="41"/>
  <c r="D164" i="41"/>
  <c r="C164" i="41"/>
  <c r="O163" i="41"/>
  <c r="N163" i="41"/>
  <c r="M163" i="41"/>
  <c r="L163" i="41"/>
  <c r="H163" i="41"/>
  <c r="G163" i="41"/>
  <c r="F163" i="41"/>
  <c r="E163" i="41"/>
  <c r="D163" i="41"/>
  <c r="C163" i="41"/>
  <c r="Q162" i="41"/>
  <c r="O162" i="41"/>
  <c r="N162" i="41"/>
  <c r="M162" i="41"/>
  <c r="L162" i="41"/>
  <c r="H162" i="41"/>
  <c r="F162" i="41"/>
  <c r="E162" i="41"/>
  <c r="D162" i="41"/>
  <c r="C162" i="41"/>
  <c r="O161" i="41"/>
  <c r="N161" i="41"/>
  <c r="M161" i="41"/>
  <c r="L161" i="41"/>
  <c r="F161" i="41"/>
  <c r="E161" i="41"/>
  <c r="D161" i="41"/>
  <c r="C161" i="41"/>
  <c r="O160" i="41"/>
  <c r="N160" i="41"/>
  <c r="M160" i="41"/>
  <c r="L160" i="41"/>
  <c r="G160" i="41"/>
  <c r="F160" i="41"/>
  <c r="E160" i="41"/>
  <c r="D160" i="41"/>
  <c r="C160" i="41"/>
  <c r="O159" i="41"/>
  <c r="N159" i="41"/>
  <c r="M159" i="41"/>
  <c r="L159" i="41"/>
  <c r="H159" i="41"/>
  <c r="F159" i="41"/>
  <c r="E159" i="41"/>
  <c r="D159" i="41"/>
  <c r="C159" i="41"/>
  <c r="Q158" i="41"/>
  <c r="P158" i="41"/>
  <c r="O158" i="41"/>
  <c r="N158" i="41"/>
  <c r="M158" i="41"/>
  <c r="L158" i="41"/>
  <c r="F158" i="41"/>
  <c r="E158" i="41"/>
  <c r="D158" i="41"/>
  <c r="C158" i="41"/>
  <c r="O157" i="41"/>
  <c r="N157" i="41"/>
  <c r="M157" i="41"/>
  <c r="L157" i="41"/>
  <c r="H157" i="41"/>
  <c r="G157" i="41"/>
  <c r="F157" i="41"/>
  <c r="E157" i="41"/>
  <c r="D157" i="41"/>
  <c r="C157" i="41"/>
  <c r="Q155" i="41"/>
  <c r="P155" i="41"/>
  <c r="O155" i="41"/>
  <c r="N155" i="41"/>
  <c r="M155" i="41"/>
  <c r="L155" i="41"/>
  <c r="H155" i="41"/>
  <c r="F155" i="41"/>
  <c r="E155" i="41"/>
  <c r="D155" i="41"/>
  <c r="C155" i="41"/>
  <c r="Q154" i="41"/>
  <c r="O154" i="41"/>
  <c r="N154" i="41"/>
  <c r="M154" i="41"/>
  <c r="L154" i="41"/>
  <c r="H154" i="41"/>
  <c r="F154" i="41"/>
  <c r="E154" i="41"/>
  <c r="D154" i="41"/>
  <c r="C154" i="41"/>
  <c r="Q153" i="41"/>
  <c r="P153" i="41"/>
  <c r="O153" i="41"/>
  <c r="N153" i="41"/>
  <c r="M153" i="41"/>
  <c r="L153" i="41"/>
  <c r="H153" i="41"/>
  <c r="F153" i="41"/>
  <c r="E153" i="41"/>
  <c r="D153" i="41"/>
  <c r="C153" i="41"/>
  <c r="O152" i="41"/>
  <c r="N152" i="41"/>
  <c r="M152" i="41"/>
  <c r="L152" i="41"/>
  <c r="H152" i="41"/>
  <c r="F152" i="41"/>
  <c r="E152" i="41"/>
  <c r="D152" i="41"/>
  <c r="C152" i="41"/>
  <c r="O151" i="41"/>
  <c r="N151" i="41"/>
  <c r="M151" i="41"/>
  <c r="L151" i="41"/>
  <c r="F151" i="41"/>
  <c r="E151" i="41"/>
  <c r="D151" i="41"/>
  <c r="C151" i="41"/>
  <c r="O150" i="41"/>
  <c r="N150" i="41"/>
  <c r="M150" i="41"/>
  <c r="L150" i="41"/>
  <c r="F150" i="41"/>
  <c r="E150" i="41"/>
  <c r="D150" i="41"/>
  <c r="C150" i="41"/>
  <c r="P149" i="41"/>
  <c r="O149" i="41"/>
  <c r="N149" i="41"/>
  <c r="M149" i="41"/>
  <c r="L149" i="41"/>
  <c r="G149" i="41"/>
  <c r="F149" i="41"/>
  <c r="E149" i="41"/>
  <c r="D149" i="41"/>
  <c r="C149" i="41"/>
  <c r="O148" i="41"/>
  <c r="N148" i="41"/>
  <c r="M148" i="41"/>
  <c r="L148" i="41"/>
  <c r="H148" i="41"/>
  <c r="G148" i="41"/>
  <c r="F148" i="41"/>
  <c r="E148" i="41"/>
  <c r="D148" i="41"/>
  <c r="C148" i="41"/>
  <c r="Q147" i="41"/>
  <c r="P147" i="41"/>
  <c r="O147" i="41"/>
  <c r="N147" i="41"/>
  <c r="M147" i="41"/>
  <c r="L147" i="41"/>
  <c r="F147" i="41"/>
  <c r="E147" i="41"/>
  <c r="D147" i="41"/>
  <c r="C147" i="41"/>
  <c r="O146" i="41"/>
  <c r="N146" i="41"/>
  <c r="M146" i="41"/>
  <c r="L146" i="41"/>
  <c r="H146" i="41"/>
  <c r="G146" i="41"/>
  <c r="F146" i="41"/>
  <c r="E146" i="41"/>
  <c r="D146" i="41"/>
  <c r="C146" i="41"/>
  <c r="O145" i="41"/>
  <c r="N145" i="41"/>
  <c r="M145" i="41"/>
  <c r="L145" i="41"/>
  <c r="F145" i="41"/>
  <c r="E145" i="41"/>
  <c r="D145" i="41"/>
  <c r="C145" i="41"/>
  <c r="O144" i="41"/>
  <c r="N144" i="41"/>
  <c r="M144" i="41"/>
  <c r="L144" i="41"/>
  <c r="F144" i="41"/>
  <c r="E144" i="41"/>
  <c r="D144" i="41"/>
  <c r="C144" i="41"/>
  <c r="Q142" i="41"/>
  <c r="O142" i="41"/>
  <c r="N142" i="41"/>
  <c r="M142" i="41"/>
  <c r="L142" i="41"/>
  <c r="H142" i="41"/>
  <c r="G142" i="41"/>
  <c r="F142" i="41"/>
  <c r="E142" i="41"/>
  <c r="D142" i="41"/>
  <c r="C142" i="41"/>
  <c r="Q141" i="41"/>
  <c r="O141" i="41"/>
  <c r="N141" i="41"/>
  <c r="M141" i="41"/>
  <c r="L141" i="41"/>
  <c r="H141" i="41"/>
  <c r="G141" i="41"/>
  <c r="F141" i="41"/>
  <c r="E141" i="41"/>
  <c r="D141" i="41"/>
  <c r="C141" i="41"/>
  <c r="Q140" i="41"/>
  <c r="O140" i="41"/>
  <c r="N140" i="41"/>
  <c r="M140" i="41"/>
  <c r="L140" i="41"/>
  <c r="H140" i="41"/>
  <c r="G140" i="41"/>
  <c r="F140" i="41"/>
  <c r="E140" i="41"/>
  <c r="D140" i="41"/>
  <c r="C140" i="41"/>
  <c r="Q139" i="41"/>
  <c r="O139" i="41"/>
  <c r="N139" i="41"/>
  <c r="M139" i="41"/>
  <c r="L139" i="41"/>
  <c r="G139" i="41"/>
  <c r="F139" i="41"/>
  <c r="E139" i="41"/>
  <c r="D139" i="41"/>
  <c r="C139" i="41"/>
  <c r="Q138" i="41"/>
  <c r="O138" i="41"/>
  <c r="N138" i="41"/>
  <c r="M138" i="41"/>
  <c r="L138" i="41"/>
  <c r="H138" i="41"/>
  <c r="G138" i="41"/>
  <c r="F138" i="41"/>
  <c r="E138" i="41"/>
  <c r="D138" i="41"/>
  <c r="C138" i="41"/>
  <c r="O137" i="41"/>
  <c r="N137" i="41"/>
  <c r="M137" i="41"/>
  <c r="L137" i="41"/>
  <c r="F137" i="41"/>
  <c r="E137" i="41"/>
  <c r="D137" i="41"/>
  <c r="C137" i="41"/>
  <c r="O136" i="41"/>
  <c r="N136" i="41"/>
  <c r="M136" i="41"/>
  <c r="L136" i="41"/>
  <c r="F136" i="41"/>
  <c r="E136" i="41"/>
  <c r="D136" i="41"/>
  <c r="C136" i="41"/>
  <c r="O135" i="41"/>
  <c r="N135" i="41"/>
  <c r="M135" i="41"/>
  <c r="L135" i="41"/>
  <c r="G135" i="41"/>
  <c r="F135" i="41"/>
  <c r="E135" i="41"/>
  <c r="D135" i="41"/>
  <c r="C135" i="41"/>
  <c r="Q134" i="41"/>
  <c r="P134" i="41"/>
  <c r="O134" i="41"/>
  <c r="N134" i="41"/>
  <c r="M134" i="41"/>
  <c r="L134" i="41"/>
  <c r="H134" i="41"/>
  <c r="F134" i="41"/>
  <c r="E134" i="41"/>
  <c r="D134" i="41"/>
  <c r="C134" i="41"/>
  <c r="O133" i="41"/>
  <c r="N133" i="41"/>
  <c r="M133" i="41"/>
  <c r="L133" i="41"/>
  <c r="H133" i="41"/>
  <c r="G133" i="41"/>
  <c r="F133" i="41"/>
  <c r="E133" i="41"/>
  <c r="D133" i="41"/>
  <c r="C133" i="41"/>
  <c r="O132" i="41"/>
  <c r="N132" i="41"/>
  <c r="M132" i="41"/>
  <c r="L132" i="41"/>
  <c r="H132" i="41"/>
  <c r="G132" i="41"/>
  <c r="F132" i="41"/>
  <c r="E132" i="41"/>
  <c r="D132" i="41"/>
  <c r="C132" i="41"/>
  <c r="O131" i="41"/>
  <c r="N131" i="41"/>
  <c r="M131" i="41"/>
  <c r="L131" i="41"/>
  <c r="F131" i="41"/>
  <c r="E131" i="41"/>
  <c r="D131" i="41"/>
  <c r="C131" i="41"/>
  <c r="L129" i="41"/>
  <c r="C129" i="41"/>
  <c r="J128" i="41"/>
  <c r="T124" i="41"/>
  <c r="M124" i="41"/>
  <c r="F124" i="41"/>
  <c r="T123" i="41"/>
  <c r="P249" i="41" s="1"/>
  <c r="M123" i="41"/>
  <c r="F123" i="41"/>
  <c r="P247" i="41" s="1"/>
  <c r="T122" i="41"/>
  <c r="P236" i="41" s="1"/>
  <c r="M122" i="41"/>
  <c r="F122" i="41"/>
  <c r="P234" i="41" s="1"/>
  <c r="T121" i="41"/>
  <c r="M121" i="41"/>
  <c r="F121" i="41"/>
  <c r="S120" i="41"/>
  <c r="R120" i="41"/>
  <c r="Q120" i="41"/>
  <c r="L120" i="41"/>
  <c r="K120" i="41"/>
  <c r="J120" i="41"/>
  <c r="E120" i="41"/>
  <c r="D120" i="41"/>
  <c r="C120" i="41"/>
  <c r="P119" i="41"/>
  <c r="T118" i="41"/>
  <c r="G262" i="41" s="1"/>
  <c r="M118" i="41"/>
  <c r="F118" i="41"/>
  <c r="G260" i="41" s="1"/>
  <c r="T117" i="41"/>
  <c r="G249" i="41" s="1"/>
  <c r="M117" i="41"/>
  <c r="F117" i="41"/>
  <c r="G247" i="41" s="1"/>
  <c r="T116" i="41"/>
  <c r="G236" i="41" s="1"/>
  <c r="M116" i="41"/>
  <c r="G235" i="41" s="1"/>
  <c r="F116" i="41"/>
  <c r="G234" i="41" s="1"/>
  <c r="T115" i="41"/>
  <c r="G223" i="41" s="1"/>
  <c r="M115" i="41"/>
  <c r="G222" i="41" s="1"/>
  <c r="F115" i="41"/>
  <c r="G221" i="41" s="1"/>
  <c r="S114" i="41"/>
  <c r="R114" i="41"/>
  <c r="Q114" i="41"/>
  <c r="L114" i="41"/>
  <c r="K114" i="41"/>
  <c r="J114" i="41"/>
  <c r="E114" i="41"/>
  <c r="D114" i="41"/>
  <c r="C114" i="41"/>
  <c r="P113" i="41"/>
  <c r="T112" i="41"/>
  <c r="P207" i="41" s="1"/>
  <c r="M112" i="41"/>
  <c r="P206" i="41" s="1"/>
  <c r="F112" i="41"/>
  <c r="T111" i="41"/>
  <c r="M111" i="41"/>
  <c r="P193" i="41" s="1"/>
  <c r="F111" i="41"/>
  <c r="T110" i="41"/>
  <c r="M110" i="41"/>
  <c r="P180" i="41" s="1"/>
  <c r="F110" i="41"/>
  <c r="P179" i="41" s="1"/>
  <c r="T109" i="41"/>
  <c r="P168" i="41" s="1"/>
  <c r="M109" i="41"/>
  <c r="P167" i="41" s="1"/>
  <c r="F109" i="41"/>
  <c r="T108" i="41"/>
  <c r="M108" i="41"/>
  <c r="P154" i="41" s="1"/>
  <c r="F108" i="41"/>
  <c r="T107" i="41"/>
  <c r="P142" i="41" s="1"/>
  <c r="M107" i="41"/>
  <c r="P141" i="41" s="1"/>
  <c r="F107" i="41"/>
  <c r="P140" i="41" s="1"/>
  <c r="S106" i="41"/>
  <c r="R106" i="41"/>
  <c r="Q106" i="41"/>
  <c r="L106" i="41"/>
  <c r="K106" i="41"/>
  <c r="J106" i="41"/>
  <c r="E106" i="41"/>
  <c r="D106" i="41"/>
  <c r="C106" i="41"/>
  <c r="P105" i="41"/>
  <c r="I105" i="41"/>
  <c r="T104" i="41"/>
  <c r="M104" i="41"/>
  <c r="F104" i="41"/>
  <c r="G205" i="41" s="1"/>
  <c r="T103" i="41"/>
  <c r="G194" i="41" s="1"/>
  <c r="M103" i="41"/>
  <c r="G193" i="41" s="1"/>
  <c r="F103" i="41"/>
  <c r="G192" i="41" s="1"/>
  <c r="T102" i="41"/>
  <c r="G181" i="41" s="1"/>
  <c r="M102" i="41"/>
  <c r="F102" i="41"/>
  <c r="T101" i="41"/>
  <c r="M101" i="41"/>
  <c r="G167" i="41" s="1"/>
  <c r="F101" i="41"/>
  <c r="G166" i="41" s="1"/>
  <c r="T100" i="41"/>
  <c r="G155" i="41" s="1"/>
  <c r="M100" i="41"/>
  <c r="G154" i="41" s="1"/>
  <c r="F100" i="41"/>
  <c r="G153" i="41" s="1"/>
  <c r="T99" i="41"/>
  <c r="M99" i="41"/>
  <c r="F99" i="41"/>
  <c r="P97" i="41"/>
  <c r="I97" i="41"/>
  <c r="U93" i="41"/>
  <c r="Q259" i="41" s="1"/>
  <c r="T93" i="41"/>
  <c r="N93" i="41"/>
  <c r="Q258" i="41" s="1"/>
  <c r="M93" i="41"/>
  <c r="G93" i="41"/>
  <c r="F93" i="41"/>
  <c r="U92" i="41"/>
  <c r="Q246" i="41" s="1"/>
  <c r="T92" i="41"/>
  <c r="P246" i="41" s="1"/>
  <c r="N92" i="41"/>
  <c r="Q245" i="41" s="1"/>
  <c r="M92" i="41"/>
  <c r="P245" i="41" s="1"/>
  <c r="G92" i="41"/>
  <c r="Q244" i="41" s="1"/>
  <c r="F92" i="41"/>
  <c r="U91" i="41"/>
  <c r="T91" i="41"/>
  <c r="N91" i="41"/>
  <c r="M91" i="41"/>
  <c r="P232" i="41" s="1"/>
  <c r="G91" i="41"/>
  <c r="Q231" i="41" s="1"/>
  <c r="F91" i="41"/>
  <c r="P231" i="41" s="1"/>
  <c r="U90" i="41"/>
  <c r="Q220" i="41" s="1"/>
  <c r="T90" i="41"/>
  <c r="P220" i="41" s="1"/>
  <c r="N90" i="41"/>
  <c r="M90" i="41"/>
  <c r="G90" i="41"/>
  <c r="F90" i="41"/>
  <c r="S89" i="41"/>
  <c r="R89" i="41"/>
  <c r="Q89" i="41"/>
  <c r="L89" i="41"/>
  <c r="K89" i="41"/>
  <c r="J89" i="41"/>
  <c r="E89" i="41"/>
  <c r="D89" i="41"/>
  <c r="C89" i="41"/>
  <c r="P88" i="41"/>
  <c r="T87" i="41"/>
  <c r="N87" i="41"/>
  <c r="H258" i="41" s="1"/>
  <c r="M87" i="41"/>
  <c r="G258" i="41" s="1"/>
  <c r="G87" i="41"/>
  <c r="F87" i="41"/>
  <c r="G257" i="41" s="1"/>
  <c r="T86" i="41"/>
  <c r="G246" i="41" s="1"/>
  <c r="N86" i="41"/>
  <c r="H245" i="41" s="1"/>
  <c r="M86" i="41"/>
  <c r="G245" i="41" s="1"/>
  <c r="G86" i="41"/>
  <c r="H244" i="41" s="1"/>
  <c r="F86" i="41"/>
  <c r="G244" i="41" s="1"/>
  <c r="T85" i="41"/>
  <c r="N85" i="41"/>
  <c r="H232" i="41" s="1"/>
  <c r="M85" i="41"/>
  <c r="G232" i="41" s="1"/>
  <c r="G85" i="41"/>
  <c r="H231" i="41" s="1"/>
  <c r="F85" i="41"/>
  <c r="G231" i="41" s="1"/>
  <c r="T84" i="41"/>
  <c r="N84" i="41"/>
  <c r="H219" i="41" s="1"/>
  <c r="M84" i="41"/>
  <c r="G219" i="41" s="1"/>
  <c r="G84" i="41"/>
  <c r="F84" i="41"/>
  <c r="S83" i="41"/>
  <c r="R83" i="41"/>
  <c r="Q83" i="41"/>
  <c r="L83" i="41"/>
  <c r="K83" i="41"/>
  <c r="J83" i="41"/>
  <c r="E83" i="41"/>
  <c r="D83" i="41"/>
  <c r="C83" i="41"/>
  <c r="P82" i="41"/>
  <c r="T81" i="41"/>
  <c r="P204" i="41" s="1"/>
  <c r="N81" i="41"/>
  <c r="Q203" i="41" s="1"/>
  <c r="M81" i="41"/>
  <c r="G81" i="41"/>
  <c r="Q202" i="41" s="1"/>
  <c r="F81" i="41"/>
  <c r="P202" i="41" s="1"/>
  <c r="U80" i="41"/>
  <c r="Q191" i="41" s="1"/>
  <c r="T80" i="41"/>
  <c r="P191" i="41" s="1"/>
  <c r="N80" i="41"/>
  <c r="Q190" i="41" s="1"/>
  <c r="M80" i="41"/>
  <c r="P190" i="41" s="1"/>
  <c r="G80" i="41"/>
  <c r="Q189" i="41" s="1"/>
  <c r="F80" i="41"/>
  <c r="P189" i="41" s="1"/>
  <c r="U79" i="41"/>
  <c r="Q178" i="41" s="1"/>
  <c r="T79" i="41"/>
  <c r="P178" i="41" s="1"/>
  <c r="N79" i="41"/>
  <c r="M79" i="41"/>
  <c r="G79" i="41"/>
  <c r="Q176" i="41" s="1"/>
  <c r="F79" i="41"/>
  <c r="P176" i="41" s="1"/>
  <c r="U78" i="41"/>
  <c r="Q165" i="41" s="1"/>
  <c r="T78" i="41"/>
  <c r="P165" i="41" s="1"/>
  <c r="N78" i="41"/>
  <c r="M78" i="41"/>
  <c r="G78" i="41"/>
  <c r="Q163" i="41" s="1"/>
  <c r="F78" i="41"/>
  <c r="P163" i="41" s="1"/>
  <c r="U77" i="41"/>
  <c r="Q152" i="41" s="1"/>
  <c r="T77" i="41"/>
  <c r="P152" i="41" s="1"/>
  <c r="N77" i="41"/>
  <c r="Q151" i="41" s="1"/>
  <c r="M77" i="41"/>
  <c r="P151" i="41" s="1"/>
  <c r="G77" i="41"/>
  <c r="Q150" i="41" s="1"/>
  <c r="F77" i="41"/>
  <c r="P150" i="41" s="1"/>
  <c r="T76" i="41"/>
  <c r="P139" i="41" s="1"/>
  <c r="N76" i="41"/>
  <c r="M76" i="41"/>
  <c r="P138" i="41" s="1"/>
  <c r="G76" i="41"/>
  <c r="Q137" i="41" s="1"/>
  <c r="F76" i="41"/>
  <c r="P137" i="41" s="1"/>
  <c r="S75" i="41"/>
  <c r="R75" i="41"/>
  <c r="Q75" i="41"/>
  <c r="L75" i="41"/>
  <c r="K75" i="41"/>
  <c r="J75" i="41"/>
  <c r="E75" i="41"/>
  <c r="D75" i="41"/>
  <c r="C75" i="41"/>
  <c r="P74" i="41"/>
  <c r="I74" i="41"/>
  <c r="U73" i="41"/>
  <c r="T73" i="41"/>
  <c r="N73" i="41"/>
  <c r="H203" i="41" s="1"/>
  <c r="M73" i="41"/>
  <c r="G203" i="41" s="1"/>
  <c r="G73" i="41"/>
  <c r="H202" i="41" s="1"/>
  <c r="F73" i="41"/>
  <c r="U72" i="41"/>
  <c r="T72" i="41"/>
  <c r="N72" i="41"/>
  <c r="M72" i="41"/>
  <c r="G190" i="41" s="1"/>
  <c r="G72" i="41"/>
  <c r="H189" i="41" s="1"/>
  <c r="F72" i="41"/>
  <c r="G189" i="41" s="1"/>
  <c r="U71" i="41"/>
  <c r="H178" i="41" s="1"/>
  <c r="T71" i="41"/>
  <c r="G178" i="41" s="1"/>
  <c r="N71" i="41"/>
  <c r="M71" i="41"/>
  <c r="G71" i="41"/>
  <c r="F71" i="41"/>
  <c r="U70" i="41"/>
  <c r="H165" i="41" s="1"/>
  <c r="T70" i="41"/>
  <c r="G165" i="41" s="1"/>
  <c r="N70" i="41"/>
  <c r="H164" i="41" s="1"/>
  <c r="M70" i="41"/>
  <c r="G164" i="41" s="1"/>
  <c r="G70" i="41"/>
  <c r="F70" i="41"/>
  <c r="U69" i="41"/>
  <c r="T69" i="41"/>
  <c r="G152" i="41" s="1"/>
  <c r="N69" i="41"/>
  <c r="H151" i="41" s="1"/>
  <c r="M69" i="41"/>
  <c r="G151" i="41" s="1"/>
  <c r="G69" i="41"/>
  <c r="H150" i="41" s="1"/>
  <c r="F69" i="41"/>
  <c r="G150" i="41" s="1"/>
  <c r="U68" i="41"/>
  <c r="H139" i="41" s="1"/>
  <c r="T68" i="41"/>
  <c r="N68" i="41"/>
  <c r="M68" i="41"/>
  <c r="G68" i="41"/>
  <c r="H137" i="41" s="1"/>
  <c r="F68" i="41"/>
  <c r="G137" i="41" s="1"/>
  <c r="P66" i="41"/>
  <c r="I66" i="41"/>
  <c r="U62" i="41"/>
  <c r="Q256" i="41" s="1"/>
  <c r="T62" i="41"/>
  <c r="N62" i="41"/>
  <c r="M62" i="41"/>
  <c r="P255" i="41" s="1"/>
  <c r="G62" i="41"/>
  <c r="Q254" i="41" s="1"/>
  <c r="F62" i="41"/>
  <c r="P254" i="41" s="1"/>
  <c r="U61" i="41"/>
  <c r="T61" i="41"/>
  <c r="N61" i="41"/>
  <c r="Q242" i="41" s="1"/>
  <c r="M61" i="41"/>
  <c r="G61" i="41"/>
  <c r="F61" i="41"/>
  <c r="U60" i="41"/>
  <c r="Q230" i="41" s="1"/>
  <c r="T60" i="41"/>
  <c r="P230" i="41" s="1"/>
  <c r="N60" i="41"/>
  <c r="Q229" i="41" s="1"/>
  <c r="M60" i="41"/>
  <c r="G60" i="41"/>
  <c r="Q228" i="41" s="1"/>
  <c r="F60" i="41"/>
  <c r="U59" i="41"/>
  <c r="T59" i="41"/>
  <c r="P217" i="41" s="1"/>
  <c r="N59" i="41"/>
  <c r="Q216" i="41" s="1"/>
  <c r="M59" i="41"/>
  <c r="P216" i="41" s="1"/>
  <c r="G59" i="41"/>
  <c r="Q215" i="41" s="1"/>
  <c r="F59" i="41"/>
  <c r="P215" i="41" s="1"/>
  <c r="S58" i="41"/>
  <c r="R58" i="41"/>
  <c r="Q58" i="41"/>
  <c r="L58" i="41"/>
  <c r="K58" i="41"/>
  <c r="J58" i="41"/>
  <c r="E58" i="41"/>
  <c r="D58" i="41"/>
  <c r="C58" i="41"/>
  <c r="B57" i="41"/>
  <c r="I57" i="41" s="1"/>
  <c r="P57" i="41" s="1"/>
  <c r="U56" i="41"/>
  <c r="H256" i="41" s="1"/>
  <c r="T56" i="41"/>
  <c r="G256" i="41" s="1"/>
  <c r="N56" i="41"/>
  <c r="H255" i="41" s="1"/>
  <c r="M56" i="41"/>
  <c r="G255" i="41" s="1"/>
  <c r="G56" i="41"/>
  <c r="H254" i="41" s="1"/>
  <c r="F56" i="41"/>
  <c r="G254" i="41" s="1"/>
  <c r="U55" i="41"/>
  <c r="H243" i="41" s="1"/>
  <c r="T55" i="41"/>
  <c r="G243" i="41" s="1"/>
  <c r="N55" i="41"/>
  <c r="M55" i="41"/>
  <c r="G55" i="41"/>
  <c r="H241" i="41" s="1"/>
  <c r="F55" i="41"/>
  <c r="G241" i="41" s="1"/>
  <c r="U54" i="41"/>
  <c r="H230" i="41" s="1"/>
  <c r="T54" i="41"/>
  <c r="G230" i="41" s="1"/>
  <c r="N54" i="41"/>
  <c r="M54" i="41"/>
  <c r="G54" i="41"/>
  <c r="H228" i="41" s="1"/>
  <c r="F54" i="41"/>
  <c r="G228" i="41" s="1"/>
  <c r="U53" i="41"/>
  <c r="H217" i="41" s="1"/>
  <c r="T53" i="41"/>
  <c r="G217" i="41" s="1"/>
  <c r="N53" i="41"/>
  <c r="H216" i="41" s="1"/>
  <c r="M53" i="41"/>
  <c r="G53" i="41"/>
  <c r="H215" i="41" s="1"/>
  <c r="F53" i="41"/>
  <c r="G215" i="41" s="1"/>
  <c r="S52" i="41"/>
  <c r="R52" i="41"/>
  <c r="Q52" i="41"/>
  <c r="L52" i="41"/>
  <c r="K52" i="41"/>
  <c r="J52" i="41"/>
  <c r="E52" i="41"/>
  <c r="D52" i="41"/>
  <c r="C52" i="41"/>
  <c r="B51" i="41"/>
  <c r="I51" i="41" s="1"/>
  <c r="P51" i="41" s="1"/>
  <c r="U50" i="41"/>
  <c r="Q201" i="41" s="1"/>
  <c r="T50" i="41"/>
  <c r="N50" i="41"/>
  <c r="Q200" i="41" s="1"/>
  <c r="M50" i="41"/>
  <c r="P200" i="41" s="1"/>
  <c r="G50" i="41"/>
  <c r="Q199" i="41" s="1"/>
  <c r="F50" i="41"/>
  <c r="P199" i="41" s="1"/>
  <c r="U49" i="41"/>
  <c r="Q188" i="41" s="1"/>
  <c r="T49" i="41"/>
  <c r="P188" i="41" s="1"/>
  <c r="N49" i="41"/>
  <c r="Q187" i="41" s="1"/>
  <c r="M49" i="41"/>
  <c r="P187" i="41" s="1"/>
  <c r="G49" i="41"/>
  <c r="F49" i="41"/>
  <c r="U48" i="41"/>
  <c r="T48" i="41"/>
  <c r="N48" i="41"/>
  <c r="Q174" i="41" s="1"/>
  <c r="M48" i="41"/>
  <c r="P174" i="41" s="1"/>
  <c r="G48" i="41"/>
  <c r="Q173" i="41" s="1"/>
  <c r="F48" i="41"/>
  <c r="U47" i="41"/>
  <c r="T47" i="41"/>
  <c r="P162" i="41" s="1"/>
  <c r="N47" i="41"/>
  <c r="Q161" i="41" s="1"/>
  <c r="M47" i="41"/>
  <c r="P161" i="41" s="1"/>
  <c r="G47" i="41"/>
  <c r="Q160" i="41" s="1"/>
  <c r="F47" i="41"/>
  <c r="P160" i="41" s="1"/>
  <c r="U46" i="41"/>
  <c r="Q149" i="41" s="1"/>
  <c r="T46" i="41"/>
  <c r="N46" i="41"/>
  <c r="Q148" i="41" s="1"/>
  <c r="M46" i="41"/>
  <c r="P148" i="41" s="1"/>
  <c r="G46" i="41"/>
  <c r="F46" i="41"/>
  <c r="U45" i="41"/>
  <c r="Q136" i="41" s="1"/>
  <c r="T45" i="41"/>
  <c r="P136" i="41" s="1"/>
  <c r="N45" i="41"/>
  <c r="Q135" i="41" s="1"/>
  <c r="M45" i="41"/>
  <c r="P135" i="41" s="1"/>
  <c r="G45" i="41"/>
  <c r="F45" i="41"/>
  <c r="S44" i="41"/>
  <c r="R44" i="41"/>
  <c r="Q44" i="41"/>
  <c r="L44" i="41"/>
  <c r="K44" i="41"/>
  <c r="J44" i="41"/>
  <c r="E44" i="41"/>
  <c r="D44" i="41"/>
  <c r="C44" i="41"/>
  <c r="B43" i="41"/>
  <c r="I43" i="41" s="1"/>
  <c r="P43" i="41" s="1"/>
  <c r="U42" i="41"/>
  <c r="H201" i="41" s="1"/>
  <c r="T42" i="41"/>
  <c r="N42" i="41"/>
  <c r="M42" i="41"/>
  <c r="G42" i="41"/>
  <c r="F42" i="41"/>
  <c r="U41" i="41"/>
  <c r="H188" i="41" s="1"/>
  <c r="T41" i="41"/>
  <c r="N41" i="41"/>
  <c r="H187" i="41" s="1"/>
  <c r="M41" i="41"/>
  <c r="G41" i="41"/>
  <c r="F41" i="41"/>
  <c r="U40" i="41"/>
  <c r="H175" i="41" s="1"/>
  <c r="T40" i="41"/>
  <c r="G175" i="41" s="1"/>
  <c r="N40" i="41"/>
  <c r="H174" i="41" s="1"/>
  <c r="M40" i="41"/>
  <c r="G174" i="41" s="1"/>
  <c r="G40" i="41"/>
  <c r="H173" i="41" s="1"/>
  <c r="F40" i="41"/>
  <c r="U39" i="41"/>
  <c r="T39" i="41"/>
  <c r="G162" i="41" s="1"/>
  <c r="N39" i="41"/>
  <c r="H161" i="41" s="1"/>
  <c r="M39" i="41"/>
  <c r="G161" i="41" s="1"/>
  <c r="G39" i="41"/>
  <c r="H160" i="41" s="1"/>
  <c r="F39" i="41"/>
  <c r="U38" i="41"/>
  <c r="H149" i="41" s="1"/>
  <c r="T38" i="41"/>
  <c r="N38" i="41"/>
  <c r="M38" i="41"/>
  <c r="G38" i="41"/>
  <c r="H147" i="41" s="1"/>
  <c r="F38" i="41"/>
  <c r="G147" i="41" s="1"/>
  <c r="U37" i="41"/>
  <c r="H136" i="41" s="1"/>
  <c r="T37" i="41"/>
  <c r="G136" i="41" s="1"/>
  <c r="N37" i="41"/>
  <c r="H135" i="41" s="1"/>
  <c r="M37" i="41"/>
  <c r="G37" i="41"/>
  <c r="F37" i="41"/>
  <c r="G134" i="41" s="1"/>
  <c r="B35" i="41"/>
  <c r="I35" i="41" s="1"/>
  <c r="P35" i="41" s="1"/>
  <c r="U31" i="41"/>
  <c r="Q253" i="41" s="1"/>
  <c r="T31" i="41"/>
  <c r="P253" i="41" s="1"/>
  <c r="N31" i="41"/>
  <c r="M31" i="41"/>
  <c r="G31" i="41"/>
  <c r="F31" i="41"/>
  <c r="U30" i="41"/>
  <c r="T30" i="41"/>
  <c r="N30" i="41"/>
  <c r="Q239" i="41" s="1"/>
  <c r="M30" i="41"/>
  <c r="P239" i="41" s="1"/>
  <c r="G30" i="41"/>
  <c r="F30" i="41"/>
  <c r="U29" i="41"/>
  <c r="T29" i="41"/>
  <c r="N29" i="41"/>
  <c r="Q226" i="41" s="1"/>
  <c r="M29" i="41"/>
  <c r="P226" i="41" s="1"/>
  <c r="G29" i="41"/>
  <c r="Q225" i="41" s="1"/>
  <c r="F29" i="41"/>
  <c r="P225" i="41" s="1"/>
  <c r="U28" i="41"/>
  <c r="T28" i="41"/>
  <c r="N28" i="41"/>
  <c r="M28" i="41"/>
  <c r="G28" i="41"/>
  <c r="Q212" i="41" s="1"/>
  <c r="F28" i="41"/>
  <c r="P212" i="41" s="1"/>
  <c r="S27" i="41"/>
  <c r="R27" i="41"/>
  <c r="Q27" i="41"/>
  <c r="L27" i="41"/>
  <c r="K27" i="41"/>
  <c r="J27" i="41"/>
  <c r="E27" i="41"/>
  <c r="D27" i="41"/>
  <c r="C27" i="41"/>
  <c r="P26" i="41"/>
  <c r="I26" i="41"/>
  <c r="U25" i="41"/>
  <c r="T25" i="41"/>
  <c r="N25" i="41"/>
  <c r="H252" i="41" s="1"/>
  <c r="M25" i="41"/>
  <c r="G252" i="41" s="1"/>
  <c r="G25" i="41"/>
  <c r="H251" i="41" s="1"/>
  <c r="F25" i="41"/>
  <c r="G251" i="41" s="1"/>
  <c r="U24" i="41"/>
  <c r="H240" i="41" s="1"/>
  <c r="T24" i="41"/>
  <c r="N24" i="41"/>
  <c r="H239" i="41" s="1"/>
  <c r="M24" i="41"/>
  <c r="G239" i="41" s="1"/>
  <c r="G24" i="41"/>
  <c r="H238" i="41" s="1"/>
  <c r="F24" i="41"/>
  <c r="G238" i="41" s="1"/>
  <c r="U23" i="41"/>
  <c r="H227" i="41" s="1"/>
  <c r="T23" i="41"/>
  <c r="G227" i="41" s="1"/>
  <c r="N23" i="41"/>
  <c r="H226" i="41" s="1"/>
  <c r="M23" i="41"/>
  <c r="G226" i="41" s="1"/>
  <c r="G23" i="41"/>
  <c r="F23" i="41"/>
  <c r="G225" i="41" s="1"/>
  <c r="U22" i="41"/>
  <c r="H214" i="41" s="1"/>
  <c r="T22" i="41"/>
  <c r="G214" i="41" s="1"/>
  <c r="N22" i="41"/>
  <c r="H213" i="41" s="1"/>
  <c r="M22" i="41"/>
  <c r="G213" i="41" s="1"/>
  <c r="G22" i="41"/>
  <c r="H212" i="41" s="1"/>
  <c r="F22" i="41"/>
  <c r="S21" i="41"/>
  <c r="R21" i="41"/>
  <c r="Q21" i="41"/>
  <c r="L21" i="41"/>
  <c r="K21" i="41"/>
  <c r="J21" i="41"/>
  <c r="E21" i="41"/>
  <c r="D21" i="41"/>
  <c r="C21" i="41"/>
  <c r="P20" i="41"/>
  <c r="I20" i="41"/>
  <c r="U19" i="41"/>
  <c r="Q198" i="41" s="1"/>
  <c r="T19" i="41"/>
  <c r="P198" i="41" s="1"/>
  <c r="N19" i="41"/>
  <c r="Q197" i="41" s="1"/>
  <c r="M19" i="41"/>
  <c r="P197" i="41" s="1"/>
  <c r="G19" i="41"/>
  <c r="Q196" i="41" s="1"/>
  <c r="F19" i="41"/>
  <c r="P196" i="41" s="1"/>
  <c r="U18" i="41"/>
  <c r="Q185" i="41" s="1"/>
  <c r="T18" i="41"/>
  <c r="P185" i="41" s="1"/>
  <c r="N18" i="41"/>
  <c r="Q184" i="41" s="1"/>
  <c r="M18" i="41"/>
  <c r="P184" i="41" s="1"/>
  <c r="G18" i="41"/>
  <c r="Q183" i="41" s="1"/>
  <c r="F18" i="41"/>
  <c r="P183" i="41" s="1"/>
  <c r="U17" i="41"/>
  <c r="Q172" i="41" s="1"/>
  <c r="T17" i="41"/>
  <c r="P172" i="41" s="1"/>
  <c r="N17" i="41"/>
  <c r="Q171" i="41" s="1"/>
  <c r="M17" i="41"/>
  <c r="P171" i="41" s="1"/>
  <c r="G17" i="41"/>
  <c r="Q170" i="41" s="1"/>
  <c r="F17" i="41"/>
  <c r="P170" i="41" s="1"/>
  <c r="U16" i="41"/>
  <c r="Q159" i="41" s="1"/>
  <c r="T16" i="41"/>
  <c r="P159" i="41" s="1"/>
  <c r="N16" i="41"/>
  <c r="M16" i="41"/>
  <c r="G16" i="41"/>
  <c r="Q157" i="41" s="1"/>
  <c r="F16" i="41"/>
  <c r="P157" i="41" s="1"/>
  <c r="U15" i="41"/>
  <c r="Q146" i="41" s="1"/>
  <c r="T15" i="41"/>
  <c r="P146" i="41" s="1"/>
  <c r="N15" i="41"/>
  <c r="Q145" i="41" s="1"/>
  <c r="M15" i="41"/>
  <c r="P145" i="41" s="1"/>
  <c r="G15" i="41"/>
  <c r="Q144" i="41" s="1"/>
  <c r="F15" i="41"/>
  <c r="P144" i="41" s="1"/>
  <c r="U14" i="41"/>
  <c r="Q133" i="41" s="1"/>
  <c r="T14" i="41"/>
  <c r="P133" i="41" s="1"/>
  <c r="N14" i="41"/>
  <c r="Q132" i="41" s="1"/>
  <c r="M14" i="41"/>
  <c r="P132" i="41" s="1"/>
  <c r="G14" i="41"/>
  <c r="Q131" i="41" s="1"/>
  <c r="F14" i="41"/>
  <c r="P131" i="41" s="1"/>
  <c r="S13" i="41"/>
  <c r="R13" i="41"/>
  <c r="Q13" i="41"/>
  <c r="L13" i="41"/>
  <c r="K13" i="41"/>
  <c r="J13" i="41"/>
  <c r="E13" i="41"/>
  <c r="D13" i="41"/>
  <c r="C13" i="41"/>
  <c r="P12" i="41"/>
  <c r="I12" i="41"/>
  <c r="U11" i="41"/>
  <c r="H198" i="41" s="1"/>
  <c r="T11" i="41"/>
  <c r="G198" i="41" s="1"/>
  <c r="M11" i="41"/>
  <c r="G197" i="41" s="1"/>
  <c r="G11" i="41"/>
  <c r="H196" i="41" s="1"/>
  <c r="F11" i="41"/>
  <c r="G196" i="41" s="1"/>
  <c r="U10" i="41"/>
  <c r="T10" i="41"/>
  <c r="N10" i="41"/>
  <c r="H184" i="41" s="1"/>
  <c r="M10" i="41"/>
  <c r="G184" i="41" s="1"/>
  <c r="G10" i="41"/>
  <c r="H183" i="41" s="1"/>
  <c r="F10" i="41"/>
  <c r="G183" i="41" s="1"/>
  <c r="U9" i="41"/>
  <c r="H172" i="41" s="1"/>
  <c r="T9" i="41"/>
  <c r="G172" i="41" s="1"/>
  <c r="N9" i="41"/>
  <c r="M9" i="41"/>
  <c r="G9" i="41"/>
  <c r="H170" i="41" s="1"/>
  <c r="F9" i="41"/>
  <c r="G170" i="41" s="1"/>
  <c r="U8" i="41"/>
  <c r="T8" i="41"/>
  <c r="G159" i="41" s="1"/>
  <c r="N8" i="41"/>
  <c r="H158" i="41" s="1"/>
  <c r="M8" i="41"/>
  <c r="G158" i="41" s="1"/>
  <c r="G8" i="41"/>
  <c r="F8" i="41"/>
  <c r="U7" i="41"/>
  <c r="T7" i="41"/>
  <c r="N7" i="41"/>
  <c r="H145" i="41" s="1"/>
  <c r="M7" i="41"/>
  <c r="G145" i="41" s="1"/>
  <c r="G7" i="41"/>
  <c r="H144" i="41" s="1"/>
  <c r="F7" i="41"/>
  <c r="G144" i="41" s="1"/>
  <c r="U6" i="41"/>
  <c r="T6" i="41"/>
  <c r="N6" i="41"/>
  <c r="M6" i="41"/>
  <c r="G6" i="41"/>
  <c r="H131" i="41" s="1"/>
  <c r="F6" i="41"/>
  <c r="G131" i="41" s="1"/>
  <c r="P4" i="41"/>
  <c r="I4" i="41"/>
  <c r="C209" i="33"/>
  <c r="B148" i="43" l="1"/>
  <c r="G150" i="43"/>
  <c r="I144" i="43"/>
  <c r="C134" i="43"/>
  <c r="E132" i="43"/>
  <c r="C130" i="43"/>
  <c r="D130" i="43" s="1"/>
  <c r="A129" i="43"/>
  <c r="C126" i="43"/>
  <c r="D126" i="43" s="1"/>
  <c r="E135" i="43"/>
  <c r="B134" i="43"/>
  <c r="D132" i="43"/>
  <c r="B130" i="43"/>
  <c r="E130" i="43" s="1"/>
  <c r="G128" i="43"/>
  <c r="B126" i="43"/>
  <c r="D135" i="43"/>
  <c r="A134" i="43"/>
  <c r="C132" i="43"/>
  <c r="A130" i="43"/>
  <c r="C127" i="43"/>
  <c r="D127" i="43" s="1"/>
  <c r="A126" i="43"/>
  <c r="C135" i="43"/>
  <c r="E133" i="43"/>
  <c r="B132" i="43"/>
  <c r="G129" i="43"/>
  <c r="B127" i="43"/>
  <c r="E127" i="43" s="1"/>
  <c r="A132" i="43"/>
  <c r="B135" i="43"/>
  <c r="D133" i="43"/>
  <c r="C128" i="43"/>
  <c r="D128" i="43" s="1"/>
  <c r="A127" i="43"/>
  <c r="A135" i="43"/>
  <c r="C133" i="43"/>
  <c r="G130" i="43"/>
  <c r="B128" i="43"/>
  <c r="G126" i="43"/>
  <c r="E134" i="43"/>
  <c r="B133" i="43"/>
  <c r="C129" i="43"/>
  <c r="D129" i="43" s="1"/>
  <c r="A128" i="43"/>
  <c r="D134" i="43"/>
  <c r="A133" i="43"/>
  <c r="B129" i="43"/>
  <c r="G127" i="43"/>
  <c r="A410" i="42"/>
  <c r="A373" i="42" s="1"/>
  <c r="B373" i="42"/>
  <c r="O310" i="42"/>
  <c r="O311" i="42"/>
  <c r="U143" i="42"/>
  <c r="W364" i="42" s="1"/>
  <c r="G302" i="42"/>
  <c r="O302" i="42"/>
  <c r="O281" i="42"/>
  <c r="B265" i="41"/>
  <c r="A311" i="41"/>
  <c r="L160" i="43" l="1"/>
  <c r="C160" i="43"/>
  <c r="D160" i="43" s="1"/>
  <c r="C157" i="43"/>
  <c r="D157" i="43" s="1"/>
  <c r="C159" i="43"/>
  <c r="D159" i="43" s="1"/>
  <c r="C156" i="43"/>
  <c r="D156" i="43" s="1"/>
  <c r="J157" i="43"/>
  <c r="J156" i="43"/>
  <c r="J160" i="43"/>
  <c r="J158" i="43"/>
  <c r="C158" i="43"/>
  <c r="D158" i="43" s="1"/>
  <c r="J159" i="43"/>
  <c r="G152" i="43"/>
  <c r="B140" i="43"/>
  <c r="B138" i="43"/>
  <c r="C139" i="43" s="1"/>
  <c r="G140" i="43"/>
  <c r="D140" i="43"/>
  <c r="B144" i="43"/>
  <c r="D150" i="43"/>
  <c r="G138" i="43"/>
  <c r="B150" i="43"/>
  <c r="D152" i="43"/>
  <c r="B152" i="43"/>
  <c r="B142" i="43"/>
  <c r="D138" i="43"/>
  <c r="I140" i="43"/>
  <c r="D144" i="43"/>
  <c r="D142" i="43"/>
  <c r="E126" i="43"/>
  <c r="I142" i="43" s="1"/>
  <c r="G146" i="43"/>
  <c r="I146" i="43"/>
  <c r="D146" i="43"/>
  <c r="D148" i="43"/>
  <c r="G148" i="43"/>
  <c r="E128" i="43"/>
  <c r="L157" i="43" s="1"/>
  <c r="G142" i="43"/>
  <c r="H143" i="43" s="1"/>
  <c r="E129" i="43"/>
  <c r="I152" i="43" s="1"/>
  <c r="G144" i="43"/>
  <c r="B146" i="43"/>
  <c r="H373" i="42"/>
  <c r="C375" i="42"/>
  <c r="I375" i="42" s="1"/>
  <c r="O375" i="42" s="1"/>
  <c r="D375" i="42"/>
  <c r="J375" i="42" s="1"/>
  <c r="P375" i="42" s="1"/>
  <c r="B375" i="42"/>
  <c r="H375" i="42" s="1"/>
  <c r="N375" i="42" s="1"/>
  <c r="C378" i="42"/>
  <c r="E376" i="42"/>
  <c r="B378" i="42"/>
  <c r="E377" i="42"/>
  <c r="D376" i="42"/>
  <c r="E380" i="42"/>
  <c r="A378" i="42"/>
  <c r="D377" i="42"/>
  <c r="C376" i="42"/>
  <c r="D382" i="42"/>
  <c r="D381" i="42"/>
  <c r="C380" i="42"/>
  <c r="D379" i="42"/>
  <c r="B377" i="42"/>
  <c r="A376" i="42"/>
  <c r="C382" i="42"/>
  <c r="C381" i="42"/>
  <c r="B380" i="42"/>
  <c r="C379" i="42"/>
  <c r="C377" i="42"/>
  <c r="G373" i="42"/>
  <c r="E382" i="42"/>
  <c r="E381" i="42"/>
  <c r="D380" i="42"/>
  <c r="E379" i="42"/>
  <c r="B382" i="42"/>
  <c r="B381" i="42"/>
  <c r="A380" i="42"/>
  <c r="B379" i="42"/>
  <c r="A382" i="42"/>
  <c r="A381" i="42"/>
  <c r="A379" i="42"/>
  <c r="E378" i="42"/>
  <c r="D378" i="42"/>
  <c r="S373" i="42"/>
  <c r="B376" i="42"/>
  <c r="S386" i="42" s="1"/>
  <c r="U377" i="42" s="1"/>
  <c r="N390" i="42" s="1"/>
  <c r="A377" i="42"/>
  <c r="A265" i="41"/>
  <c r="N298" i="41"/>
  <c r="N311" i="41" s="1"/>
  <c r="D268" i="41"/>
  <c r="D276" i="41" s="1"/>
  <c r="D284" i="41" s="1"/>
  <c r="D290" i="41" s="1"/>
  <c r="C268" i="41"/>
  <c r="C276" i="41" s="1"/>
  <c r="C284" i="41" s="1"/>
  <c r="C290" i="41" s="1"/>
  <c r="B268" i="41"/>
  <c r="B276" i="41" s="1"/>
  <c r="B284" i="41" s="1"/>
  <c r="B290" i="41" s="1"/>
  <c r="H151" i="43" l="1"/>
  <c r="I138" i="43"/>
  <c r="H139" i="43" s="1"/>
  <c r="C151" i="43"/>
  <c r="I156" i="43"/>
  <c r="H156" i="43"/>
  <c r="C147" i="43"/>
  <c r="I148" i="43"/>
  <c r="H147" i="43" s="1"/>
  <c r="L156" i="43"/>
  <c r="L159" i="43"/>
  <c r="L158" i="43"/>
  <c r="I159" i="43"/>
  <c r="H159" i="43"/>
  <c r="I160" i="43"/>
  <c r="H160" i="43"/>
  <c r="I158" i="43"/>
  <c r="H158" i="43"/>
  <c r="I157" i="43"/>
  <c r="H157" i="43"/>
  <c r="I150" i="43"/>
  <c r="C143" i="43"/>
  <c r="W378" i="42"/>
  <c r="O391" i="42" s="1"/>
  <c r="W379" i="42"/>
  <c r="O392" i="42" s="1"/>
  <c r="W377" i="42"/>
  <c r="O390" i="42" s="1"/>
  <c r="T381" i="42" s="1"/>
  <c r="I382" i="42"/>
  <c r="I381" i="42"/>
  <c r="H380" i="42"/>
  <c r="I379" i="42"/>
  <c r="G377" i="42"/>
  <c r="H382" i="42"/>
  <c r="H381" i="42"/>
  <c r="G380" i="42"/>
  <c r="H379" i="42"/>
  <c r="K378" i="42"/>
  <c r="M373" i="42"/>
  <c r="G382" i="42"/>
  <c r="G381" i="42"/>
  <c r="G379" i="42"/>
  <c r="J378" i="42"/>
  <c r="H378" i="42"/>
  <c r="K377" i="42"/>
  <c r="J376" i="42"/>
  <c r="I378" i="42"/>
  <c r="K382" i="42"/>
  <c r="K379" i="42"/>
  <c r="J382" i="42"/>
  <c r="I380" i="42"/>
  <c r="J379" i="42"/>
  <c r="G378" i="42"/>
  <c r="K376" i="42"/>
  <c r="J377" i="42"/>
  <c r="I376" i="42"/>
  <c r="I377" i="42"/>
  <c r="H376" i="42"/>
  <c r="K380" i="42"/>
  <c r="H377" i="42"/>
  <c r="G376" i="42"/>
  <c r="K381" i="42"/>
  <c r="J380" i="42"/>
  <c r="J381" i="42"/>
  <c r="N373" i="42"/>
  <c r="T373" i="42"/>
  <c r="F294" i="41"/>
  <c r="D293" i="41"/>
  <c r="B292" i="41"/>
  <c r="B288" i="41"/>
  <c r="F286" i="41"/>
  <c r="D285" i="41"/>
  <c r="F282" i="41"/>
  <c r="D281" i="41"/>
  <c r="B280" i="41"/>
  <c r="F278" i="41"/>
  <c r="D277" i="41"/>
  <c r="E273" i="41"/>
  <c r="A271" i="41"/>
  <c r="B270" i="41"/>
  <c r="E269" i="41"/>
  <c r="E294" i="41"/>
  <c r="C293" i="41"/>
  <c r="A292" i="41"/>
  <c r="A288" i="41"/>
  <c r="E286" i="41"/>
  <c r="C285" i="41"/>
  <c r="E282" i="41"/>
  <c r="C281" i="41"/>
  <c r="A280" i="41"/>
  <c r="E278" i="41"/>
  <c r="C277" i="41"/>
  <c r="F274" i="41"/>
  <c r="D273" i="41"/>
  <c r="A270" i="41"/>
  <c r="D269" i="41"/>
  <c r="D294" i="41"/>
  <c r="B293" i="41"/>
  <c r="A294" i="41"/>
  <c r="F291" i="41"/>
  <c r="F288" i="41"/>
  <c r="B287" i="41"/>
  <c r="B285" i="41"/>
  <c r="I266" i="41" s="1"/>
  <c r="N269" i="41" s="1"/>
  <c r="O269" i="41" s="1"/>
  <c r="K26" i="9" s="1"/>
  <c r="B282" i="41"/>
  <c r="D280" i="41"/>
  <c r="D278" i="41"/>
  <c r="A274" i="41"/>
  <c r="F272" i="41"/>
  <c r="E271" i="41"/>
  <c r="D270" i="41"/>
  <c r="C269" i="41"/>
  <c r="F292" i="41"/>
  <c r="B291" i="41"/>
  <c r="F287" i="41"/>
  <c r="B286" i="41"/>
  <c r="B281" i="41"/>
  <c r="F277" i="41"/>
  <c r="A273" i="41"/>
  <c r="A272" i="41"/>
  <c r="F293" i="41"/>
  <c r="E291" i="41"/>
  <c r="E288" i="41"/>
  <c r="A287" i="41"/>
  <c r="A285" i="41"/>
  <c r="A282" i="41"/>
  <c r="C280" i="41"/>
  <c r="C278" i="41"/>
  <c r="F273" i="41"/>
  <c r="E272" i="41"/>
  <c r="D271" i="41"/>
  <c r="C270" i="41"/>
  <c r="B269" i="41"/>
  <c r="B272" i="41"/>
  <c r="C279" i="41"/>
  <c r="E293" i="41"/>
  <c r="D291" i="41"/>
  <c r="D288" i="41"/>
  <c r="D286" i="41"/>
  <c r="F281" i="41"/>
  <c r="F279" i="41"/>
  <c r="B278" i="41"/>
  <c r="C273" i="41"/>
  <c r="D272" i="41"/>
  <c r="C271" i="41"/>
  <c r="A269" i="41"/>
  <c r="A293" i="41"/>
  <c r="C291" i="41"/>
  <c r="C288" i="41"/>
  <c r="C286" i="41"/>
  <c r="E281" i="41"/>
  <c r="E279" i="41"/>
  <c r="A278" i="41"/>
  <c r="B273" i="41"/>
  <c r="C272" i="41"/>
  <c r="B271" i="41"/>
  <c r="D279" i="41"/>
  <c r="E274" i="41"/>
  <c r="E292" i="41"/>
  <c r="A291" i="41"/>
  <c r="E287" i="41"/>
  <c r="A286" i="41"/>
  <c r="A281" i="41"/>
  <c r="E277" i="41"/>
  <c r="D274" i="41"/>
  <c r="C292" i="41"/>
  <c r="D282" i="41"/>
  <c r="F270" i="41"/>
  <c r="E280" i="41"/>
  <c r="C287" i="41"/>
  <c r="B294" i="41"/>
  <c r="E285" i="41"/>
  <c r="B277" i="41"/>
  <c r="F271" i="41"/>
  <c r="D292" i="41"/>
  <c r="C282" i="41"/>
  <c r="C274" i="41"/>
  <c r="E270" i="41"/>
  <c r="B279" i="41"/>
  <c r="F269" i="41"/>
  <c r="C294" i="41"/>
  <c r="F285" i="41"/>
  <c r="A279" i="41"/>
  <c r="A277" i="41"/>
  <c r="F280" i="41"/>
  <c r="B274" i="41"/>
  <c r="D287" i="41"/>
  <c r="T386" i="42" l="1"/>
  <c r="U378" i="42" s="1"/>
  <c r="N391" i="42" s="1"/>
  <c r="T382" i="42" s="1"/>
  <c r="Q380" i="42"/>
  <c r="M378" i="42"/>
  <c r="P377" i="42"/>
  <c r="O376" i="42"/>
  <c r="Q382" i="42"/>
  <c r="Q381" i="42"/>
  <c r="P380" i="42"/>
  <c r="Q379" i="42"/>
  <c r="O377" i="42"/>
  <c r="N376" i="42"/>
  <c r="P382" i="42"/>
  <c r="P381" i="42"/>
  <c r="O380" i="42"/>
  <c r="P379" i="42"/>
  <c r="N377" i="42"/>
  <c r="M376" i="42"/>
  <c r="N382" i="42"/>
  <c r="N381" i="42"/>
  <c r="M380" i="42"/>
  <c r="N379" i="42"/>
  <c r="Q378" i="42"/>
  <c r="Q377" i="42"/>
  <c r="P376" i="42"/>
  <c r="N378" i="42"/>
  <c r="M377" i="42"/>
  <c r="O382" i="42"/>
  <c r="O381" i="42"/>
  <c r="N380" i="42"/>
  <c r="O379" i="42"/>
  <c r="Q376" i="42"/>
  <c r="M382" i="42"/>
  <c r="M381" i="42"/>
  <c r="M379" i="42"/>
  <c r="P378" i="42"/>
  <c r="O378" i="42"/>
  <c r="H269" i="41"/>
  <c r="N272" i="41" s="1"/>
  <c r="O272" i="41" s="1"/>
  <c r="J269" i="41"/>
  <c r="N273" i="41" s="1"/>
  <c r="O273" i="41" s="1"/>
  <c r="J266" i="41"/>
  <c r="N270" i="41" s="1"/>
  <c r="O270" i="41" s="1"/>
  <c r="K266" i="41"/>
  <c r="N271" i="41" s="1"/>
  <c r="O271" i="41" s="1"/>
  <c r="K28" i="9" s="1"/>
  <c r="H266" i="41"/>
  <c r="N268" i="41" s="1"/>
  <c r="U386" i="42" l="1"/>
  <c r="U379" i="42" s="1"/>
  <c r="N392" i="42" s="1"/>
  <c r="T383" i="42" s="1"/>
  <c r="I269" i="41"/>
  <c r="O268" i="41"/>
  <c r="H272" i="41" l="1"/>
  <c r="H274" i="41" s="1"/>
  <c r="G19" i="7"/>
  <c r="I272" i="41"/>
  <c r="H19" i="7"/>
  <c r="F43" i="37" l="1"/>
  <c r="D43" i="37"/>
  <c r="F8" i="13"/>
  <c r="F7" i="13"/>
  <c r="E8" i="37"/>
  <c r="E7" i="37"/>
  <c r="A8" i="37"/>
  <c r="A7" i="37"/>
  <c r="E8" i="13"/>
  <c r="E7" i="13"/>
  <c r="A8" i="13"/>
  <c r="A7" i="13"/>
  <c r="G61" i="38"/>
  <c r="F61" i="38"/>
  <c r="F59" i="38"/>
  <c r="F58" i="38"/>
  <c r="E58" i="38"/>
  <c r="H58" i="38" s="1"/>
  <c r="J58" i="38" s="1"/>
  <c r="F57" i="38"/>
  <c r="E57" i="38"/>
  <c r="H57" i="38" s="1"/>
  <c r="J57" i="38" s="1"/>
  <c r="K57" i="38" s="1"/>
  <c r="G47" i="38"/>
  <c r="F47" i="38"/>
  <c r="F45" i="38"/>
  <c r="F44" i="38"/>
  <c r="E44" i="38"/>
  <c r="H44" i="38" s="1"/>
  <c r="J44" i="38" s="1"/>
  <c r="L44" i="38" s="1"/>
  <c r="H43" i="38"/>
  <c r="J43" i="38" s="1"/>
  <c r="F43" i="38"/>
  <c r="E43" i="38"/>
  <c r="G34" i="38"/>
  <c r="F34" i="38"/>
  <c r="F32" i="38"/>
  <c r="F31" i="38"/>
  <c r="F30" i="38"/>
  <c r="E30" i="38"/>
  <c r="H30" i="38" s="1"/>
  <c r="J30" i="38" s="1"/>
  <c r="G21" i="38"/>
  <c r="F21" i="38"/>
  <c r="F19" i="38"/>
  <c r="F18" i="38"/>
  <c r="E18" i="38"/>
  <c r="H18" i="38" s="1"/>
  <c r="J18" i="38" s="1"/>
  <c r="F17" i="38"/>
  <c r="E17" i="38"/>
  <c r="H17" i="38" s="1"/>
  <c r="J17" i="38" s="1"/>
  <c r="L17" i="38" s="1"/>
  <c r="G8" i="38"/>
  <c r="F8" i="38"/>
  <c r="F6" i="38"/>
  <c r="F5" i="38"/>
  <c r="E5" i="38"/>
  <c r="E31" i="38" s="1"/>
  <c r="H31" i="38" s="1"/>
  <c r="J31" i="38" s="1"/>
  <c r="H4" i="38"/>
  <c r="J4" i="38" s="1"/>
  <c r="F4" i="38"/>
  <c r="E4" i="38"/>
  <c r="D23" i="36"/>
  <c r="D21" i="36"/>
  <c r="D20" i="36"/>
  <c r="D18" i="36"/>
  <c r="D17" i="36"/>
  <c r="E12" i="36"/>
  <c r="E11" i="36"/>
  <c r="D12" i="36"/>
  <c r="A12" i="36"/>
  <c r="A11" i="36"/>
  <c r="D11" i="36"/>
  <c r="D10" i="36"/>
  <c r="D9" i="36"/>
  <c r="D8" i="36"/>
  <c r="B59" i="36"/>
  <c r="B58" i="36"/>
  <c r="B45" i="36"/>
  <c r="B46" i="36" s="1"/>
  <c r="B43" i="36"/>
  <c r="E26" i="36"/>
  <c r="F6" i="36"/>
  <c r="J77" i="37"/>
  <c r="B68" i="37"/>
  <c r="B67" i="37"/>
  <c r="B63" i="37"/>
  <c r="B59" i="37"/>
  <c r="B52" i="37"/>
  <c r="F49" i="37"/>
  <c r="D49" i="37"/>
  <c r="F48" i="37"/>
  <c r="D48" i="37"/>
  <c r="F47" i="37"/>
  <c r="D47" i="37"/>
  <c r="F46" i="37"/>
  <c r="D46" i="37"/>
  <c r="F45" i="37"/>
  <c r="D45" i="37"/>
  <c r="C45" i="37"/>
  <c r="I44" i="37"/>
  <c r="J44" i="37" s="1"/>
  <c r="I43" i="37"/>
  <c r="D40" i="37"/>
  <c r="D39" i="37"/>
  <c r="C39" i="37"/>
  <c r="D38" i="37"/>
  <c r="D37" i="37"/>
  <c r="D36" i="37"/>
  <c r="J35" i="37"/>
  <c r="L35" i="37" s="1"/>
  <c r="L44" i="37" s="1"/>
  <c r="H35" i="37"/>
  <c r="F35" i="37"/>
  <c r="D35" i="37"/>
  <c r="F34" i="37"/>
  <c r="D34" i="37"/>
  <c r="L29" i="37"/>
  <c r="C29" i="37"/>
  <c r="L28" i="37"/>
  <c r="L27" i="37"/>
  <c r="E22" i="37"/>
  <c r="E21" i="37"/>
  <c r="T22" i="37"/>
  <c r="R22" i="37"/>
  <c r="S21" i="37"/>
  <c r="Q21" i="37"/>
  <c r="T21" i="37"/>
  <c r="R21" i="37"/>
  <c r="S22" i="37"/>
  <c r="Q22" i="37"/>
  <c r="Q20" i="37"/>
  <c r="T20" i="37"/>
  <c r="S20" i="37"/>
  <c r="R20" i="37"/>
  <c r="E13" i="37"/>
  <c r="A13" i="37"/>
  <c r="E12" i="37"/>
  <c r="A12" i="37"/>
  <c r="E11" i="37"/>
  <c r="A11" i="37"/>
  <c r="A10" i="37"/>
  <c r="A9" i="37"/>
  <c r="E6" i="37"/>
  <c r="A6" i="37"/>
  <c r="E5" i="37"/>
  <c r="A5" i="37"/>
  <c r="E4" i="37"/>
  <c r="A4" i="37"/>
  <c r="A1" i="37"/>
  <c r="J35" i="13"/>
  <c r="L35" i="13" s="1"/>
  <c r="L44" i="13" s="1"/>
  <c r="I44" i="13"/>
  <c r="J44" i="13" s="1"/>
  <c r="I43" i="13"/>
  <c r="E18" i="37" l="1"/>
  <c r="L31" i="38"/>
  <c r="K31" i="38"/>
  <c r="L58" i="38"/>
  <c r="K58" i="38"/>
  <c r="L43" i="38"/>
  <c r="K43" i="38"/>
  <c r="K17" i="38"/>
  <c r="L18" i="38"/>
  <c r="K18" i="38"/>
  <c r="K44" i="38"/>
  <c r="L4" i="38"/>
  <c r="K4" i="38"/>
  <c r="L30" i="38"/>
  <c r="K30" i="38"/>
  <c r="L57" i="38"/>
  <c r="H5" i="38"/>
  <c r="J5" i="38" s="1"/>
  <c r="A2" i="36"/>
  <c r="B50" i="36" s="1"/>
  <c r="B57" i="36"/>
  <c r="E16" i="37"/>
  <c r="E17" i="37"/>
  <c r="L5" i="38" l="1"/>
  <c r="K5" i="38"/>
  <c r="A22" i="36"/>
  <c r="A21" i="36"/>
  <c r="A20" i="36"/>
  <c r="A19" i="36"/>
  <c r="H18" i="13" l="1"/>
  <c r="F18" i="13"/>
  <c r="H17" i="13"/>
  <c r="F17" i="13"/>
  <c r="H16" i="13"/>
  <c r="F16" i="13"/>
  <c r="A215" i="33"/>
  <c r="Z3" i="12" l="1"/>
  <c r="Z14" i="12" s="1"/>
  <c r="G17" i="13" l="1"/>
  <c r="O208" i="33"/>
  <c r="B208" i="33"/>
  <c r="C208" i="33"/>
  <c r="D208" i="33"/>
  <c r="F208" i="33"/>
  <c r="H208" i="33"/>
  <c r="I208" i="33"/>
  <c r="J208" i="33"/>
  <c r="K208" i="33"/>
  <c r="M208" i="33"/>
  <c r="L225" i="33"/>
  <c r="K225" i="33"/>
  <c r="J225" i="33"/>
  <c r="L224" i="33"/>
  <c r="K224" i="33"/>
  <c r="J224" i="33"/>
  <c r="L223" i="33"/>
  <c r="K223" i="33"/>
  <c r="J223" i="33"/>
  <c r="N222" i="33"/>
  <c r="L222" i="33"/>
  <c r="K222" i="33"/>
  <c r="J222" i="33"/>
  <c r="N221" i="33"/>
  <c r="L221" i="33"/>
  <c r="K221" i="33"/>
  <c r="J221" i="33"/>
  <c r="N220" i="33"/>
  <c r="L220" i="33"/>
  <c r="K220" i="33"/>
  <c r="J220" i="33"/>
  <c r="N219" i="33"/>
  <c r="L219" i="33"/>
  <c r="K219" i="33"/>
  <c r="J219" i="33"/>
  <c r="N218" i="33"/>
  <c r="L218" i="33"/>
  <c r="K218" i="33"/>
  <c r="J218" i="33"/>
  <c r="N217" i="33"/>
  <c r="L217" i="33"/>
  <c r="K217" i="33"/>
  <c r="J217" i="33"/>
  <c r="N216" i="33"/>
  <c r="L216" i="33"/>
  <c r="K216" i="33"/>
  <c r="J216" i="33"/>
  <c r="A226" i="33"/>
  <c r="N226" i="33" s="1"/>
  <c r="R167" i="33"/>
  <c r="Q167" i="33"/>
  <c r="P167" i="33"/>
  <c r="O167" i="33"/>
  <c r="N167" i="33"/>
  <c r="M167" i="33"/>
  <c r="H167" i="33"/>
  <c r="G167" i="33"/>
  <c r="F167" i="33"/>
  <c r="E167" i="33"/>
  <c r="D167" i="33"/>
  <c r="C167" i="33"/>
  <c r="R166" i="33"/>
  <c r="Q166" i="33"/>
  <c r="P166" i="33"/>
  <c r="O166" i="33"/>
  <c r="N166" i="33"/>
  <c r="M166" i="33"/>
  <c r="H166" i="33"/>
  <c r="G166" i="33"/>
  <c r="F166" i="33"/>
  <c r="E166" i="33"/>
  <c r="D166" i="33"/>
  <c r="C166" i="33"/>
  <c r="R165" i="33"/>
  <c r="Q165" i="33"/>
  <c r="P165" i="33"/>
  <c r="O165" i="33"/>
  <c r="N165" i="33"/>
  <c r="M165" i="33"/>
  <c r="H165" i="33"/>
  <c r="G165" i="33"/>
  <c r="F165" i="33"/>
  <c r="E165" i="33"/>
  <c r="D165" i="33"/>
  <c r="C165" i="33"/>
  <c r="P164" i="33"/>
  <c r="O164" i="33"/>
  <c r="N164" i="33"/>
  <c r="M164" i="33"/>
  <c r="F164" i="33"/>
  <c r="E164" i="33"/>
  <c r="D164" i="33"/>
  <c r="C164" i="33"/>
  <c r="P163" i="33"/>
  <c r="O163" i="33"/>
  <c r="N163" i="33"/>
  <c r="M163" i="33"/>
  <c r="F163" i="33"/>
  <c r="E163" i="33"/>
  <c r="D163" i="33"/>
  <c r="C163" i="33"/>
  <c r="P162" i="33"/>
  <c r="O162" i="33"/>
  <c r="N162" i="33"/>
  <c r="M162" i="33"/>
  <c r="F162" i="33"/>
  <c r="E162" i="33"/>
  <c r="D162" i="33"/>
  <c r="C162" i="33"/>
  <c r="P161" i="33"/>
  <c r="O161" i="33"/>
  <c r="N161" i="33"/>
  <c r="M161" i="33"/>
  <c r="F161" i="33"/>
  <c r="E161" i="33"/>
  <c r="D161" i="33"/>
  <c r="C161" i="33"/>
  <c r="P160" i="33"/>
  <c r="O160" i="33"/>
  <c r="N160" i="33"/>
  <c r="M160" i="33"/>
  <c r="F160" i="33"/>
  <c r="E160" i="33"/>
  <c r="D160" i="33"/>
  <c r="C160" i="33"/>
  <c r="P159" i="33"/>
  <c r="O159" i="33"/>
  <c r="N159" i="33"/>
  <c r="M159" i="33"/>
  <c r="F159" i="33"/>
  <c r="E159" i="33"/>
  <c r="D159" i="33"/>
  <c r="C159" i="33"/>
  <c r="P158" i="33"/>
  <c r="O158" i="33"/>
  <c r="N158" i="33"/>
  <c r="M158" i="33"/>
  <c r="F158" i="33"/>
  <c r="E158" i="33"/>
  <c r="D158" i="33"/>
  <c r="C158" i="33"/>
  <c r="R157" i="33"/>
  <c r="Q157" i="33"/>
  <c r="P157" i="33"/>
  <c r="O157" i="33"/>
  <c r="N157" i="33"/>
  <c r="M157" i="33"/>
  <c r="H157" i="33"/>
  <c r="G157" i="33"/>
  <c r="F157" i="33"/>
  <c r="E157" i="33"/>
  <c r="D157" i="33"/>
  <c r="C157" i="33"/>
  <c r="R156" i="33"/>
  <c r="Q156" i="33"/>
  <c r="P156" i="33"/>
  <c r="O156" i="33"/>
  <c r="N156" i="33"/>
  <c r="M156" i="33"/>
  <c r="H156" i="33"/>
  <c r="G156" i="33"/>
  <c r="F156" i="33"/>
  <c r="E156" i="33"/>
  <c r="D156" i="33"/>
  <c r="C156" i="33"/>
  <c r="R155" i="33"/>
  <c r="Q155" i="33"/>
  <c r="P155" i="33"/>
  <c r="O155" i="33"/>
  <c r="N155" i="33"/>
  <c r="M155" i="33"/>
  <c r="H155" i="33"/>
  <c r="G155" i="33"/>
  <c r="F155" i="33"/>
  <c r="E155" i="33"/>
  <c r="D155" i="33"/>
  <c r="C155" i="33"/>
  <c r="P154" i="33"/>
  <c r="O154" i="33"/>
  <c r="N154" i="33"/>
  <c r="M154" i="33"/>
  <c r="F154" i="33"/>
  <c r="E154" i="33"/>
  <c r="D154" i="33"/>
  <c r="C154" i="33"/>
  <c r="P153" i="33"/>
  <c r="O153" i="33"/>
  <c r="N153" i="33"/>
  <c r="M153" i="33"/>
  <c r="F153" i="33"/>
  <c r="E153" i="33"/>
  <c r="D153" i="33"/>
  <c r="C153" i="33"/>
  <c r="P152" i="33"/>
  <c r="O152" i="33"/>
  <c r="N152" i="33"/>
  <c r="M152" i="33"/>
  <c r="F152" i="33"/>
  <c r="E152" i="33"/>
  <c r="D152" i="33"/>
  <c r="C152" i="33"/>
  <c r="P151" i="33"/>
  <c r="O151" i="33"/>
  <c r="N151" i="33"/>
  <c r="M151" i="33"/>
  <c r="F151" i="33"/>
  <c r="E151" i="33"/>
  <c r="D151" i="33"/>
  <c r="C151" i="33"/>
  <c r="P150" i="33"/>
  <c r="O150" i="33"/>
  <c r="N150" i="33"/>
  <c r="M150" i="33"/>
  <c r="F150" i="33"/>
  <c r="E150" i="33"/>
  <c r="D150" i="33"/>
  <c r="C150" i="33"/>
  <c r="P149" i="33"/>
  <c r="O149" i="33"/>
  <c r="N149" i="33"/>
  <c r="M149" i="33"/>
  <c r="F149" i="33"/>
  <c r="E149" i="33"/>
  <c r="D149" i="33"/>
  <c r="C149" i="33"/>
  <c r="P148" i="33"/>
  <c r="O148" i="33"/>
  <c r="N148" i="33"/>
  <c r="M148" i="33"/>
  <c r="F148" i="33"/>
  <c r="E148" i="33"/>
  <c r="D148" i="33"/>
  <c r="C148" i="33"/>
  <c r="R147" i="33"/>
  <c r="Q147" i="33"/>
  <c r="P147" i="33"/>
  <c r="O147" i="33"/>
  <c r="N147" i="33"/>
  <c r="M147" i="33"/>
  <c r="H147" i="33"/>
  <c r="G147" i="33"/>
  <c r="F147" i="33"/>
  <c r="E147" i="33"/>
  <c r="D147" i="33"/>
  <c r="C147" i="33"/>
  <c r="R146" i="33"/>
  <c r="Q146" i="33"/>
  <c r="P146" i="33"/>
  <c r="O146" i="33"/>
  <c r="N146" i="33"/>
  <c r="M146" i="33"/>
  <c r="H146" i="33"/>
  <c r="G146" i="33"/>
  <c r="F146" i="33"/>
  <c r="E146" i="33"/>
  <c r="D146" i="33"/>
  <c r="C146" i="33"/>
  <c r="R145" i="33"/>
  <c r="Q145" i="33"/>
  <c r="P145" i="33"/>
  <c r="O145" i="33"/>
  <c r="N145" i="33"/>
  <c r="M145" i="33"/>
  <c r="H145" i="33"/>
  <c r="G145" i="33"/>
  <c r="F145" i="33"/>
  <c r="E145" i="33"/>
  <c r="D145" i="33"/>
  <c r="C145" i="33"/>
  <c r="P144" i="33"/>
  <c r="O144" i="33"/>
  <c r="N144" i="33"/>
  <c r="M144" i="33"/>
  <c r="F144" i="33"/>
  <c r="E144" i="33"/>
  <c r="D144" i="33"/>
  <c r="C144" i="33"/>
  <c r="P143" i="33"/>
  <c r="O143" i="33"/>
  <c r="N143" i="33"/>
  <c r="M143" i="33"/>
  <c r="F143" i="33"/>
  <c r="E143" i="33"/>
  <c r="D143" i="33"/>
  <c r="C143" i="33"/>
  <c r="P142" i="33"/>
  <c r="O142" i="33"/>
  <c r="N142" i="33"/>
  <c r="M142" i="33"/>
  <c r="F142" i="33"/>
  <c r="E142" i="33"/>
  <c r="D142" i="33"/>
  <c r="C142" i="33"/>
  <c r="P141" i="33"/>
  <c r="O141" i="33"/>
  <c r="N141" i="33"/>
  <c r="M141" i="33"/>
  <c r="F141" i="33"/>
  <c r="E141" i="33"/>
  <c r="D141" i="33"/>
  <c r="C141" i="33"/>
  <c r="P140" i="33"/>
  <c r="O140" i="33"/>
  <c r="N140" i="33"/>
  <c r="M140" i="33"/>
  <c r="F140" i="33"/>
  <c r="E140" i="33"/>
  <c r="D140" i="33"/>
  <c r="C140" i="33"/>
  <c r="P139" i="33"/>
  <c r="O139" i="33"/>
  <c r="N139" i="33"/>
  <c r="M139" i="33"/>
  <c r="F139" i="33"/>
  <c r="E139" i="33"/>
  <c r="D139" i="33"/>
  <c r="C139" i="33"/>
  <c r="P138" i="33"/>
  <c r="O138" i="33"/>
  <c r="N138" i="33"/>
  <c r="M138" i="33"/>
  <c r="F138" i="33"/>
  <c r="E138" i="33"/>
  <c r="D138" i="33"/>
  <c r="C138" i="33"/>
  <c r="R137" i="33"/>
  <c r="Q137" i="33"/>
  <c r="P137" i="33"/>
  <c r="O137" i="33"/>
  <c r="N137" i="33"/>
  <c r="M137" i="33"/>
  <c r="H137" i="33"/>
  <c r="G137" i="33"/>
  <c r="F137" i="33"/>
  <c r="E137" i="33"/>
  <c r="D137" i="33"/>
  <c r="C137" i="33"/>
  <c r="R136" i="33"/>
  <c r="Q136" i="33"/>
  <c r="P136" i="33"/>
  <c r="O136" i="33"/>
  <c r="N136" i="33"/>
  <c r="M136" i="33"/>
  <c r="H136" i="33"/>
  <c r="G136" i="33"/>
  <c r="F136" i="33"/>
  <c r="E136" i="33"/>
  <c r="D136" i="33"/>
  <c r="C136" i="33"/>
  <c r="R135" i="33"/>
  <c r="Q135" i="33"/>
  <c r="P135" i="33"/>
  <c r="O135" i="33"/>
  <c r="N135" i="33"/>
  <c r="M135" i="33"/>
  <c r="H135" i="33"/>
  <c r="G135" i="33"/>
  <c r="F135" i="33"/>
  <c r="E135" i="33"/>
  <c r="D135" i="33"/>
  <c r="C135" i="33"/>
  <c r="P134" i="33"/>
  <c r="O134" i="33"/>
  <c r="N134" i="33"/>
  <c r="M134" i="33"/>
  <c r="F134" i="33"/>
  <c r="E134" i="33"/>
  <c r="D134" i="33"/>
  <c r="C134" i="33"/>
  <c r="P133" i="33"/>
  <c r="O133" i="33"/>
  <c r="N133" i="33"/>
  <c r="M133" i="33"/>
  <c r="F133" i="33"/>
  <c r="E133" i="33"/>
  <c r="D133" i="33"/>
  <c r="C133" i="33"/>
  <c r="P132" i="33"/>
  <c r="O132" i="33"/>
  <c r="N132" i="33"/>
  <c r="M132" i="33"/>
  <c r="F132" i="33"/>
  <c r="E132" i="33"/>
  <c r="D132" i="33"/>
  <c r="C132" i="33"/>
  <c r="P131" i="33"/>
  <c r="O131" i="33"/>
  <c r="N131" i="33"/>
  <c r="M131" i="33"/>
  <c r="F131" i="33"/>
  <c r="E131" i="33"/>
  <c r="D131" i="33"/>
  <c r="C131" i="33"/>
  <c r="P130" i="33"/>
  <c r="O130" i="33"/>
  <c r="N130" i="33"/>
  <c r="M130" i="33"/>
  <c r="F130" i="33"/>
  <c r="E130" i="33"/>
  <c r="D130" i="33"/>
  <c r="C130" i="33"/>
  <c r="P129" i="33"/>
  <c r="O129" i="33"/>
  <c r="N129" i="33"/>
  <c r="M129" i="33"/>
  <c r="F129" i="33"/>
  <c r="E129" i="33"/>
  <c r="D129" i="33"/>
  <c r="C129" i="33"/>
  <c r="P128" i="33"/>
  <c r="O128" i="33"/>
  <c r="N128" i="33"/>
  <c r="M128" i="33"/>
  <c r="F128" i="33"/>
  <c r="E128" i="33"/>
  <c r="D128" i="33"/>
  <c r="C128" i="33"/>
  <c r="R127" i="33"/>
  <c r="Q127" i="33"/>
  <c r="P127" i="33"/>
  <c r="O127" i="33"/>
  <c r="N127" i="33"/>
  <c r="M127" i="33"/>
  <c r="H127" i="33"/>
  <c r="G127" i="33"/>
  <c r="F127" i="33"/>
  <c r="E127" i="33"/>
  <c r="D127" i="33"/>
  <c r="C127" i="33"/>
  <c r="R126" i="33"/>
  <c r="Q126" i="33"/>
  <c r="P126" i="33"/>
  <c r="O126" i="33"/>
  <c r="N126" i="33"/>
  <c r="M126" i="33"/>
  <c r="H126" i="33"/>
  <c r="G126" i="33"/>
  <c r="F126" i="33"/>
  <c r="E126" i="33"/>
  <c r="D126" i="33"/>
  <c r="C126" i="33"/>
  <c r="R125" i="33"/>
  <c r="Q125" i="33"/>
  <c r="P125" i="33"/>
  <c r="O125" i="33"/>
  <c r="N125" i="33"/>
  <c r="M125" i="33"/>
  <c r="H125" i="33"/>
  <c r="G125" i="33"/>
  <c r="F125" i="33"/>
  <c r="E125" i="33"/>
  <c r="D125" i="33"/>
  <c r="C125" i="33"/>
  <c r="P124" i="33"/>
  <c r="O124" i="33"/>
  <c r="N124" i="33"/>
  <c r="M124" i="33"/>
  <c r="F124" i="33"/>
  <c r="E124" i="33"/>
  <c r="D124" i="33"/>
  <c r="C124" i="33"/>
  <c r="P123" i="33"/>
  <c r="O123" i="33"/>
  <c r="N123" i="33"/>
  <c r="M123" i="33"/>
  <c r="F123" i="33"/>
  <c r="E123" i="33"/>
  <c r="D123" i="33"/>
  <c r="C123" i="33"/>
  <c r="P122" i="33"/>
  <c r="O122" i="33"/>
  <c r="N122" i="33"/>
  <c r="M122" i="33"/>
  <c r="F122" i="33"/>
  <c r="E122" i="33"/>
  <c r="D122" i="33"/>
  <c r="C122" i="33"/>
  <c r="P121" i="33"/>
  <c r="O121" i="33"/>
  <c r="N121" i="33"/>
  <c r="M121" i="33"/>
  <c r="F121" i="33"/>
  <c r="E121" i="33"/>
  <c r="D121" i="33"/>
  <c r="C121" i="33"/>
  <c r="P120" i="33"/>
  <c r="O120" i="33"/>
  <c r="N120" i="33"/>
  <c r="M120" i="33"/>
  <c r="F120" i="33"/>
  <c r="E120" i="33"/>
  <c r="D120" i="33"/>
  <c r="C120" i="33"/>
  <c r="P119" i="33"/>
  <c r="O119" i="33"/>
  <c r="N119" i="33"/>
  <c r="M119" i="33"/>
  <c r="F119" i="33"/>
  <c r="E119" i="33"/>
  <c r="D119" i="33"/>
  <c r="C119" i="33"/>
  <c r="P118" i="33"/>
  <c r="O118" i="33"/>
  <c r="N118" i="33"/>
  <c r="M118" i="33"/>
  <c r="F118" i="33"/>
  <c r="E118" i="33"/>
  <c r="D118" i="33"/>
  <c r="C118" i="33"/>
  <c r="R117" i="33"/>
  <c r="Q117" i="33"/>
  <c r="P117" i="33"/>
  <c r="O117" i="33"/>
  <c r="N117" i="33"/>
  <c r="M117" i="33"/>
  <c r="H117" i="33"/>
  <c r="G117" i="33"/>
  <c r="F117" i="33"/>
  <c r="E117" i="33"/>
  <c r="D117" i="33"/>
  <c r="C117" i="33"/>
  <c r="R116" i="33"/>
  <c r="Q116" i="33"/>
  <c r="P116" i="33"/>
  <c r="O116" i="33"/>
  <c r="N116" i="33"/>
  <c r="M116" i="33"/>
  <c r="H116" i="33"/>
  <c r="G116" i="33"/>
  <c r="F116" i="33"/>
  <c r="E116" i="33"/>
  <c r="D116" i="33"/>
  <c r="C116" i="33"/>
  <c r="R115" i="33"/>
  <c r="Q115" i="33"/>
  <c r="P115" i="33"/>
  <c r="O115" i="33"/>
  <c r="N115" i="33"/>
  <c r="M115" i="33"/>
  <c r="H115" i="33"/>
  <c r="G115" i="33"/>
  <c r="F115" i="33"/>
  <c r="E115" i="33"/>
  <c r="D115" i="33"/>
  <c r="C115" i="33"/>
  <c r="P114" i="33"/>
  <c r="O114" i="33"/>
  <c r="N114" i="33"/>
  <c r="M114" i="33"/>
  <c r="F114" i="33"/>
  <c r="E114" i="33"/>
  <c r="D114" i="33"/>
  <c r="C114" i="33"/>
  <c r="P113" i="33"/>
  <c r="O113" i="33"/>
  <c r="N113" i="33"/>
  <c r="M113" i="33"/>
  <c r="F113" i="33"/>
  <c r="E113" i="33"/>
  <c r="D113" i="33"/>
  <c r="C113" i="33"/>
  <c r="P112" i="33"/>
  <c r="O112" i="33"/>
  <c r="N112" i="33"/>
  <c r="M112" i="33"/>
  <c r="F112" i="33"/>
  <c r="E112" i="33"/>
  <c r="D112" i="33"/>
  <c r="C112" i="33"/>
  <c r="P111" i="33"/>
  <c r="O111" i="33"/>
  <c r="N111" i="33"/>
  <c r="M111" i="33"/>
  <c r="F111" i="33"/>
  <c r="E111" i="33"/>
  <c r="D111" i="33"/>
  <c r="C111" i="33"/>
  <c r="P110" i="33"/>
  <c r="O110" i="33"/>
  <c r="N110" i="33"/>
  <c r="M110" i="33"/>
  <c r="F110" i="33"/>
  <c r="E110" i="33"/>
  <c r="D110" i="33"/>
  <c r="C110" i="33"/>
  <c r="P109" i="33"/>
  <c r="O109" i="33"/>
  <c r="N109" i="33"/>
  <c r="M109" i="33"/>
  <c r="F109" i="33"/>
  <c r="E109" i="33"/>
  <c r="D109" i="33"/>
  <c r="C109" i="33"/>
  <c r="P108" i="33"/>
  <c r="O108" i="33"/>
  <c r="N108" i="33"/>
  <c r="M108" i="33"/>
  <c r="F108" i="33"/>
  <c r="E108" i="33"/>
  <c r="D108" i="33"/>
  <c r="C108" i="33"/>
  <c r="R107" i="33"/>
  <c r="Q107" i="33"/>
  <c r="P107" i="33"/>
  <c r="O107" i="33"/>
  <c r="N107" i="33"/>
  <c r="M107" i="33"/>
  <c r="H107" i="33"/>
  <c r="G107" i="33"/>
  <c r="F107" i="33"/>
  <c r="E107" i="33"/>
  <c r="D107" i="33"/>
  <c r="C107" i="33"/>
  <c r="R106" i="33"/>
  <c r="Q106" i="33"/>
  <c r="P106" i="33"/>
  <c r="O106" i="33"/>
  <c r="N106" i="33"/>
  <c r="M106" i="33"/>
  <c r="H106" i="33"/>
  <c r="G106" i="33"/>
  <c r="F106" i="33"/>
  <c r="E106" i="33"/>
  <c r="D106" i="33"/>
  <c r="C106" i="33"/>
  <c r="R105" i="33"/>
  <c r="Q105" i="33"/>
  <c r="P105" i="33"/>
  <c r="O105" i="33"/>
  <c r="N105" i="33"/>
  <c r="M105" i="33"/>
  <c r="H105" i="33"/>
  <c r="G105" i="33"/>
  <c r="F105" i="33"/>
  <c r="E105" i="33"/>
  <c r="D105" i="33"/>
  <c r="C105" i="33"/>
  <c r="P104" i="33"/>
  <c r="O104" i="33"/>
  <c r="N104" i="33"/>
  <c r="M104" i="33"/>
  <c r="F104" i="33"/>
  <c r="E104" i="33"/>
  <c r="D104" i="33"/>
  <c r="C104" i="33"/>
  <c r="P103" i="33"/>
  <c r="O103" i="33"/>
  <c r="N103" i="33"/>
  <c r="M103" i="33"/>
  <c r="F103" i="33"/>
  <c r="E103" i="33"/>
  <c r="D103" i="33"/>
  <c r="C103" i="33"/>
  <c r="P102" i="33"/>
  <c r="O102" i="33"/>
  <c r="N102" i="33"/>
  <c r="M102" i="33"/>
  <c r="F102" i="33"/>
  <c r="E102" i="33"/>
  <c r="D102" i="33"/>
  <c r="C102" i="33"/>
  <c r="P101" i="33"/>
  <c r="O101" i="33"/>
  <c r="N101" i="33"/>
  <c r="M101" i="33"/>
  <c r="F101" i="33"/>
  <c r="E101" i="33"/>
  <c r="D101" i="33"/>
  <c r="C101" i="33"/>
  <c r="P100" i="33"/>
  <c r="O100" i="33"/>
  <c r="N100" i="33"/>
  <c r="M100" i="33"/>
  <c r="F100" i="33"/>
  <c r="E100" i="33"/>
  <c r="D100" i="33"/>
  <c r="C100" i="33"/>
  <c r="P99" i="33"/>
  <c r="O99" i="33"/>
  <c r="N99" i="33"/>
  <c r="M99" i="33"/>
  <c r="F99" i="33"/>
  <c r="E99" i="33"/>
  <c r="D99" i="33"/>
  <c r="C99" i="33"/>
  <c r="P98" i="33"/>
  <c r="O98" i="33"/>
  <c r="N98" i="33"/>
  <c r="M98" i="33"/>
  <c r="F98" i="33"/>
  <c r="E98" i="33"/>
  <c r="D98" i="33"/>
  <c r="C98" i="33"/>
  <c r="R97" i="33"/>
  <c r="Q97" i="33"/>
  <c r="P97" i="33"/>
  <c r="O97" i="33"/>
  <c r="N97" i="33"/>
  <c r="M97" i="33"/>
  <c r="H97" i="33"/>
  <c r="G97" i="33"/>
  <c r="F97" i="33"/>
  <c r="E97" i="33"/>
  <c r="D97" i="33"/>
  <c r="C97" i="33"/>
  <c r="R96" i="33"/>
  <c r="Q96" i="33"/>
  <c r="P96" i="33"/>
  <c r="O96" i="33"/>
  <c r="N96" i="33"/>
  <c r="M96" i="33"/>
  <c r="H96" i="33"/>
  <c r="G96" i="33"/>
  <c r="F96" i="33"/>
  <c r="E96" i="33"/>
  <c r="D96" i="33"/>
  <c r="C96" i="33"/>
  <c r="R95" i="33"/>
  <c r="Q95" i="33"/>
  <c r="P95" i="33"/>
  <c r="O95" i="33"/>
  <c r="N95" i="33"/>
  <c r="M95" i="33"/>
  <c r="H95" i="33"/>
  <c r="G95" i="33"/>
  <c r="F95" i="33"/>
  <c r="E95" i="33"/>
  <c r="D95" i="33"/>
  <c r="C95" i="33"/>
  <c r="P94" i="33"/>
  <c r="O94" i="33"/>
  <c r="N94" i="33"/>
  <c r="M94" i="33"/>
  <c r="F94" i="33"/>
  <c r="E94" i="33"/>
  <c r="D94" i="33"/>
  <c r="C94" i="33"/>
  <c r="P93" i="33"/>
  <c r="O93" i="33"/>
  <c r="N93" i="33"/>
  <c r="M93" i="33"/>
  <c r="F93" i="33"/>
  <c r="E93" i="33"/>
  <c r="D93" i="33"/>
  <c r="C93" i="33"/>
  <c r="P92" i="33"/>
  <c r="O92" i="33"/>
  <c r="N92" i="33"/>
  <c r="M92" i="33"/>
  <c r="F92" i="33"/>
  <c r="E92" i="33"/>
  <c r="D92" i="33"/>
  <c r="C92" i="33"/>
  <c r="P91" i="33"/>
  <c r="O91" i="33"/>
  <c r="N91" i="33"/>
  <c r="M91" i="33"/>
  <c r="F91" i="33"/>
  <c r="E91" i="33"/>
  <c r="D91" i="33"/>
  <c r="C91" i="33"/>
  <c r="P90" i="33"/>
  <c r="O90" i="33"/>
  <c r="N90" i="33"/>
  <c r="M90" i="33"/>
  <c r="F90" i="33"/>
  <c r="E90" i="33"/>
  <c r="D90" i="33"/>
  <c r="C90" i="33"/>
  <c r="P89" i="33"/>
  <c r="O89" i="33"/>
  <c r="N89" i="33"/>
  <c r="M89" i="33"/>
  <c r="F89" i="33"/>
  <c r="E89" i="33"/>
  <c r="D89" i="33"/>
  <c r="C89" i="33"/>
  <c r="P88" i="33"/>
  <c r="O88" i="33"/>
  <c r="N88" i="33"/>
  <c r="M88" i="33"/>
  <c r="F88" i="33"/>
  <c r="E88" i="33"/>
  <c r="D88" i="33"/>
  <c r="C88" i="33"/>
  <c r="K85" i="33"/>
  <c r="F61" i="33"/>
  <c r="R164" i="33" s="1"/>
  <c r="E61" i="33"/>
  <c r="Q164" i="33" s="1"/>
  <c r="F60" i="33"/>
  <c r="R154" i="33" s="1"/>
  <c r="E60" i="33"/>
  <c r="Q154" i="33" s="1"/>
  <c r="F59" i="33"/>
  <c r="R144" i="33" s="1"/>
  <c r="E59" i="33"/>
  <c r="Q144" i="33" s="1"/>
  <c r="F58" i="33"/>
  <c r="R134" i="33" s="1"/>
  <c r="F57" i="33"/>
  <c r="E57" i="33" s="1"/>
  <c r="Q124" i="33" s="1"/>
  <c r="F56" i="33"/>
  <c r="R114" i="33" s="1"/>
  <c r="E56" i="33"/>
  <c r="Q114" i="33" s="1"/>
  <c r="F55" i="33"/>
  <c r="R104" i="33" s="1"/>
  <c r="E55" i="33"/>
  <c r="Q104" i="33" s="1"/>
  <c r="F54" i="33"/>
  <c r="R94" i="33" s="1"/>
  <c r="E54" i="33"/>
  <c r="Q94" i="33" s="1"/>
  <c r="F53" i="33"/>
  <c r="H164" i="33" s="1"/>
  <c r="E53" i="33"/>
  <c r="G164" i="33" s="1"/>
  <c r="F52" i="33"/>
  <c r="H154" i="33" s="1"/>
  <c r="E52" i="33"/>
  <c r="G154" i="33" s="1"/>
  <c r="F51" i="33"/>
  <c r="H144" i="33" s="1"/>
  <c r="E51" i="33"/>
  <c r="G144" i="33" s="1"/>
  <c r="F50" i="33"/>
  <c r="H134" i="33" s="1"/>
  <c r="E50" i="33"/>
  <c r="G134" i="33" s="1"/>
  <c r="F49" i="33"/>
  <c r="H124" i="33" s="1"/>
  <c r="E49" i="33"/>
  <c r="G124" i="33" s="1"/>
  <c r="F48" i="33"/>
  <c r="H114" i="33" s="1"/>
  <c r="E48" i="33"/>
  <c r="G114" i="33" s="1"/>
  <c r="F47" i="33"/>
  <c r="H104" i="33" s="1"/>
  <c r="E47" i="33"/>
  <c r="G104" i="33" s="1"/>
  <c r="F46" i="33"/>
  <c r="H94" i="33" s="1"/>
  <c r="E46" i="33"/>
  <c r="G94" i="33" s="1"/>
  <c r="T41" i="33"/>
  <c r="R163" i="33" s="1"/>
  <c r="S41" i="33"/>
  <c r="Q163" i="33" s="1"/>
  <c r="R162" i="33"/>
  <c r="L41" i="33"/>
  <c r="Q162" i="33" s="1"/>
  <c r="F41" i="33"/>
  <c r="R161" i="33" s="1"/>
  <c r="T40" i="33"/>
  <c r="R153" i="33" s="1"/>
  <c r="S40" i="33"/>
  <c r="Q153" i="33" s="1"/>
  <c r="R152" i="33"/>
  <c r="L40" i="33"/>
  <c r="Q152" i="33" s="1"/>
  <c r="F40" i="33"/>
  <c r="T39" i="33"/>
  <c r="R143" i="33" s="1"/>
  <c r="S39" i="33"/>
  <c r="Q143" i="33" s="1"/>
  <c r="R142" i="33"/>
  <c r="L39" i="33"/>
  <c r="Q142" i="33" s="1"/>
  <c r="F39" i="33"/>
  <c r="R141" i="33" s="1"/>
  <c r="E39" i="33"/>
  <c r="Q141" i="33" s="1"/>
  <c r="T38" i="33"/>
  <c r="R132" i="33"/>
  <c r="F38" i="33"/>
  <c r="R131" i="33" s="1"/>
  <c r="E38" i="33"/>
  <c r="Q131" i="33" s="1"/>
  <c r="T37" i="33"/>
  <c r="R123" i="33" s="1"/>
  <c r="S37" i="33"/>
  <c r="Q123" i="33" s="1"/>
  <c r="R122" i="33"/>
  <c r="L37" i="33"/>
  <c r="Q122" i="33" s="1"/>
  <c r="F37" i="33"/>
  <c r="R121" i="33" s="1"/>
  <c r="E37" i="33"/>
  <c r="Q121" i="33" s="1"/>
  <c r="T36" i="33"/>
  <c r="R113" i="33" s="1"/>
  <c r="S36" i="33"/>
  <c r="Q113" i="33" s="1"/>
  <c r="R112" i="33"/>
  <c r="L36" i="33"/>
  <c r="Q112" i="33" s="1"/>
  <c r="F36" i="33"/>
  <c r="T35" i="33"/>
  <c r="R103" i="33" s="1"/>
  <c r="S35" i="33"/>
  <c r="Q103" i="33" s="1"/>
  <c r="R102" i="33"/>
  <c r="L35" i="33"/>
  <c r="Q102" i="33" s="1"/>
  <c r="F35" i="33"/>
  <c r="R101" i="33" s="1"/>
  <c r="E35" i="33"/>
  <c r="Q101" i="33" s="1"/>
  <c r="T34" i="33"/>
  <c r="R93" i="33" s="1"/>
  <c r="S34" i="33"/>
  <c r="Q93" i="33" s="1"/>
  <c r="R92" i="33"/>
  <c r="L34" i="33"/>
  <c r="Q92" i="33" s="1"/>
  <c r="F34" i="33"/>
  <c r="R91" i="33" s="1"/>
  <c r="E34" i="33"/>
  <c r="Q91" i="33" s="1"/>
  <c r="T33" i="33"/>
  <c r="H163" i="33" s="1"/>
  <c r="S33" i="33"/>
  <c r="G163" i="33" s="1"/>
  <c r="H162" i="33"/>
  <c r="L33" i="33"/>
  <c r="G162" i="33" s="1"/>
  <c r="F33" i="33"/>
  <c r="H161" i="33" s="1"/>
  <c r="E33" i="33"/>
  <c r="G161" i="33" s="1"/>
  <c r="T32" i="33"/>
  <c r="H153" i="33" s="1"/>
  <c r="S32" i="33"/>
  <c r="G153" i="33" s="1"/>
  <c r="H152" i="33"/>
  <c r="L32" i="33"/>
  <c r="G152" i="33" s="1"/>
  <c r="F32" i="33"/>
  <c r="H151" i="33" s="1"/>
  <c r="E32" i="33"/>
  <c r="G151" i="33" s="1"/>
  <c r="T31" i="33"/>
  <c r="H143" i="33" s="1"/>
  <c r="S31" i="33"/>
  <c r="G143" i="33" s="1"/>
  <c r="H142" i="33"/>
  <c r="L31" i="33"/>
  <c r="G142" i="33" s="1"/>
  <c r="F31" i="33"/>
  <c r="H141" i="33" s="1"/>
  <c r="E31" i="33"/>
  <c r="G141" i="33" s="1"/>
  <c r="T30" i="33"/>
  <c r="H133" i="33" s="1"/>
  <c r="S30" i="33"/>
  <c r="G133" i="33" s="1"/>
  <c r="H132" i="33"/>
  <c r="L30" i="33"/>
  <c r="G132" i="33" s="1"/>
  <c r="F30" i="33"/>
  <c r="H131" i="33" s="1"/>
  <c r="E30" i="33"/>
  <c r="G131" i="33" s="1"/>
  <c r="T29" i="33"/>
  <c r="H123" i="33" s="1"/>
  <c r="S29" i="33"/>
  <c r="G123" i="33" s="1"/>
  <c r="H122" i="33"/>
  <c r="L29" i="33"/>
  <c r="G122" i="33" s="1"/>
  <c r="F29" i="33"/>
  <c r="H121" i="33" s="1"/>
  <c r="E29" i="33"/>
  <c r="G121" i="33" s="1"/>
  <c r="T28" i="33"/>
  <c r="H113" i="33" s="1"/>
  <c r="S28" i="33"/>
  <c r="G113" i="33" s="1"/>
  <c r="H112" i="33"/>
  <c r="L28" i="33"/>
  <c r="G112" i="33" s="1"/>
  <c r="F28" i="33"/>
  <c r="E28" i="33" s="1"/>
  <c r="G111" i="33" s="1"/>
  <c r="T27" i="33"/>
  <c r="H103" i="33" s="1"/>
  <c r="S27" i="33"/>
  <c r="G103" i="33" s="1"/>
  <c r="H102" i="33"/>
  <c r="L27" i="33"/>
  <c r="G102" i="33" s="1"/>
  <c r="F27" i="33"/>
  <c r="H101" i="33" s="1"/>
  <c r="E27" i="33"/>
  <c r="G101" i="33" s="1"/>
  <c r="T26" i="33"/>
  <c r="H93" i="33" s="1"/>
  <c r="S26" i="33"/>
  <c r="G93" i="33" s="1"/>
  <c r="H92" i="33"/>
  <c r="L26" i="33"/>
  <c r="G92" i="33" s="1"/>
  <c r="F26" i="33"/>
  <c r="H91" i="33" s="1"/>
  <c r="E26" i="33"/>
  <c r="G91" i="33" s="1"/>
  <c r="A25" i="33"/>
  <c r="A24" i="33"/>
  <c r="A44" i="33" s="1"/>
  <c r="F23" i="33"/>
  <c r="T21" i="33"/>
  <c r="R160" i="33" s="1"/>
  <c r="S21" i="33"/>
  <c r="Q160" i="33" s="1"/>
  <c r="M21" i="33"/>
  <c r="R159" i="33" s="1"/>
  <c r="L21" i="33"/>
  <c r="Q159" i="33" s="1"/>
  <c r="F21" i="33"/>
  <c r="R158" i="33" s="1"/>
  <c r="T20" i="33"/>
  <c r="R150" i="33" s="1"/>
  <c r="S20" i="33"/>
  <c r="Q150" i="33" s="1"/>
  <c r="M20" i="33"/>
  <c r="R149" i="33" s="1"/>
  <c r="L20" i="33"/>
  <c r="Q149" i="33" s="1"/>
  <c r="F20" i="33"/>
  <c r="R148" i="33" s="1"/>
  <c r="E20" i="33"/>
  <c r="Q148" i="33" s="1"/>
  <c r="T19" i="33"/>
  <c r="R140" i="33" s="1"/>
  <c r="S19" i="33"/>
  <c r="Q140" i="33" s="1"/>
  <c r="M19" i="33"/>
  <c r="R139" i="33" s="1"/>
  <c r="F19" i="33"/>
  <c r="E19" i="33" s="1"/>
  <c r="Q138" i="33" s="1"/>
  <c r="T18" i="33"/>
  <c r="R130" i="33" s="1"/>
  <c r="S18" i="33"/>
  <c r="Q130" i="33" s="1"/>
  <c r="M18" i="33"/>
  <c r="R129" i="33" s="1"/>
  <c r="F18" i="33"/>
  <c r="E18" i="33" s="1"/>
  <c r="Q128" i="33" s="1"/>
  <c r="T17" i="33"/>
  <c r="S17" i="33" s="1"/>
  <c r="Q120" i="33" s="1"/>
  <c r="M17" i="33"/>
  <c r="R119" i="33" s="1"/>
  <c r="L17" i="33"/>
  <c r="Q119" i="33" s="1"/>
  <c r="F17" i="33"/>
  <c r="R118" i="33" s="1"/>
  <c r="T16" i="33"/>
  <c r="R110" i="33" s="1"/>
  <c r="S16" i="33"/>
  <c r="Q110" i="33" s="1"/>
  <c r="M16" i="33"/>
  <c r="R109" i="33" s="1"/>
  <c r="F16" i="33"/>
  <c r="R108" i="33" s="1"/>
  <c r="E16" i="33"/>
  <c r="Q108" i="33" s="1"/>
  <c r="T15" i="33"/>
  <c r="R100" i="33" s="1"/>
  <c r="S15" i="33"/>
  <c r="Q100" i="33" s="1"/>
  <c r="M15" i="33"/>
  <c r="R99" i="33" s="1"/>
  <c r="L15" i="33"/>
  <c r="Q99" i="33" s="1"/>
  <c r="F15" i="33"/>
  <c r="R98" i="33" s="1"/>
  <c r="E15" i="33"/>
  <c r="Q98" i="33" s="1"/>
  <c r="T14" i="33"/>
  <c r="R90" i="33" s="1"/>
  <c r="S14" i="33"/>
  <c r="Q90" i="33" s="1"/>
  <c r="M14" i="33"/>
  <c r="R89" i="33" s="1"/>
  <c r="L14" i="33"/>
  <c r="Q89" i="33" s="1"/>
  <c r="F14" i="33"/>
  <c r="R88" i="33" s="1"/>
  <c r="E14" i="33"/>
  <c r="Q88" i="33" s="1"/>
  <c r="T13" i="33"/>
  <c r="H160" i="33" s="1"/>
  <c r="S13" i="33"/>
  <c r="G160" i="33" s="1"/>
  <c r="M13" i="33"/>
  <c r="H159" i="33" s="1"/>
  <c r="L13" i="33"/>
  <c r="G159" i="33" s="1"/>
  <c r="F13" i="33"/>
  <c r="H158" i="33" s="1"/>
  <c r="E13" i="33"/>
  <c r="G158" i="33" s="1"/>
  <c r="T12" i="33"/>
  <c r="H150" i="33" s="1"/>
  <c r="S12" i="33"/>
  <c r="G150" i="33" s="1"/>
  <c r="M12" i="33"/>
  <c r="L12" i="33" s="1"/>
  <c r="G149" i="33" s="1"/>
  <c r="F12" i="33"/>
  <c r="H148" i="33" s="1"/>
  <c r="E12" i="33"/>
  <c r="G148" i="33" s="1"/>
  <c r="T11" i="33"/>
  <c r="H140" i="33" s="1"/>
  <c r="S11" i="33"/>
  <c r="G140" i="33" s="1"/>
  <c r="M11" i="33"/>
  <c r="H139" i="33" s="1"/>
  <c r="L11" i="33"/>
  <c r="G139" i="33" s="1"/>
  <c r="F11" i="33"/>
  <c r="H138" i="33" s="1"/>
  <c r="E11" i="33"/>
  <c r="G138" i="33" s="1"/>
  <c r="T10" i="33"/>
  <c r="H130" i="33" s="1"/>
  <c r="S10" i="33"/>
  <c r="G130" i="33" s="1"/>
  <c r="M10" i="33"/>
  <c r="H129" i="33" s="1"/>
  <c r="L10" i="33"/>
  <c r="G129" i="33" s="1"/>
  <c r="F10" i="33"/>
  <c r="H128" i="33" s="1"/>
  <c r="E10" i="33"/>
  <c r="G128" i="33" s="1"/>
  <c r="T9" i="33"/>
  <c r="H120" i="33" s="1"/>
  <c r="S9" i="33"/>
  <c r="G120" i="33" s="1"/>
  <c r="M9" i="33"/>
  <c r="H119" i="33" s="1"/>
  <c r="L9" i="33"/>
  <c r="G119" i="33" s="1"/>
  <c r="F9" i="33"/>
  <c r="H118" i="33" s="1"/>
  <c r="E9" i="33"/>
  <c r="G118" i="33" s="1"/>
  <c r="T8" i="33"/>
  <c r="H110" i="33" s="1"/>
  <c r="S8" i="33"/>
  <c r="G110" i="33" s="1"/>
  <c r="M8" i="33"/>
  <c r="H109" i="33" s="1"/>
  <c r="L8" i="33"/>
  <c r="G109" i="33" s="1"/>
  <c r="F8" i="33"/>
  <c r="H108" i="33" s="1"/>
  <c r="E8" i="33"/>
  <c r="G108" i="33" s="1"/>
  <c r="T7" i="33"/>
  <c r="H100" i="33" s="1"/>
  <c r="S7" i="33"/>
  <c r="G100" i="33" s="1"/>
  <c r="M7" i="33"/>
  <c r="H99" i="33" s="1"/>
  <c r="L7" i="33"/>
  <c r="G99" i="33" s="1"/>
  <c r="F7" i="33"/>
  <c r="H98" i="33" s="1"/>
  <c r="E7" i="33"/>
  <c r="G98" i="33" s="1"/>
  <c r="T6" i="33"/>
  <c r="H90" i="33" s="1"/>
  <c r="S6" i="33"/>
  <c r="G90" i="33" s="1"/>
  <c r="M6" i="33"/>
  <c r="H89" i="33" s="1"/>
  <c r="L6" i="33"/>
  <c r="G89" i="33" s="1"/>
  <c r="F6" i="33"/>
  <c r="H88" i="33" s="1"/>
  <c r="E6" i="33"/>
  <c r="G88" i="33" s="1"/>
  <c r="H5" i="33"/>
  <c r="O5" i="33" s="1"/>
  <c r="H4" i="33"/>
  <c r="O4" i="33" s="1"/>
  <c r="M3" i="33"/>
  <c r="T3" i="33" s="1"/>
  <c r="L174" i="22"/>
  <c r="J174" i="22"/>
  <c r="I174" i="22"/>
  <c r="L173" i="22"/>
  <c r="J173" i="22"/>
  <c r="I173" i="22"/>
  <c r="L172" i="22"/>
  <c r="J172" i="22"/>
  <c r="I172" i="22"/>
  <c r="L171" i="22"/>
  <c r="J171" i="22"/>
  <c r="I171" i="22"/>
  <c r="L170" i="22"/>
  <c r="J170" i="22"/>
  <c r="I170" i="22"/>
  <c r="L169" i="22"/>
  <c r="J169" i="22"/>
  <c r="I169" i="22"/>
  <c r="L168" i="22"/>
  <c r="J168" i="22"/>
  <c r="I168" i="22"/>
  <c r="L167" i="22"/>
  <c r="J167" i="22"/>
  <c r="I167" i="22"/>
  <c r="L166" i="22"/>
  <c r="J166" i="22"/>
  <c r="I166" i="22"/>
  <c r="L165" i="22"/>
  <c r="J165" i="22"/>
  <c r="I165" i="22"/>
  <c r="L164" i="22"/>
  <c r="J164" i="22"/>
  <c r="I164" i="22"/>
  <c r="L163" i="22"/>
  <c r="J163" i="22"/>
  <c r="I163" i="22"/>
  <c r="A162" i="22"/>
  <c r="A175" i="22" s="1"/>
  <c r="E160" i="22"/>
  <c r="B160" i="22"/>
  <c r="A160" i="22"/>
  <c r="E159" i="22"/>
  <c r="B159" i="22"/>
  <c r="F151" i="22" s="1"/>
  <c r="A159" i="22"/>
  <c r="E158" i="22"/>
  <c r="B158" i="22"/>
  <c r="A147" i="22" s="1"/>
  <c r="A158" i="22"/>
  <c r="E157" i="22"/>
  <c r="B157" i="22"/>
  <c r="A157" i="22"/>
  <c r="F157" i="22" s="1"/>
  <c r="G157" i="22" s="1"/>
  <c r="M54" i="7" s="1"/>
  <c r="K156" i="22"/>
  <c r="E156" i="22"/>
  <c r="B156" i="22"/>
  <c r="A156" i="22"/>
  <c r="F156" i="22" s="1"/>
  <c r="G156" i="22" s="1"/>
  <c r="M53" i="7" s="1"/>
  <c r="F143" i="22"/>
  <c r="A143" i="22"/>
  <c r="A139" i="22"/>
  <c r="A125" i="22"/>
  <c r="A124" i="22"/>
  <c r="G120" i="22"/>
  <c r="E120" i="22"/>
  <c r="D120" i="22"/>
  <c r="C120" i="22"/>
  <c r="E119" i="22"/>
  <c r="D119" i="22"/>
  <c r="C119" i="22"/>
  <c r="E118" i="22"/>
  <c r="D118" i="22"/>
  <c r="C118" i="22"/>
  <c r="E117" i="22"/>
  <c r="D117" i="22"/>
  <c r="C117" i="22"/>
  <c r="E116" i="22"/>
  <c r="D116" i="22"/>
  <c r="C116" i="22"/>
  <c r="E115" i="22"/>
  <c r="D115" i="22"/>
  <c r="C115" i="22"/>
  <c r="E114" i="22"/>
  <c r="D114" i="22"/>
  <c r="C114" i="22"/>
  <c r="F113" i="22"/>
  <c r="E113" i="22"/>
  <c r="D113" i="22"/>
  <c r="C113" i="22"/>
  <c r="E112" i="22"/>
  <c r="D112" i="22"/>
  <c r="C112" i="22"/>
  <c r="E111" i="22"/>
  <c r="D111" i="22"/>
  <c r="C111" i="22"/>
  <c r="E110" i="22"/>
  <c r="D110" i="22"/>
  <c r="C110" i="22"/>
  <c r="E109" i="22"/>
  <c r="D109" i="22"/>
  <c r="C109" i="22"/>
  <c r="G108" i="22"/>
  <c r="E108" i="22"/>
  <c r="D108" i="22"/>
  <c r="C108" i="22"/>
  <c r="E107" i="22"/>
  <c r="D107" i="22"/>
  <c r="C107" i="22"/>
  <c r="P106" i="22"/>
  <c r="O106" i="22"/>
  <c r="N106" i="22"/>
  <c r="M106" i="22"/>
  <c r="L106" i="22"/>
  <c r="E106" i="22"/>
  <c r="D106" i="22"/>
  <c r="C106" i="22"/>
  <c r="P105" i="22"/>
  <c r="O105" i="22"/>
  <c r="N105" i="22"/>
  <c r="M105" i="22"/>
  <c r="L105" i="22"/>
  <c r="E105" i="22"/>
  <c r="D105" i="22"/>
  <c r="C105" i="22"/>
  <c r="P104" i="22"/>
  <c r="O104" i="22"/>
  <c r="N104" i="22"/>
  <c r="M104" i="22"/>
  <c r="L104" i="22"/>
  <c r="E104" i="22"/>
  <c r="D104" i="22"/>
  <c r="C104" i="22"/>
  <c r="P103" i="22"/>
  <c r="O103" i="22"/>
  <c r="N103" i="22"/>
  <c r="M103" i="22"/>
  <c r="L103" i="22"/>
  <c r="E103" i="22"/>
  <c r="D103" i="22"/>
  <c r="C103" i="22"/>
  <c r="P102" i="22"/>
  <c r="O102" i="22"/>
  <c r="N102" i="22"/>
  <c r="M102" i="22"/>
  <c r="L102" i="22"/>
  <c r="E102" i="22"/>
  <c r="D102" i="22"/>
  <c r="C102" i="22"/>
  <c r="P101" i="22"/>
  <c r="O101" i="22"/>
  <c r="N101" i="22"/>
  <c r="M101" i="22"/>
  <c r="L101" i="22"/>
  <c r="F101" i="22"/>
  <c r="E101" i="22"/>
  <c r="D101" i="22"/>
  <c r="C101" i="22"/>
  <c r="P100" i="22"/>
  <c r="O100" i="22"/>
  <c r="N100" i="22"/>
  <c r="M100" i="22"/>
  <c r="L100" i="22"/>
  <c r="E100" i="22"/>
  <c r="D100" i="22"/>
  <c r="C100" i="22"/>
  <c r="P99" i="22"/>
  <c r="O99" i="22"/>
  <c r="N99" i="22"/>
  <c r="M99" i="22"/>
  <c r="L99" i="22"/>
  <c r="E99" i="22"/>
  <c r="D99" i="22"/>
  <c r="C99" i="22"/>
  <c r="P98" i="22"/>
  <c r="O98" i="22"/>
  <c r="N98" i="22"/>
  <c r="M98" i="22"/>
  <c r="L98" i="22"/>
  <c r="E98" i="22"/>
  <c r="D98" i="22"/>
  <c r="C98" i="22"/>
  <c r="P97" i="22"/>
  <c r="O97" i="22"/>
  <c r="N97" i="22"/>
  <c r="M97" i="22"/>
  <c r="L97" i="22"/>
  <c r="E97" i="22"/>
  <c r="D97" i="22"/>
  <c r="C97" i="22"/>
  <c r="G96" i="22"/>
  <c r="E96" i="22"/>
  <c r="D96" i="22"/>
  <c r="C96" i="22"/>
  <c r="E95" i="22"/>
  <c r="D95" i="22"/>
  <c r="C95" i="22"/>
  <c r="P94" i="22"/>
  <c r="O94" i="22"/>
  <c r="N94" i="22"/>
  <c r="M94" i="22"/>
  <c r="L94" i="22"/>
  <c r="E94" i="22"/>
  <c r="D94" i="22"/>
  <c r="C94" i="22"/>
  <c r="P93" i="22"/>
  <c r="O93" i="22"/>
  <c r="N93" i="22"/>
  <c r="M93" i="22"/>
  <c r="L93" i="22"/>
  <c r="E93" i="22"/>
  <c r="D93" i="22"/>
  <c r="C93" i="22"/>
  <c r="P92" i="22"/>
  <c r="O92" i="22"/>
  <c r="N92" i="22"/>
  <c r="M92" i="22"/>
  <c r="L92" i="22"/>
  <c r="E92" i="22"/>
  <c r="D92" i="22"/>
  <c r="C92" i="22"/>
  <c r="P91" i="22"/>
  <c r="O91" i="22"/>
  <c r="N91" i="22"/>
  <c r="M91" i="22"/>
  <c r="L91" i="22"/>
  <c r="E91" i="22"/>
  <c r="D91" i="22"/>
  <c r="C91" i="22"/>
  <c r="P90" i="22"/>
  <c r="O90" i="22"/>
  <c r="N90" i="22"/>
  <c r="M90" i="22"/>
  <c r="L90" i="22"/>
  <c r="E90" i="22"/>
  <c r="D90" i="22"/>
  <c r="C90" i="22"/>
  <c r="P89" i="22"/>
  <c r="O89" i="22"/>
  <c r="N89" i="22"/>
  <c r="M89" i="22"/>
  <c r="L89" i="22"/>
  <c r="F89" i="22"/>
  <c r="E89" i="22"/>
  <c r="D89" i="22"/>
  <c r="C89" i="22"/>
  <c r="P88" i="22"/>
  <c r="O88" i="22"/>
  <c r="N88" i="22"/>
  <c r="M88" i="22"/>
  <c r="L88" i="22"/>
  <c r="E88" i="22"/>
  <c r="D88" i="22"/>
  <c r="C88" i="22"/>
  <c r="P87" i="22"/>
  <c r="O87" i="22"/>
  <c r="N87" i="22"/>
  <c r="M87" i="22"/>
  <c r="L87" i="22"/>
  <c r="E87" i="22"/>
  <c r="D87" i="22"/>
  <c r="C87" i="22"/>
  <c r="P86" i="22"/>
  <c r="O86" i="22"/>
  <c r="N86" i="22"/>
  <c r="M86" i="22"/>
  <c r="L86" i="22"/>
  <c r="E86" i="22"/>
  <c r="D86" i="22"/>
  <c r="C86" i="22"/>
  <c r="P85" i="22"/>
  <c r="O85" i="22"/>
  <c r="N85" i="22"/>
  <c r="M85" i="22"/>
  <c r="L85" i="22"/>
  <c r="E85" i="22"/>
  <c r="D85" i="22"/>
  <c r="C85" i="22"/>
  <c r="E84" i="22"/>
  <c r="D84" i="22"/>
  <c r="C84" i="22"/>
  <c r="E83" i="22"/>
  <c r="D83" i="22"/>
  <c r="C83" i="22"/>
  <c r="P82" i="22"/>
  <c r="O82" i="22"/>
  <c r="N82" i="22"/>
  <c r="M82" i="22"/>
  <c r="L82" i="22"/>
  <c r="G82" i="22"/>
  <c r="F82" i="22"/>
  <c r="E82" i="22"/>
  <c r="D82" i="22"/>
  <c r="C82" i="22"/>
  <c r="P81" i="22"/>
  <c r="O81" i="22"/>
  <c r="N81" i="22"/>
  <c r="M81" i="22"/>
  <c r="L81" i="22"/>
  <c r="E81" i="22"/>
  <c r="D81" i="22"/>
  <c r="C81" i="22"/>
  <c r="P80" i="22"/>
  <c r="O80" i="22"/>
  <c r="N80" i="22"/>
  <c r="M80" i="22"/>
  <c r="L80" i="22"/>
  <c r="E80" i="22"/>
  <c r="D80" i="22"/>
  <c r="C80" i="22"/>
  <c r="P79" i="22"/>
  <c r="O79" i="22"/>
  <c r="N79" i="22"/>
  <c r="M79" i="22"/>
  <c r="L79" i="22"/>
  <c r="E79" i="22"/>
  <c r="D79" i="22"/>
  <c r="C79" i="22"/>
  <c r="P78" i="22"/>
  <c r="O78" i="22"/>
  <c r="N78" i="22"/>
  <c r="M78" i="22"/>
  <c r="L78" i="22"/>
  <c r="E78" i="22"/>
  <c r="D78" i="22"/>
  <c r="C78" i="22"/>
  <c r="P77" i="22"/>
  <c r="O77" i="22"/>
  <c r="N77" i="22"/>
  <c r="M77" i="22"/>
  <c r="L77" i="22"/>
  <c r="F77" i="22"/>
  <c r="E77" i="22"/>
  <c r="D77" i="22"/>
  <c r="C77" i="22"/>
  <c r="P76" i="22"/>
  <c r="O76" i="22"/>
  <c r="N76" i="22"/>
  <c r="M76" i="22"/>
  <c r="L76" i="22"/>
  <c r="E76" i="22"/>
  <c r="D76" i="22"/>
  <c r="C76" i="22"/>
  <c r="P75" i="22"/>
  <c r="O75" i="22"/>
  <c r="N75" i="22"/>
  <c r="M75" i="22"/>
  <c r="L75" i="22"/>
  <c r="E75" i="22"/>
  <c r="D75" i="22"/>
  <c r="C75" i="22"/>
  <c r="P74" i="22"/>
  <c r="O74" i="22"/>
  <c r="N74" i="22"/>
  <c r="M74" i="22"/>
  <c r="L74" i="22"/>
  <c r="E74" i="22"/>
  <c r="D74" i="22"/>
  <c r="C74" i="22"/>
  <c r="P73" i="22"/>
  <c r="O73" i="22"/>
  <c r="N73" i="22"/>
  <c r="M73" i="22"/>
  <c r="L73" i="22"/>
  <c r="E73" i="22"/>
  <c r="D73" i="22"/>
  <c r="C73" i="22"/>
  <c r="E72" i="22"/>
  <c r="D72" i="22"/>
  <c r="C72" i="22"/>
  <c r="E71" i="22"/>
  <c r="D71" i="22"/>
  <c r="C71" i="22"/>
  <c r="P70" i="22"/>
  <c r="O70" i="22"/>
  <c r="N70" i="22"/>
  <c r="M70" i="22"/>
  <c r="L70" i="22"/>
  <c r="E70" i="22"/>
  <c r="D70" i="22"/>
  <c r="C70" i="22"/>
  <c r="P69" i="22"/>
  <c r="O69" i="22"/>
  <c r="N69" i="22"/>
  <c r="M69" i="22"/>
  <c r="L69" i="22"/>
  <c r="E69" i="22"/>
  <c r="D69" i="22"/>
  <c r="C69" i="22"/>
  <c r="P68" i="22"/>
  <c r="O68" i="22"/>
  <c r="N68" i="22"/>
  <c r="M68" i="22"/>
  <c r="L68" i="22"/>
  <c r="E68" i="22"/>
  <c r="D68" i="22"/>
  <c r="C68" i="22"/>
  <c r="P67" i="22"/>
  <c r="O67" i="22"/>
  <c r="N67" i="22"/>
  <c r="M67" i="22"/>
  <c r="L67" i="22"/>
  <c r="E67" i="22"/>
  <c r="D67" i="22"/>
  <c r="C67" i="22"/>
  <c r="P66" i="22"/>
  <c r="O66" i="22"/>
  <c r="N66" i="22"/>
  <c r="M66" i="22"/>
  <c r="L66" i="22"/>
  <c r="E66" i="22"/>
  <c r="D66" i="22"/>
  <c r="C66" i="22"/>
  <c r="P65" i="22"/>
  <c r="O65" i="22"/>
  <c r="N65" i="22"/>
  <c r="M65" i="22"/>
  <c r="L65" i="22"/>
  <c r="F65" i="22"/>
  <c r="E65" i="22"/>
  <c r="D65" i="22"/>
  <c r="C65" i="22"/>
  <c r="P64" i="22"/>
  <c r="O64" i="22"/>
  <c r="N64" i="22"/>
  <c r="M64" i="22"/>
  <c r="L64" i="22"/>
  <c r="E64" i="22"/>
  <c r="D64" i="22"/>
  <c r="C64" i="22"/>
  <c r="P63" i="22"/>
  <c r="O63" i="22"/>
  <c r="N63" i="22"/>
  <c r="M63" i="22"/>
  <c r="L63" i="22"/>
  <c r="E63" i="22"/>
  <c r="D63" i="22"/>
  <c r="C63" i="22"/>
  <c r="P62" i="22"/>
  <c r="O62" i="22"/>
  <c r="N62" i="22"/>
  <c r="M62" i="22"/>
  <c r="L62" i="22"/>
  <c r="E62" i="22"/>
  <c r="D62" i="22"/>
  <c r="C62" i="22"/>
  <c r="P61" i="22"/>
  <c r="O61" i="22"/>
  <c r="N61" i="22"/>
  <c r="M61" i="22"/>
  <c r="L61" i="22"/>
  <c r="E61" i="22"/>
  <c r="D61" i="22"/>
  <c r="C61" i="22"/>
  <c r="C60" i="22"/>
  <c r="J58" i="22"/>
  <c r="C58" i="22"/>
  <c r="P50" i="22"/>
  <c r="F120" i="22" s="1"/>
  <c r="K50" i="22"/>
  <c r="G119" i="22" s="1"/>
  <c r="J50" i="22"/>
  <c r="F119" i="22" s="1"/>
  <c r="E50" i="22"/>
  <c r="G118" i="22" s="1"/>
  <c r="D50" i="22"/>
  <c r="F118" i="22" s="1"/>
  <c r="P49" i="22"/>
  <c r="F108" i="22" s="1"/>
  <c r="K49" i="22"/>
  <c r="G107" i="22" s="1"/>
  <c r="J49" i="22"/>
  <c r="F107" i="22" s="1"/>
  <c r="E49" i="22"/>
  <c r="G106" i="22" s="1"/>
  <c r="D49" i="22"/>
  <c r="F106" i="22" s="1"/>
  <c r="P48" i="22"/>
  <c r="F96" i="22" s="1"/>
  <c r="K48" i="22"/>
  <c r="G95" i="22" s="1"/>
  <c r="J48" i="22"/>
  <c r="F95" i="22" s="1"/>
  <c r="E48" i="22"/>
  <c r="G94" i="22" s="1"/>
  <c r="D48" i="22"/>
  <c r="F94" i="22" s="1"/>
  <c r="Q47" i="22"/>
  <c r="G84" i="22" s="1"/>
  <c r="P47" i="22"/>
  <c r="F84" i="22" s="1"/>
  <c r="K47" i="22"/>
  <c r="G83" i="22" s="1"/>
  <c r="J47" i="22"/>
  <c r="F83" i="22" s="1"/>
  <c r="E47" i="22"/>
  <c r="D47" i="22"/>
  <c r="Q46" i="22"/>
  <c r="G72" i="22" s="1"/>
  <c r="P46" i="22"/>
  <c r="F72" i="22" s="1"/>
  <c r="K46" i="22"/>
  <c r="G71" i="22" s="1"/>
  <c r="J46" i="22"/>
  <c r="F71" i="22" s="1"/>
  <c r="E46" i="22"/>
  <c r="G70" i="22" s="1"/>
  <c r="D46" i="22"/>
  <c r="F70" i="22" s="1"/>
  <c r="A45" i="22"/>
  <c r="M45" i="22" s="1"/>
  <c r="Q37" i="22"/>
  <c r="G117" i="22" s="1"/>
  <c r="P37" i="22"/>
  <c r="F117" i="22" s="1"/>
  <c r="K37" i="22"/>
  <c r="G116" i="22" s="1"/>
  <c r="J37" i="22"/>
  <c r="F116" i="22" s="1"/>
  <c r="E37" i="22"/>
  <c r="G115" i="22" s="1"/>
  <c r="D37" i="22"/>
  <c r="F115" i="22" s="1"/>
  <c r="Q36" i="22"/>
  <c r="G105" i="22" s="1"/>
  <c r="P36" i="22"/>
  <c r="F105" i="22" s="1"/>
  <c r="K36" i="22"/>
  <c r="G104" i="22" s="1"/>
  <c r="J36" i="22"/>
  <c r="F104" i="22" s="1"/>
  <c r="E36" i="22"/>
  <c r="G103" i="22" s="1"/>
  <c r="D36" i="22"/>
  <c r="F103" i="22" s="1"/>
  <c r="Q35" i="22"/>
  <c r="G93" i="22" s="1"/>
  <c r="P35" i="22"/>
  <c r="F93" i="22" s="1"/>
  <c r="K35" i="22"/>
  <c r="G92" i="22" s="1"/>
  <c r="J35" i="22"/>
  <c r="F92" i="22" s="1"/>
  <c r="E35" i="22"/>
  <c r="G91" i="22" s="1"/>
  <c r="D35" i="22"/>
  <c r="F91" i="22" s="1"/>
  <c r="Q34" i="22"/>
  <c r="G81" i="22" s="1"/>
  <c r="P34" i="22"/>
  <c r="F81" i="22" s="1"/>
  <c r="K34" i="22"/>
  <c r="G80" i="22" s="1"/>
  <c r="J34" i="22"/>
  <c r="F80" i="22" s="1"/>
  <c r="E34" i="22"/>
  <c r="G79" i="22" s="1"/>
  <c r="D34" i="22"/>
  <c r="F79" i="22" s="1"/>
  <c r="Q33" i="22"/>
  <c r="G69" i="22" s="1"/>
  <c r="P33" i="22"/>
  <c r="F69" i="22" s="1"/>
  <c r="K33" i="22"/>
  <c r="G68" i="22" s="1"/>
  <c r="J33" i="22"/>
  <c r="F68" i="22" s="1"/>
  <c r="E33" i="22"/>
  <c r="G67" i="22" s="1"/>
  <c r="D33" i="22"/>
  <c r="F67" i="22" s="1"/>
  <c r="Q23" i="22"/>
  <c r="G114" i="22" s="1"/>
  <c r="P23" i="22"/>
  <c r="F114" i="22" s="1"/>
  <c r="K23" i="22"/>
  <c r="G113" i="22" s="1"/>
  <c r="E23" i="22"/>
  <c r="G112" i="22" s="1"/>
  <c r="D23" i="22"/>
  <c r="F112" i="22" s="1"/>
  <c r="Q22" i="22"/>
  <c r="G102" i="22" s="1"/>
  <c r="P22" i="22"/>
  <c r="F102" i="22" s="1"/>
  <c r="K22" i="22"/>
  <c r="G101" i="22" s="1"/>
  <c r="E22" i="22"/>
  <c r="G100" i="22" s="1"/>
  <c r="D22" i="22"/>
  <c r="F100" i="22" s="1"/>
  <c r="Q21" i="22"/>
  <c r="G90" i="22" s="1"/>
  <c r="P21" i="22"/>
  <c r="F90" i="22" s="1"/>
  <c r="K21" i="22"/>
  <c r="G89" i="22" s="1"/>
  <c r="E21" i="22"/>
  <c r="G88" i="22" s="1"/>
  <c r="D21" i="22"/>
  <c r="F88" i="22" s="1"/>
  <c r="Q20" i="22"/>
  <c r="G78" i="22" s="1"/>
  <c r="P20" i="22"/>
  <c r="F78" i="22" s="1"/>
  <c r="K20" i="22"/>
  <c r="G77" i="22" s="1"/>
  <c r="E20" i="22"/>
  <c r="G76" i="22" s="1"/>
  <c r="D20" i="22"/>
  <c r="F76" i="22" s="1"/>
  <c r="Q19" i="22"/>
  <c r="G66" i="22" s="1"/>
  <c r="P19" i="22"/>
  <c r="F66" i="22" s="1"/>
  <c r="K19" i="22"/>
  <c r="G65" i="22" s="1"/>
  <c r="E19" i="22"/>
  <c r="G64" i="22" s="1"/>
  <c r="D19" i="22"/>
  <c r="F64" i="22" s="1"/>
  <c r="A18" i="22"/>
  <c r="A17" i="22"/>
  <c r="E16" i="22"/>
  <c r="Q10" i="22"/>
  <c r="G111" i="22" s="1"/>
  <c r="P10" i="22"/>
  <c r="F111" i="22" s="1"/>
  <c r="K10" i="22"/>
  <c r="G110" i="22" s="1"/>
  <c r="J10" i="22"/>
  <c r="F110" i="22" s="1"/>
  <c r="E10" i="22"/>
  <c r="G109" i="22" s="1"/>
  <c r="D10" i="22"/>
  <c r="F109" i="22" s="1"/>
  <c r="Q9" i="22"/>
  <c r="G99" i="22" s="1"/>
  <c r="P9" i="22"/>
  <c r="F99" i="22" s="1"/>
  <c r="K9" i="22"/>
  <c r="G98" i="22" s="1"/>
  <c r="J9" i="22"/>
  <c r="F98" i="22" s="1"/>
  <c r="E9" i="22"/>
  <c r="G97" i="22" s="1"/>
  <c r="D9" i="22"/>
  <c r="F97" i="22" s="1"/>
  <c r="Q8" i="22"/>
  <c r="G87" i="22" s="1"/>
  <c r="P8" i="22"/>
  <c r="F87" i="22" s="1"/>
  <c r="K8" i="22"/>
  <c r="G86" i="22" s="1"/>
  <c r="J8" i="22"/>
  <c r="F86" i="22" s="1"/>
  <c r="E8" i="22"/>
  <c r="G85" i="22" s="1"/>
  <c r="D8" i="22"/>
  <c r="F85" i="22" s="1"/>
  <c r="Q7" i="22"/>
  <c r="G75" i="22" s="1"/>
  <c r="P7" i="22"/>
  <c r="F75" i="22" s="1"/>
  <c r="K7" i="22"/>
  <c r="G74" i="22" s="1"/>
  <c r="J7" i="22"/>
  <c r="F74" i="22" s="1"/>
  <c r="E7" i="22"/>
  <c r="G73" i="22" s="1"/>
  <c r="D7" i="22"/>
  <c r="F73" i="22" s="1"/>
  <c r="Q6" i="22"/>
  <c r="G63" i="22" s="1"/>
  <c r="P6" i="22"/>
  <c r="F63" i="22" s="1"/>
  <c r="K6" i="22"/>
  <c r="G62" i="22" s="1"/>
  <c r="J6" i="22"/>
  <c r="F62" i="22" s="1"/>
  <c r="E6" i="22"/>
  <c r="G61" i="22" s="1"/>
  <c r="D6" i="22"/>
  <c r="F61" i="22" s="1"/>
  <c r="G5" i="22"/>
  <c r="M5" i="22" s="1"/>
  <c r="G4" i="22"/>
  <c r="M4" i="22" s="1"/>
  <c r="K3" i="22"/>
  <c r="Q3" i="22" s="1"/>
  <c r="I7" i="32"/>
  <c r="H213" i="33" s="1"/>
  <c r="D7" i="32"/>
  <c r="C213" i="33" s="1"/>
  <c r="B7" i="32"/>
  <c r="A213" i="33" s="1"/>
  <c r="I6" i="32"/>
  <c r="H212" i="33" s="1"/>
  <c r="D6" i="32"/>
  <c r="C212" i="33" s="1"/>
  <c r="B6" i="32"/>
  <c r="A212" i="33" s="1"/>
  <c r="I5" i="32"/>
  <c r="H211" i="33" s="1"/>
  <c r="D5" i="32"/>
  <c r="C211" i="33" s="1"/>
  <c r="B5" i="32"/>
  <c r="A211" i="33" s="1"/>
  <c r="I4" i="32"/>
  <c r="H210" i="33" s="1"/>
  <c r="D4" i="32"/>
  <c r="C210" i="33" s="1"/>
  <c r="B4" i="32"/>
  <c r="A210" i="33" s="1"/>
  <c r="P3" i="32"/>
  <c r="I3" i="32"/>
  <c r="H209" i="33" s="1"/>
  <c r="D3" i="32"/>
  <c r="B3" i="32"/>
  <c r="A209" i="33" s="1"/>
  <c r="B2" i="32"/>
  <c r="M2" i="32" s="1"/>
  <c r="L208" i="33" s="1"/>
  <c r="J77" i="13"/>
  <c r="B67" i="13"/>
  <c r="B63" i="13"/>
  <c r="C45" i="13"/>
  <c r="F34" i="13"/>
  <c r="D34" i="13"/>
  <c r="A13" i="13"/>
  <c r="A12" i="13"/>
  <c r="A11" i="13"/>
  <c r="A10" i="13"/>
  <c r="A9" i="13"/>
  <c r="A6" i="13"/>
  <c r="A5" i="13"/>
  <c r="A4" i="13"/>
  <c r="A1" i="13"/>
  <c r="H71" i="9"/>
  <c r="C71" i="9"/>
  <c r="B67" i="9"/>
  <c r="B68" i="13" s="1"/>
  <c r="B63" i="9"/>
  <c r="B62" i="9"/>
  <c r="B61" i="9"/>
  <c r="B59" i="9"/>
  <c r="B59" i="13" s="1"/>
  <c r="B60" i="9"/>
  <c r="B51" i="9"/>
  <c r="B52" i="13" s="1"/>
  <c r="F48" i="9"/>
  <c r="F49" i="13" s="1"/>
  <c r="D48" i="9"/>
  <c r="D49" i="13" s="1"/>
  <c r="D47" i="9"/>
  <c r="D48" i="13" s="1"/>
  <c r="F46" i="9"/>
  <c r="F47" i="13" s="1"/>
  <c r="D46" i="9"/>
  <c r="D47" i="13" s="1"/>
  <c r="F45" i="9"/>
  <c r="F46" i="13" s="1"/>
  <c r="D45" i="9"/>
  <c r="D46" i="13" s="1"/>
  <c r="F44" i="9"/>
  <c r="F45" i="13" s="1"/>
  <c r="D44" i="9"/>
  <c r="D45" i="13" s="1"/>
  <c r="B41" i="9"/>
  <c r="C38" i="9"/>
  <c r="C39" i="13" s="1"/>
  <c r="C35" i="9"/>
  <c r="B32" i="9"/>
  <c r="C28" i="9"/>
  <c r="C29" i="13" s="1"/>
  <c r="C27" i="9"/>
  <c r="L26" i="9"/>
  <c r="L27" i="13" s="1"/>
  <c r="S22" i="9"/>
  <c r="E22" i="9"/>
  <c r="N22" i="9" s="1"/>
  <c r="E21" i="9"/>
  <c r="E21" i="13" s="1"/>
  <c r="E13" i="9"/>
  <c r="E13" i="13" s="1"/>
  <c r="D13" i="9"/>
  <c r="A13" i="9"/>
  <c r="E12" i="9"/>
  <c r="E12" i="13" s="1"/>
  <c r="D12" i="9"/>
  <c r="A12" i="9"/>
  <c r="E11" i="9"/>
  <c r="E11" i="13" s="1"/>
  <c r="D11" i="9"/>
  <c r="A11" i="9"/>
  <c r="D10" i="9"/>
  <c r="A10" i="9"/>
  <c r="E9" i="9"/>
  <c r="D9" i="9"/>
  <c r="A9" i="9"/>
  <c r="F8" i="9"/>
  <c r="E8" i="9"/>
  <c r="E7" i="9"/>
  <c r="D7" i="9"/>
  <c r="A7" i="9"/>
  <c r="E6" i="9"/>
  <c r="E6" i="13" s="1"/>
  <c r="D6" i="9"/>
  <c r="A6" i="9"/>
  <c r="E5" i="9"/>
  <c r="E5" i="13" s="1"/>
  <c r="D5" i="9"/>
  <c r="A5" i="9"/>
  <c r="E4" i="9"/>
  <c r="E4" i="13" s="1"/>
  <c r="D4" i="9"/>
  <c r="A4" i="9"/>
  <c r="G61" i="12"/>
  <c r="F61" i="12"/>
  <c r="R59" i="12"/>
  <c r="N51" i="12" s="1"/>
  <c r="F59" i="12"/>
  <c r="F58" i="12"/>
  <c r="F57" i="12"/>
  <c r="E57" i="12"/>
  <c r="D55" i="12"/>
  <c r="N49" i="12"/>
  <c r="N65" i="12" s="1"/>
  <c r="N48" i="12"/>
  <c r="N64" i="12" s="1"/>
  <c r="G48" i="12"/>
  <c r="F48" i="12"/>
  <c r="N47" i="12"/>
  <c r="N63" i="12" s="1"/>
  <c r="N46" i="12"/>
  <c r="N62" i="12" s="1"/>
  <c r="F46" i="12"/>
  <c r="N45" i="12"/>
  <c r="F45" i="12"/>
  <c r="F44" i="12"/>
  <c r="E44" i="12"/>
  <c r="H44" i="12" s="1"/>
  <c r="Q43" i="12"/>
  <c r="O44" i="12" s="1"/>
  <c r="D42" i="12"/>
  <c r="N35" i="12"/>
  <c r="G35" i="12"/>
  <c r="F35" i="12"/>
  <c r="N34" i="12"/>
  <c r="N33" i="12"/>
  <c r="F33" i="12"/>
  <c r="N32" i="12"/>
  <c r="F32" i="12"/>
  <c r="N31" i="12"/>
  <c r="F31" i="12"/>
  <c r="E31" i="12"/>
  <c r="H31" i="12" s="1"/>
  <c r="D29" i="12"/>
  <c r="T25" i="12"/>
  <c r="N25" i="12"/>
  <c r="T24" i="12"/>
  <c r="N24" i="12"/>
  <c r="G22" i="12"/>
  <c r="F22" i="12"/>
  <c r="P20" i="12"/>
  <c r="F20" i="12"/>
  <c r="F19" i="12"/>
  <c r="N18" i="12"/>
  <c r="L53" i="12" s="1"/>
  <c r="F18" i="12"/>
  <c r="E18" i="12"/>
  <c r="D16" i="12"/>
  <c r="P14" i="12"/>
  <c r="P13" i="12"/>
  <c r="G9" i="12"/>
  <c r="F9" i="12"/>
  <c r="F7" i="12"/>
  <c r="F6" i="12"/>
  <c r="E6" i="12"/>
  <c r="E32" i="12" s="1"/>
  <c r="F5" i="12"/>
  <c r="E5" i="12"/>
  <c r="D3" i="12"/>
  <c r="K57" i="7"/>
  <c r="L57" i="7" s="1"/>
  <c r="K55" i="7"/>
  <c r="L55" i="7" s="1"/>
  <c r="K54" i="7"/>
  <c r="L54" i="7" s="1"/>
  <c r="K53" i="7"/>
  <c r="L53" i="7" s="1"/>
  <c r="B50" i="7"/>
  <c r="D48" i="7"/>
  <c r="D39" i="9" s="1"/>
  <c r="D40" i="13" s="1"/>
  <c r="D47" i="7"/>
  <c r="D38" i="9" s="1"/>
  <c r="D39" i="13" s="1"/>
  <c r="D46" i="7"/>
  <c r="D37" i="9" s="1"/>
  <c r="D38" i="13" s="1"/>
  <c r="D45" i="7"/>
  <c r="D36" i="9" s="1"/>
  <c r="D37" i="13" s="1"/>
  <c r="D44" i="7"/>
  <c r="D35" i="9" s="1"/>
  <c r="D36" i="13" s="1"/>
  <c r="B34" i="7"/>
  <c r="K31" i="7"/>
  <c r="L29" i="9" s="1"/>
  <c r="C31" i="7"/>
  <c r="C29" i="9" s="1"/>
  <c r="K30" i="7"/>
  <c r="L28" i="9" s="1"/>
  <c r="L29" i="13" s="1"/>
  <c r="K29" i="7"/>
  <c r="L27" i="9" s="1"/>
  <c r="L28" i="13" s="1"/>
  <c r="C28" i="7"/>
  <c r="C26" i="9" s="1"/>
  <c r="B19" i="7"/>
  <c r="B18" i="9" s="1"/>
  <c r="B18" i="7"/>
  <c r="B17" i="9" s="1"/>
  <c r="B17" i="7"/>
  <c r="B16" i="9" s="1"/>
  <c r="E10" i="7"/>
  <c r="F7" i="7"/>
  <c r="F7" i="9" s="1"/>
  <c r="E10" i="9" l="1"/>
  <c r="D19" i="36"/>
  <c r="E9" i="13"/>
  <c r="E9" i="37"/>
  <c r="C28" i="13"/>
  <c r="C28" i="37"/>
  <c r="B61" i="13"/>
  <c r="B61" i="37"/>
  <c r="L38" i="33"/>
  <c r="Q132" i="33" s="1"/>
  <c r="B60" i="13"/>
  <c r="B60" i="37"/>
  <c r="B33" i="13"/>
  <c r="B33" i="37"/>
  <c r="C30" i="13"/>
  <c r="C30" i="37"/>
  <c r="L30" i="13"/>
  <c r="L30" i="37"/>
  <c r="B42" i="13"/>
  <c r="B42" i="37"/>
  <c r="B18" i="13"/>
  <c r="B18" i="37"/>
  <c r="B16" i="13"/>
  <c r="B16" i="37"/>
  <c r="C27" i="13"/>
  <c r="C27" i="37"/>
  <c r="B17" i="13"/>
  <c r="B17" i="37"/>
  <c r="H32" i="12"/>
  <c r="J32" i="12" s="1"/>
  <c r="H57" i="12"/>
  <c r="AJ7" i="12"/>
  <c r="AJ6" i="12"/>
  <c r="AJ5" i="12"/>
  <c r="AJ4" i="12"/>
  <c r="AJ10" i="12"/>
  <c r="Q13" i="12" s="1"/>
  <c r="I47" i="12" s="1"/>
  <c r="AJ9" i="12"/>
  <c r="AJ8" i="12"/>
  <c r="E30" i="22"/>
  <c r="K16" i="22"/>
  <c r="Q16" i="22" s="1"/>
  <c r="A31" i="22"/>
  <c r="M31" i="22" s="1"/>
  <c r="G44" i="22" s="1"/>
  <c r="G17" i="22"/>
  <c r="M17" i="22" s="1"/>
  <c r="A32" i="22"/>
  <c r="M32" i="22" s="1"/>
  <c r="G18" i="22"/>
  <c r="M18" i="22" s="1"/>
  <c r="G31" i="22" s="1"/>
  <c r="A44" i="22" s="1"/>
  <c r="M44" i="22" s="1"/>
  <c r="F43" i="33"/>
  <c r="F63" i="33" s="1"/>
  <c r="M23" i="33"/>
  <c r="T23" i="33" s="1"/>
  <c r="A45" i="33"/>
  <c r="H45" i="33" s="1"/>
  <c r="H25" i="33"/>
  <c r="O25" i="33" s="1"/>
  <c r="E36" i="33"/>
  <c r="Q111" i="33" s="1"/>
  <c r="R111" i="33"/>
  <c r="S38" i="33"/>
  <c r="Q133" i="33" s="1"/>
  <c r="R133" i="33"/>
  <c r="E40" i="33"/>
  <c r="Q151" i="33" s="1"/>
  <c r="R151" i="33"/>
  <c r="G16" i="13"/>
  <c r="F47" i="9"/>
  <c r="F48" i="13" s="1"/>
  <c r="K56" i="7"/>
  <c r="L56" i="7" s="1"/>
  <c r="A151" i="22"/>
  <c r="B123" i="22"/>
  <c r="C125" i="22" s="1"/>
  <c r="F158" i="22"/>
  <c r="G158" i="22" s="1"/>
  <c r="M55" i="7" s="1"/>
  <c r="B52" i="9"/>
  <c r="E22" i="13"/>
  <c r="F159" i="22"/>
  <c r="G159" i="22" s="1"/>
  <c r="M56" i="7" s="1"/>
  <c r="F160" i="22"/>
  <c r="G160" i="22" s="1"/>
  <c r="M57" i="7" s="1"/>
  <c r="P162" i="22"/>
  <c r="P175" i="22" s="1"/>
  <c r="B63" i="7" s="1"/>
  <c r="B54" i="9" s="1"/>
  <c r="A123" i="22"/>
  <c r="L175" i="22"/>
  <c r="W40" i="9"/>
  <c r="N21" i="9"/>
  <c r="F139" i="22"/>
  <c r="F147" i="22"/>
  <c r="E45" i="12"/>
  <c r="H45" i="12" s="1"/>
  <c r="J45" i="12" s="1"/>
  <c r="K45" i="12" s="1"/>
  <c r="H18" i="12"/>
  <c r="T26" i="12"/>
  <c r="R21" i="12" s="1"/>
  <c r="N26" i="12"/>
  <c r="R20" i="12" s="1"/>
  <c r="R22" i="12" s="1"/>
  <c r="H5" i="12"/>
  <c r="K32" i="12"/>
  <c r="L32" i="12"/>
  <c r="C19" i="12"/>
  <c r="N37" i="12"/>
  <c r="E58" i="12"/>
  <c r="H58" i="12" s="1"/>
  <c r="J58" i="12" s="1"/>
  <c r="N60" i="12"/>
  <c r="P22" i="12"/>
  <c r="E19" i="12"/>
  <c r="H19" i="12" s="1"/>
  <c r="J19" i="12" s="1"/>
  <c r="O29" i="12"/>
  <c r="C32" i="12"/>
  <c r="L40" i="12"/>
  <c r="P60" i="12"/>
  <c r="H6" i="12"/>
  <c r="J6" i="12" s="1"/>
  <c r="N30" i="12"/>
  <c r="L66" i="12"/>
  <c r="R44" i="12"/>
  <c r="T44" i="12" s="1"/>
  <c r="O45" i="12" s="1"/>
  <c r="N44" i="12"/>
  <c r="L14" i="12"/>
  <c r="O209" i="33"/>
  <c r="E9" i="12"/>
  <c r="C45" i="12"/>
  <c r="N61" i="12"/>
  <c r="C6" i="12"/>
  <c r="N16" i="12"/>
  <c r="L27" i="12"/>
  <c r="C58" i="12"/>
  <c r="N22" i="12"/>
  <c r="A208" i="33"/>
  <c r="H65" i="33"/>
  <c r="O45" i="33"/>
  <c r="H44" i="33"/>
  <c r="A64" i="33"/>
  <c r="S215" i="33"/>
  <c r="S226" i="33" s="1"/>
  <c r="B62" i="7" s="1"/>
  <c r="B53" i="9" s="1"/>
  <c r="A170" i="33"/>
  <c r="E17" i="33"/>
  <c r="Q118" i="33" s="1"/>
  <c r="L18" i="33"/>
  <c r="Q129" i="33" s="1"/>
  <c r="E21" i="33"/>
  <c r="Q158" i="33" s="1"/>
  <c r="M43" i="33"/>
  <c r="E58" i="33"/>
  <c r="Q134" i="33" s="1"/>
  <c r="H111" i="33"/>
  <c r="H149" i="33"/>
  <c r="B170" i="33"/>
  <c r="E41" i="33"/>
  <c r="Q161" i="33" s="1"/>
  <c r="H24" i="33"/>
  <c r="O24" i="33" s="1"/>
  <c r="R120" i="33"/>
  <c r="R124" i="33"/>
  <c r="R128" i="33"/>
  <c r="R138" i="33"/>
  <c r="L16" i="33"/>
  <c r="Q109" i="33" s="1"/>
  <c r="A65" i="33"/>
  <c r="L19" i="33"/>
  <c r="Q139" i="33" s="1"/>
  <c r="E5" i="32"/>
  <c r="D211" i="33" s="1"/>
  <c r="E7" i="32"/>
  <c r="D213" i="33" s="1"/>
  <c r="H2" i="32"/>
  <c r="G208" i="33" s="1"/>
  <c r="E10" i="13" l="1"/>
  <c r="E10" i="37"/>
  <c r="B53" i="13"/>
  <c r="B53" i="37"/>
  <c r="J27" i="37"/>
  <c r="K27" i="37" s="1"/>
  <c r="K27" i="13"/>
  <c r="B54" i="13"/>
  <c r="B54" i="37"/>
  <c r="E47" i="38"/>
  <c r="H47" i="38" s="1"/>
  <c r="J47" i="38" s="1"/>
  <c r="E21" i="38"/>
  <c r="H21" i="38" s="1"/>
  <c r="J21" i="38" s="1"/>
  <c r="E34" i="38"/>
  <c r="H34" i="38" s="1"/>
  <c r="J34" i="38" s="1"/>
  <c r="E8" i="38"/>
  <c r="H8" i="38" s="1"/>
  <c r="J8" i="38" s="1"/>
  <c r="E61" i="38"/>
  <c r="H61" i="38" s="1"/>
  <c r="J61" i="38" s="1"/>
  <c r="B55" i="13"/>
  <c r="B55" i="37"/>
  <c r="E16" i="13"/>
  <c r="Q11" i="13"/>
  <c r="I7" i="12"/>
  <c r="R45" i="12"/>
  <c r="E4" i="32"/>
  <c r="D210" i="33" s="1"/>
  <c r="E6" i="32"/>
  <c r="D212" i="33" s="1"/>
  <c r="E3" i="32"/>
  <c r="D209" i="33" s="1"/>
  <c r="S61" i="12"/>
  <c r="S60" i="12"/>
  <c r="T60" i="12" s="1"/>
  <c r="Q30" i="22"/>
  <c r="K43" i="22" s="1"/>
  <c r="K30" i="22"/>
  <c r="E43" i="22" s="1"/>
  <c r="Q43" i="22" s="1"/>
  <c r="J30" i="37"/>
  <c r="K30" i="37" s="1"/>
  <c r="L45" i="12"/>
  <c r="B125" i="22"/>
  <c r="I60" i="12"/>
  <c r="D34" i="9"/>
  <c r="D35" i="13" s="1"/>
  <c r="F34" i="9"/>
  <c r="F35" i="13" s="1"/>
  <c r="H34" i="9"/>
  <c r="H35" i="13" s="1"/>
  <c r="I8" i="12"/>
  <c r="I21" i="12"/>
  <c r="I20" i="12"/>
  <c r="I34" i="12"/>
  <c r="O26" i="9"/>
  <c r="E135" i="22"/>
  <c r="B134" i="22"/>
  <c r="D132" i="22"/>
  <c r="B130" i="22"/>
  <c r="G128" i="22"/>
  <c r="B126" i="22"/>
  <c r="C134" i="22"/>
  <c r="C126" i="22"/>
  <c r="D126" i="22" s="1"/>
  <c r="D135" i="22"/>
  <c r="A134" i="22"/>
  <c r="C132" i="22"/>
  <c r="A130" i="22"/>
  <c r="C127" i="22"/>
  <c r="D127" i="22" s="1"/>
  <c r="A126" i="22"/>
  <c r="C130" i="22"/>
  <c r="C135" i="22"/>
  <c r="E133" i="22"/>
  <c r="B132" i="22"/>
  <c r="G129" i="22"/>
  <c r="B127" i="22"/>
  <c r="B135" i="22"/>
  <c r="D133" i="22"/>
  <c r="A132" i="22"/>
  <c r="C128" i="22"/>
  <c r="A127" i="22"/>
  <c r="A135" i="22"/>
  <c r="C133" i="22"/>
  <c r="G130" i="22"/>
  <c r="B128" i="22"/>
  <c r="G126" i="22"/>
  <c r="E134" i="22"/>
  <c r="B133" i="22"/>
  <c r="C129" i="22"/>
  <c r="A128" i="22"/>
  <c r="E132" i="22"/>
  <c r="D134" i="22"/>
  <c r="A133" i="22"/>
  <c r="B129" i="22"/>
  <c r="G127" i="22"/>
  <c r="A129" i="22"/>
  <c r="I59" i="12"/>
  <c r="I46" i="12"/>
  <c r="I33" i="12"/>
  <c r="S35" i="12"/>
  <c r="I48" i="7" s="1"/>
  <c r="T33" i="12"/>
  <c r="J46" i="7" s="1"/>
  <c r="T32" i="12"/>
  <c r="J45" i="7" s="1"/>
  <c r="R31" i="12"/>
  <c r="H44" i="7" s="1"/>
  <c r="I31" i="12"/>
  <c r="J31" i="12" s="1"/>
  <c r="I5" i="12"/>
  <c r="J5" i="12" s="1"/>
  <c r="I44" i="12"/>
  <c r="J44" i="12" s="1"/>
  <c r="R35" i="12"/>
  <c r="H48" i="7" s="1"/>
  <c r="T34" i="12"/>
  <c r="J47" i="7" s="1"/>
  <c r="S33" i="12"/>
  <c r="I46" i="7" s="1"/>
  <c r="S32" i="12"/>
  <c r="I45" i="7" s="1"/>
  <c r="Q31" i="12"/>
  <c r="G44" i="7" s="1"/>
  <c r="I22" i="12"/>
  <c r="I61" i="12"/>
  <c r="Q35" i="12"/>
  <c r="G48" i="7" s="1"/>
  <c r="S34" i="12"/>
  <c r="I47" i="7" s="1"/>
  <c r="R33" i="12"/>
  <c r="H46" i="7" s="1"/>
  <c r="R32" i="12"/>
  <c r="H45" i="7" s="1"/>
  <c r="P31" i="12"/>
  <c r="F44" i="7" s="1"/>
  <c r="I57" i="12"/>
  <c r="J57" i="12" s="1"/>
  <c r="P35" i="12"/>
  <c r="F48" i="7" s="1"/>
  <c r="R34" i="12"/>
  <c r="H47" i="7" s="1"/>
  <c r="Q33" i="12"/>
  <c r="G46" i="7" s="1"/>
  <c r="Q32" i="12"/>
  <c r="G45" i="7" s="1"/>
  <c r="O31" i="12"/>
  <c r="E44" i="7" s="1"/>
  <c r="I18" i="12"/>
  <c r="J18" i="12" s="1"/>
  <c r="T35" i="12"/>
  <c r="J48" i="7" s="1"/>
  <c r="I48" i="12"/>
  <c r="O35" i="12"/>
  <c r="E48" i="7" s="1"/>
  <c r="Q34" i="12"/>
  <c r="G47" i="7" s="1"/>
  <c r="P33" i="12"/>
  <c r="F46" i="7" s="1"/>
  <c r="P32" i="12"/>
  <c r="F45" i="7" s="1"/>
  <c r="P34" i="12"/>
  <c r="F47" i="7" s="1"/>
  <c r="O33" i="12"/>
  <c r="E46" i="7" s="1"/>
  <c r="O32" i="12"/>
  <c r="E45" i="7" s="1"/>
  <c r="I9" i="12"/>
  <c r="I35" i="12"/>
  <c r="O34" i="12"/>
  <c r="E47" i="7" s="1"/>
  <c r="T31" i="12"/>
  <c r="J44" i="7" s="1"/>
  <c r="S31" i="12"/>
  <c r="I44" i="7" s="1"/>
  <c r="L6" i="12"/>
  <c r="K6" i="12"/>
  <c r="L19" i="12"/>
  <c r="K19" i="12"/>
  <c r="L58" i="12"/>
  <c r="K58" i="12"/>
  <c r="M63" i="33"/>
  <c r="T43" i="33"/>
  <c r="O44" i="33"/>
  <c r="H64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B188" i="33"/>
  <c r="B187" i="33"/>
  <c r="B186" i="33"/>
  <c r="B185" i="33"/>
  <c r="B184" i="33"/>
  <c r="B183" i="33"/>
  <c r="B182" i="33"/>
  <c r="B181" i="33"/>
  <c r="B180" i="33"/>
  <c r="B179" i="33"/>
  <c r="B178" i="33"/>
  <c r="B177" i="33"/>
  <c r="B176" i="33"/>
  <c r="B175" i="33"/>
  <c r="B174" i="33"/>
  <c r="B173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D186" i="33"/>
  <c r="D184" i="33"/>
  <c r="D182" i="33"/>
  <c r="D180" i="33"/>
  <c r="D179" i="33"/>
  <c r="D177" i="33"/>
  <c r="D175" i="33"/>
  <c r="H188" i="33"/>
  <c r="G188" i="33" s="1"/>
  <c r="H187" i="33"/>
  <c r="G187" i="33" s="1"/>
  <c r="H186" i="33"/>
  <c r="G186" i="33" s="1"/>
  <c r="H185" i="33"/>
  <c r="G185" i="33" s="1"/>
  <c r="H184" i="33"/>
  <c r="G184" i="33" s="1"/>
  <c r="H183" i="33"/>
  <c r="G183" i="33" s="1"/>
  <c r="H182" i="33"/>
  <c r="G182" i="33" s="1"/>
  <c r="H181" i="33"/>
  <c r="G181" i="33" s="1"/>
  <c r="H180" i="33"/>
  <c r="G180" i="33" s="1"/>
  <c r="H179" i="33"/>
  <c r="G179" i="33" s="1"/>
  <c r="H178" i="33"/>
  <c r="G178" i="33" s="1"/>
  <c r="H177" i="33"/>
  <c r="G177" i="33" s="1"/>
  <c r="H176" i="33"/>
  <c r="G176" i="33" s="1"/>
  <c r="H175" i="33"/>
  <c r="G175" i="33" s="1"/>
  <c r="H174" i="33"/>
  <c r="G174" i="33" s="1"/>
  <c r="H173" i="33"/>
  <c r="G173" i="33" s="1"/>
  <c r="D173" i="33"/>
  <c r="D188" i="33"/>
  <c r="D187" i="33"/>
  <c r="D185" i="33"/>
  <c r="D183" i="33"/>
  <c r="D181" i="33"/>
  <c r="D178" i="33"/>
  <c r="D176" i="33"/>
  <c r="D174" i="33"/>
  <c r="D172" i="33"/>
  <c r="C172" i="33"/>
  <c r="B172" i="33"/>
  <c r="E22" i="12"/>
  <c r="O47" i="12"/>
  <c r="C5" i="32" s="1"/>
  <c r="B211" i="33" s="1"/>
  <c r="C3" i="32"/>
  <c r="B209" i="33" s="1"/>
  <c r="O49" i="12"/>
  <c r="C7" i="32" s="1"/>
  <c r="B213" i="33" s="1"/>
  <c r="O46" i="12"/>
  <c r="C4" i="32" s="1"/>
  <c r="B210" i="33" s="1"/>
  <c r="O48" i="12"/>
  <c r="C6" i="32" s="1"/>
  <c r="B212" i="33" s="1"/>
  <c r="E33" i="38" l="1"/>
  <c r="H33" i="38" s="1"/>
  <c r="J33" i="38" s="1"/>
  <c r="E20" i="38"/>
  <c r="H20" i="38" s="1"/>
  <c r="J20" i="38" s="1"/>
  <c r="E7" i="38"/>
  <c r="H7" i="38" s="1"/>
  <c r="J7" i="38" s="1"/>
  <c r="E60" i="38"/>
  <c r="H60" i="38" s="1"/>
  <c r="J60" i="38" s="1"/>
  <c r="D156" i="22"/>
  <c r="E46" i="38"/>
  <c r="H46" i="38" s="1"/>
  <c r="J46" i="38" s="1"/>
  <c r="K28" i="13"/>
  <c r="J28" i="37"/>
  <c r="K28" i="37" s="1"/>
  <c r="J29" i="13"/>
  <c r="K29" i="13" s="1"/>
  <c r="J29" i="37"/>
  <c r="K29" i="37" s="1"/>
  <c r="K61" i="38"/>
  <c r="L61" i="38"/>
  <c r="L8" i="38"/>
  <c r="K8" i="38"/>
  <c r="L34" i="38"/>
  <c r="K34" i="38"/>
  <c r="L21" i="38"/>
  <c r="K21" i="38"/>
  <c r="L47" i="38"/>
  <c r="K47" i="38"/>
  <c r="O29" i="9"/>
  <c r="J30" i="13"/>
  <c r="K30" i="13" s="1"/>
  <c r="Q12" i="13"/>
  <c r="E127" i="22"/>
  <c r="I140" i="22" s="1"/>
  <c r="E128" i="22"/>
  <c r="I150" i="22" s="1"/>
  <c r="D129" i="22"/>
  <c r="G146" i="22"/>
  <c r="E129" i="22"/>
  <c r="I152" i="22" s="1"/>
  <c r="E126" i="22"/>
  <c r="G140" i="22"/>
  <c r="E130" i="22"/>
  <c r="G148" i="22"/>
  <c r="B146" i="22"/>
  <c r="B138" i="22"/>
  <c r="B140" i="22"/>
  <c r="B148" i="22"/>
  <c r="D152" i="22"/>
  <c r="B142" i="22"/>
  <c r="G152" i="22"/>
  <c r="D144" i="22"/>
  <c r="D146" i="22"/>
  <c r="B144" i="22"/>
  <c r="D148" i="22"/>
  <c r="B150" i="22"/>
  <c r="D142" i="22"/>
  <c r="D150" i="22"/>
  <c r="G150" i="22"/>
  <c r="B152" i="22"/>
  <c r="G142" i="22"/>
  <c r="G144" i="22"/>
  <c r="D140" i="22"/>
  <c r="D128" i="22"/>
  <c r="D130" i="22"/>
  <c r="G138" i="22"/>
  <c r="L18" i="12"/>
  <c r="K18" i="12"/>
  <c r="L57" i="12"/>
  <c r="K57" i="12"/>
  <c r="L44" i="12"/>
  <c r="K44" i="12"/>
  <c r="L5" i="12"/>
  <c r="K5" i="12"/>
  <c r="L31" i="12"/>
  <c r="K31" i="12"/>
  <c r="F183" i="33"/>
  <c r="E183" i="33"/>
  <c r="F184" i="33"/>
  <c r="E184" i="33"/>
  <c r="F177" i="33"/>
  <c r="E177" i="33"/>
  <c r="F185" i="33"/>
  <c r="E185" i="33"/>
  <c r="F182" i="33"/>
  <c r="E182" i="33"/>
  <c r="F175" i="33"/>
  <c r="E175" i="33"/>
  <c r="F176" i="33"/>
  <c r="E176" i="33"/>
  <c r="F178" i="33"/>
  <c r="E178" i="33"/>
  <c r="F186" i="33"/>
  <c r="E186" i="33"/>
  <c r="F173" i="33"/>
  <c r="E173" i="33"/>
  <c r="F179" i="33"/>
  <c r="E179" i="33"/>
  <c r="F187" i="33"/>
  <c r="E187" i="33"/>
  <c r="F180" i="33"/>
  <c r="E180" i="33"/>
  <c r="F188" i="33"/>
  <c r="E188" i="33"/>
  <c r="F181" i="33"/>
  <c r="E181" i="33"/>
  <c r="F174" i="33"/>
  <c r="E174" i="33"/>
  <c r="H9" i="12"/>
  <c r="J9" i="12" s="1"/>
  <c r="L9" i="12" s="1"/>
  <c r="E35" i="12"/>
  <c r="H22" i="12"/>
  <c r="J22" i="12" s="1"/>
  <c r="E19" i="38" l="1"/>
  <c r="H19" i="38" s="1"/>
  <c r="J19" i="38" s="1"/>
  <c r="D159" i="22"/>
  <c r="E6" i="38"/>
  <c r="H6" i="38" s="1"/>
  <c r="J6" i="38" s="1"/>
  <c r="D158" i="22"/>
  <c r="C147" i="22"/>
  <c r="C143" i="22"/>
  <c r="C151" i="22"/>
  <c r="E45" i="38"/>
  <c r="H45" i="38" s="1"/>
  <c r="J45" i="38" s="1"/>
  <c r="E32" i="38"/>
  <c r="H32" i="38" s="1"/>
  <c r="J32" i="38" s="1"/>
  <c r="C139" i="22"/>
  <c r="E211" i="33"/>
  <c r="L33" i="38"/>
  <c r="K33" i="38"/>
  <c r="L20" i="38"/>
  <c r="K20" i="38"/>
  <c r="L7" i="38"/>
  <c r="K7" i="38"/>
  <c r="L60" i="38"/>
  <c r="K60" i="38"/>
  <c r="L46" i="38"/>
  <c r="K46" i="38"/>
  <c r="E17" i="13"/>
  <c r="I144" i="22"/>
  <c r="I146" i="22"/>
  <c r="I148" i="22"/>
  <c r="I138" i="22"/>
  <c r="H139" i="22" s="1"/>
  <c r="I142" i="22"/>
  <c r="E59" i="38"/>
  <c r="H59" i="38" s="1"/>
  <c r="J59" i="38" s="1"/>
  <c r="D160" i="22"/>
  <c r="H160" i="22" s="1"/>
  <c r="H48" i="9" s="1"/>
  <c r="D157" i="22"/>
  <c r="H157" i="22" s="1"/>
  <c r="H45" i="9" s="1"/>
  <c r="H156" i="22"/>
  <c r="H44" i="9" s="1"/>
  <c r="I156" i="22"/>
  <c r="I44" i="9" s="1"/>
  <c r="H151" i="22"/>
  <c r="E213" i="33"/>
  <c r="A204" i="33"/>
  <c r="C205" i="33" s="1"/>
  <c r="E212" i="33"/>
  <c r="A196" i="33"/>
  <c r="A200" i="33"/>
  <c r="A192" i="33"/>
  <c r="C191" i="33" s="1"/>
  <c r="K9" i="12"/>
  <c r="L22" i="12"/>
  <c r="K22" i="12"/>
  <c r="H35" i="12"/>
  <c r="J35" i="12" s="1"/>
  <c r="E48" i="12"/>
  <c r="E18" i="13" l="1"/>
  <c r="L32" i="38"/>
  <c r="L35" i="38" s="1"/>
  <c r="K32" i="38"/>
  <c r="K35" i="38" s="1"/>
  <c r="K36" i="38" s="1"/>
  <c r="K59" i="38"/>
  <c r="K62" i="38" s="1"/>
  <c r="K63" i="38" s="1"/>
  <c r="L59" i="38"/>
  <c r="L62" i="38" s="1"/>
  <c r="L45" i="38"/>
  <c r="L48" i="38" s="1"/>
  <c r="K45" i="38"/>
  <c r="K48" i="38" s="1"/>
  <c r="K49" i="38" s="1"/>
  <c r="L19" i="38"/>
  <c r="L22" i="38" s="1"/>
  <c r="K19" i="38"/>
  <c r="K22" i="38" s="1"/>
  <c r="K23" i="38" s="1"/>
  <c r="K6" i="38"/>
  <c r="K9" i="38" s="1"/>
  <c r="K10" i="38" s="1"/>
  <c r="L6" i="38"/>
  <c r="L9" i="38" s="1"/>
  <c r="I45" i="13"/>
  <c r="I45" i="37"/>
  <c r="H49" i="13"/>
  <c r="H49" i="37"/>
  <c r="H45" i="13"/>
  <c r="H45" i="37"/>
  <c r="H46" i="13"/>
  <c r="H46" i="37"/>
  <c r="H143" i="22"/>
  <c r="G18" i="13"/>
  <c r="H147" i="22"/>
  <c r="I160" i="22"/>
  <c r="I48" i="9" s="1"/>
  <c r="I157" i="22"/>
  <c r="I45" i="9" s="1"/>
  <c r="O27" i="9"/>
  <c r="I158" i="22"/>
  <c r="I46" i="9" s="1"/>
  <c r="I47" i="37" s="1"/>
  <c r="H158" i="22"/>
  <c r="H46" i="9" s="1"/>
  <c r="Q20" i="9"/>
  <c r="I159" i="22"/>
  <c r="I47" i="9" s="1"/>
  <c r="I48" i="37" s="1"/>
  <c r="H159" i="22"/>
  <c r="H47" i="9" s="1"/>
  <c r="F4" i="32"/>
  <c r="G4" i="32" s="1"/>
  <c r="F210" i="33" s="1"/>
  <c r="C203" i="33"/>
  <c r="F7" i="32"/>
  <c r="G7" i="32" s="1"/>
  <c r="F213" i="33" s="1"/>
  <c r="F3" i="32"/>
  <c r="G3" i="32" s="1"/>
  <c r="F209" i="33" s="1"/>
  <c r="F6" i="32"/>
  <c r="G6" i="32" s="1"/>
  <c r="F212" i="33" s="1"/>
  <c r="F5" i="32"/>
  <c r="G5" i="32" s="1"/>
  <c r="F211" i="33" s="1"/>
  <c r="C193" i="33"/>
  <c r="E199" i="33"/>
  <c r="C201" i="33"/>
  <c r="C199" i="33"/>
  <c r="E201" i="33"/>
  <c r="C197" i="33"/>
  <c r="E197" i="33"/>
  <c r="C195" i="33"/>
  <c r="E195" i="33"/>
  <c r="E193" i="33"/>
  <c r="E191" i="33"/>
  <c r="E205" i="33"/>
  <c r="E203" i="33"/>
  <c r="G200" i="33"/>
  <c r="G196" i="33"/>
  <c r="G204" i="33"/>
  <c r="G192" i="33"/>
  <c r="H48" i="12"/>
  <c r="J48" i="12" s="1"/>
  <c r="E61" i="12"/>
  <c r="H61" i="12" s="1"/>
  <c r="J61" i="12" s="1"/>
  <c r="K35" i="12"/>
  <c r="L35" i="12"/>
  <c r="Q13" i="13" l="1"/>
  <c r="K24" i="38"/>
  <c r="K25" i="38" s="1"/>
  <c r="K26" i="38" s="1"/>
  <c r="K27" i="38" s="1"/>
  <c r="O54" i="7" s="1"/>
  <c r="K45" i="9" s="1"/>
  <c r="K50" i="38"/>
  <c r="K51" i="38" s="1"/>
  <c r="K52" i="38" s="1"/>
  <c r="K53" i="38" s="1"/>
  <c r="O56" i="7" s="1"/>
  <c r="K47" i="9" s="1"/>
  <c r="K64" i="38"/>
  <c r="K65" i="38" s="1"/>
  <c r="K66" i="38" s="1"/>
  <c r="K67" i="38" s="1"/>
  <c r="O57" i="7" s="1"/>
  <c r="K48" i="9" s="1"/>
  <c r="P49" i="37" s="1"/>
  <c r="K37" i="38"/>
  <c r="K38" i="38" s="1"/>
  <c r="K39" i="38" s="1"/>
  <c r="K40" i="38" s="1"/>
  <c r="O55" i="7" s="1"/>
  <c r="K46" i="9" s="1"/>
  <c r="K11" i="38"/>
  <c r="K12" i="38" s="1"/>
  <c r="K13" i="38" s="1"/>
  <c r="K14" i="38" s="1"/>
  <c r="O53" i="7" s="1"/>
  <c r="K44" i="9" s="1"/>
  <c r="H47" i="13"/>
  <c r="H47" i="37"/>
  <c r="I46" i="13"/>
  <c r="I46" i="37"/>
  <c r="H48" i="13"/>
  <c r="H48" i="37"/>
  <c r="I49" i="13"/>
  <c r="I49" i="37"/>
  <c r="I48" i="13"/>
  <c r="Q28" i="9"/>
  <c r="R28" i="9"/>
  <c r="W20" i="9"/>
  <c r="B64" i="7" s="1"/>
  <c r="B55" i="9" s="1"/>
  <c r="I47" i="13"/>
  <c r="N209" i="33"/>
  <c r="O3" i="32" s="1"/>
  <c r="P209" i="33"/>
  <c r="Q3" i="32" s="1"/>
  <c r="N210" i="33"/>
  <c r="O4" i="32" s="1"/>
  <c r="E21" i="12" s="1"/>
  <c r="H21" i="12" s="1"/>
  <c r="J21" i="12" s="1"/>
  <c r="L21" i="12" s="1"/>
  <c r="P210" i="33"/>
  <c r="Q4" i="32" s="1"/>
  <c r="E20" i="12" s="1"/>
  <c r="H20" i="12" s="1"/>
  <c r="J20" i="12" s="1"/>
  <c r="N212" i="33"/>
  <c r="O6" i="32" s="1"/>
  <c r="E47" i="12" s="1"/>
  <c r="H47" i="12" s="1"/>
  <c r="J47" i="12" s="1"/>
  <c r="P212" i="33"/>
  <c r="Q6" i="32" s="1"/>
  <c r="E46" i="12" s="1"/>
  <c r="H46" i="12" s="1"/>
  <c r="J46" i="12" s="1"/>
  <c r="O65" i="12"/>
  <c r="P65" i="12" s="1"/>
  <c r="H7" i="32" s="1"/>
  <c r="G213" i="33" s="1"/>
  <c r="J7" i="32"/>
  <c r="L7" i="32"/>
  <c r="K213" i="33" s="1"/>
  <c r="L5" i="32"/>
  <c r="K211" i="33" s="1"/>
  <c r="J5" i="32"/>
  <c r="O63" i="12"/>
  <c r="P63" i="12" s="1"/>
  <c r="H5" i="32" s="1"/>
  <c r="G211" i="33" s="1"/>
  <c r="O62" i="12"/>
  <c r="P62" i="12" s="1"/>
  <c r="H4" i="32" s="1"/>
  <c r="G210" i="33" s="1"/>
  <c r="L4" i="32"/>
  <c r="K210" i="33" s="1"/>
  <c r="J4" i="32"/>
  <c r="O64" i="12"/>
  <c r="P64" i="12" s="1"/>
  <c r="H6" i="32" s="1"/>
  <c r="G212" i="33" s="1"/>
  <c r="L6" i="32"/>
  <c r="K212" i="33" s="1"/>
  <c r="J6" i="32"/>
  <c r="J3" i="32"/>
  <c r="P213" i="33"/>
  <c r="Q7" i="32" s="1"/>
  <c r="E59" i="12" s="1"/>
  <c r="H59" i="12" s="1"/>
  <c r="J59" i="12" s="1"/>
  <c r="N211" i="33"/>
  <c r="O5" i="32" s="1"/>
  <c r="E34" i="12" s="1"/>
  <c r="H34" i="12" s="1"/>
  <c r="J34" i="12" s="1"/>
  <c r="N213" i="33"/>
  <c r="O7" i="32" s="1"/>
  <c r="E60" i="12" s="1"/>
  <c r="H60" i="12" s="1"/>
  <c r="J60" i="12" s="1"/>
  <c r="L3" i="32"/>
  <c r="K209" i="33" s="1"/>
  <c r="P211" i="33"/>
  <c r="Q5" i="32" s="1"/>
  <c r="E33" i="12" s="1"/>
  <c r="H33" i="12" s="1"/>
  <c r="J33" i="12" s="1"/>
  <c r="O61" i="12"/>
  <c r="P61" i="12" s="1"/>
  <c r="H3" i="32" s="1"/>
  <c r="G209" i="33" s="1"/>
  <c r="D204" i="33"/>
  <c r="D192" i="33"/>
  <c r="D196" i="33"/>
  <c r="D200" i="33"/>
  <c r="H205" i="33"/>
  <c r="H203" i="33"/>
  <c r="H201" i="33"/>
  <c r="H199" i="33"/>
  <c r="H193" i="33"/>
  <c r="H191" i="33"/>
  <c r="H197" i="33"/>
  <c r="H195" i="33"/>
  <c r="L61" i="12"/>
  <c r="K61" i="12"/>
  <c r="L48" i="12"/>
  <c r="K48" i="12"/>
  <c r="B56" i="13" l="1"/>
  <c r="B56" i="37"/>
  <c r="M49" i="37"/>
  <c r="L49" i="37"/>
  <c r="P47" i="13"/>
  <c r="M47" i="13" s="1"/>
  <c r="P47" i="37"/>
  <c r="P48" i="13"/>
  <c r="L48" i="13" s="1"/>
  <c r="P48" i="37"/>
  <c r="P46" i="13"/>
  <c r="M46" i="13" s="1"/>
  <c r="P46" i="37"/>
  <c r="P45" i="13"/>
  <c r="M45" i="13" s="1"/>
  <c r="P45" i="37"/>
  <c r="P49" i="13"/>
  <c r="M44" i="9"/>
  <c r="O44" i="9" s="1"/>
  <c r="M45" i="9"/>
  <c r="O45" i="9" s="1"/>
  <c r="M46" i="9"/>
  <c r="O46" i="9" s="1"/>
  <c r="M48" i="9"/>
  <c r="O48" i="9" s="1"/>
  <c r="M47" i="9"/>
  <c r="O47" i="9" s="1"/>
  <c r="O28" i="9"/>
  <c r="N26" i="9" s="1"/>
  <c r="E8" i="12"/>
  <c r="R5" i="12" s="1"/>
  <c r="E7" i="12"/>
  <c r="R4" i="12" s="1"/>
  <c r="K5" i="32"/>
  <c r="J211" i="33" s="1"/>
  <c r="I211" i="33"/>
  <c r="K7" i="32"/>
  <c r="J213" i="33" s="1"/>
  <c r="I213" i="33"/>
  <c r="K4" i="32"/>
  <c r="J210" i="33" s="1"/>
  <c r="I210" i="33"/>
  <c r="K3" i="32"/>
  <c r="J209" i="33" s="1"/>
  <c r="I209" i="33"/>
  <c r="K6" i="32"/>
  <c r="J212" i="33" s="1"/>
  <c r="I212" i="33"/>
  <c r="K21" i="12"/>
  <c r="L59" i="12"/>
  <c r="K59" i="12"/>
  <c r="L20" i="12"/>
  <c r="L23" i="12" s="1"/>
  <c r="K20" i="12"/>
  <c r="L46" i="12"/>
  <c r="K46" i="12"/>
  <c r="L60" i="12"/>
  <c r="K60" i="12"/>
  <c r="M4" i="32"/>
  <c r="L210" i="33" s="1"/>
  <c r="K45" i="7"/>
  <c r="N4" i="32"/>
  <c r="M210" i="33" s="1"/>
  <c r="N7" i="32"/>
  <c r="M213" i="33" s="1"/>
  <c r="M7" i="32"/>
  <c r="L213" i="33" s="1"/>
  <c r="K48" i="7"/>
  <c r="L34" i="12"/>
  <c r="K34" i="12"/>
  <c r="M6" i="32"/>
  <c r="L212" i="33" s="1"/>
  <c r="K47" i="7"/>
  <c r="N6" i="32"/>
  <c r="M212" i="33" s="1"/>
  <c r="K46" i="7"/>
  <c r="N5" i="32"/>
  <c r="M211" i="33" s="1"/>
  <c r="M5" i="32"/>
  <c r="L211" i="33" s="1"/>
  <c r="K33" i="12"/>
  <c r="L33" i="12"/>
  <c r="L47" i="12"/>
  <c r="K47" i="12"/>
  <c r="N3" i="32"/>
  <c r="M209" i="33" s="1"/>
  <c r="M3" i="32"/>
  <c r="L209" i="33" s="1"/>
  <c r="K44" i="7"/>
  <c r="F35" i="9" s="1"/>
  <c r="F36" i="13" l="1"/>
  <c r="F36" i="37"/>
  <c r="L47" i="13"/>
  <c r="M48" i="13"/>
  <c r="L46" i="13"/>
  <c r="M47" i="37"/>
  <c r="L47" i="37"/>
  <c r="M46" i="37"/>
  <c r="L46" i="37"/>
  <c r="M48" i="37"/>
  <c r="L48" i="37"/>
  <c r="M45" i="37"/>
  <c r="L45" i="37"/>
  <c r="L45" i="13"/>
  <c r="L49" i="13"/>
  <c r="M49" i="13"/>
  <c r="N44" i="9"/>
  <c r="R8" i="12"/>
  <c r="R7" i="12"/>
  <c r="H7" i="12"/>
  <c r="J7" i="12" s="1"/>
  <c r="H8" i="12"/>
  <c r="J8" i="12" s="1"/>
  <c r="K23" i="12"/>
  <c r="K24" i="12" s="1"/>
  <c r="K25" i="12" s="1"/>
  <c r="K26" i="12" s="1"/>
  <c r="K27" i="12" s="1"/>
  <c r="K28" i="12" s="1"/>
  <c r="O45" i="7" s="1"/>
  <c r="K36" i="9" s="1"/>
  <c r="L49" i="12"/>
  <c r="K49" i="12"/>
  <c r="K50" i="12" s="1"/>
  <c r="L44" i="7"/>
  <c r="H35" i="9" s="1"/>
  <c r="H36" i="37" s="1"/>
  <c r="M44" i="7"/>
  <c r="I35" i="9" s="1"/>
  <c r="I36" i="37" s="1"/>
  <c r="L36" i="12"/>
  <c r="K36" i="12"/>
  <c r="K37" i="12" s="1"/>
  <c r="L62" i="12"/>
  <c r="K62" i="12"/>
  <c r="K63" i="12" s="1"/>
  <c r="M46" i="7"/>
  <c r="I37" i="9" s="1"/>
  <c r="L46" i="7"/>
  <c r="H37" i="9" s="1"/>
  <c r="F37" i="9"/>
  <c r="M47" i="7"/>
  <c r="I38" i="9" s="1"/>
  <c r="L47" i="7"/>
  <c r="H38" i="9" s="1"/>
  <c r="F38" i="9"/>
  <c r="M48" i="7"/>
  <c r="I39" i="9" s="1"/>
  <c r="L48" i="7"/>
  <c r="H39" i="9" s="1"/>
  <c r="F39" i="9"/>
  <c r="L45" i="7"/>
  <c r="H36" i="9" s="1"/>
  <c r="M45" i="7"/>
  <c r="I36" i="9" s="1"/>
  <c r="I37" i="37" s="1"/>
  <c r="F36" i="9"/>
  <c r="H37" i="13" l="1"/>
  <c r="H37" i="37"/>
  <c r="H38" i="13"/>
  <c r="H38" i="37"/>
  <c r="I38" i="13"/>
  <c r="I38" i="37"/>
  <c r="H40" i="13"/>
  <c r="H40" i="37"/>
  <c r="F39" i="13"/>
  <c r="F39" i="37"/>
  <c r="H39" i="13"/>
  <c r="H39" i="37"/>
  <c r="F40" i="13"/>
  <c r="F40" i="37"/>
  <c r="P37" i="13"/>
  <c r="P37" i="37"/>
  <c r="I40" i="13"/>
  <c r="I40" i="37"/>
  <c r="F37" i="13"/>
  <c r="F37" i="37"/>
  <c r="I39" i="13"/>
  <c r="I39" i="37"/>
  <c r="F38" i="13"/>
  <c r="F38" i="37"/>
  <c r="I36" i="13"/>
  <c r="H36" i="13"/>
  <c r="K51" i="12"/>
  <c r="K52" i="12" s="1"/>
  <c r="K53" i="12" s="1"/>
  <c r="K54" i="12" s="1"/>
  <c r="O47" i="7" s="1"/>
  <c r="K38" i="9" s="1"/>
  <c r="L8" i="12"/>
  <c r="K8" i="12"/>
  <c r="K7" i="12"/>
  <c r="L7" i="12"/>
  <c r="K38" i="12"/>
  <c r="K39" i="12" s="1"/>
  <c r="K40" i="12" s="1"/>
  <c r="K41" i="12" s="1"/>
  <c r="O46" i="7" s="1"/>
  <c r="K37" i="9" s="1"/>
  <c r="K64" i="12"/>
  <c r="K65" i="12" s="1"/>
  <c r="K66" i="12" s="1"/>
  <c r="K67" i="12" s="1"/>
  <c r="O48" i="7" s="1"/>
  <c r="K39" i="9" s="1"/>
  <c r="I37" i="13"/>
  <c r="M36" i="9"/>
  <c r="O36" i="9" s="1"/>
  <c r="P39" i="13" l="1"/>
  <c r="P39" i="37"/>
  <c r="P38" i="13"/>
  <c r="P38" i="37"/>
  <c r="L37" i="37"/>
  <c r="M37" i="37"/>
  <c r="L37" i="13"/>
  <c r="M37" i="13"/>
  <c r="P40" i="37"/>
  <c r="P40" i="13"/>
  <c r="L10" i="12"/>
  <c r="M38" i="9"/>
  <c r="O38" i="9" s="1"/>
  <c r="K10" i="12"/>
  <c r="K11" i="12" s="1"/>
  <c r="M37" i="9"/>
  <c r="O37" i="9" s="1"/>
  <c r="M39" i="9"/>
  <c r="O39" i="9" s="1"/>
  <c r="M38" i="37" l="1"/>
  <c r="L38" i="37"/>
  <c r="M38" i="13"/>
  <c r="L38" i="13"/>
  <c r="L40" i="13"/>
  <c r="M40" i="13"/>
  <c r="M39" i="37"/>
  <c r="L39" i="37"/>
  <c r="M40" i="37"/>
  <c r="L40" i="37"/>
  <c r="L39" i="13"/>
  <c r="M39" i="13"/>
  <c r="K12" i="12"/>
  <c r="K13" i="12" s="1"/>
  <c r="K14" i="12" s="1"/>
  <c r="K15" i="12" s="1"/>
  <c r="O44" i="7" s="1"/>
  <c r="K35" i="9" s="1"/>
  <c r="P36" i="37" s="1"/>
  <c r="M36" i="37" l="1"/>
  <c r="L36" i="37"/>
  <c r="P36" i="13"/>
  <c r="M35" i="9"/>
  <c r="O35" i="9" s="1"/>
  <c r="L36" i="13" l="1"/>
  <c r="M36" i="13"/>
  <c r="N35" i="9"/>
  <c r="R42" i="9" s="1"/>
  <c r="P42" i="9" l="1"/>
  <c r="J71" i="9" s="1"/>
  <c r="E2" i="7" l="1"/>
  <c r="A2" i="9" s="1"/>
  <c r="A2" i="13" s="1"/>
  <c r="H1" i="36"/>
  <c r="B80" i="9" l="1"/>
  <c r="B83" i="9" s="1"/>
  <c r="B85" i="9" s="1"/>
  <c r="B88" i="9" s="1"/>
  <c r="B74" i="7" s="1"/>
  <c r="B64" i="37" s="1"/>
  <c r="A2" i="37"/>
  <c r="B64" i="13" l="1"/>
  <c r="B6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DANNY</author>
  </authors>
  <commentList>
    <comment ref="A7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DANNY: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INPUT DISINI!!!!!!!!!!!!!!!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B37FD877-7C5B-4C94-B438-57DF40470CD5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<sst xmlns="http://schemas.openxmlformats.org/spreadsheetml/2006/main" count="2957" uniqueCount="566">
  <si>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</si>
  <si>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</si>
  <si>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</si>
  <si>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</si>
  <si>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</si>
  <si>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</si>
  <si>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</si>
  <si>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</si>
  <si>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</si>
  <si>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</si>
  <si>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</si>
  <si>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</si>
  <si>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kecepatan treadmill tertelusur ke Satuan Internasional ( SI ) melalui PPM LIPI</t>
  </si>
  <si>
    <t>Hasil kalibrasi kecepatan treadmill tertelusur ke Satuan Internasional ( SI ) melalui PPM LIPI</t>
  </si>
  <si>
    <t>Tidak ada keterangan Hasil kalibrasi ECG tertelusur ke Satuan Internasional melalui CALTEK PTE LTD (LA-2003-0292-C)</t>
  </si>
  <si>
    <t>Sudah ditampilkan</t>
  </si>
  <si>
    <t>4 Mei 2021</t>
  </si>
  <si>
    <t>Update sertifikat tacho</t>
  </si>
  <si>
    <t>DONE</t>
  </si>
  <si>
    <t>Arya</t>
  </si>
  <si>
    <t>Penyederhanaan rumus konversi m/mnt to km/h &amp; mph</t>
  </si>
  <si>
    <t>22 juli 2021</t>
  </si>
  <si>
    <t>Update sertifikat Tacho, ESA, &amp; Thermohygro</t>
  </si>
  <si>
    <t>Perbaikan input sertifikat thermohygro</t>
  </si>
  <si>
    <t>Perbaikan rumus koreksi relatif</t>
  </si>
  <si>
    <t>Venna</t>
  </si>
  <si>
    <t>15 Oktober 2021</t>
  </si>
  <si>
    <t>Penambahan kolom tanggal penerimaan alat</t>
  </si>
  <si>
    <t>Done</t>
  </si>
  <si>
    <t>Penulisan tegangan beserta ktps</t>
  </si>
  <si>
    <t>Update scoring keselamatan listrik &amp; uji kinerja</t>
  </si>
  <si>
    <t>Update DB Tacho &amp; ECG</t>
  </si>
  <si>
    <t>Perbaikan rumus koreksi pada db ECG</t>
  </si>
  <si>
    <t>14.7.2022</t>
  </si>
  <si>
    <t>Update sertifikat</t>
  </si>
  <si>
    <t>Rev 8 : 21 Maret 2022</t>
  </si>
  <si>
    <t>LEMBAR KERJA KALIBRASI TREADMILL WITH ECG</t>
  </si>
  <si>
    <t xml:space="preserve"> Nomor Sertifikat / Surat Keterangan : 54 / ......   / .........  - ........ / E - ............................</t>
  </si>
  <si>
    <t>Merek</t>
  </si>
  <si>
    <t>:</t>
  </si>
  <si>
    <t>Model/Tipe</t>
  </si>
  <si>
    <t>Nomor Seri</t>
  </si>
  <si>
    <t>Resolusi</t>
  </si>
  <si>
    <t>( Km/h ) / ( Mph )</t>
  </si>
  <si>
    <t>BPM</t>
  </si>
  <si>
    <t>Tanggal Penerimaan Alat</t>
  </si>
  <si>
    <t>Tanggal Kalibrasi</t>
  </si>
  <si>
    <t>Tempat Kalibrasi</t>
  </si>
  <si>
    <t>Nama Ruang</t>
  </si>
  <si>
    <t>Metode Kerja</t>
  </si>
  <si>
    <t>: WF MK - 05</t>
  </si>
  <si>
    <t xml:space="preserve">I.     </t>
  </si>
  <si>
    <t>Kondisi Ruang</t>
  </si>
  <si>
    <t>Score</t>
  </si>
  <si>
    <t xml:space="preserve">1. Suhu </t>
  </si>
  <si>
    <r>
      <t>o</t>
    </r>
    <r>
      <rPr>
        <sz val="11"/>
        <rFont val="Arial"/>
        <family val="2"/>
      </rPr>
      <t>C</t>
    </r>
  </si>
  <si>
    <t>2. Kelembaban</t>
  </si>
  <si>
    <t>% RH</t>
  </si>
  <si>
    <t>3. Tegangan Jala-jala</t>
  </si>
  <si>
    <t>Volt</t>
  </si>
  <si>
    <t xml:space="preserve">II.     </t>
  </si>
  <si>
    <t>Pemeriksaan Kondisi Fisik dan Fungsi Alat.</t>
  </si>
  <si>
    <t>1. Fisik</t>
  </si>
  <si>
    <t>: Baik / Tidak Baik</t>
  </si>
  <si>
    <t>2. Fungsi</t>
  </si>
  <si>
    <t>III.</t>
  </si>
  <si>
    <t xml:space="preserve">Pengujian Keselamatan Listrik </t>
  </si>
  <si>
    <t>Parameter</t>
  </si>
  <si>
    <t>Hasil Ukur</t>
  </si>
  <si>
    <t xml:space="preserve"> Ambang Batas </t>
  </si>
  <si>
    <t>Yang Diijinkan</t>
  </si>
  <si>
    <t xml:space="preserve">Resistansi isolasi </t>
  </si>
  <si>
    <t>MΩ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</si>
  <si>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</si>
  <si>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</si>
  <si>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</si>
  <si>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</si>
  <si>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</si>
  <si>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r>
      <rPr>
        <sz val="11"/>
        <rFont val="Calibri"/>
        <family val="2"/>
      </rPr>
      <t>≤</t>
    </r>
    <r>
      <rPr>
        <sz val="11"/>
        <rFont val="Arial"/>
        <family val="2"/>
      </rPr>
      <t xml:space="preserve"> 500 / 100</t>
    </r>
  </si>
  <si>
    <t>Arus bocor peralatan yang diaplikasikan</t>
  </si>
  <si>
    <t>IV.</t>
  </si>
  <si>
    <t>Pengujian Kinerja</t>
  </si>
  <si>
    <t>A. Kalibrasi Akurasi Kecepatan Treadmill</t>
  </si>
  <si>
    <t>Konversi</t>
  </si>
  <si>
    <t>Setting               pada Alat</t>
  </si>
  <si>
    <t>Hasil Pembacaan Standar ( m/min )</t>
  </si>
  <si>
    <t>Toleransi</t>
  </si>
  <si>
    <t>I</t>
  </si>
  <si>
    <t>II</t>
  </si>
  <si>
    <t>III</t>
  </si>
  <si>
    <t>IV</t>
  </si>
  <si>
    <t>V</t>
  </si>
  <si>
    <t>VI</t>
  </si>
  <si>
    <t>Akurasi setting kecepatan</t>
  </si>
  <si>
    <t>1 m/mnt = 0.06 Km/H</t>
  </si>
  <si>
    <r>
      <t>+</t>
    </r>
    <r>
      <rPr>
        <sz val="11"/>
        <rFont val="Arial"/>
        <family val="2"/>
      </rPr>
      <t xml:space="preserve"> 10%</t>
    </r>
  </si>
  <si>
    <t>( Km/H ) / ( Mph )</t>
  </si>
  <si>
    <t>1 m/mnt = 0.0373 Mph</t>
  </si>
  <si>
    <t>B. Kalibrasi Akurasi ECG</t>
  </si>
  <si>
    <t>No</t>
  </si>
  <si>
    <t>Setting                            Pada Standar</t>
  </si>
  <si>
    <t xml:space="preserve"> Pembacaan pada Alat ( BPM )</t>
  </si>
  <si>
    <t xml:space="preserve">Toleransi </t>
  </si>
  <si>
    <t xml:space="preserve">Frekuensi              Heart Rate                      (BPM) </t>
  </si>
  <si>
    <r>
      <t>+</t>
    </r>
    <r>
      <rPr>
        <sz val="11"/>
        <rFont val="Arial"/>
        <family val="2"/>
      </rPr>
      <t xml:space="preserve"> 5%</t>
    </r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</si>
  <si>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</si>
  <si>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</si>
  <si>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</si>
  <si>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</si>
  <si>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</si>
  <si>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</si>
  <si>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Multiparameter Simulator_Merek : RIGEL_Model : PatSim200_SN : 15L-0684 / 11L-0293</t>
  </si>
  <si>
    <t>Multiparameter Simulator_Merek : Fluke_(Model : PS410_SN : 2631276)_(Model : PS420_SN : 1826055 / 1827060)</t>
  </si>
  <si>
    <t>Multiparameter Simulator_Merek : Fluke_Model : MPS450_SN : 184633 / 184635</t>
  </si>
  <si>
    <t>Vital Sign Simulator_Merek : Fluke_Model : Prosim 8_SN : 3217028 / 3188428</t>
  </si>
  <si>
    <t>Defib Analyzer with ECG Simulator_Merek : Fluke_(Model : Impulse 6000D_SN : 3100070)_(Model : Impulse 7000DP, SN : 1837053 / 3732537 )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</si>
  <si>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</si>
  <si>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</si>
  <si>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</si>
  <si>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</si>
  <si>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</si>
  <si>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</si>
  <si>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</si>
  <si>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</si>
  <si>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r>
      <t xml:space="preserve">Alat yang dikalibrasi   </t>
    </r>
    <r>
      <rPr>
        <b/>
        <sz val="11"/>
        <rFont val="Arial"/>
        <family val="2"/>
      </rPr>
      <t>dalam  batas</t>
    </r>
    <r>
      <rPr>
        <sz val="11"/>
        <rFont val="Arial"/>
        <family val="2"/>
      </rPr>
      <t xml:space="preserve"> / </t>
    </r>
    <r>
      <rPr>
        <b/>
        <sz val="11"/>
        <rFont val="Arial"/>
        <family val="2"/>
      </rPr>
      <t>melebihi</t>
    </r>
    <r>
      <rPr>
        <sz val="11"/>
        <rFont val="Arial"/>
        <family val="2"/>
      </rPr>
      <t xml:space="preserve"> toleransi dan dinyatakan </t>
    </r>
    <r>
      <rPr>
        <b/>
        <sz val="11"/>
        <rFont val="Arial"/>
        <family val="2"/>
      </rPr>
      <t>LAIK PAKAI</t>
    </r>
    <r>
      <rPr>
        <sz val="11"/>
        <rFont val="Arial"/>
        <family val="2"/>
      </rPr>
      <t xml:space="preserve"> / </t>
    </r>
    <r>
      <rPr>
        <b/>
        <sz val="11"/>
        <rFont val="Arial"/>
        <family val="2"/>
      </rPr>
      <t>TIDAK LAIK PAKAI</t>
    </r>
  </si>
  <si>
    <t>VIII.</t>
  </si>
  <si>
    <t>Petugas Kalibrasi</t>
  </si>
  <si>
    <t>INPUT DATA KALIBRASI TREADMILL WITH ECG</t>
  </si>
  <si>
    <t xml:space="preserve"> </t>
  </si>
  <si>
    <t>1 / VIII - 22 / E - 008.27 DL</t>
  </si>
  <si>
    <t>Merek Treadmill / ECG</t>
  </si>
  <si>
    <t>Lode</t>
  </si>
  <si>
    <t>Valiant</t>
  </si>
  <si>
    <t>20170071</t>
  </si>
  <si>
    <t>Ruang Treadmill</t>
  </si>
  <si>
    <t>MK 054-18</t>
  </si>
  <si>
    <t>awal</t>
  </si>
  <si>
    <t>akhir</t>
  </si>
  <si>
    <t>terkoreksi</t>
  </si>
  <si>
    <t>ktps</t>
  </si>
  <si>
    <t>Hasil Pemeriksaan Kondisi Fisik dan Fungsi komponen alat.</t>
  </si>
  <si>
    <t>Baik</t>
  </si>
  <si>
    <t xml:space="preserve">Hasil Pengukuran Keselamatan Listrik </t>
  </si>
  <si>
    <t xml:space="preserve"> Ambang Batas Yang Diijinkan</t>
  </si>
  <si>
    <t>G</t>
  </si>
  <si>
    <t>OL</t>
  </si>
  <si>
    <t>MΏ</t>
  </si>
  <si>
    <t>Resistansi Pembumian Protektif (kabel dapat dilepas)</t>
  </si>
  <si>
    <t>Ώ</t>
  </si>
  <si>
    <t>Kelas I</t>
  </si>
  <si>
    <t>Input NC</t>
  </si>
  <si>
    <t>Arus bocor peralatan untuk peralatan elektromedik kelas I</t>
  </si>
  <si>
    <t xml:space="preserve">Hasil Pengukuran Kinerja </t>
  </si>
  <si>
    <t>Set Alat</t>
  </si>
  <si>
    <t xml:space="preserve"> Input Data Tacho ( meter/mnt )</t>
  </si>
  <si>
    <t>Set pada Alat</t>
  </si>
  <si>
    <t>Hasil Pembacaan standar</t>
  </si>
  <si>
    <t>Rata - rata</t>
  </si>
  <si>
    <t>Koreksi</t>
  </si>
  <si>
    <t>Koreksi Relatif (%)</t>
  </si>
  <si>
    <t>Ketidakpastian              Pengukuran (%)</t>
  </si>
  <si>
    <t>Akurasi Setting Kecepatan</t>
  </si>
  <si>
    <t>± 10%</t>
  </si>
  <si>
    <t>Km/h</t>
  </si>
  <si>
    <t xml:space="preserve">  </t>
  </si>
  <si>
    <t>Setting Standar</t>
  </si>
  <si>
    <t xml:space="preserve"> Pembacaan pada Alat</t>
  </si>
  <si>
    <t>Rata-rata</t>
  </si>
  <si>
    <t>Kesalahan Relatif  (%)</t>
  </si>
  <si>
    <t>± 5%</t>
  </si>
  <si>
    <t>Ketidakpastian pengukuran  dilaporkan pada tingkat kepercayaan 95% dengan faktor cakupan k=2</t>
  </si>
  <si>
    <t>Alat Yang Digunakan</t>
  </si>
  <si>
    <t>Digital Tachometer, Merek : Krisbow, Model : KW06-563, SN : 180812206</t>
  </si>
  <si>
    <t>Defibrillator Analyzer with ECG Simulator, Merek : Fluke, Model : Impulse 6000D, SN : 3100070</t>
  </si>
  <si>
    <t>Electrical Safety Analyzer, Merek : Fluke, Model : ESA 615, SN : 4669058</t>
  </si>
  <si>
    <t>Thermohygrobarometer, Merek : EXTECH, Model : SD700, SN : A.100615</t>
  </si>
  <si>
    <t>Gusti Arya Dinata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</si>
  <si>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</si>
  <si>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</si>
  <si>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</si>
  <si>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</si>
  <si>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</si>
  <si>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</si>
  <si>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</si>
  <si>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</si>
  <si>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</si>
  <si>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</si>
  <si>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</si>
  <si>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</si>
  <si>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</si>
  <si>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</si>
  <si>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</si>
  <si>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</si>
  <si>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</si>
  <si>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</si>
  <si>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</si>
  <si>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</si>
  <si>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</si>
  <si>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</si>
  <si>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</si>
  <si>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</si>
  <si>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</si>
  <si>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</si>
  <si>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Control</t>
  </si>
  <si>
    <t>v (m/s) = r x 0.10472 x RPM</t>
  </si>
  <si>
    <t>uici</t>
  </si>
  <si>
    <t>Jari-Jari Roller (m)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</si>
  <si>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</si>
  <si>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</si>
  <si>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</si>
  <si>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</si>
  <si>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</si>
  <si>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</si>
  <si>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</si>
  <si>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</si>
  <si>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(uici)^2</t>
  </si>
  <si>
    <t>(uici)^4/vi</t>
  </si>
  <si>
    <t>v (m/s) to v (km/h) =</t>
  </si>
  <si>
    <t>RPM ke km/h =</t>
  </si>
  <si>
    <t>Digital Tachometer, Merek : Compact Instrument, Model : CT6/LSR/ERP, SN : 631339</t>
  </si>
  <si>
    <t xml:space="preserve">1. Repeatability </t>
  </si>
  <si>
    <t>m/mnt</t>
  </si>
  <si>
    <t>normal</t>
  </si>
  <si>
    <t>Digital Tachometer, Merek : Compact Instrument, Model : CT6/LSR/ERP, SN : 631340</t>
  </si>
  <si>
    <t>2. Daya baca UUT</t>
  </si>
  <si>
    <t>rect.</t>
  </si>
  <si>
    <t>Digital Tachometer, Merek : Compact Instrument, Model : CT6/LSR/ERP, SN : 631341</t>
  </si>
  <si>
    <t xml:space="preserve">3. Drift standar </t>
  </si>
  <si>
    <t>RPM</t>
  </si>
  <si>
    <t>v (m/s) to v (Mph) =</t>
  </si>
  <si>
    <t>RPM ke Mph =</t>
  </si>
  <si>
    <t>Digital Tachometer, Merek : Compact Instrument, Model : CT6/LSR/ERP, SN : 632334</t>
  </si>
  <si>
    <t>4. Sertifikat Standar</t>
  </si>
  <si>
    <t>Digital Tachometer, Merek : Krisbow, Model : KW06-563, SN : 180812179</t>
  </si>
  <si>
    <t>5. Daya baca alat standar</t>
  </si>
  <si>
    <t>Digital Tachometer, Merek : Krisbow, Model : KW06-563, SN : 180812200</t>
  </si>
  <si>
    <t>Jumlah</t>
  </si>
  <si>
    <t>Ketidakpastian baku gabungan, Uc</t>
  </si>
  <si>
    <r>
      <t>Uc</t>
    </r>
    <r>
      <rPr>
        <sz val="11"/>
        <rFont val="Calibri"/>
        <family val="2"/>
        <scheme val="minor"/>
      </rPr>
      <t xml:space="preserve"> = Ö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)²]</t>
    </r>
  </si>
  <si>
    <t>Merk</t>
  </si>
  <si>
    <t>Roller Tachometer</t>
  </si>
  <si>
    <t>r</t>
  </si>
  <si>
    <t>Digital Tachometer, Merek :</t>
  </si>
  <si>
    <t>Derajat kebebasan efektif, veff</t>
  </si>
  <si>
    <r>
      <t>n</t>
    </r>
    <r>
      <rPr>
        <vertAlign val="subscript"/>
        <sz val="11"/>
        <rFont val="Calibri"/>
        <family val="2"/>
        <scheme val="minor"/>
      </rPr>
      <t>eff</t>
    </r>
    <r>
      <rPr>
        <sz val="11"/>
        <rFont val="Calibri"/>
        <family val="2"/>
        <scheme val="minor"/>
      </rPr>
      <t xml:space="preserve"> = u</t>
    </r>
    <r>
      <rPr>
        <vertAlign val="subscript"/>
        <sz val="11"/>
        <rFont val="Calibri"/>
        <family val="2"/>
        <scheme val="minor"/>
      </rPr>
      <t>c</t>
    </r>
    <r>
      <rPr>
        <vertAlign val="super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/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 xml:space="preserve"> 4</t>
    </r>
    <r>
      <rPr>
        <sz val="11"/>
        <rFont val="Calibri"/>
        <family val="2"/>
        <scheme val="minor"/>
      </rPr>
      <t>/n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]</t>
    </r>
  </si>
  <si>
    <t>Diameter (m)</t>
  </si>
  <si>
    <t>Jari-jari (m)</t>
  </si>
  <si>
    <t>Faktor cakupan, k-student's for veff and CL 95%</t>
  </si>
  <si>
    <t>k</t>
  </si>
  <si>
    <t>Compact</t>
  </si>
  <si>
    <t>Ketidakpastian bentangan, U = k.Uc</t>
  </si>
  <si>
    <t>U = k. Uc</t>
  </si>
  <si>
    <t>Krisbow</t>
  </si>
  <si>
    <t>%</t>
  </si>
  <si>
    <t>meter to km &amp; meter to mil</t>
  </si>
  <si>
    <t>m/mnt to km/h</t>
  </si>
  <si>
    <t>Mph</t>
  </si>
  <si>
    <t>m/mnt to mph</t>
  </si>
  <si>
    <t>=</t>
  </si>
  <si>
    <t>/1000</t>
  </si>
  <si>
    <t>Meter ke Km</t>
  </si>
  <si>
    <t>/1609.34</t>
  </si>
  <si>
    <t>Meter ke mil</t>
  </si>
  <si>
    <t>/60</t>
  </si>
  <si>
    <t>menit ke jam</t>
  </si>
  <si>
    <t>Setting</t>
  </si>
  <si>
    <t>m/mnt to RPM</t>
  </si>
  <si>
    <t>RPM = ( v : 60 m/s) / ( r * 0.10472 )</t>
  </si>
  <si>
    <t>Km/h to RPM</t>
  </si>
  <si>
    <t>RPM = v * ( 1000 : 3600 m/s )  / ( r * 0.10472 )</t>
  </si>
  <si>
    <t>Mph to RPM</t>
  </si>
  <si>
    <t>RPM = v * ( 1609.34 : 3600 m/s ) / ( r * 0.10472 )</t>
  </si>
  <si>
    <t>Set</t>
  </si>
  <si>
    <t>v (km/h) = r x 0.10472 x (3600/1000)</t>
  </si>
  <si>
    <t>v (Mph) = r x 0.10472 x (3600/1609.34)</t>
  </si>
  <si>
    <t>Rata-Rata Terkoreksi</t>
  </si>
  <si>
    <t>Heart Rate 30 BPM</t>
  </si>
  <si>
    <t>3. Drift standar ECG Sim</t>
  </si>
  <si>
    <t>4. Sertifikat ECG Sim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</si>
  <si>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</si>
  <si>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</si>
  <si>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</t>
  </si>
  <si>
    <t>Heart Rate 60 BPM</t>
  </si>
  <si>
    <t>Heart Rate 120 BPM</t>
  </si>
  <si>
    <t>Heart Rate 180 BPM</t>
  </si>
  <si>
    <t>Heart Rate 240 BPM</t>
  </si>
  <si>
    <t>HASIL KALIBRASI TREADMILL WITH ECG</t>
  </si>
  <si>
    <t>Pemeriksaan Kondisi Fisik dan Fungsi Alat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</si>
  <si>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</si>
  <si>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</si>
  <si>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</si>
  <si>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</si>
  <si>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</si>
  <si>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</si>
  <si>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 xml:space="preserve"> 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</si>
  <si>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</si>
  <si>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</si>
  <si>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</si>
  <si>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</si>
  <si>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Pembacaan Standar</t>
  </si>
  <si>
    <t>Ketidakpastian Pengukuran (%)</t>
  </si>
  <si>
    <t>[ |C|+|U| ] (%)</t>
  </si>
  <si>
    <t>Score Pengujian Kinerja</t>
  </si>
  <si>
    <t>Treadmill with ECG</t>
  </si>
  <si>
    <t>Treadmill</t>
  </si>
  <si>
    <t>Setting Standar
(BPM)</t>
  </si>
  <si>
    <t>Pembacaan Alat
(BPM)</t>
  </si>
  <si>
    <t>Koreksi
(BPM)</t>
  </si>
  <si>
    <t>Nama</t>
  </si>
  <si>
    <t>Paraf</t>
  </si>
  <si>
    <t>Score Total</t>
  </si>
  <si>
    <t>Dibuat :</t>
  </si>
  <si>
    <t>Penyelia :</t>
  </si>
  <si>
    <t>Tidak Baik</t>
  </si>
  <si>
    <t>Nomor Sertifikat : 54 /</t>
  </si>
  <si>
    <t>Nomor Surat Keterangan : 54 / M -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</si>
  <si>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</si>
  <si>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</si>
  <si>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</si>
  <si>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</si>
  <si>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</si>
  <si>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</si>
  <si>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</si>
  <si>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</si>
  <si>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</si>
  <si>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(BPM)</t>
  </si>
  <si>
    <t>Menyetujui ,</t>
  </si>
  <si>
    <t>Kepala Instalasi Laboratorium</t>
  </si>
  <si>
    <t>Pengujian dan Kalibrasi</t>
  </si>
  <si>
    <t>Choirul Huda, S.Tr. Kes</t>
  </si>
  <si>
    <t>Halaman 2 dari 2 halaman</t>
  </si>
  <si>
    <t>NIP 198103112010121001</t>
  </si>
  <si>
    <t>NIP 198008062010121001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</si>
  <si>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</si>
  <si>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</si>
  <si>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</si>
  <si>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</si>
  <si>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</si>
  <si>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</si>
  <si>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</si>
  <si>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</si>
  <si>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</si>
  <si>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</si>
  <si>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</si>
  <si>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</si>
  <si>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</si>
  <si>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</si>
  <si>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</si>
  <si>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</si>
  <si>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</si>
  <si>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</si>
  <si>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</si>
  <si>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</si>
  <si>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</si>
  <si>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</si>
  <si>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</si>
  <si>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</si>
  <si>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</si>
  <si>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</si>
  <si>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</si>
  <si>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</si>
  <si>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</si>
  <si>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</si>
  <si>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</si>
  <si>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-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</si>
  <si>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</si>
  <si>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</si>
  <si>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</si>
  <si>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</si>
  <si>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</si>
  <si>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</si>
  <si>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</si>
  <si>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</si>
  <si>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</si>
  <si>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</si>
  <si>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</si>
  <si>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</si>
  <si>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</si>
  <si>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</si>
  <si>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</si>
  <si>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</si>
  <si>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</si>
  <si>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</si>
  <si>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</si>
  <si>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</si>
  <si>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</si>
  <si>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</si>
  <si>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</si>
  <si>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</si>
  <si>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</si>
  <si>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</si>
  <si>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</si>
  <si>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</si>
  <si>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</si>
  <si>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</si>
  <si>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</si>
  <si>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</si>
  <si>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</si>
  <si>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</si>
  <si>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</si>
  <si>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</si>
  <si>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</si>
  <si>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</si>
  <si>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</si>
  <si>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</si>
  <si>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</si>
  <si>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</si>
  <si>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</si>
  <si>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</si>
  <si>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</si>
  <si>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</si>
  <si>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</si>
  <si>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</si>
  <si>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</si>
  <si>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</si>
  <si>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</si>
  <si>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</si>
  <si>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</si>
  <si>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</si>
  <si>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</si>
  <si>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</si>
  <si>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</si>
  <si>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</si>
  <si>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</si>
  <si>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</si>
  <si>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</si>
  <si>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</si>
  <si>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</si>
  <si>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</si>
  <si>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</si>
  <si>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</si>
  <si>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</si>
  <si>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</si>
  <si>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</si>
  <si>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</si>
  <si>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</si>
  <si>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</si>
  <si>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</si>
  <si>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</si>
  <si>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</si>
  <si>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</si>
  <si>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</si>
  <si>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</si>
  <si>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</si>
  <si>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</si>
  <si>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Setting (RPM)</t>
  </si>
  <si>
    <t>Rata-rata (m/mnt)</t>
  </si>
  <si>
    <t>Rata-Rata (RPM)</t>
  </si>
  <si>
    <t>Interpolasi Koreksi</t>
  </si>
  <si>
    <t>Rata-rata Terkoreksi (RPM)</t>
  </si>
  <si>
    <t>Kesalahan (RPM)</t>
  </si>
  <si>
    <t>Kesalahan Relatif (%)</t>
  </si>
  <si>
    <t>Koreksi (RPM)</t>
  </si>
  <si>
    <t>Interpolasi U95</t>
  </si>
  <si>
    <t>Daya Baca UUT</t>
  </si>
  <si>
    <t>Interpolasi Drift</t>
  </si>
  <si>
    <t>INPUT SERTIFIKAT TACHOMETER</t>
  </si>
  <si>
    <t>1. SN. 631339</t>
  </si>
  <si>
    <t>U95 STD</t>
  </si>
  <si>
    <t>2. SN. 631340</t>
  </si>
  <si>
    <t>3. SN. 631341</t>
  </si>
  <si>
    <t>Kecepatan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</si>
  <si>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</si>
  <si>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</si>
  <si>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</si>
  <si>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</si>
  <si>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</si>
  <si>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</si>
  <si>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</si>
  <si>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</si>
  <si>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</si>
  <si>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</si>
  <si>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</si>
  <si>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</si>
  <si>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</si>
  <si>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</si>
  <si>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</si>
  <si>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</si>
  <si>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</si>
  <si>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</si>
  <si>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</si>
  <si>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</si>
  <si>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</si>
  <si>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</si>
  <si>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</si>
  <si>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</si>
  <si>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</si>
  <si>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</si>
  <si>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Tahun Kalibrasi</t>
  </si>
  <si>
    <t>Resolusi Alat Standar</t>
  </si>
  <si>
    <t>Hasil kalibrasi kecepatan tertelusur ke Satuan Internasional ( SI ) melalui PT KALIMAN</t>
  </si>
  <si>
    <t>Hasil kalibrasi kecepatan tertelusur ke Satuan Internasional ( SI ) melalui PPM LIPI</t>
  </si>
  <si>
    <t>INPUT SERTIFIKAT ECG SIMULATOR</t>
  </si>
  <si>
    <t>1. PS 410 SN. 2631276</t>
  </si>
  <si>
    <t>2. PS 420 SN. 1827055</t>
  </si>
  <si>
    <t>3. PS420 SN. 1826060</t>
  </si>
  <si>
    <t>ECG</t>
  </si>
  <si>
    <t>4. MPS450 SN. 186433</t>
  </si>
  <si>
    <t>5. MPS450 SN. 186435</t>
  </si>
  <si>
    <t>6. Prosim 8 SN. 3217028</t>
  </si>
  <si>
    <t>7. Prosim 8 SN. 3188428</t>
  </si>
  <si>
    <t>8. PatSim200, SN : 15L-0684</t>
  </si>
  <si>
    <t>9. PatSim200, SN : 11L-0293</t>
  </si>
  <si>
    <t>( BPM )</t>
  </si>
  <si>
    <t>10. Impulse 7000DP (1837053)</t>
  </si>
  <si>
    <t>11. Impulse 7000DP (3732537)</t>
  </si>
  <si>
    <t>12. Impulse 6000D (3100070)</t>
  </si>
  <si>
    <t>Setting Alat</t>
  </si>
  <si>
    <t>Kesalahan</t>
  </si>
  <si>
    <t>Koreksi Relatif(%)</t>
  </si>
  <si>
    <t>Multiparameter Simulator, Merek : Fluke, Model : PS 410, SN : 2631276</t>
  </si>
  <si>
    <t>Hasil kalibrasi ECG tertelusur ke Satuan Internasional melalui DIRJEN YANKES BPFK JAKARTA</t>
  </si>
  <si>
    <t>Multiparameter Simulator, Merek : Fluke, Model : PS 420, SN : 1826055</t>
  </si>
  <si>
    <t>Hasil kalibrasi ECG tertelusur ke Satuan Internasional melalui CALTEK PTE LTD (LA-2003-0292-C)</t>
  </si>
  <si>
    <t>Multiparameter Simulator, Merek : Fluke, Model : PS 420, SN : 1827060</t>
  </si>
  <si>
    <t>Multiparameter Simulator, Merek : Fluke, Model : MPS 450, SN : 184633</t>
  </si>
  <si>
    <t>Multiparameter Simulator, Merek : Fluke, Model : MPS 450, SN : 184635</t>
  </si>
  <si>
    <t>Vital Sign Simulator, Merek : Fluke, Model : Prosim 8, SN : 3217028</t>
  </si>
  <si>
    <t>Vital Sign Simulator, Merek : Fluke, Model : Prosim 8, SN : 3188428</t>
  </si>
  <si>
    <t>Multiparameter Simulator, Merek : RIGEL , Model : PatSim200, SN : 15L-0684</t>
  </si>
  <si>
    <t>Multiparameter Simulator, Merek : RIGEL , Model : PatSim200, SN : 11L-0293</t>
  </si>
  <si>
    <t>Defibrillator Analyzer with ECG Simulator, Merek : Fluke, Model : Impulse 7000DP, SN : 1837053</t>
  </si>
  <si>
    <t>Defibrillator Analyzer with ECG Simulator, Merek : Fluke, Model : Impulse 7000DP, SN : 3732537</t>
  </si>
  <si>
    <r>
      <rPr>
        <sz val="12"/>
        <rFont val="Arial"/>
        <family val="2"/>
      </rPr>
      <t>10</t>
    </r>
  </si>
  <si>
    <t>±</t>
  </si>
  <si>
    <r>
      <rPr>
        <sz val="12"/>
        <rFont val="Arial"/>
        <family val="2"/>
      </rPr>
      <t>5</t>
    </r>
  </si>
  <si>
    <t>Koreksi Relatif</t>
  </si>
  <si>
    <t>(%)</t>
  </si>
  <si>
    <t>Ketidakpastian Pengukuran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</si>
  <si>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</si>
  <si>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</si>
  <si>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</si>
  <si>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</si>
  <si>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</si>
  <si>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Nama Pemilik      :</t>
  </si>
  <si>
    <t xml:space="preserve">Identitas Pemilik     : </t>
  </si>
  <si>
    <t>Alamat Pemilik</t>
  </si>
  <si>
    <t>Jalan ABC</t>
  </si>
  <si>
    <t xml:space="preserve">Nama Ruang 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</si>
  <si>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</si>
  <si>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</si>
  <si>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</si>
  <si>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</si>
  <si>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</si>
  <si>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</si>
  <si>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</si>
  <si>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</si>
  <si>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</si>
  <si>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</si>
  <si>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</si>
  <si>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</si>
  <si>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</si>
  <si>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</si>
  <si>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</si>
  <si>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</si>
  <si>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</si>
  <si>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</si>
  <si>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</si>
  <si>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</si>
  <si>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</si>
  <si>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Resolusi Kecepatan</t>
  </si>
  <si>
    <t>Resolusi Heart Rate</t>
  </si>
  <si>
    <t>Pembacaan Alat</t>
  </si>
  <si>
    <t>Koreksi Arus bocor Applied Part</t>
  </si>
  <si>
    <t>Resistansi pembumian protektif</t>
  </si>
  <si>
    <t>22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</si>
</sst>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0.000"/>
    <numFmt numFmtId="165" formatCode="0.0"/>
    <numFmt numFmtId="166" formatCode="0.000000"/>
    <numFmt numFmtId="167" formatCode="0.00000"/>
    <numFmt numFmtId="168" formatCode="0.0000"/>
    <numFmt numFmtId="169" formatCode="0.0000000"/>
    <numFmt numFmtId="170" formatCode="\±\ 0.0"/>
    <numFmt numFmtId="171" formatCode="0.0\ \ &quot;Volt&quot;"/>
    <numFmt numFmtId="172" formatCode="\±\ \ \ \ 0.0\ \ \°\C"/>
    <numFmt numFmtId="173" formatCode="\±\ \ \ \ 0.0\ \ &quot;%RH&quot;"/>
    <numFmt numFmtId="174" formatCode="\&gt;\ 0"/>
    <numFmt numFmtId="175" formatCode="0&quot;%&quot;"/>
    <numFmt numFmtId="176" formatCode="\≤\ 0.0"/>
    <numFmt numFmtId="177" formatCode="\≥\ 0"/>
    <numFmt numFmtId="178" formatCode="\≤\ 0"/>
    <numFmt numFmtId="179" formatCode="\&gt;\ \2"/>
    <numFmt numFmtId="180" formatCode="0.00\ &quot;%&quot;"/>
    <numFmt numFmtId="181" formatCode="\±\ 0\ &quot;%&quot;"/>
    <numFmt numFmtId="182" formatCode="0.0\ &quot;%&quot;"/>
    <numFmt numFmtId="183" formatCode="0.0\ &quot;MΩ&quot;"/>
    <numFmt numFmtId="184" formatCode="0.000\ \Ω"/>
    <numFmt numFmtId="185" formatCode="0.0\ \µ\A"/>
    <numFmt numFmtId="186" formatCode="0\ \µ\A"/>
    <numFmt numFmtId="187" formatCode="0.0\ \Ω"/>
    <numFmt numFmtId="188" formatCode="\≤\ 0\ \µ\A"/>
    <numFmt numFmtId="189" formatCode="[$-421]dd\ mmmm\ yyyy;@"/>
    <numFmt numFmtId="190" formatCode="0\ &quot;BPM&quot;"/>
    <numFmt numFmtId="191" formatCode="[$-C09]d\ mmmm\ yyyy;@"/>
    <numFmt numFmtId="192" formatCode="0\ &quot;Km/h&quot;"/>
  </numFmts>
  <fonts count="98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8"/>
      <color indexed="81"/>
      <name val="Tahom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name val="Calibri"/>
      <family val="2"/>
    </font>
    <font>
      <sz val="13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i/>
      <sz val="11"/>
      <name val="Arial"/>
      <family val="2"/>
    </font>
    <font>
      <sz val="48"/>
      <name val="Arial"/>
      <family val="2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4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b/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1"/>
      <name val="Calibri"/>
      <family val="2"/>
    </font>
    <font>
      <sz val="10"/>
      <name val="Calibri"/>
      <family val="2"/>
    </font>
    <font>
      <sz val="11"/>
      <name val="Times New Roman"/>
      <family val="1"/>
    </font>
    <font>
      <b/>
      <sz val="10"/>
      <name val="Calibri"/>
      <family val="2"/>
    </font>
    <font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14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u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b/>
      <sz val="8"/>
      <color theme="0"/>
      <name val="Times New Roman"/>
      <family val="1"/>
    </font>
    <font>
      <sz val="10"/>
      <color theme="0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sz val="9"/>
      <name val="Times New Roman"/>
      <family val="1"/>
    </font>
    <font>
      <sz val="10"/>
      <color theme="0" tint="-0.34998626667073579"/>
      <name val="Arial"/>
      <family val="2"/>
    </font>
    <font>
      <b/>
      <i/>
      <sz val="8"/>
      <name val="Arial"/>
      <family val="2"/>
    </font>
    <font>
      <sz val="10"/>
      <color rgb="FF000000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1"/>
      <color rgb="FFFF0000"/>
      <name val="Arial"/>
      <family val="2"/>
    </font>
    <font>
      <b/>
      <sz val="12"/>
      <color rgb="FFFF0000"/>
      <name val="Arial"/>
      <family val="2"/>
    </font>
    <font>
      <sz val="13"/>
      <color rgb="FFFF0000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710">
    <xf numFmtId="0" fontId="0" fillId="0" borderId="0" xfId="0"/>
    <xf numFmtId="0" fontId="12" fillId="0" borderId="0" xfId="0" applyFont="1"/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2" fillId="0" borderId="3" xfId="0" applyFont="1" applyBorder="1"/>
    <xf numFmtId="0" fontId="12" fillId="0" borderId="21" xfId="0" applyFont="1" applyBorder="1"/>
    <xf numFmtId="0" fontId="6" fillId="0" borderId="14" xfId="1" applyFont="1" applyBorder="1"/>
    <xf numFmtId="0" fontId="12" fillId="0" borderId="18" xfId="1" applyFont="1" applyBorder="1"/>
    <xf numFmtId="1" fontId="12" fillId="0" borderId="18" xfId="1" applyNumberFormat="1" applyFont="1" applyBorder="1"/>
    <xf numFmtId="0" fontId="6" fillId="0" borderId="15" xfId="1" applyFont="1" applyBorder="1" applyAlignment="1">
      <alignment horizontal="center"/>
    </xf>
    <xf numFmtId="0" fontId="12" fillId="0" borderId="0" xfId="1" applyFont="1"/>
    <xf numFmtId="0" fontId="12" fillId="0" borderId="21" xfId="1" applyFont="1" applyBorder="1"/>
    <xf numFmtId="0" fontId="20" fillId="0" borderId="14" xfId="1" applyFont="1" applyBorder="1" applyAlignment="1">
      <alignment horizontal="center"/>
    </xf>
    <xf numFmtId="0" fontId="20" fillId="0" borderId="16" xfId="1" applyFont="1" applyBorder="1" applyAlignment="1">
      <alignment horizontal="center"/>
    </xf>
    <xf numFmtId="0" fontId="20" fillId="0" borderId="18" xfId="1" applyFont="1" applyBorder="1" applyAlignment="1">
      <alignment horizontal="center"/>
    </xf>
    <xf numFmtId="2" fontId="20" fillId="0" borderId="18" xfId="1" applyNumberFormat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12" fillId="0" borderId="16" xfId="1" applyFont="1" applyBorder="1" applyAlignment="1">
      <alignment horizontal="left"/>
    </xf>
    <xf numFmtId="0" fontId="12" fillId="0" borderId="16" xfId="1" applyFont="1" applyBorder="1" applyAlignment="1">
      <alignment horizontal="center"/>
    </xf>
    <xf numFmtId="0" fontId="12" fillId="0" borderId="0" xfId="1" applyFont="1" applyAlignment="1">
      <alignment horizontal="center"/>
    </xf>
    <xf numFmtId="2" fontId="12" fillId="0" borderId="0" xfId="1" applyNumberFormat="1" applyFont="1" applyAlignment="1">
      <alignment horizontal="center"/>
    </xf>
    <xf numFmtId="168" fontId="12" fillId="0" borderId="0" xfId="1" applyNumberFormat="1" applyFont="1" applyAlignment="1">
      <alignment horizontal="center"/>
    </xf>
    <xf numFmtId="11" fontId="12" fillId="0" borderId="4" xfId="1" applyNumberFormat="1" applyFont="1" applyBorder="1" applyAlignment="1">
      <alignment horizontal="center"/>
    </xf>
    <xf numFmtId="11" fontId="12" fillId="0" borderId="21" xfId="1" applyNumberFormat="1" applyFont="1" applyBorder="1" applyAlignment="1">
      <alignment horizontal="center"/>
    </xf>
    <xf numFmtId="0" fontId="12" fillId="0" borderId="14" xfId="1" applyFont="1" applyBorder="1" applyAlignment="1">
      <alignment horizontal="left"/>
    </xf>
    <xf numFmtId="0" fontId="12" fillId="0" borderId="18" xfId="1" applyFont="1" applyBorder="1" applyAlignment="1">
      <alignment horizontal="center"/>
    </xf>
    <xf numFmtId="2" fontId="12" fillId="0" borderId="12" xfId="1" applyNumberFormat="1" applyFont="1" applyBorder="1" applyAlignment="1">
      <alignment horizontal="center"/>
    </xf>
    <xf numFmtId="168" fontId="12" fillId="0" borderId="18" xfId="1" applyNumberFormat="1" applyFont="1" applyBorder="1" applyAlignment="1">
      <alignment horizontal="center"/>
    </xf>
    <xf numFmtId="11" fontId="12" fillId="0" borderId="16" xfId="1" applyNumberFormat="1" applyFont="1" applyBorder="1" applyAlignment="1">
      <alignment horizontal="center"/>
    </xf>
    <xf numFmtId="11" fontId="12" fillId="0" borderId="15" xfId="1" applyNumberFormat="1" applyFont="1" applyBorder="1" applyAlignment="1">
      <alignment horizontal="center"/>
    </xf>
    <xf numFmtId="2" fontId="12" fillId="0" borderId="16" xfId="1" applyNumberFormat="1" applyFont="1" applyBorder="1" applyAlignment="1">
      <alignment horizontal="center"/>
    </xf>
    <xf numFmtId="168" fontId="12" fillId="0" borderId="16" xfId="1" applyNumberFormat="1" applyFont="1" applyBorder="1" applyAlignment="1">
      <alignment horizontal="center"/>
    </xf>
    <xf numFmtId="0" fontId="12" fillId="0" borderId="16" xfId="1" applyFont="1" applyBorder="1"/>
    <xf numFmtId="2" fontId="12" fillId="0" borderId="13" xfId="1" applyNumberFormat="1" applyFont="1" applyBorder="1" applyAlignment="1">
      <alignment horizontal="center"/>
    </xf>
    <xf numFmtId="0" fontId="20" fillId="0" borderId="3" xfId="1" applyFont="1" applyBorder="1"/>
    <xf numFmtId="0" fontId="6" fillId="0" borderId="0" xfId="1" applyFont="1"/>
    <xf numFmtId="2" fontId="6" fillId="0" borderId="0" xfId="1" applyNumberFormat="1" applyFont="1"/>
    <xf numFmtId="11" fontId="12" fillId="0" borderId="3" xfId="1" applyNumberFormat="1" applyFont="1" applyBorder="1" applyAlignment="1">
      <alignment horizontal="center"/>
    </xf>
    <xf numFmtId="0" fontId="20" fillId="0" borderId="14" xfId="1" applyFont="1" applyBorder="1"/>
    <xf numFmtId="0" fontId="13" fillId="0" borderId="18" xfId="1" applyFont="1" applyBorder="1"/>
    <xf numFmtId="2" fontId="13" fillId="0" borderId="18" xfId="1" applyNumberFormat="1" applyFont="1" applyBorder="1"/>
    <xf numFmtId="0" fontId="21" fillId="0" borderId="18" xfId="1" applyFont="1" applyBorder="1"/>
    <xf numFmtId="167" fontId="14" fillId="0" borderId="14" xfId="1" applyNumberFormat="1" applyFont="1" applyBorder="1" applyAlignment="1">
      <alignment horizontal="center"/>
    </xf>
    <xf numFmtId="0" fontId="14" fillId="0" borderId="15" xfId="1" applyFont="1" applyBorder="1"/>
    <xf numFmtId="0" fontId="13" fillId="0" borderId="0" xfId="1" applyFont="1"/>
    <xf numFmtId="2" fontId="13" fillId="0" borderId="0" xfId="1" applyNumberFormat="1" applyFont="1"/>
    <xf numFmtId="0" fontId="14" fillId="0" borderId="0" xfId="1" applyFont="1"/>
    <xf numFmtId="11" fontId="14" fillId="0" borderId="3" xfId="1" applyNumberFormat="1" applyFont="1" applyBorder="1" applyAlignment="1">
      <alignment horizontal="center"/>
    </xf>
    <xf numFmtId="0" fontId="14" fillId="0" borderId="21" xfId="1" applyFont="1" applyBorder="1"/>
    <xf numFmtId="0" fontId="14" fillId="0" borderId="18" xfId="1" applyFont="1" applyBorder="1"/>
    <xf numFmtId="2" fontId="7" fillId="0" borderId="14" xfId="1" applyNumberFormat="1" applyFont="1" applyBorder="1" applyAlignment="1">
      <alignment horizontal="center"/>
    </xf>
    <xf numFmtId="0" fontId="20" fillId="0" borderId="19" xfId="1" applyFont="1" applyBorder="1"/>
    <xf numFmtId="0" fontId="13" fillId="0" borderId="13" xfId="1" applyFont="1" applyBorder="1"/>
    <xf numFmtId="2" fontId="13" fillId="0" borderId="13" xfId="1" applyNumberFormat="1" applyFont="1" applyBorder="1"/>
    <xf numFmtId="0" fontId="14" fillId="0" borderId="13" xfId="1" applyFont="1" applyBorder="1"/>
    <xf numFmtId="2" fontId="13" fillId="0" borderId="19" xfId="1" applyNumberFormat="1" applyFont="1" applyBorder="1" applyAlignment="1">
      <alignment horizontal="center"/>
    </xf>
    <xf numFmtId="164" fontId="13" fillId="0" borderId="20" xfId="1" applyNumberFormat="1" applyFont="1" applyBorder="1" applyAlignment="1">
      <alignment horizontal="center"/>
    </xf>
    <xf numFmtId="0" fontId="12" fillId="0" borderId="12" xfId="0" applyFont="1" applyBorder="1"/>
    <xf numFmtId="2" fontId="12" fillId="0" borderId="16" xfId="0" applyNumberFormat="1" applyFont="1" applyBorder="1" applyAlignment="1">
      <alignment horizontal="center" vertical="center"/>
    </xf>
    <xf numFmtId="2" fontId="6" fillId="0" borderId="0" xfId="0" quotePrefix="1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quotePrefix="1" applyFont="1"/>
    <xf numFmtId="0" fontId="6" fillId="0" borderId="0" xfId="0" applyFont="1"/>
    <xf numFmtId="169" fontId="6" fillId="0" borderId="0" xfId="0" applyNumberFormat="1" applyFont="1"/>
    <xf numFmtId="0" fontId="12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7" fillId="0" borderId="0" xfId="2" applyFont="1" applyAlignment="1" applyProtection="1">
      <alignment vertical="center"/>
      <protection locked="0"/>
    </xf>
    <xf numFmtId="165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165" fontId="25" fillId="2" borderId="0" xfId="0" applyNumberFormat="1" applyFont="1" applyFill="1" applyAlignment="1">
      <alignment horizontal="center" vertical="center"/>
    </xf>
    <xf numFmtId="2" fontId="25" fillId="2" borderId="0" xfId="0" applyNumberFormat="1" applyFont="1" applyFill="1" applyAlignment="1">
      <alignment horizontal="center" vertical="center"/>
    </xf>
    <xf numFmtId="0" fontId="25" fillId="2" borderId="0" xfId="0" applyFont="1" applyFill="1"/>
    <xf numFmtId="0" fontId="1" fillId="2" borderId="0" xfId="0" applyFont="1" applyFill="1"/>
    <xf numFmtId="0" fontId="0" fillId="0" borderId="55" xfId="0" applyBorder="1"/>
    <xf numFmtId="0" fontId="26" fillId="2" borderId="0" xfId="0" applyFont="1" applyFill="1" applyAlignment="1">
      <alignment vertical="center"/>
    </xf>
    <xf numFmtId="0" fontId="0" fillId="2" borderId="0" xfId="0" applyFill="1"/>
    <xf numFmtId="0" fontId="29" fillId="2" borderId="0" xfId="1" applyFont="1" applyFill="1"/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vertical="center" wrapText="1"/>
    </xf>
    <xf numFmtId="0" fontId="28" fillId="2" borderId="0" xfId="0" applyFont="1" applyFill="1" applyAlignment="1">
      <alignment vertical="center"/>
    </xf>
    <xf numFmtId="0" fontId="29" fillId="2" borderId="0" xfId="1" applyFont="1" applyFill="1" applyAlignment="1">
      <alignment vertical="center"/>
    </xf>
    <xf numFmtId="0" fontId="23" fillId="2" borderId="32" xfId="0" applyFont="1" applyFill="1" applyBorder="1" applyAlignment="1">
      <alignment horizontal="center" vertical="center"/>
    </xf>
    <xf numFmtId="0" fontId="29" fillId="2" borderId="32" xfId="1" applyFont="1" applyFill="1" applyBorder="1" applyAlignment="1">
      <alignment horizontal="center" vertical="center"/>
    </xf>
    <xf numFmtId="0" fontId="23" fillId="7" borderId="16" xfId="0" applyFont="1" applyFill="1" applyBorder="1" applyAlignment="1">
      <alignment horizontal="center" vertical="center"/>
    </xf>
    <xf numFmtId="0" fontId="23" fillId="7" borderId="16" xfId="0" quotePrefix="1" applyFont="1" applyFill="1" applyBorder="1" applyAlignment="1">
      <alignment horizontal="center" vertical="center"/>
    </xf>
    <xf numFmtId="0" fontId="29" fillId="2" borderId="16" xfId="1" applyFont="1" applyFill="1" applyBorder="1" applyAlignment="1">
      <alignment horizontal="center" vertical="center"/>
    </xf>
    <xf numFmtId="0" fontId="29" fillId="2" borderId="0" xfId="1" applyFont="1" applyFill="1" applyAlignment="1">
      <alignment horizontal="center" vertical="center"/>
    </xf>
    <xf numFmtId="0" fontId="23" fillId="2" borderId="0" xfId="0" quotePrefix="1" applyFont="1" applyFill="1" applyAlignment="1">
      <alignment horizontal="center" vertical="center"/>
    </xf>
    <xf numFmtId="2" fontId="1" fillId="7" borderId="16" xfId="0" quotePrefix="1" applyNumberFormat="1" applyFont="1" applyFill="1" applyBorder="1" applyAlignment="1">
      <alignment horizontal="center" vertical="center"/>
    </xf>
    <xf numFmtId="2" fontId="1" fillId="7" borderId="16" xfId="0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 vertical="center"/>
    </xf>
    <xf numFmtId="1" fontId="1" fillId="7" borderId="16" xfId="0" applyNumberFormat="1" applyFon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vertical="center"/>
    </xf>
    <xf numFmtId="0" fontId="0" fillId="2" borderId="12" xfId="0" applyFill="1" applyBorder="1"/>
    <xf numFmtId="0" fontId="0" fillId="2" borderId="57" xfId="0" applyFill="1" applyBorder="1"/>
    <xf numFmtId="0" fontId="25" fillId="0" borderId="22" xfId="0" applyFont="1" applyBorder="1"/>
    <xf numFmtId="0" fontId="25" fillId="0" borderId="0" xfId="0" applyFont="1"/>
    <xf numFmtId="0" fontId="25" fillId="0" borderId="57" xfId="0" applyFont="1" applyBorder="1"/>
    <xf numFmtId="0" fontId="0" fillId="0" borderId="57" xfId="0" applyBorder="1"/>
    <xf numFmtId="164" fontId="1" fillId="7" borderId="16" xfId="0" quotePrefix="1" applyNumberFormat="1" applyFont="1" applyFill="1" applyBorder="1" applyAlignment="1">
      <alignment horizontal="center" vertical="center"/>
    </xf>
    <xf numFmtId="0" fontId="31" fillId="2" borderId="0" xfId="1" applyFont="1" applyFill="1" applyAlignment="1">
      <alignment vertical="center"/>
    </xf>
    <xf numFmtId="0" fontId="31" fillId="2" borderId="57" xfId="1" applyFont="1" applyFill="1" applyBorder="1" applyAlignment="1">
      <alignment vertical="center"/>
    </xf>
    <xf numFmtId="0" fontId="29" fillId="8" borderId="16" xfId="1" applyFont="1" applyFill="1" applyBorder="1" applyAlignment="1">
      <alignment horizontal="center" vertical="center"/>
    </xf>
    <xf numFmtId="0" fontId="35" fillId="8" borderId="16" xfId="0" applyFont="1" applyFill="1" applyBorder="1" applyAlignment="1">
      <alignment horizontal="center" vertical="center" wrapText="1"/>
    </xf>
    <xf numFmtId="2" fontId="25" fillId="8" borderId="16" xfId="0" applyNumberFormat="1" applyFont="1" applyFill="1" applyBorder="1" applyAlignment="1">
      <alignment horizontal="center" vertical="center"/>
    </xf>
    <xf numFmtId="0" fontId="35" fillId="8" borderId="30" xfId="0" applyFont="1" applyFill="1" applyBorder="1" applyAlignment="1">
      <alignment horizontal="center" vertical="center" wrapText="1"/>
    </xf>
    <xf numFmtId="2" fontId="25" fillId="8" borderId="30" xfId="0" applyNumberFormat="1" applyFont="1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5" fillId="2" borderId="22" xfId="0" applyFont="1" applyFill="1" applyBorder="1" applyAlignment="1">
      <alignment horizontal="center" vertical="center"/>
    </xf>
    <xf numFmtId="164" fontId="25" fillId="2" borderId="0" xfId="0" applyNumberFormat="1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2" fontId="35" fillId="2" borderId="0" xfId="0" applyNumberFormat="1" applyFont="1" applyFill="1" applyAlignment="1">
      <alignment horizontal="center" vertical="center"/>
    </xf>
    <xf numFmtId="164" fontId="35" fillId="2" borderId="0" xfId="0" applyNumberFormat="1" applyFont="1" applyFill="1" applyAlignment="1">
      <alignment horizontal="center" vertical="center"/>
    </xf>
    <xf numFmtId="0" fontId="35" fillId="2" borderId="0" xfId="1" applyFont="1" applyFill="1" applyAlignment="1">
      <alignment vertical="center" wrapText="1"/>
    </xf>
    <xf numFmtId="0" fontId="0" fillId="7" borderId="0" xfId="0" applyFill="1"/>
    <xf numFmtId="2" fontId="25" fillId="2" borderId="16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25" fillId="2" borderId="22" xfId="0" applyNumberFormat="1" applyFont="1" applyFill="1" applyBorder="1" applyAlignment="1">
      <alignment horizontal="center" vertical="center"/>
    </xf>
    <xf numFmtId="0" fontId="25" fillId="2" borderId="22" xfId="0" applyFont="1" applyFill="1" applyBorder="1"/>
    <xf numFmtId="0" fontId="35" fillId="2" borderId="32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/>
    </xf>
    <xf numFmtId="0" fontId="35" fillId="2" borderId="34" xfId="0" applyFont="1" applyFill="1" applyBorder="1" applyAlignment="1">
      <alignment horizontal="center"/>
    </xf>
    <xf numFmtId="2" fontId="35" fillId="2" borderId="34" xfId="0" applyNumberFormat="1" applyFont="1" applyFill="1" applyBorder="1" applyAlignment="1">
      <alignment horizontal="center"/>
    </xf>
    <xf numFmtId="0" fontId="35" fillId="2" borderId="0" xfId="0" applyFont="1" applyFill="1" applyAlignment="1">
      <alignment horizontal="center"/>
    </xf>
    <xf numFmtId="2" fontId="35" fillId="2" borderId="0" xfId="0" applyNumberFormat="1" applyFont="1" applyFill="1" applyAlignment="1">
      <alignment horizontal="center"/>
    </xf>
    <xf numFmtId="2" fontId="35" fillId="2" borderId="32" xfId="0" applyNumberFormat="1" applyFont="1" applyFill="1" applyBorder="1" applyAlignment="1">
      <alignment horizontal="center" vertical="center"/>
    </xf>
    <xf numFmtId="164" fontId="35" fillId="2" borderId="16" xfId="0" applyNumberFormat="1" applyFont="1" applyFill="1" applyBorder="1" applyAlignment="1">
      <alignment horizontal="center"/>
    </xf>
    <xf numFmtId="164" fontId="35" fillId="2" borderId="0" xfId="0" applyNumberFormat="1" applyFont="1" applyFill="1" applyAlignment="1">
      <alignment horizontal="center"/>
    </xf>
    <xf numFmtId="0" fontId="35" fillId="2" borderId="35" xfId="0" applyFont="1" applyFill="1" applyBorder="1" applyAlignment="1">
      <alignment horizontal="center" vertical="center"/>
    </xf>
    <xf numFmtId="0" fontId="35" fillId="2" borderId="38" xfId="0" applyFont="1" applyFill="1" applyBorder="1" applyAlignment="1">
      <alignment horizontal="center"/>
    </xf>
    <xf numFmtId="0" fontId="35" fillId="2" borderId="36" xfId="0" applyFont="1" applyFill="1" applyBorder="1" applyAlignment="1">
      <alignment horizontal="center"/>
    </xf>
    <xf numFmtId="2" fontId="35" fillId="2" borderId="36" xfId="0" applyNumberFormat="1" applyFont="1" applyFill="1" applyBorder="1" applyAlignment="1">
      <alignment horizontal="center"/>
    </xf>
    <xf numFmtId="2" fontId="37" fillId="2" borderId="16" xfId="0" applyNumberFormat="1" applyFont="1" applyFill="1" applyBorder="1" applyAlignment="1">
      <alignment horizontal="center" vertical="center"/>
    </xf>
    <xf numFmtId="2" fontId="37" fillId="2" borderId="16" xfId="0" applyNumberFormat="1" applyFont="1" applyFill="1" applyBorder="1" applyAlignment="1">
      <alignment horizontal="center"/>
    </xf>
    <xf numFmtId="2" fontId="37" fillId="2" borderId="38" xfId="0" applyNumberFormat="1" applyFont="1" applyFill="1" applyBorder="1" applyAlignment="1">
      <alignment horizontal="center" vertical="center"/>
    </xf>
    <xf numFmtId="2" fontId="37" fillId="2" borderId="38" xfId="0" applyNumberFormat="1" applyFont="1" applyFill="1" applyBorder="1" applyAlignment="1">
      <alignment horizontal="center"/>
    </xf>
    <xf numFmtId="0" fontId="13" fillId="2" borderId="40" xfId="0" applyFont="1" applyFill="1" applyBorder="1" applyAlignment="1">
      <alignment vertical="center"/>
    </xf>
    <xf numFmtId="0" fontId="13" fillId="2" borderId="41" xfId="0" applyFont="1" applyFill="1" applyBorder="1" applyAlignment="1">
      <alignment vertical="center"/>
    </xf>
    <xf numFmtId="0" fontId="13" fillId="2" borderId="64" xfId="0" applyFont="1" applyFill="1" applyBorder="1" applyAlignment="1">
      <alignment vertical="center"/>
    </xf>
    <xf numFmtId="0" fontId="41" fillId="2" borderId="13" xfId="0" applyFont="1" applyFill="1" applyBorder="1" applyAlignment="1">
      <alignment vertical="center"/>
    </xf>
    <xf numFmtId="0" fontId="41" fillId="2" borderId="8" xfId="0" applyFont="1" applyFill="1" applyBorder="1" applyAlignment="1">
      <alignment horizontal="center" vertical="center"/>
    </xf>
    <xf numFmtId="1" fontId="25" fillId="2" borderId="50" xfId="0" applyNumberFormat="1" applyFont="1" applyFill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1" fillId="2" borderId="16" xfId="0" applyFont="1" applyFill="1" applyBorder="1"/>
    <xf numFmtId="0" fontId="40" fillId="0" borderId="16" xfId="0" applyFont="1" applyBorder="1"/>
    <xf numFmtId="0" fontId="40" fillId="0" borderId="34" xfId="0" applyFont="1" applyBorder="1"/>
    <xf numFmtId="0" fontId="41" fillId="2" borderId="18" xfId="0" applyFont="1" applyFill="1" applyBorder="1" applyAlignment="1">
      <alignment vertical="center"/>
    </xf>
    <xf numFmtId="0" fontId="41" fillId="2" borderId="16" xfId="0" applyFont="1" applyFill="1" applyBorder="1" applyAlignment="1">
      <alignment horizontal="center" vertical="center"/>
    </xf>
    <xf numFmtId="1" fontId="25" fillId="2" borderId="34" xfId="0" applyNumberFormat="1" applyFont="1" applyFill="1" applyBorder="1" applyAlignment="1">
      <alignment horizontal="center" vertical="center"/>
    </xf>
    <xf numFmtId="0" fontId="41" fillId="2" borderId="12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4" fillId="2" borderId="0" xfId="0" quotePrefix="1" applyFont="1" applyFill="1" applyAlignment="1" applyProtection="1">
      <alignment horizontal="left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32" fillId="0" borderId="0" xfId="0" applyFont="1"/>
    <xf numFmtId="175" fontId="43" fillId="0" borderId="16" xfId="0" applyNumberFormat="1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 wrapText="1"/>
    </xf>
    <xf numFmtId="174" fontId="43" fillId="0" borderId="14" xfId="0" applyNumberFormat="1" applyFont="1" applyBorder="1" applyAlignment="1">
      <alignment horizontal="right" vertical="center" wrapText="1"/>
    </xf>
    <xf numFmtId="0" fontId="43" fillId="0" borderId="20" xfId="0" applyFont="1" applyBorder="1" applyAlignment="1">
      <alignment horizontal="center" vertical="center" wrapText="1"/>
    </xf>
    <xf numFmtId="177" fontId="43" fillId="0" borderId="19" xfId="0" applyNumberFormat="1" applyFont="1" applyBorder="1" applyAlignment="1">
      <alignment horizontal="left" vertical="center" wrapText="1"/>
    </xf>
    <xf numFmtId="175" fontId="43" fillId="0" borderId="16" xfId="0" applyNumberFormat="1" applyFont="1" applyBorder="1" applyAlignment="1">
      <alignment horizontal="center" vertical="center" wrapText="1"/>
    </xf>
    <xf numFmtId="0" fontId="2" fillId="0" borderId="32" xfId="1" applyBorder="1"/>
    <xf numFmtId="0" fontId="2" fillId="0" borderId="16" xfId="1" applyBorder="1" applyAlignment="1">
      <alignment horizontal="center"/>
    </xf>
    <xf numFmtId="2" fontId="2" fillId="0" borderId="16" xfId="1" applyNumberFormat="1" applyBorder="1" applyAlignment="1">
      <alignment horizontal="center"/>
    </xf>
    <xf numFmtId="168" fontId="2" fillId="0" borderId="18" xfId="1" applyNumberFormat="1" applyBorder="1" applyAlignment="1">
      <alignment horizontal="center"/>
    </xf>
    <xf numFmtId="168" fontId="2" fillId="0" borderId="16" xfId="1" applyNumberFormat="1" applyBorder="1" applyAlignment="1">
      <alignment horizontal="center"/>
    </xf>
    <xf numFmtId="168" fontId="2" fillId="0" borderId="34" xfId="1" applyNumberFormat="1" applyBorder="1" applyAlignment="1">
      <alignment horizontal="center"/>
    </xf>
    <xf numFmtId="0" fontId="2" fillId="3" borderId="16" xfId="1" applyFill="1" applyBorder="1" applyAlignment="1">
      <alignment horizontal="center"/>
    </xf>
    <xf numFmtId="165" fontId="12" fillId="0" borderId="18" xfId="1" applyNumberFormat="1" applyFont="1" applyBorder="1"/>
    <xf numFmtId="164" fontId="12" fillId="0" borderId="18" xfId="1" applyNumberFormat="1" applyFont="1" applyBorder="1" applyAlignment="1">
      <alignment horizontal="center"/>
    </xf>
    <xf numFmtId="1" fontId="12" fillId="0" borderId="18" xfId="1" applyNumberFormat="1" applyFont="1" applyBorder="1" applyAlignment="1">
      <alignment horizontal="center"/>
    </xf>
    <xf numFmtId="2" fontId="12" fillId="3" borderId="16" xfId="1" applyNumberFormat="1" applyFont="1" applyFill="1" applyBorder="1" applyAlignment="1">
      <alignment horizontal="center"/>
    </xf>
    <xf numFmtId="164" fontId="2" fillId="0" borderId="18" xfId="1" applyNumberFormat="1" applyBorder="1" applyAlignment="1">
      <alignment horizontal="center"/>
    </xf>
    <xf numFmtId="164" fontId="12" fillId="0" borderId="0" xfId="1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/>
    </xf>
    <xf numFmtId="0" fontId="12" fillId="0" borderId="16" xfId="0" applyFont="1" applyBorder="1"/>
    <xf numFmtId="2" fontId="6" fillId="0" borderId="16" xfId="0" applyNumberFormat="1" applyFont="1" applyBorder="1" applyAlignment="1">
      <alignment horizontal="center" vertical="center"/>
    </xf>
    <xf numFmtId="0" fontId="0" fillId="9" borderId="34" xfId="0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0" fontId="0" fillId="9" borderId="29" xfId="0" applyFill="1" applyBorder="1" applyAlignment="1">
      <alignment horizontal="center" vertical="center" wrapText="1"/>
    </xf>
    <xf numFmtId="0" fontId="33" fillId="8" borderId="30" xfId="0" applyFont="1" applyFill="1" applyBorder="1" applyAlignment="1">
      <alignment horizontal="center" vertical="center"/>
    </xf>
    <xf numFmtId="0" fontId="33" fillId="8" borderId="16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2" fontId="0" fillId="0" borderId="16" xfId="0" applyNumberFormat="1" applyBorder="1" applyAlignment="1">
      <alignment horizontal="center" vertical="center"/>
    </xf>
    <xf numFmtId="2" fontId="38" fillId="2" borderId="16" xfId="0" applyNumberFormat="1" applyFont="1" applyFill="1" applyBorder="1" applyAlignment="1">
      <alignment horizontal="center" vertical="center"/>
    </xf>
    <xf numFmtId="0" fontId="35" fillId="2" borderId="22" xfId="0" applyFont="1" applyFill="1" applyBorder="1" applyAlignment="1">
      <alignment horizontal="center" vertical="center"/>
    </xf>
    <xf numFmtId="164" fontId="25" fillId="0" borderId="0" xfId="0" applyNumberFormat="1" applyFont="1"/>
    <xf numFmtId="0" fontId="0" fillId="0" borderId="46" xfId="0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0" fontId="53" fillId="0" borderId="0" xfId="0" applyFont="1" applyAlignment="1" applyProtection="1">
      <alignment vertical="center"/>
      <protection locked="0"/>
    </xf>
    <xf numFmtId="0" fontId="34" fillId="0" borderId="22" xfId="0" applyFont="1" applyBorder="1"/>
    <xf numFmtId="0" fontId="29" fillId="0" borderId="25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2" fontId="29" fillId="0" borderId="26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5" fillId="0" borderId="22" xfId="0" applyFont="1" applyBorder="1" applyAlignment="1">
      <alignment horizontal="left"/>
    </xf>
    <xf numFmtId="0" fontId="25" fillId="0" borderId="16" xfId="0" applyFont="1" applyBorder="1" applyAlignment="1">
      <alignment horizontal="center"/>
    </xf>
    <xf numFmtId="0" fontId="25" fillId="0" borderId="0" xfId="0" applyFont="1" applyAlignment="1">
      <alignment horizontal="center"/>
    </xf>
    <xf numFmtId="2" fontId="25" fillId="0" borderId="4" xfId="0" applyNumberFormat="1" applyFont="1" applyBorder="1" applyAlignment="1">
      <alignment horizontal="center"/>
    </xf>
    <xf numFmtId="2" fontId="25" fillId="0" borderId="0" xfId="0" applyNumberFormat="1" applyFont="1" applyAlignment="1">
      <alignment horizontal="center"/>
    </xf>
    <xf numFmtId="168" fontId="25" fillId="0" borderId="0" xfId="0" applyNumberFormat="1" applyFont="1" applyAlignment="1">
      <alignment horizontal="center"/>
    </xf>
    <xf numFmtId="0" fontId="25" fillId="0" borderId="4" xfId="0" applyFont="1" applyBorder="1" applyAlignment="1">
      <alignment horizontal="center"/>
    </xf>
    <xf numFmtId="11" fontId="25" fillId="0" borderId="4" xfId="0" applyNumberFormat="1" applyFont="1" applyBorder="1" applyAlignment="1">
      <alignment horizontal="center"/>
    </xf>
    <xf numFmtId="11" fontId="25" fillId="0" borderId="57" xfId="0" applyNumberFormat="1" applyFont="1" applyBorder="1" applyAlignment="1">
      <alignment horizontal="center"/>
    </xf>
    <xf numFmtId="0" fontId="25" fillId="0" borderId="46" xfId="0" applyFont="1" applyBorder="1" applyAlignment="1">
      <alignment horizontal="left"/>
    </xf>
    <xf numFmtId="0" fontId="25" fillId="0" borderId="18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/>
    </xf>
    <xf numFmtId="168" fontId="25" fillId="0" borderId="18" xfId="0" applyNumberFormat="1" applyFont="1" applyBorder="1" applyAlignment="1">
      <alignment horizontal="center"/>
    </xf>
    <xf numFmtId="11" fontId="25" fillId="0" borderId="16" xfId="0" applyNumberFormat="1" applyFont="1" applyBorder="1" applyAlignment="1">
      <alignment horizontal="center"/>
    </xf>
    <xf numFmtId="11" fontId="25" fillId="0" borderId="33" xfId="0" applyNumberFormat="1" applyFont="1" applyBorder="1" applyAlignment="1">
      <alignment horizontal="center"/>
    </xf>
    <xf numFmtId="0" fontId="25" fillId="0" borderId="32" xfId="0" applyFont="1" applyBorder="1" applyAlignment="1">
      <alignment horizontal="left"/>
    </xf>
    <xf numFmtId="2" fontId="25" fillId="0" borderId="16" xfId="0" applyNumberFormat="1" applyFont="1" applyBorder="1" applyAlignment="1">
      <alignment horizontal="center"/>
    </xf>
    <xf numFmtId="168" fontId="25" fillId="0" borderId="16" xfId="0" applyNumberFormat="1" applyFont="1" applyBorder="1" applyAlignment="1">
      <alignment horizontal="center"/>
    </xf>
    <xf numFmtId="11" fontId="25" fillId="0" borderId="34" xfId="0" applyNumberFormat="1" applyFont="1" applyBorder="1" applyAlignment="1">
      <alignment horizontal="center"/>
    </xf>
    <xf numFmtId="0" fontId="25" fillId="0" borderId="46" xfId="0" applyFont="1" applyBorder="1"/>
    <xf numFmtId="164" fontId="25" fillId="0" borderId="8" xfId="0" applyNumberFormat="1" applyFont="1" applyBorder="1" applyAlignment="1">
      <alignment horizontal="center"/>
    </xf>
    <xf numFmtId="2" fontId="25" fillId="0" borderId="13" xfId="0" applyNumberFormat="1" applyFont="1" applyBorder="1" applyAlignment="1">
      <alignment horizontal="center"/>
    </xf>
    <xf numFmtId="0" fontId="29" fillId="0" borderId="22" xfId="0" applyFont="1" applyBorder="1"/>
    <xf numFmtId="2" fontId="32" fillId="0" borderId="0" xfId="0" applyNumberFormat="1" applyFont="1"/>
    <xf numFmtId="11" fontId="25" fillId="0" borderId="3" xfId="0" applyNumberFormat="1" applyFont="1" applyBorder="1" applyAlignment="1">
      <alignment horizontal="center"/>
    </xf>
    <xf numFmtId="11" fontId="25" fillId="0" borderId="45" xfId="0" applyNumberFormat="1" applyFont="1" applyBorder="1" applyAlignment="1">
      <alignment horizontal="center"/>
    </xf>
    <xf numFmtId="0" fontId="29" fillId="0" borderId="46" xfId="0" applyFont="1" applyBorder="1"/>
    <xf numFmtId="0" fontId="30" fillId="0" borderId="18" xfId="0" applyFont="1" applyBorder="1"/>
    <xf numFmtId="2" fontId="30" fillId="0" borderId="18" xfId="0" applyNumberFormat="1" applyFont="1" applyBorder="1"/>
    <xf numFmtId="0" fontId="54" fillId="0" borderId="18" xfId="0" applyFont="1" applyBorder="1"/>
    <xf numFmtId="167" fontId="41" fillId="0" borderId="14" xfId="0" applyNumberFormat="1" applyFont="1" applyBorder="1" applyAlignment="1">
      <alignment horizontal="center"/>
    </xf>
    <xf numFmtId="0" fontId="41" fillId="0" borderId="33" xfId="0" applyFont="1" applyBorder="1"/>
    <xf numFmtId="0" fontId="30" fillId="0" borderId="0" xfId="0" applyFont="1"/>
    <xf numFmtId="2" fontId="30" fillId="0" borderId="0" xfId="0" applyNumberFormat="1" applyFont="1"/>
    <xf numFmtId="0" fontId="55" fillId="0" borderId="0" xfId="0" applyFont="1"/>
    <xf numFmtId="11" fontId="41" fillId="0" borderId="3" xfId="0" applyNumberFormat="1" applyFont="1" applyBorder="1" applyAlignment="1">
      <alignment horizontal="center"/>
    </xf>
    <xf numFmtId="0" fontId="41" fillId="0" borderId="57" xfId="0" applyFont="1" applyBorder="1"/>
    <xf numFmtId="0" fontId="41" fillId="0" borderId="18" xfId="0" applyFont="1" applyBorder="1"/>
    <xf numFmtId="164" fontId="50" fillId="0" borderId="14" xfId="0" applyNumberFormat="1" applyFont="1" applyBorder="1" applyAlignment="1">
      <alignment horizontal="center"/>
    </xf>
    <xf numFmtId="0" fontId="29" fillId="0" borderId="59" xfId="0" applyFont="1" applyBorder="1"/>
    <xf numFmtId="0" fontId="30" fillId="0" borderId="60" xfId="0" applyFont="1" applyBorder="1"/>
    <xf numFmtId="2" fontId="30" fillId="0" borderId="60" xfId="0" applyNumberFormat="1" applyFont="1" applyBorder="1"/>
    <xf numFmtId="0" fontId="41" fillId="0" borderId="60" xfId="0" applyFont="1" applyBorder="1"/>
    <xf numFmtId="0" fontId="0" fillId="0" borderId="22" xfId="0" applyBorder="1"/>
    <xf numFmtId="2" fontId="25" fillId="0" borderId="8" xfId="0" applyNumberFormat="1" applyFont="1" applyBorder="1" applyAlignment="1">
      <alignment horizontal="center"/>
    </xf>
    <xf numFmtId="0" fontId="29" fillId="0" borderId="48" xfId="0" applyFont="1" applyBorder="1"/>
    <xf numFmtId="0" fontId="30" fillId="0" borderId="67" xfId="0" applyFont="1" applyBorder="1"/>
    <xf numFmtId="2" fontId="30" fillId="0" borderId="67" xfId="0" applyNumberFormat="1" applyFont="1" applyBorder="1"/>
    <xf numFmtId="0" fontId="41" fillId="0" borderId="67" xfId="0" applyFont="1" applyBorder="1"/>
    <xf numFmtId="0" fontId="41" fillId="0" borderId="0" xfId="0" applyFont="1"/>
    <xf numFmtId="164" fontId="2" fillId="0" borderId="16" xfId="1" applyNumberFormat="1" applyBorder="1" applyAlignment="1">
      <alignment horizontal="center"/>
    </xf>
    <xf numFmtId="164" fontId="25" fillId="0" borderId="4" xfId="0" applyNumberFormat="1" applyFont="1" applyBorder="1" applyAlignment="1">
      <alignment horizontal="center"/>
    </xf>
    <xf numFmtId="164" fontId="25" fillId="0" borderId="2" xfId="0" applyNumberFormat="1" applyFont="1" applyBorder="1" applyAlignment="1">
      <alignment horizontal="center"/>
    </xf>
    <xf numFmtId="164" fontId="25" fillId="0" borderId="16" xfId="0" applyNumberFormat="1" applyFont="1" applyBorder="1" applyAlignment="1">
      <alignment horizontal="center"/>
    </xf>
    <xf numFmtId="175" fontId="43" fillId="0" borderId="0" xfId="0" applyNumberFormat="1" applyFont="1" applyAlignment="1">
      <alignment horizontal="center" vertical="center"/>
    </xf>
    <xf numFmtId="0" fontId="1" fillId="0" borderId="16" xfId="1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45" fillId="0" borderId="0" xfId="0" applyFont="1" applyAlignment="1">
      <alignment vertical="center"/>
    </xf>
    <xf numFmtId="165" fontId="58" fillId="0" borderId="0" xfId="0" applyNumberFormat="1" applyFont="1" applyAlignment="1">
      <alignment horizontal="left" vertical="center"/>
    </xf>
    <xf numFmtId="0" fontId="58" fillId="0" borderId="16" xfId="0" quotePrefix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/>
    </xf>
    <xf numFmtId="0" fontId="45" fillId="0" borderId="0" xfId="0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164" fontId="58" fillId="0" borderId="0" xfId="0" applyNumberFormat="1" applyFont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165" fontId="58" fillId="0" borderId="0" xfId="0" applyNumberFormat="1" applyFont="1" applyAlignment="1">
      <alignment horizontal="center" vertical="center"/>
    </xf>
    <xf numFmtId="0" fontId="60" fillId="0" borderId="0" xfId="0" quotePrefix="1" applyFont="1" applyAlignment="1">
      <alignment horizontal="center" vertical="center" wrapText="1"/>
    </xf>
    <xf numFmtId="170" fontId="58" fillId="0" borderId="0" xfId="0" applyNumberFormat="1" applyFont="1" applyAlignment="1">
      <alignment horizontal="center" vertical="center"/>
    </xf>
    <xf numFmtId="179" fontId="58" fillId="0" borderId="14" xfId="0" applyNumberFormat="1" applyFont="1" applyBorder="1" applyAlignment="1">
      <alignment horizontal="right" vertical="center"/>
    </xf>
    <xf numFmtId="176" fontId="58" fillId="0" borderId="14" xfId="0" applyNumberFormat="1" applyFont="1" applyBorder="1" applyAlignment="1">
      <alignment horizontal="right" vertical="center"/>
    </xf>
    <xf numFmtId="178" fontId="58" fillId="0" borderId="14" xfId="0" applyNumberFormat="1" applyFont="1" applyBorder="1" applyAlignment="1">
      <alignment horizontal="right" vertical="center"/>
    </xf>
    <xf numFmtId="1" fontId="37" fillId="7" borderId="32" xfId="0" applyNumberFormat="1" applyFont="1" applyFill="1" applyBorder="1" applyAlignment="1">
      <alignment horizontal="center" vertical="center"/>
    </xf>
    <xf numFmtId="1" fontId="37" fillId="7" borderId="35" xfId="0" applyNumberFormat="1" applyFont="1" applyFill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43" fillId="0" borderId="51" xfId="0" applyFont="1" applyBorder="1" applyAlignment="1">
      <alignment vertical="center"/>
    </xf>
    <xf numFmtId="0" fontId="43" fillId="0" borderId="24" xfId="0" applyFont="1" applyBorder="1" applyAlignment="1">
      <alignment vertical="center"/>
    </xf>
    <xf numFmtId="0" fontId="51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43" fillId="0" borderId="23" xfId="0" applyFont="1" applyBorder="1" applyAlignment="1">
      <alignment vertical="center"/>
    </xf>
    <xf numFmtId="0" fontId="51" fillId="0" borderId="14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165" fontId="43" fillId="0" borderId="9" xfId="0" applyNumberFormat="1" applyFont="1" applyBorder="1" applyAlignment="1">
      <alignment horizontal="center" vertical="center"/>
    </xf>
    <xf numFmtId="164" fontId="43" fillId="0" borderId="7" xfId="0" applyNumberFormat="1" applyFont="1" applyBorder="1" applyAlignment="1">
      <alignment horizontal="center" vertical="center"/>
    </xf>
    <xf numFmtId="164" fontId="43" fillId="0" borderId="9" xfId="0" applyNumberFormat="1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165" fontId="43" fillId="0" borderId="10" xfId="0" applyNumberFormat="1" applyFont="1" applyBorder="1" applyAlignment="1">
      <alignment horizontal="center" vertical="center"/>
    </xf>
    <xf numFmtId="164" fontId="43" fillId="0" borderId="5" xfId="0" applyNumberFormat="1" applyFont="1" applyBorder="1" applyAlignment="1">
      <alignment horizontal="center" vertical="center"/>
    </xf>
    <xf numFmtId="164" fontId="43" fillId="0" borderId="10" xfId="0" applyNumberFormat="1" applyFont="1" applyBorder="1" applyAlignment="1">
      <alignment horizontal="center" vertical="center"/>
    </xf>
    <xf numFmtId="0" fontId="43" fillId="0" borderId="4" xfId="0" applyFont="1" applyBorder="1" applyAlignment="1">
      <alignment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/>
    </xf>
    <xf numFmtId="0" fontId="43" fillId="0" borderId="8" xfId="0" applyFont="1" applyBorder="1" applyAlignment="1">
      <alignment vertical="center" wrapText="1"/>
    </xf>
    <xf numFmtId="165" fontId="43" fillId="0" borderId="11" xfId="0" applyNumberFormat="1" applyFont="1" applyBorder="1" applyAlignment="1">
      <alignment horizontal="center" vertical="center"/>
    </xf>
    <xf numFmtId="164" fontId="43" fillId="0" borderId="6" xfId="0" applyNumberFormat="1" applyFont="1" applyBorder="1" applyAlignment="1">
      <alignment horizontal="center" vertical="center"/>
    </xf>
    <xf numFmtId="164" fontId="43" fillId="0" borderId="11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top" wrapText="1"/>
    </xf>
    <xf numFmtId="165" fontId="43" fillId="0" borderId="0" xfId="0" applyNumberFormat="1" applyFont="1" applyAlignment="1">
      <alignment horizontal="center" vertical="center"/>
    </xf>
    <xf numFmtId="164" fontId="43" fillId="0" borderId="0" xfId="0" applyNumberFormat="1" applyFont="1" applyAlignment="1">
      <alignment horizontal="center" vertical="center"/>
    </xf>
    <xf numFmtId="0" fontId="65" fillId="0" borderId="0" xfId="0" quotePrefix="1" applyFont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168" fontId="43" fillId="0" borderId="0" xfId="0" applyNumberFormat="1" applyFont="1" applyAlignment="1">
      <alignment horizontal="center" vertical="center"/>
    </xf>
    <xf numFmtId="1" fontId="43" fillId="0" borderId="16" xfId="0" applyNumberFormat="1" applyFont="1" applyBorder="1" applyAlignment="1">
      <alignment horizontal="center" vertical="center"/>
    </xf>
    <xf numFmtId="1" fontId="43" fillId="0" borderId="0" xfId="0" applyNumberFormat="1" applyFont="1" applyAlignment="1">
      <alignment horizontal="center" vertical="center"/>
    </xf>
    <xf numFmtId="0" fontId="65" fillId="0" borderId="0" xfId="0" quotePrefix="1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43" fillId="0" borderId="0" xfId="0" applyFont="1" applyAlignment="1">
      <alignment horizontal="right" vertical="center"/>
    </xf>
    <xf numFmtId="0" fontId="43" fillId="0" borderId="0" xfId="0" applyFont="1" applyAlignment="1">
      <alignment horizontal="left" vertical="center"/>
    </xf>
    <xf numFmtId="0" fontId="43" fillId="0" borderId="51" xfId="0" applyFont="1" applyBorder="1" applyAlignment="1">
      <alignment horizontal="center" vertical="center"/>
    </xf>
    <xf numFmtId="0" fontId="43" fillId="0" borderId="51" xfId="0" applyFont="1" applyBorder="1" applyAlignment="1">
      <alignment horizontal="right" vertical="center"/>
    </xf>
    <xf numFmtId="0" fontId="43" fillId="0" borderId="2" xfId="0" applyFont="1" applyBorder="1" applyAlignment="1">
      <alignment vertical="center"/>
    </xf>
    <xf numFmtId="0" fontId="43" fillId="0" borderId="8" xfId="0" applyFont="1" applyBorder="1" applyAlignment="1">
      <alignment vertical="center"/>
    </xf>
    <xf numFmtId="0" fontId="43" fillId="0" borderId="14" xfId="2" applyFont="1" applyBorder="1" applyAlignment="1">
      <alignment vertical="center"/>
    </xf>
    <xf numFmtId="0" fontId="43" fillId="0" borderId="18" xfId="0" applyFont="1" applyBorder="1" applyAlignment="1">
      <alignment horizontal="right"/>
    </xf>
    <xf numFmtId="0" fontId="51" fillId="0" borderId="18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14" xfId="0" applyFont="1" applyBorder="1" applyAlignment="1" applyProtection="1">
      <alignment horizontal="center" vertical="center"/>
      <protection locked="0"/>
    </xf>
    <xf numFmtId="0" fontId="51" fillId="0" borderId="15" xfId="0" applyFont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horizontal="right" vertical="center"/>
      <protection locked="0"/>
    </xf>
    <xf numFmtId="0" fontId="51" fillId="0" borderId="0" xfId="0" applyFont="1" applyAlignment="1" applyProtection="1">
      <alignment vertical="center"/>
      <protection locked="0"/>
    </xf>
    <xf numFmtId="0" fontId="64" fillId="0" borderId="0" xfId="0" applyFont="1" applyAlignment="1" applyProtection="1">
      <alignment vertical="center"/>
      <protection locked="0"/>
    </xf>
    <xf numFmtId="0" fontId="43" fillId="0" borderId="16" xfId="0" quotePrefix="1" applyFont="1" applyBorder="1" applyAlignment="1" applyProtection="1">
      <alignment horizontal="center" vertical="center"/>
      <protection locked="0"/>
    </xf>
    <xf numFmtId="0" fontId="43" fillId="0" borderId="14" xfId="0" applyFont="1" applyBorder="1" applyAlignment="1" applyProtection="1">
      <alignment vertical="center"/>
      <protection locked="0"/>
    </xf>
    <xf numFmtId="0" fontId="43" fillId="0" borderId="18" xfId="0" applyFont="1" applyBorder="1" applyAlignment="1" applyProtection="1">
      <alignment vertical="center"/>
      <protection locked="0"/>
    </xf>
    <xf numFmtId="0" fontId="43" fillId="0" borderId="15" xfId="0" applyFont="1" applyBorder="1" applyAlignment="1" applyProtection="1">
      <alignment horizontal="left" vertical="center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2" fontId="43" fillId="0" borderId="0" xfId="0" applyNumberFormat="1" applyFont="1" applyAlignment="1" applyProtection="1">
      <alignment horizontal="center" vertical="center"/>
      <protection locked="0"/>
    </xf>
    <xf numFmtId="164" fontId="43" fillId="0" borderId="0" xfId="0" applyNumberFormat="1" applyFont="1" applyAlignment="1" applyProtection="1">
      <alignment horizontal="center" vertical="center"/>
      <protection locked="0"/>
    </xf>
    <xf numFmtId="168" fontId="43" fillId="0" borderId="0" xfId="0" applyNumberFormat="1" applyFont="1" applyAlignment="1" applyProtection="1">
      <alignment horizontal="center" vertical="center"/>
      <protection locked="0"/>
    </xf>
    <xf numFmtId="164" fontId="43" fillId="0" borderId="0" xfId="3" applyNumberFormat="1" applyFont="1" applyBorder="1" applyAlignment="1" applyProtection="1">
      <alignment horizontal="center" vertical="center"/>
      <protection locked="0"/>
    </xf>
    <xf numFmtId="0" fontId="43" fillId="0" borderId="0" xfId="0" quotePrefix="1" applyFont="1" applyAlignment="1" applyProtection="1">
      <alignment vertical="center"/>
      <protection locked="0"/>
    </xf>
    <xf numFmtId="2" fontId="43" fillId="0" borderId="16" xfId="0" applyNumberFormat="1" applyFont="1" applyBorder="1" applyAlignment="1">
      <alignment horizontal="center" vertical="center"/>
    </xf>
    <xf numFmtId="2" fontId="43" fillId="0" borderId="16" xfId="3" applyNumberFormat="1" applyFont="1" applyFill="1" applyBorder="1" applyAlignment="1" applyProtection="1">
      <alignment horizontal="center" vertical="center"/>
    </xf>
    <xf numFmtId="0" fontId="43" fillId="0" borderId="0" xfId="0" applyFont="1" applyAlignment="1" applyProtection="1">
      <alignment horizontal="center" vertical="center"/>
      <protection locked="0"/>
    </xf>
    <xf numFmtId="182" fontId="43" fillId="0" borderId="0" xfId="0" applyNumberFormat="1" applyFont="1" applyAlignment="1" applyProtection="1">
      <alignment horizontal="center" vertical="center"/>
      <protection locked="0"/>
    </xf>
    <xf numFmtId="182" fontId="43" fillId="0" borderId="0" xfId="0" quotePrefix="1" applyNumberFormat="1" applyFont="1" applyAlignment="1" applyProtection="1">
      <alignment vertical="center"/>
      <protection locked="0"/>
    </xf>
    <xf numFmtId="165" fontId="43" fillId="0" borderId="16" xfId="3" applyNumberFormat="1" applyFont="1" applyFill="1" applyBorder="1" applyAlignment="1" applyProtection="1">
      <alignment horizontal="center" vertical="center"/>
    </xf>
    <xf numFmtId="0" fontId="51" fillId="0" borderId="0" xfId="0" applyFont="1" applyAlignment="1" applyProtection="1">
      <alignment horizontal="left" vertical="center"/>
      <protection locked="0"/>
    </xf>
    <xf numFmtId="0" fontId="43" fillId="0" borderId="14" xfId="0" applyFont="1" applyBorder="1" applyAlignment="1" applyProtection="1">
      <alignment horizontal="left" vertical="center"/>
      <protection locked="0"/>
    </xf>
    <xf numFmtId="0" fontId="43" fillId="0" borderId="18" xfId="0" applyFont="1" applyBorder="1" applyAlignment="1" applyProtection="1">
      <alignment horizontal="left" vertical="center"/>
      <protection locked="0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73" fontId="43" fillId="0" borderId="0" xfId="0" applyNumberFormat="1" applyFont="1" applyAlignment="1">
      <alignment vertical="center"/>
    </xf>
    <xf numFmtId="0" fontId="51" fillId="0" borderId="16" xfId="0" applyFont="1" applyBorder="1" applyAlignment="1" applyProtection="1">
      <alignment horizontal="center" vertical="center" wrapText="1"/>
      <protection hidden="1"/>
    </xf>
    <xf numFmtId="1" fontId="43" fillId="3" borderId="16" xfId="0" applyNumberFormat="1" applyFont="1" applyFill="1" applyBorder="1" applyAlignment="1" applyProtection="1">
      <alignment horizontal="center"/>
      <protection hidden="1"/>
    </xf>
    <xf numFmtId="0" fontId="43" fillId="0" borderId="16" xfId="0" quotePrefix="1" applyFont="1" applyBorder="1" applyAlignment="1">
      <alignment horizontal="center" vertical="center"/>
    </xf>
    <xf numFmtId="0" fontId="43" fillId="0" borderId="14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174" fontId="43" fillId="0" borderId="18" xfId="0" applyNumberFormat="1" applyFont="1" applyBorder="1" applyAlignment="1">
      <alignment horizontal="right" vertical="center"/>
    </xf>
    <xf numFmtId="0" fontId="43" fillId="0" borderId="15" xfId="0" applyFont="1" applyBorder="1" applyAlignment="1">
      <alignment horizontal="left" vertical="center"/>
    </xf>
    <xf numFmtId="1" fontId="43" fillId="3" borderId="16" xfId="0" applyNumberFormat="1" applyFont="1" applyFill="1" applyBorder="1" applyAlignment="1" applyProtection="1">
      <alignment horizontal="center" vertical="center"/>
      <protection hidden="1"/>
    </xf>
    <xf numFmtId="176" fontId="43" fillId="0" borderId="18" xfId="0" applyNumberFormat="1" applyFont="1" applyBorder="1" applyAlignment="1">
      <alignment horizontal="right" vertical="center"/>
    </xf>
    <xf numFmtId="178" fontId="43" fillId="0" borderId="18" xfId="0" applyNumberFormat="1" applyFont="1" applyBorder="1" applyAlignment="1">
      <alignment horizontal="right" vertical="center"/>
    </xf>
    <xf numFmtId="164" fontId="43" fillId="0" borderId="0" xfId="3" applyNumberFormat="1" applyFont="1" applyBorder="1" applyAlignment="1" applyProtection="1">
      <alignment horizontal="center" vertical="center"/>
    </xf>
    <xf numFmtId="165" fontId="43" fillId="3" borderId="16" xfId="0" applyNumberFormat="1" applyFont="1" applyFill="1" applyBorder="1" applyAlignment="1">
      <alignment horizontal="center" vertical="center"/>
    </xf>
    <xf numFmtId="183" fontId="43" fillId="0" borderId="16" xfId="0" applyNumberFormat="1" applyFont="1" applyBorder="1" applyAlignment="1">
      <alignment horizontal="center" vertical="center"/>
    </xf>
    <xf numFmtId="184" fontId="43" fillId="0" borderId="16" xfId="0" applyNumberFormat="1" applyFont="1" applyBorder="1" applyAlignment="1">
      <alignment horizontal="center" vertical="center"/>
    </xf>
    <xf numFmtId="185" fontId="43" fillId="0" borderId="16" xfId="0" applyNumberFormat="1" applyFont="1" applyBorder="1" applyAlignment="1">
      <alignment horizontal="center" vertical="center"/>
    </xf>
    <xf numFmtId="0" fontId="43" fillId="0" borderId="16" xfId="0" applyFont="1" applyBorder="1" applyAlignment="1">
      <alignment horizontal="center"/>
    </xf>
    <xf numFmtId="0" fontId="43" fillId="0" borderId="18" xfId="0" applyFont="1" applyBorder="1"/>
    <xf numFmtId="0" fontId="64" fillId="0" borderId="18" xfId="0" quotePrefix="1" applyFont="1" applyBorder="1" applyAlignment="1">
      <alignment horizontal="left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4" borderId="0" xfId="0" applyFont="1" applyFill="1" applyAlignment="1" applyProtection="1">
      <alignment vertical="center"/>
      <protection locked="0"/>
    </xf>
    <xf numFmtId="0" fontId="43" fillId="4" borderId="0" xfId="0" quotePrefix="1" applyFont="1" applyFill="1" applyAlignment="1" applyProtection="1">
      <alignment horizontal="left" vertical="center"/>
      <protection locked="0"/>
    </xf>
    <xf numFmtId="0" fontId="51" fillId="0" borderId="3" xfId="0" applyFont="1" applyBorder="1" applyAlignment="1" applyProtection="1">
      <alignment vertical="center" wrapText="1"/>
      <protection hidden="1"/>
    </xf>
    <xf numFmtId="0" fontId="57" fillId="0" borderId="0" xfId="0" applyFont="1" applyAlignment="1">
      <alignment vertical="center"/>
    </xf>
    <xf numFmtId="164" fontId="58" fillId="0" borderId="0" xfId="3" applyNumberFormat="1" applyFont="1" applyBorder="1" applyAlignment="1" applyProtection="1">
      <alignment horizontal="center" vertical="center"/>
    </xf>
    <xf numFmtId="167" fontId="58" fillId="0" borderId="0" xfId="0" applyNumberFormat="1" applyFont="1" applyAlignment="1">
      <alignment horizontal="center" vertical="center"/>
    </xf>
    <xf numFmtId="165" fontId="58" fillId="0" borderId="16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right"/>
    </xf>
    <xf numFmtId="0" fontId="61" fillId="0" borderId="0" xfId="0" applyFont="1"/>
    <xf numFmtId="0" fontId="58" fillId="2" borderId="0" xfId="2" applyFont="1" applyFill="1" applyAlignment="1">
      <alignment vertical="center"/>
    </xf>
    <xf numFmtId="0" fontId="58" fillId="0" borderId="0" xfId="2" applyFont="1" applyAlignment="1">
      <alignment vertical="center"/>
    </xf>
    <xf numFmtId="0" fontId="45" fillId="2" borderId="0" xfId="2" applyFont="1" applyFill="1" applyAlignment="1">
      <alignment vertical="center"/>
    </xf>
    <xf numFmtId="0" fontId="62" fillId="0" borderId="0" xfId="0" applyFont="1"/>
    <xf numFmtId="2" fontId="6" fillId="0" borderId="14" xfId="0" applyNumberFormat="1" applyFont="1" applyBorder="1" applyAlignment="1">
      <alignment horizontal="center"/>
    </xf>
    <xf numFmtId="0" fontId="12" fillId="0" borderId="15" xfId="0" applyFont="1" applyBorder="1"/>
    <xf numFmtId="2" fontId="13" fillId="0" borderId="14" xfId="1" applyNumberFormat="1" applyFont="1" applyBorder="1" applyAlignment="1">
      <alignment horizontal="center"/>
    </xf>
    <xf numFmtId="164" fontId="13" fillId="0" borderId="15" xfId="1" applyNumberFormat="1" applyFont="1" applyBorder="1" applyAlignment="1">
      <alignment horizontal="left"/>
    </xf>
    <xf numFmtId="168" fontId="30" fillId="0" borderId="3" xfId="0" applyNumberFormat="1" applyFont="1" applyBorder="1" applyAlignment="1">
      <alignment horizontal="center"/>
    </xf>
    <xf numFmtId="164" fontId="30" fillId="0" borderId="57" xfId="0" applyNumberFormat="1" applyFont="1" applyBorder="1"/>
    <xf numFmtId="165" fontId="30" fillId="0" borderId="14" xfId="0" applyNumberFormat="1" applyFont="1" applyBorder="1" applyAlignment="1">
      <alignment horizontal="center" vertical="center"/>
    </xf>
    <xf numFmtId="0" fontId="34" fillId="0" borderId="15" xfId="0" applyFont="1" applyBorder="1"/>
    <xf numFmtId="168" fontId="30" fillId="0" borderId="1" xfId="0" applyNumberFormat="1" applyFont="1" applyBorder="1" applyAlignment="1">
      <alignment horizontal="center"/>
    </xf>
    <xf numFmtId="164" fontId="30" fillId="0" borderId="71" xfId="0" applyNumberFormat="1" applyFont="1" applyBorder="1"/>
    <xf numFmtId="165" fontId="30" fillId="0" borderId="14" xfId="0" applyNumberFormat="1" applyFont="1" applyBorder="1" applyAlignment="1">
      <alignment horizontal="center"/>
    </xf>
    <xf numFmtId="164" fontId="30" fillId="0" borderId="15" xfId="0" applyNumberFormat="1" applyFont="1" applyBorder="1"/>
    <xf numFmtId="165" fontId="13" fillId="0" borderId="14" xfId="0" applyNumberFormat="1" applyFont="1" applyBorder="1" applyAlignment="1">
      <alignment horizontal="center" vertical="center"/>
    </xf>
    <xf numFmtId="0" fontId="13" fillId="0" borderId="15" xfId="0" applyFont="1" applyBorder="1"/>
    <xf numFmtId="178" fontId="43" fillId="0" borderId="18" xfId="0" applyNumberFormat="1" applyFont="1" applyBorder="1" applyAlignment="1">
      <alignment horizontal="right"/>
    </xf>
    <xf numFmtId="2" fontId="58" fillId="0" borderId="16" xfId="0" applyNumberFormat="1" applyFont="1" applyBorder="1" applyAlignment="1">
      <alignment horizontal="center" vertical="center"/>
    </xf>
    <xf numFmtId="0" fontId="58" fillId="0" borderId="0" xfId="0" quotePrefix="1" applyFont="1" applyAlignment="1">
      <alignment horizontal="center" vertical="center"/>
    </xf>
    <xf numFmtId="0" fontId="43" fillId="0" borderId="0" xfId="0" applyFont="1" applyAlignment="1" applyProtection="1">
      <alignment horizontal="left"/>
      <protection locked="0"/>
    </xf>
    <xf numFmtId="0" fontId="35" fillId="8" borderId="8" xfId="0" applyFont="1" applyFill="1" applyBorder="1" applyAlignment="1">
      <alignment horizontal="center" vertical="center" wrapText="1"/>
    </xf>
    <xf numFmtId="2" fontId="25" fillId="8" borderId="8" xfId="0" applyNumberFormat="1" applyFont="1" applyFill="1" applyBorder="1" applyAlignment="1">
      <alignment horizontal="center" vertical="center"/>
    </xf>
    <xf numFmtId="2" fontId="25" fillId="8" borderId="38" xfId="0" applyNumberFormat="1" applyFont="1" applyFill="1" applyBorder="1" applyAlignment="1">
      <alignment horizontal="center" vertical="center"/>
    </xf>
    <xf numFmtId="2" fontId="68" fillId="2" borderId="0" xfId="0" applyNumberFormat="1" applyFont="1" applyFill="1" applyAlignment="1">
      <alignment horizontal="left"/>
    </xf>
    <xf numFmtId="2" fontId="37" fillId="0" borderId="8" xfId="0" applyNumberFormat="1" applyFont="1" applyBorder="1" applyAlignment="1">
      <alignment horizontal="center" vertical="center"/>
    </xf>
    <xf numFmtId="2" fontId="37" fillId="0" borderId="8" xfId="0" applyNumberFormat="1" applyFont="1" applyBorder="1" applyAlignment="1">
      <alignment horizontal="center"/>
    </xf>
    <xf numFmtId="165" fontId="37" fillId="0" borderId="8" xfId="0" applyNumberFormat="1" applyFont="1" applyBorder="1" applyAlignment="1">
      <alignment horizontal="center" vertical="center"/>
    </xf>
    <xf numFmtId="2" fontId="38" fillId="0" borderId="8" xfId="0" applyNumberFormat="1" applyFont="1" applyBorder="1" applyAlignment="1">
      <alignment horizontal="center" vertical="center"/>
    </xf>
    <xf numFmtId="2" fontId="37" fillId="0" borderId="16" xfId="0" applyNumberFormat="1" applyFont="1" applyBorder="1" applyAlignment="1">
      <alignment horizontal="center" vertical="center"/>
    </xf>
    <xf numFmtId="2" fontId="37" fillId="0" borderId="16" xfId="0" applyNumberFormat="1" applyFont="1" applyBorder="1" applyAlignment="1">
      <alignment horizontal="center"/>
    </xf>
    <xf numFmtId="2" fontId="37" fillId="0" borderId="38" xfId="0" applyNumberFormat="1" applyFont="1" applyBorder="1" applyAlignment="1">
      <alignment horizontal="center" vertical="center"/>
    </xf>
    <xf numFmtId="2" fontId="37" fillId="0" borderId="38" xfId="0" applyNumberFormat="1" applyFont="1" applyBorder="1" applyAlignment="1">
      <alignment horizontal="center"/>
    </xf>
    <xf numFmtId="165" fontId="37" fillId="0" borderId="38" xfId="0" applyNumberFormat="1" applyFont="1" applyBorder="1" applyAlignment="1">
      <alignment horizontal="center" vertical="center"/>
    </xf>
    <xf numFmtId="2" fontId="41" fillId="2" borderId="16" xfId="5" applyNumberFormat="1" applyFont="1" applyFill="1" applyBorder="1" applyAlignment="1">
      <alignment horizontal="center" vertical="center"/>
    </xf>
    <xf numFmtId="2" fontId="1" fillId="2" borderId="16" xfId="5" applyNumberFormat="1" applyFill="1" applyBorder="1" applyAlignment="1">
      <alignment horizontal="center" vertical="center"/>
    </xf>
    <xf numFmtId="2" fontId="35" fillId="2" borderId="16" xfId="5" applyNumberFormat="1" applyFont="1" applyFill="1" applyBorder="1" applyAlignment="1">
      <alignment horizontal="center" vertical="center"/>
    </xf>
    <xf numFmtId="164" fontId="41" fillId="2" borderId="16" xfId="5" applyNumberFormat="1" applyFont="1" applyFill="1" applyBorder="1" applyAlignment="1">
      <alignment horizontal="center" vertical="center"/>
    </xf>
    <xf numFmtId="0" fontId="43" fillId="0" borderId="0" xfId="0" applyFont="1"/>
    <xf numFmtId="0" fontId="43" fillId="0" borderId="16" xfId="0" applyFont="1" applyBorder="1" applyAlignment="1" applyProtection="1">
      <alignment horizontal="center" vertical="center" wrapText="1"/>
      <protection locked="0"/>
    </xf>
    <xf numFmtId="0" fontId="43" fillId="0" borderId="0" xfId="4" applyFont="1" applyAlignment="1">
      <alignment vertical="center"/>
    </xf>
    <xf numFmtId="188" fontId="43" fillId="0" borderId="16" xfId="0" applyNumberFormat="1" applyFont="1" applyBorder="1" applyAlignment="1" applyProtection="1">
      <alignment horizontal="center" vertical="center"/>
      <protection locked="0"/>
    </xf>
    <xf numFmtId="0" fontId="3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89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89" fontId="0" fillId="0" borderId="16" xfId="0" applyNumberFormat="1" applyBorder="1" applyAlignment="1">
      <alignment horizontal="center" vertical="center"/>
    </xf>
    <xf numFmtId="0" fontId="2" fillId="0" borderId="14" xfId="2" applyBorder="1" applyAlignment="1">
      <alignment horizontal="center" vertical="center" wrapText="1"/>
    </xf>
    <xf numFmtId="0" fontId="2" fillId="0" borderId="16" xfId="2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wrapText="1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2" fontId="25" fillId="0" borderId="38" xfId="0" applyNumberFormat="1" applyFont="1" applyBorder="1" applyAlignment="1">
      <alignment horizontal="center" vertical="center"/>
    </xf>
    <xf numFmtId="2" fontId="1" fillId="7" borderId="18" xfId="0" applyNumberFormat="1" applyFont="1" applyFill="1" applyBorder="1" applyAlignment="1">
      <alignment horizontal="center" vertical="center"/>
    </xf>
    <xf numFmtId="2" fontId="1" fillId="7" borderId="18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25" fillId="8" borderId="2" xfId="0" applyNumberFormat="1" applyFont="1" applyFill="1" applyBorder="1" applyAlignment="1">
      <alignment horizontal="center" vertical="center"/>
    </xf>
    <xf numFmtId="2" fontId="12" fillId="10" borderId="16" xfId="1" applyNumberFormat="1" applyFont="1" applyFill="1" applyBorder="1" applyAlignment="1">
      <alignment horizontal="center"/>
    </xf>
    <xf numFmtId="0" fontId="2" fillId="10" borderId="16" xfId="1" applyFill="1" applyBorder="1" applyAlignment="1">
      <alignment horizontal="center"/>
    </xf>
    <xf numFmtId="2" fontId="12" fillId="3" borderId="4" xfId="1" applyNumberFormat="1" applyFont="1" applyFill="1" applyBorder="1" applyAlignment="1">
      <alignment horizontal="center"/>
    </xf>
    <xf numFmtId="2" fontId="12" fillId="3" borderId="2" xfId="1" applyNumberFormat="1" applyFont="1" applyFill="1" applyBorder="1" applyAlignment="1">
      <alignment horizontal="center"/>
    </xf>
    <xf numFmtId="2" fontId="12" fillId="3" borderId="8" xfId="1" applyNumberFormat="1" applyFont="1" applyFill="1" applyBorder="1" applyAlignment="1">
      <alignment horizontal="center"/>
    </xf>
    <xf numFmtId="0" fontId="1" fillId="10" borderId="16" xfId="1" applyFont="1" applyFill="1" applyBorder="1" applyAlignment="1">
      <alignment horizontal="center"/>
    </xf>
    <xf numFmtId="0" fontId="12" fillId="10" borderId="4" xfId="1" applyFont="1" applyFill="1" applyBorder="1" applyAlignment="1">
      <alignment horizontal="center"/>
    </xf>
    <xf numFmtId="166" fontId="12" fillId="10" borderId="16" xfId="1" applyNumberFormat="1" applyFont="1" applyFill="1" applyBorder="1" applyAlignment="1">
      <alignment horizontal="center"/>
    </xf>
    <xf numFmtId="167" fontId="12" fillId="0" borderId="16" xfId="0" applyNumberFormat="1" applyFont="1" applyBorder="1" applyAlignment="1">
      <alignment horizontal="center" vertical="center"/>
    </xf>
    <xf numFmtId="168" fontId="12" fillId="0" borderId="16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/>
    </xf>
    <xf numFmtId="0" fontId="12" fillId="0" borderId="22" xfId="0" applyFont="1" applyBorder="1"/>
    <xf numFmtId="0" fontId="12" fillId="0" borderId="57" xfId="0" applyFont="1" applyBorder="1"/>
    <xf numFmtId="0" fontId="12" fillId="0" borderId="32" xfId="0" applyFont="1" applyBorder="1" applyAlignment="1">
      <alignment horizontal="center" vertical="center"/>
    </xf>
    <xf numFmtId="0" fontId="12" fillId="0" borderId="60" xfId="0" applyFont="1" applyBorder="1"/>
    <xf numFmtId="0" fontId="12" fillId="0" borderId="61" xfId="0" applyFont="1" applyBorder="1"/>
    <xf numFmtId="0" fontId="12" fillId="0" borderId="35" xfId="0" applyFont="1" applyBorder="1" applyAlignment="1">
      <alignment horizontal="center" vertical="center"/>
    </xf>
    <xf numFmtId="2" fontId="12" fillId="0" borderId="38" xfId="0" applyNumberFormat="1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5" fontId="12" fillId="0" borderId="38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168" fontId="6" fillId="0" borderId="0" xfId="0" applyNumberFormat="1" applyFont="1" applyAlignment="1">
      <alignment horizontal="center" vertical="center"/>
    </xf>
    <xf numFmtId="0" fontId="12" fillId="0" borderId="77" xfId="0" applyFont="1" applyBorder="1" applyAlignment="1">
      <alignment horizontal="center" vertical="center"/>
    </xf>
    <xf numFmtId="2" fontId="12" fillId="0" borderId="60" xfId="0" applyNumberFormat="1" applyFont="1" applyBorder="1" applyAlignment="1">
      <alignment horizontal="center" vertical="center"/>
    </xf>
    <xf numFmtId="2" fontId="12" fillId="0" borderId="72" xfId="0" applyNumberFormat="1" applyFont="1" applyBorder="1" applyAlignment="1">
      <alignment horizontal="center" vertical="center"/>
    </xf>
    <xf numFmtId="0" fontId="49" fillId="2" borderId="52" xfId="0" applyFont="1" applyFill="1" applyBorder="1" applyAlignment="1">
      <alignment horizontal="center" vertical="center" wrapText="1"/>
    </xf>
    <xf numFmtId="0" fontId="49" fillId="0" borderId="76" xfId="0" applyFont="1" applyBorder="1" applyAlignment="1">
      <alignment horizontal="center" vertical="center" wrapText="1"/>
    </xf>
    <xf numFmtId="0" fontId="49" fillId="2" borderId="76" xfId="0" applyFont="1" applyFill="1" applyBorder="1" applyAlignment="1">
      <alignment horizontal="center" vertical="center" wrapText="1"/>
    </xf>
    <xf numFmtId="0" fontId="71" fillId="2" borderId="76" xfId="2" applyFont="1" applyFill="1" applyBorder="1" applyAlignment="1">
      <alignment horizontal="center" vertical="center" wrapText="1"/>
    </xf>
    <xf numFmtId="0" fontId="71" fillId="2" borderId="76" xfId="0" applyFont="1" applyFill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wrapText="1"/>
    </xf>
    <xf numFmtId="0" fontId="51" fillId="0" borderId="2" xfId="0" applyFont="1" applyBorder="1" applyAlignment="1" applyProtection="1">
      <alignment horizontal="center" vertical="center" wrapText="1"/>
      <protection hidden="1"/>
    </xf>
    <xf numFmtId="0" fontId="0" fillId="0" borderId="16" xfId="0" applyBorder="1"/>
    <xf numFmtId="0" fontId="72" fillId="0" borderId="0" xfId="0" applyFont="1"/>
    <xf numFmtId="0" fontId="43" fillId="0" borderId="16" xfId="0" applyFont="1" applyBorder="1" applyAlignment="1">
      <alignment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25" fillId="0" borderId="50" xfId="0" applyNumberFormat="1" applyFont="1" applyBorder="1" applyAlignment="1">
      <alignment horizontal="center" vertical="center"/>
    </xf>
    <xf numFmtId="2" fontId="25" fillId="2" borderId="34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25" fillId="2" borderId="16" xfId="0" applyNumberFormat="1" applyFont="1" applyFill="1" applyBorder="1" applyAlignment="1">
      <alignment horizontal="center"/>
    </xf>
    <xf numFmtId="2" fontId="25" fillId="2" borderId="3" xfId="0" applyNumberFormat="1" applyFont="1" applyFill="1" applyBorder="1" applyAlignment="1">
      <alignment horizontal="center" vertical="center"/>
    </xf>
    <xf numFmtId="2" fontId="25" fillId="2" borderId="45" xfId="0" applyNumberFormat="1" applyFont="1" applyFill="1" applyBorder="1" applyAlignment="1">
      <alignment horizontal="center" vertical="center"/>
    </xf>
    <xf numFmtId="0" fontId="25" fillId="2" borderId="60" xfId="0" applyFont="1" applyFill="1" applyBorder="1"/>
    <xf numFmtId="0" fontId="51" fillId="0" borderId="16" xfId="0" applyFont="1" applyBorder="1" applyAlignment="1">
      <alignment vertical="center"/>
    </xf>
    <xf numFmtId="0" fontId="51" fillId="0" borderId="16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/>
    </xf>
    <xf numFmtId="2" fontId="43" fillId="0" borderId="51" xfId="0" applyNumberFormat="1" applyFont="1" applyBorder="1" applyAlignment="1">
      <alignment horizontal="center" vertical="center"/>
    </xf>
    <xf numFmtId="0" fontId="43" fillId="0" borderId="24" xfId="0" applyFont="1" applyBorder="1" applyAlignment="1">
      <alignment horizontal="right" vertical="center"/>
    </xf>
    <xf numFmtId="2" fontId="43" fillId="0" borderId="2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3" fillId="0" borderId="16" xfId="0" applyFont="1" applyBorder="1" applyAlignment="1">
      <alignment horizontal="center" vertical="center" wrapText="1"/>
    </xf>
    <xf numFmtId="188" fontId="43" fillId="0" borderId="16" xfId="0" applyNumberFormat="1" applyFont="1" applyBorder="1" applyAlignment="1">
      <alignment horizontal="center" vertical="center"/>
    </xf>
    <xf numFmtId="0" fontId="2" fillId="0" borderId="14" xfId="2" applyBorder="1" applyAlignment="1">
      <alignment vertical="center"/>
    </xf>
    <xf numFmtId="0" fontId="7" fillId="0" borderId="17" xfId="0" applyFont="1" applyBorder="1" applyAlignment="1">
      <alignment vertical="center"/>
    </xf>
    <xf numFmtId="0" fontId="0" fillId="0" borderId="18" xfId="0" applyBorder="1"/>
    <xf numFmtId="0" fontId="0" fillId="0" borderId="15" xfId="0" applyBorder="1"/>
    <xf numFmtId="187" fontId="0" fillId="0" borderId="16" xfId="0" applyNumberFormat="1" applyBorder="1" applyAlignment="1">
      <alignment horizontal="center"/>
    </xf>
    <xf numFmtId="0" fontId="7" fillId="0" borderId="15" xfId="0" applyFont="1" applyBorder="1" applyAlignment="1">
      <alignment vertical="center"/>
    </xf>
    <xf numFmtId="0" fontId="2" fillId="0" borderId="19" xfId="2" applyBorder="1" applyAlignment="1">
      <alignment vertical="center"/>
    </xf>
    <xf numFmtId="0" fontId="0" fillId="0" borderId="13" xfId="0" applyBorder="1"/>
    <xf numFmtId="0" fontId="0" fillId="0" borderId="20" xfId="0" applyBorder="1"/>
    <xf numFmtId="0" fontId="1" fillId="2" borderId="8" xfId="0" applyFont="1" applyFill="1" applyBorder="1" applyAlignment="1">
      <alignment vertical="center"/>
    </xf>
    <xf numFmtId="0" fontId="0" fillId="0" borderId="8" xfId="0" applyBorder="1"/>
    <xf numFmtId="186" fontId="0" fillId="0" borderId="16" xfId="0" applyNumberFormat="1" applyBorder="1" applyAlignment="1">
      <alignment horizontal="center"/>
    </xf>
    <xf numFmtId="167" fontId="7" fillId="0" borderId="0" xfId="0" applyNumberFormat="1" applyFont="1" applyAlignment="1">
      <alignment horizontal="center" vertical="center"/>
    </xf>
    <xf numFmtId="0" fontId="43" fillId="3" borderId="16" xfId="0" applyFont="1" applyFill="1" applyBorder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0" fontId="65" fillId="0" borderId="0" xfId="0" quotePrefix="1" applyFont="1" applyAlignment="1">
      <alignment vertical="center"/>
    </xf>
    <xf numFmtId="167" fontId="43" fillId="0" borderId="0" xfId="0" applyNumberFormat="1" applyFont="1" applyAlignment="1">
      <alignment horizontal="center" vertical="center"/>
    </xf>
    <xf numFmtId="0" fontId="43" fillId="0" borderId="18" xfId="0" applyFont="1" applyBorder="1" applyAlignment="1">
      <alignment horizontal="left" vertical="center"/>
    </xf>
    <xf numFmtId="0" fontId="43" fillId="0" borderId="1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42" fillId="0" borderId="40" xfId="0" applyFont="1" applyBorder="1"/>
    <xf numFmtId="0" fontId="40" fillId="0" borderId="41" xfId="0" applyFont="1" applyBorder="1" applyAlignment="1">
      <alignment horizontal="center" vertical="center"/>
    </xf>
    <xf numFmtId="0" fontId="40" fillId="0" borderId="41" xfId="0" applyFont="1" applyBorder="1"/>
    <xf numFmtId="0" fontId="40" fillId="0" borderId="42" xfId="0" applyFont="1" applyBorder="1"/>
    <xf numFmtId="0" fontId="40" fillId="0" borderId="53" xfId="0" applyFont="1" applyBorder="1"/>
    <xf numFmtId="0" fontId="40" fillId="0" borderId="13" xfId="0" applyFont="1" applyBorder="1"/>
    <xf numFmtId="0" fontId="40" fillId="0" borderId="13" xfId="0" applyFont="1" applyBorder="1" applyAlignment="1">
      <alignment horizontal="center" vertical="center"/>
    </xf>
    <xf numFmtId="0" fontId="40" fillId="0" borderId="20" xfId="0" applyFont="1" applyBorder="1"/>
    <xf numFmtId="0" fontId="40" fillId="0" borderId="50" xfId="0" applyFont="1" applyBorder="1" applyAlignment="1">
      <alignment horizontal="center" vertical="center"/>
    </xf>
    <xf numFmtId="0" fontId="40" fillId="0" borderId="12" xfId="0" applyFont="1" applyBorder="1"/>
    <xf numFmtId="0" fontId="40" fillId="0" borderId="12" xfId="0" applyFont="1" applyBorder="1" applyAlignment="1">
      <alignment horizontal="center" vertical="center"/>
    </xf>
    <xf numFmtId="0" fontId="40" fillId="0" borderId="17" xfId="0" applyFont="1" applyBorder="1"/>
    <xf numFmtId="0" fontId="40" fillId="0" borderId="47" xfId="0" applyFont="1" applyBorder="1" applyAlignment="1">
      <alignment horizontal="center" vertical="center"/>
    </xf>
    <xf numFmtId="0" fontId="40" fillId="0" borderId="0" xfId="0" applyFont="1"/>
    <xf numFmtId="0" fontId="40" fillId="0" borderId="68" xfId="0" applyFont="1" applyBorder="1" applyAlignment="1">
      <alignment horizontal="center" vertical="center"/>
    </xf>
    <xf numFmtId="0" fontId="40" fillId="2" borderId="58" xfId="0" quotePrefix="1" applyFont="1" applyFill="1" applyBorder="1" applyAlignment="1">
      <alignment vertical="center"/>
    </xf>
    <xf numFmtId="0" fontId="40" fillId="0" borderId="65" xfId="0" applyFont="1" applyBorder="1"/>
    <xf numFmtId="0" fontId="40" fillId="0" borderId="69" xfId="0" applyFont="1" applyBorder="1" applyAlignment="1">
      <alignment horizontal="center" vertical="center"/>
    </xf>
    <xf numFmtId="0" fontId="40" fillId="2" borderId="70" xfId="0" quotePrefix="1" applyFont="1" applyFill="1" applyBorder="1" applyAlignment="1">
      <alignment vertical="center"/>
    </xf>
    <xf numFmtId="0" fontId="40" fillId="0" borderId="71" xfId="0" applyFont="1" applyBorder="1"/>
    <xf numFmtId="0" fontId="42" fillId="0" borderId="41" xfId="0" applyFont="1" applyBorder="1" applyAlignment="1">
      <alignment horizontal="center" vertical="center"/>
    </xf>
    <xf numFmtId="0" fontId="42" fillId="0" borderId="41" xfId="0" applyFont="1" applyBorder="1"/>
    <xf numFmtId="0" fontId="42" fillId="0" borderId="64" xfId="0" applyFont="1" applyBorder="1"/>
    <xf numFmtId="0" fontId="40" fillId="0" borderId="0" xfId="0" applyFont="1" applyAlignment="1">
      <alignment horizontal="center" vertical="center"/>
    </xf>
    <xf numFmtId="0" fontId="1" fillId="0" borderId="16" xfId="0" applyFont="1" applyBorder="1"/>
    <xf numFmtId="0" fontId="43" fillId="0" borderId="0" xfId="0" applyFont="1" applyProtection="1">
      <protection locked="0"/>
    </xf>
    <xf numFmtId="171" fontId="43" fillId="0" borderId="0" xfId="0" applyNumberFormat="1" applyFont="1" applyAlignment="1">
      <alignment vertical="center"/>
    </xf>
    <xf numFmtId="0" fontId="51" fillId="0" borderId="16" xfId="0" applyFont="1" applyBorder="1" applyAlignment="1" applyProtection="1">
      <alignment horizontal="center" vertical="center"/>
      <protection locked="0"/>
    </xf>
    <xf numFmtId="0" fontId="51" fillId="5" borderId="16" xfId="0" applyFont="1" applyFill="1" applyBorder="1" applyAlignment="1" applyProtection="1">
      <alignment horizontal="center" vertical="center"/>
      <protection locked="0"/>
    </xf>
    <xf numFmtId="0" fontId="43" fillId="4" borderId="0" xfId="0" applyFont="1" applyFill="1" applyAlignment="1" applyProtection="1">
      <alignment horizontal="left" vertical="center"/>
      <protection locked="0"/>
    </xf>
    <xf numFmtId="165" fontId="43" fillId="0" borderId="16" xfId="0" applyNumberFormat="1" applyFont="1" applyBorder="1" applyAlignment="1">
      <alignment horizontal="center" vertical="center"/>
    </xf>
    <xf numFmtId="0" fontId="51" fillId="0" borderId="8" xfId="0" applyFont="1" applyBorder="1" applyAlignment="1" applyProtection="1">
      <alignment horizontal="center" vertical="center"/>
      <protection locked="0"/>
    </xf>
    <xf numFmtId="0" fontId="43" fillId="0" borderId="16" xfId="0" applyFont="1" applyBorder="1" applyAlignment="1" applyProtection="1">
      <alignment horizontal="center" vertical="center"/>
      <protection locked="0"/>
    </xf>
    <xf numFmtId="171" fontId="58" fillId="0" borderId="0" xfId="0" applyNumberFormat="1" applyFont="1" applyAlignment="1">
      <alignment vertical="center"/>
    </xf>
    <xf numFmtId="0" fontId="45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right"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58" fillId="0" borderId="0" xfId="0" applyNumberFormat="1" applyFont="1" applyAlignment="1" applyProtection="1">
      <alignment horizontal="center" vertical="center"/>
      <protection locked="0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 applyProtection="1">
      <alignment vertical="center"/>
      <protection locked="0"/>
    </xf>
    <xf numFmtId="0" fontId="45" fillId="0" borderId="0" xfId="2" applyFont="1" applyAlignment="1" applyProtection="1">
      <alignment vertical="center"/>
      <protection locked="0"/>
    </xf>
    <xf numFmtId="0" fontId="58" fillId="0" borderId="0" xfId="2" applyFont="1" applyAlignment="1" applyProtection="1">
      <alignment vertical="center"/>
      <protection locked="0"/>
    </xf>
    <xf numFmtId="0" fontId="37" fillId="0" borderId="0" xfId="0" applyFont="1" applyAlignment="1" applyProtection="1">
      <alignment horizontal="right"/>
      <protection locked="0"/>
    </xf>
    <xf numFmtId="0" fontId="51" fillId="0" borderId="0" xfId="0" applyFont="1" applyAlignment="1" applyProtection="1">
      <alignment horizontal="right" vertical="center"/>
      <protection locked="0"/>
    </xf>
    <xf numFmtId="0" fontId="51" fillId="0" borderId="16" xfId="0" applyFont="1" applyBorder="1" applyAlignment="1" applyProtection="1">
      <alignment horizontal="center" vertical="center" wrapText="1"/>
      <protection locked="0"/>
    </xf>
    <xf numFmtId="165" fontId="43" fillId="0" borderId="0" xfId="0" applyNumberFormat="1" applyFont="1" applyAlignment="1" applyProtection="1">
      <alignment horizontal="center" vertical="center"/>
      <protection locked="0"/>
    </xf>
    <xf numFmtId="2" fontId="43" fillId="0" borderId="0" xfId="3" applyNumberFormat="1" applyFont="1" applyFill="1" applyBorder="1" applyAlignment="1" applyProtection="1">
      <alignment horizontal="center" vertical="center"/>
      <protection locked="0"/>
    </xf>
    <xf numFmtId="180" fontId="43" fillId="0" borderId="0" xfId="0" applyNumberFormat="1" applyFont="1" applyAlignment="1" applyProtection="1">
      <alignment horizontal="center" vertical="center"/>
      <protection locked="0"/>
    </xf>
    <xf numFmtId="0" fontId="43" fillId="0" borderId="0" xfId="0" quotePrefix="1" applyFont="1" applyAlignment="1" applyProtection="1">
      <alignment horizontal="center" vertical="center" wrapText="1"/>
      <protection locked="0"/>
    </xf>
    <xf numFmtId="174" fontId="43" fillId="0" borderId="14" xfId="0" applyNumberFormat="1" applyFont="1" applyBorder="1" applyAlignment="1">
      <alignment horizontal="center" vertical="center" wrapText="1"/>
    </xf>
    <xf numFmtId="176" fontId="43" fillId="0" borderId="14" xfId="0" applyNumberFormat="1" applyFont="1" applyBorder="1" applyAlignment="1">
      <alignment horizontal="center" vertical="center" wrapText="1"/>
    </xf>
    <xf numFmtId="178" fontId="43" fillId="0" borderId="19" xfId="0" applyNumberFormat="1" applyFont="1" applyBorder="1" applyAlignment="1">
      <alignment horizontal="center" vertical="center" wrapText="1"/>
    </xf>
    <xf numFmtId="178" fontId="43" fillId="0" borderId="18" xfId="0" applyNumberFormat="1" applyFont="1" applyBorder="1" applyAlignment="1">
      <alignment horizontal="center" vertical="center" wrapText="1"/>
    </xf>
    <xf numFmtId="0" fontId="29" fillId="0" borderId="46" xfId="5" applyFont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41" fillId="2" borderId="0" xfId="0" applyFont="1" applyFill="1" applyAlignment="1">
      <alignment vertical="center"/>
    </xf>
    <xf numFmtId="165" fontId="58" fillId="0" borderId="16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2" fontId="1" fillId="0" borderId="16" xfId="0" quotePrefix="1" applyNumberFormat="1" applyFon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1" fillId="0" borderId="38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0" fontId="36" fillId="2" borderId="76" xfId="0" applyFont="1" applyFill="1" applyBorder="1" applyAlignment="1">
      <alignment horizontal="center" vertical="center" wrapText="1"/>
    </xf>
    <xf numFmtId="2" fontId="25" fillId="2" borderId="1" xfId="0" applyNumberFormat="1" applyFont="1" applyFill="1" applyBorder="1" applyAlignment="1">
      <alignment horizontal="center" vertical="center"/>
    </xf>
    <xf numFmtId="2" fontId="25" fillId="2" borderId="12" xfId="0" applyNumberFormat="1" applyFont="1" applyFill="1" applyBorder="1" applyAlignment="1">
      <alignment horizontal="center" vertical="center"/>
    </xf>
    <xf numFmtId="165" fontId="37" fillId="0" borderId="16" xfId="0" applyNumberFormat="1" applyFont="1" applyBorder="1" applyAlignment="1">
      <alignment horizontal="center"/>
    </xf>
    <xf numFmtId="0" fontId="36" fillId="2" borderId="52" xfId="0" applyFont="1" applyFill="1" applyBorder="1" applyAlignment="1">
      <alignment horizontal="center" vertical="center" wrapText="1"/>
    </xf>
    <xf numFmtId="0" fontId="35" fillId="2" borderId="76" xfId="0" applyFont="1" applyFill="1" applyBorder="1" applyAlignment="1">
      <alignment horizontal="center" vertical="center" wrapText="1"/>
    </xf>
    <xf numFmtId="0" fontId="36" fillId="0" borderId="76" xfId="0" applyFont="1" applyBorder="1" applyAlignment="1">
      <alignment horizontal="center" vertical="center" wrapText="1"/>
    </xf>
    <xf numFmtId="0" fontId="32" fillId="2" borderId="53" xfId="0" applyFont="1" applyFill="1" applyBorder="1" applyAlignment="1">
      <alignment horizontal="center" vertical="center" wrapText="1"/>
    </xf>
    <xf numFmtId="2" fontId="25" fillId="2" borderId="8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37" fillId="7" borderId="28" xfId="0" applyNumberFormat="1" applyFont="1" applyFill="1" applyBorder="1" applyAlignment="1">
      <alignment horizontal="center" vertical="center"/>
    </xf>
    <xf numFmtId="2" fontId="37" fillId="2" borderId="30" xfId="0" applyNumberFormat="1" applyFont="1" applyFill="1" applyBorder="1" applyAlignment="1">
      <alignment horizontal="center" vertical="center"/>
    </xf>
    <xf numFmtId="2" fontId="38" fillId="2" borderId="30" xfId="0" applyNumberFormat="1" applyFont="1" applyFill="1" applyBorder="1" applyAlignment="1">
      <alignment horizontal="center" vertical="center"/>
    </xf>
    <xf numFmtId="2" fontId="25" fillId="2" borderId="29" xfId="0" applyNumberFormat="1" applyFont="1" applyFill="1" applyBorder="1" applyAlignment="1">
      <alignment horizontal="center" vertical="center"/>
    </xf>
    <xf numFmtId="2" fontId="38" fillId="2" borderId="38" xfId="0" applyNumberFormat="1" applyFont="1" applyFill="1" applyBorder="1" applyAlignment="1">
      <alignment horizontal="center" vertical="center"/>
    </xf>
    <xf numFmtId="2" fontId="25" fillId="2" borderId="36" xfId="0" applyNumberFormat="1" applyFont="1" applyFill="1" applyBorder="1" applyAlignment="1">
      <alignment horizontal="center" vertical="center"/>
    </xf>
    <xf numFmtId="0" fontId="41" fillId="2" borderId="15" xfId="0" applyFont="1" applyFill="1" applyBorder="1" applyAlignment="1">
      <alignment horizontal="center" vertical="center"/>
    </xf>
    <xf numFmtId="0" fontId="53" fillId="0" borderId="1" xfId="0" applyFont="1" applyBorder="1" applyAlignment="1" applyProtection="1">
      <alignment vertical="center"/>
      <protection locked="0"/>
    </xf>
    <xf numFmtId="0" fontId="41" fillId="2" borderId="17" xfId="0" applyFont="1" applyFill="1" applyBorder="1" applyAlignment="1">
      <alignment vertical="center"/>
    </xf>
    <xf numFmtId="0" fontId="41" fillId="2" borderId="20" xfId="0" applyFont="1" applyFill="1" applyBorder="1" applyAlignment="1">
      <alignment vertical="center"/>
    </xf>
    <xf numFmtId="0" fontId="53" fillId="0" borderId="14" xfId="0" applyFont="1" applyBorder="1" applyAlignment="1">
      <alignment vertical="center"/>
    </xf>
    <xf numFmtId="0" fontId="41" fillId="2" borderId="15" xfId="0" applyFont="1" applyFill="1" applyBorder="1" applyAlignment="1">
      <alignment vertical="center"/>
    </xf>
    <xf numFmtId="0" fontId="53" fillId="0" borderId="19" xfId="0" applyFont="1" applyBorder="1" applyAlignment="1">
      <alignment vertical="center"/>
    </xf>
    <xf numFmtId="0" fontId="37" fillId="0" borderId="16" xfId="0" applyFont="1" applyBorder="1" applyAlignment="1">
      <alignment horizontal="center" vertical="center"/>
    </xf>
    <xf numFmtId="0" fontId="36" fillId="2" borderId="16" xfId="1" applyFont="1" applyFill="1" applyBorder="1" applyAlignment="1">
      <alignment horizontal="center" vertical="center" wrapText="1"/>
    </xf>
    <xf numFmtId="0" fontId="36" fillId="2" borderId="0" xfId="1" applyFont="1" applyFill="1" applyAlignment="1">
      <alignment vertical="center" wrapText="1"/>
    </xf>
    <xf numFmtId="0" fontId="36" fillId="2" borderId="0" xfId="1" applyFont="1" applyFill="1" applyAlignment="1">
      <alignment horizontal="center" vertical="center" wrapText="1"/>
    </xf>
    <xf numFmtId="0" fontId="73" fillId="2" borderId="16" xfId="0" applyFont="1" applyFill="1" applyBorder="1" applyAlignment="1">
      <alignment horizontal="center" vertical="center"/>
    </xf>
    <xf numFmtId="0" fontId="73" fillId="2" borderId="16" xfId="1" applyFont="1" applyFill="1" applyBorder="1" applyAlignment="1">
      <alignment horizontal="center" vertical="center"/>
    </xf>
    <xf numFmtId="1" fontId="37" fillId="2" borderId="16" xfId="0" applyNumberFormat="1" applyFont="1" applyFill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165" fontId="37" fillId="7" borderId="30" xfId="0" applyNumberFormat="1" applyFont="1" applyFill="1" applyBorder="1" applyAlignment="1">
      <alignment horizontal="center" vertical="center"/>
    </xf>
    <xf numFmtId="165" fontId="37" fillId="7" borderId="16" xfId="0" applyNumberFormat="1" applyFont="1" applyFill="1" applyBorder="1" applyAlignment="1">
      <alignment horizontal="center" vertical="center"/>
    </xf>
    <xf numFmtId="165" fontId="37" fillId="7" borderId="38" xfId="0" applyNumberFormat="1" applyFont="1" applyFill="1" applyBorder="1" applyAlignment="1">
      <alignment horizontal="center" vertical="center"/>
    </xf>
    <xf numFmtId="165" fontId="37" fillId="0" borderId="30" xfId="0" applyNumberFormat="1" applyFont="1" applyBorder="1" applyAlignment="1">
      <alignment horizontal="center"/>
    </xf>
    <xf numFmtId="165" fontId="37" fillId="0" borderId="38" xfId="0" applyNumberFormat="1" applyFont="1" applyBorder="1" applyAlignment="1">
      <alignment horizontal="center"/>
    </xf>
    <xf numFmtId="1" fontId="34" fillId="7" borderId="16" xfId="0" applyNumberFormat="1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 wrapText="1"/>
    </xf>
    <xf numFmtId="2" fontId="25" fillId="8" borderId="0" xfId="0" applyNumberFormat="1" applyFont="1" applyFill="1" applyAlignment="1">
      <alignment horizontal="center" vertical="center"/>
    </xf>
    <xf numFmtId="0" fontId="35" fillId="8" borderId="79" xfId="0" applyFont="1" applyFill="1" applyBorder="1" applyAlignment="1">
      <alignment horizontal="center" vertical="center" wrapText="1"/>
    </xf>
    <xf numFmtId="0" fontId="35" fillId="8" borderId="15" xfId="0" applyFont="1" applyFill="1" applyBorder="1" applyAlignment="1">
      <alignment horizontal="center" vertical="center" wrapText="1"/>
    </xf>
    <xf numFmtId="0" fontId="35" fillId="8" borderId="20" xfId="0" applyFont="1" applyFill="1" applyBorder="1" applyAlignment="1">
      <alignment horizontal="center" vertical="center" wrapText="1"/>
    </xf>
    <xf numFmtId="0" fontId="41" fillId="2" borderId="38" xfId="0" applyFont="1" applyFill="1" applyBorder="1" applyAlignment="1">
      <alignment horizontal="center" vertical="center"/>
    </xf>
    <xf numFmtId="0" fontId="41" fillId="2" borderId="60" xfId="0" applyFont="1" applyFill="1" applyBorder="1" applyAlignment="1">
      <alignment vertical="center"/>
    </xf>
    <xf numFmtId="0" fontId="43" fillId="0" borderId="14" xfId="1" applyFont="1" applyBorder="1" applyAlignment="1">
      <alignment vertical="center"/>
    </xf>
    <xf numFmtId="0" fontId="43" fillId="0" borderId="18" xfId="1" applyFont="1" applyBorder="1" applyAlignment="1">
      <alignment vertical="center"/>
    </xf>
    <xf numFmtId="0" fontId="43" fillId="0" borderId="14" xfId="1" applyFont="1" applyBorder="1"/>
    <xf numFmtId="0" fontId="43" fillId="0" borderId="18" xfId="1" applyFont="1" applyBorder="1"/>
    <xf numFmtId="0" fontId="43" fillId="0" borderId="19" xfId="1" applyFont="1" applyBorder="1"/>
    <xf numFmtId="0" fontId="43" fillId="0" borderId="13" xfId="1" applyFont="1" applyBorder="1"/>
    <xf numFmtId="1" fontId="41" fillId="2" borderId="16" xfId="0" applyNumberFormat="1" applyFont="1" applyFill="1" applyBorder="1" applyAlignment="1">
      <alignment horizontal="center" vertical="center"/>
    </xf>
    <xf numFmtId="1" fontId="41" fillId="2" borderId="0" xfId="0" applyNumberFormat="1" applyFont="1" applyFill="1" applyAlignment="1">
      <alignment horizontal="center" vertical="center"/>
    </xf>
    <xf numFmtId="0" fontId="74" fillId="0" borderId="0" xfId="0" applyFont="1" applyAlignment="1">
      <alignment horizontal="center" vertical="center"/>
    </xf>
    <xf numFmtId="2" fontId="25" fillId="8" borderId="31" xfId="0" applyNumberFormat="1" applyFont="1" applyFill="1" applyBorder="1" applyAlignment="1">
      <alignment horizontal="center" vertical="center"/>
    </xf>
    <xf numFmtId="2" fontId="25" fillId="8" borderId="14" xfId="0" applyNumberFormat="1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 wrapText="1"/>
    </xf>
    <xf numFmtId="0" fontId="0" fillId="9" borderId="81" xfId="0" applyFill="1" applyBorder="1" applyAlignment="1">
      <alignment horizontal="center" vertical="center"/>
    </xf>
    <xf numFmtId="0" fontId="0" fillId="9" borderId="81" xfId="0" applyFill="1" applyBorder="1" applyAlignment="1">
      <alignment horizontal="center" vertical="center" wrapText="1"/>
    </xf>
    <xf numFmtId="0" fontId="0" fillId="9" borderId="74" xfId="0" applyFill="1" applyBorder="1" applyAlignment="1">
      <alignment horizontal="center" vertical="center" wrapText="1"/>
    </xf>
    <xf numFmtId="0" fontId="0" fillId="9" borderId="75" xfId="0" applyFill="1" applyBorder="1" applyAlignment="1">
      <alignment horizontal="center" vertical="center" wrapText="1"/>
    </xf>
    <xf numFmtId="0" fontId="35" fillId="8" borderId="39" xfId="0" applyFont="1" applyFill="1" applyBorder="1" applyAlignment="1">
      <alignment horizontal="center" vertical="center" wrapText="1"/>
    </xf>
    <xf numFmtId="2" fontId="25" fillId="8" borderId="60" xfId="0" applyNumberFormat="1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43" fillId="0" borderId="0" xfId="1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2" fontId="58" fillId="0" borderId="16" xfId="0" applyNumberFormat="1" applyFont="1" applyBorder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35" fillId="2" borderId="43" xfId="2" applyFont="1" applyFill="1" applyBorder="1" applyAlignment="1">
      <alignment horizontal="center" vertical="center" wrapText="1"/>
    </xf>
    <xf numFmtId="189" fontId="43" fillId="4" borderId="0" xfId="0" quotePrefix="1" applyNumberFormat="1" applyFont="1" applyFill="1" applyAlignment="1" applyProtection="1">
      <alignment vertical="center"/>
      <protection locked="0"/>
    </xf>
    <xf numFmtId="2" fontId="0" fillId="0" borderId="8" xfId="0" applyNumberFormat="1" applyBorder="1" applyAlignment="1">
      <alignment horizontal="center" vertical="center"/>
    </xf>
    <xf numFmtId="0" fontId="49" fillId="0" borderId="82" xfId="0" applyFont="1" applyBorder="1" applyAlignment="1">
      <alignment horizontal="center" vertical="center" wrapText="1"/>
    </xf>
    <xf numFmtId="0" fontId="71" fillId="2" borderId="82" xfId="0" applyFont="1" applyFill="1" applyBorder="1" applyAlignment="1">
      <alignment horizontal="center" vertical="center" wrapText="1"/>
    </xf>
    <xf numFmtId="2" fontId="25" fillId="2" borderId="0" xfId="0" applyNumberFormat="1" applyFont="1" applyFill="1" applyAlignment="1">
      <alignment vertical="center"/>
    </xf>
    <xf numFmtId="2" fontId="25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55" xfId="0" applyNumberFormat="1" applyBorder="1"/>
    <xf numFmtId="2" fontId="26" fillId="2" borderId="0" xfId="0" applyNumberFormat="1" applyFont="1" applyFill="1" applyAlignment="1">
      <alignment vertical="center"/>
    </xf>
    <xf numFmtId="2" fontId="28" fillId="2" borderId="2" xfId="0" applyNumberFormat="1" applyFont="1" applyFill="1" applyBorder="1" applyAlignment="1">
      <alignment vertical="center"/>
    </xf>
    <xf numFmtId="2" fontId="0" fillId="2" borderId="0" xfId="0" applyNumberFormat="1" applyFill="1"/>
    <xf numFmtId="2" fontId="29" fillId="2" borderId="0" xfId="5" applyNumberFormat="1" applyFont="1" applyFill="1"/>
    <xf numFmtId="2" fontId="23" fillId="2" borderId="0" xfId="0" applyNumberFormat="1" applyFont="1" applyFill="1" applyAlignment="1">
      <alignment vertical="center"/>
    </xf>
    <xf numFmtId="2" fontId="23" fillId="2" borderId="0" xfId="0" applyNumberFormat="1" applyFont="1" applyFill="1" applyAlignment="1">
      <alignment vertical="center" wrapText="1"/>
    </xf>
    <xf numFmtId="2" fontId="28" fillId="2" borderId="0" xfId="0" applyNumberFormat="1" applyFont="1" applyFill="1" applyAlignment="1">
      <alignment vertical="center"/>
    </xf>
    <xf numFmtId="2" fontId="29" fillId="2" borderId="0" xfId="5" applyNumberFormat="1" applyFont="1" applyFill="1" applyAlignment="1">
      <alignment vertical="center"/>
    </xf>
    <xf numFmtId="2" fontId="23" fillId="2" borderId="32" xfId="0" applyNumberFormat="1" applyFont="1" applyFill="1" applyBorder="1" applyAlignment="1">
      <alignment horizontal="center" vertical="center"/>
    </xf>
    <xf numFmtId="2" fontId="23" fillId="2" borderId="15" xfId="0" applyNumberFormat="1" applyFont="1" applyFill="1" applyBorder="1" applyAlignment="1">
      <alignment horizontal="center" vertical="center"/>
    </xf>
    <xf numFmtId="2" fontId="28" fillId="2" borderId="4" xfId="0" applyNumberFormat="1" applyFont="1" applyFill="1" applyBorder="1" applyAlignment="1">
      <alignment vertical="center"/>
    </xf>
    <xf numFmtId="2" fontId="23" fillId="2" borderId="16" xfId="0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29" fillId="2" borderId="32" xfId="5" applyNumberFormat="1" applyFont="1" applyFill="1" applyBorder="1" applyAlignment="1">
      <alignment horizontal="center" vertical="center"/>
    </xf>
    <xf numFmtId="2" fontId="29" fillId="7" borderId="15" xfId="5" applyNumberFormat="1" applyFont="1" applyFill="1" applyBorder="1" applyAlignment="1">
      <alignment horizontal="center" vertical="center"/>
    </xf>
    <xf numFmtId="2" fontId="23" fillId="7" borderId="16" xfId="0" applyNumberFormat="1" applyFont="1" applyFill="1" applyBorder="1" applyAlignment="1">
      <alignment horizontal="center" vertical="center"/>
    </xf>
    <xf numFmtId="2" fontId="29" fillId="2" borderId="16" xfId="5" applyNumberFormat="1" applyFont="1" applyFill="1" applyBorder="1" applyAlignment="1">
      <alignment horizontal="center" vertical="center"/>
    </xf>
    <xf numFmtId="2" fontId="29" fillId="2" borderId="0" xfId="5" applyNumberFormat="1" applyFont="1" applyFill="1" applyAlignment="1">
      <alignment horizontal="center" vertical="center"/>
    </xf>
    <xf numFmtId="2" fontId="23" fillId="2" borderId="0" xfId="0" quotePrefix="1" applyNumberFormat="1" applyFont="1" applyFill="1" applyAlignment="1">
      <alignment horizontal="center" vertical="center"/>
    </xf>
    <xf numFmtId="2" fontId="1" fillId="7" borderId="32" xfId="0" applyNumberFormat="1" applyFont="1" applyFill="1" applyBorder="1" applyAlignment="1">
      <alignment horizontal="center" vertical="center"/>
    </xf>
    <xf numFmtId="2" fontId="75" fillId="2" borderId="4" xfId="0" applyNumberFormat="1" applyFont="1" applyFill="1" applyBorder="1" applyAlignment="1">
      <alignment vertical="center"/>
    </xf>
    <xf numFmtId="2" fontId="75" fillId="2" borderId="4" xfId="0" applyNumberFormat="1" applyFont="1" applyFill="1" applyBorder="1" applyAlignment="1">
      <alignment horizontal="center" vertical="center"/>
    </xf>
    <xf numFmtId="2" fontId="23" fillId="7" borderId="16" xfId="0" quotePrefix="1" applyNumberFormat="1" applyFont="1" applyFill="1" applyBorder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2" fontId="25" fillId="0" borderId="22" xfId="0" applyNumberFormat="1" applyFont="1" applyBorder="1"/>
    <xf numFmtId="2" fontId="25" fillId="0" borderId="0" xfId="0" applyNumberFormat="1" applyFont="1"/>
    <xf numFmtId="2" fontId="25" fillId="0" borderId="57" xfId="0" applyNumberFormat="1" applyFont="1" applyBorder="1"/>
    <xf numFmtId="2" fontId="58" fillId="2" borderId="2" xfId="0" applyNumberFormat="1" applyFont="1" applyFill="1" applyBorder="1" applyAlignment="1">
      <alignment vertical="center"/>
    </xf>
    <xf numFmtId="2" fontId="58" fillId="2" borderId="4" xfId="0" applyNumberFormat="1" applyFont="1" applyFill="1" applyBorder="1" applyAlignment="1">
      <alignment vertical="center"/>
    </xf>
    <xf numFmtId="2" fontId="29" fillId="7" borderId="16" xfId="5" applyNumberFormat="1" applyFont="1" applyFill="1" applyBorder="1" applyAlignment="1">
      <alignment horizontal="center" vertical="center"/>
    </xf>
    <xf numFmtId="2" fontId="1" fillId="7" borderId="13" xfId="0" applyNumberFormat="1" applyFont="1" applyFill="1" applyBorder="1" applyAlignment="1">
      <alignment horizontal="center" vertical="center"/>
    </xf>
    <xf numFmtId="2" fontId="0" fillId="0" borderId="57" xfId="0" applyNumberFormat="1" applyBorder="1"/>
    <xf numFmtId="2" fontId="31" fillId="2" borderId="0" xfId="5" applyNumberFormat="1" applyFont="1" applyFill="1" applyAlignment="1">
      <alignment vertical="center"/>
    </xf>
    <xf numFmtId="2" fontId="31" fillId="2" borderId="57" xfId="5" applyNumberFormat="1" applyFont="1" applyFill="1" applyBorder="1" applyAlignment="1">
      <alignment vertical="center"/>
    </xf>
    <xf numFmtId="2" fontId="0" fillId="0" borderId="73" xfId="0" applyNumberFormat="1" applyBorder="1"/>
    <xf numFmtId="2" fontId="0" fillId="0" borderId="74" xfId="0" applyNumberFormat="1" applyBorder="1"/>
    <xf numFmtId="2" fontId="29" fillId="8" borderId="37" xfId="5" applyNumberFormat="1" applyFont="1" applyFill="1" applyBorder="1" applyAlignment="1">
      <alignment horizontal="center" vertical="center"/>
    </xf>
    <xf numFmtId="2" fontId="33" fillId="8" borderId="16" xfId="0" applyNumberFormat="1" applyFont="1" applyFill="1" applyBorder="1" applyAlignment="1">
      <alignment horizontal="center" vertical="center"/>
    </xf>
    <xf numFmtId="2" fontId="29" fillId="8" borderId="38" xfId="5" applyNumberFormat="1" applyFont="1" applyFill="1" applyBorder="1" applyAlignment="1">
      <alignment horizontal="center" vertical="center"/>
    </xf>
    <xf numFmtId="2" fontId="33" fillId="8" borderId="38" xfId="0" applyNumberFormat="1" applyFont="1" applyFill="1" applyBorder="1" applyAlignment="1">
      <alignment horizontal="center" vertical="center"/>
    </xf>
    <xf numFmtId="2" fontId="35" fillId="8" borderId="8" xfId="0" applyNumberFormat="1" applyFont="1" applyFill="1" applyBorder="1" applyAlignment="1">
      <alignment horizontal="center" vertical="center" wrapText="1"/>
    </xf>
    <xf numFmtId="2" fontId="25" fillId="8" borderId="19" xfId="0" applyNumberFormat="1" applyFont="1" applyFill="1" applyBorder="1" applyAlignment="1">
      <alignment horizontal="center" vertical="center"/>
    </xf>
    <xf numFmtId="2" fontId="25" fillId="8" borderId="83" xfId="0" applyNumberFormat="1" applyFont="1" applyFill="1" applyBorder="1" applyAlignment="1">
      <alignment horizontal="center" vertical="center"/>
    </xf>
    <xf numFmtId="2" fontId="32" fillId="0" borderId="50" xfId="0" applyNumberFormat="1" applyFont="1" applyBorder="1" applyAlignment="1">
      <alignment horizontal="center" vertical="center" wrapText="1"/>
    </xf>
    <xf numFmtId="2" fontId="35" fillId="8" borderId="16" xfId="0" applyNumberFormat="1" applyFont="1" applyFill="1" applyBorder="1" applyAlignment="1">
      <alignment horizontal="center" vertical="center" wrapText="1"/>
    </xf>
    <xf numFmtId="2" fontId="25" fillId="8" borderId="81" xfId="0" applyNumberFormat="1" applyFont="1" applyFill="1" applyBorder="1" applyAlignment="1">
      <alignment horizontal="center" vertical="center"/>
    </xf>
    <xf numFmtId="2" fontId="35" fillId="8" borderId="38" xfId="0" applyNumberFormat="1" applyFont="1" applyFill="1" applyBorder="1" applyAlignment="1">
      <alignment horizontal="center" vertical="center" wrapText="1"/>
    </xf>
    <xf numFmtId="2" fontId="25" fillId="8" borderId="37" xfId="0" applyNumberFormat="1" applyFont="1" applyFill="1" applyBorder="1" applyAlignment="1">
      <alignment horizontal="center" vertical="center"/>
    </xf>
    <xf numFmtId="2" fontId="25" fillId="8" borderId="84" xfId="0" applyNumberFormat="1" applyFont="1" applyFill="1" applyBorder="1" applyAlignment="1">
      <alignment horizontal="center" vertical="center"/>
    </xf>
    <xf numFmtId="2" fontId="32" fillId="0" borderId="49" xfId="0" applyNumberFormat="1" applyFont="1" applyBorder="1" applyAlignment="1">
      <alignment horizontal="center" vertical="center" wrapText="1"/>
    </xf>
    <xf numFmtId="2" fontId="35" fillId="8" borderId="30" xfId="0" applyNumberFormat="1" applyFont="1" applyFill="1" applyBorder="1" applyAlignment="1">
      <alignment horizontal="center" vertical="center" wrapText="1"/>
    </xf>
    <xf numFmtId="2" fontId="25" fillId="8" borderId="30" xfId="5" applyNumberFormat="1" applyFont="1" applyFill="1" applyBorder="1" applyAlignment="1">
      <alignment horizontal="center" vertical="center"/>
    </xf>
    <xf numFmtId="2" fontId="25" fillId="8" borderId="31" xfId="5" applyNumberFormat="1" applyFont="1" applyFill="1" applyBorder="1" applyAlignment="1">
      <alignment horizontal="center" vertical="center"/>
    </xf>
    <xf numFmtId="2" fontId="25" fillId="8" borderId="80" xfId="5" applyNumberFormat="1" applyFont="1" applyFill="1" applyBorder="1" applyAlignment="1">
      <alignment horizontal="center" vertical="center"/>
    </xf>
    <xf numFmtId="2" fontId="25" fillId="8" borderId="16" xfId="5" applyNumberFormat="1" applyFont="1" applyFill="1" applyBorder="1" applyAlignment="1">
      <alignment horizontal="center" vertical="center"/>
    </xf>
    <xf numFmtId="2" fontId="25" fillId="8" borderId="14" xfId="5" applyNumberFormat="1" applyFont="1" applyFill="1" applyBorder="1" applyAlignment="1">
      <alignment horizontal="center" vertical="center"/>
    </xf>
    <xf numFmtId="2" fontId="25" fillId="8" borderId="81" xfId="5" applyNumberFormat="1" applyFont="1" applyFill="1" applyBorder="1" applyAlignment="1">
      <alignment horizontal="center" vertical="center"/>
    </xf>
    <xf numFmtId="2" fontId="25" fillId="8" borderId="38" xfId="5" applyNumberFormat="1" applyFont="1" applyFill="1" applyBorder="1" applyAlignment="1">
      <alignment horizontal="center" vertical="center"/>
    </xf>
    <xf numFmtId="2" fontId="25" fillId="8" borderId="37" xfId="5" applyNumberFormat="1" applyFont="1" applyFill="1" applyBorder="1" applyAlignment="1">
      <alignment horizontal="center" vertical="center"/>
    </xf>
    <xf numFmtId="2" fontId="25" fillId="8" borderId="84" xfId="5" applyNumberFormat="1" applyFont="1" applyFill="1" applyBorder="1" applyAlignment="1">
      <alignment horizontal="center" vertical="center"/>
    </xf>
    <xf numFmtId="2" fontId="25" fillId="0" borderId="38" xfId="0" applyNumberFormat="1" applyFont="1" applyBorder="1" applyAlignment="1">
      <alignment horizontal="center"/>
    </xf>
    <xf numFmtId="2" fontId="32" fillId="0" borderId="36" xfId="0" applyNumberFormat="1" applyFont="1" applyBorder="1" applyAlignment="1">
      <alignment horizontal="center" vertical="center" wrapText="1"/>
    </xf>
    <xf numFmtId="2" fontId="25" fillId="0" borderId="30" xfId="0" applyNumberFormat="1" applyFont="1" applyBorder="1" applyAlignment="1">
      <alignment horizontal="center" vertical="center"/>
    </xf>
    <xf numFmtId="2" fontId="25" fillId="0" borderId="31" xfId="0" applyNumberFormat="1" applyFont="1" applyBorder="1" applyAlignment="1">
      <alignment horizontal="center" vertical="center"/>
    </xf>
    <xf numFmtId="2" fontId="25" fillId="0" borderId="80" xfId="0" applyNumberFormat="1" applyFont="1" applyBorder="1" applyAlignment="1">
      <alignment horizontal="center" vertical="center"/>
    </xf>
    <xf numFmtId="2" fontId="25" fillId="9" borderId="29" xfId="0" applyNumberFormat="1" applyFont="1" applyFill="1" applyBorder="1" applyAlignment="1">
      <alignment horizontal="center" vertical="center" wrapText="1"/>
    </xf>
    <xf numFmtId="2" fontId="25" fillId="0" borderId="14" xfId="0" applyNumberFormat="1" applyFont="1" applyBorder="1" applyAlignment="1">
      <alignment horizontal="center" vertical="center"/>
    </xf>
    <xf numFmtId="2" fontId="25" fillId="0" borderId="81" xfId="0" applyNumberFormat="1" applyFont="1" applyBorder="1" applyAlignment="1">
      <alignment horizontal="center" vertical="center"/>
    </xf>
    <xf numFmtId="2" fontId="25" fillId="9" borderId="34" xfId="0" applyNumberFormat="1" applyFont="1" applyFill="1" applyBorder="1" applyAlignment="1">
      <alignment horizontal="center" vertical="center" wrapText="1"/>
    </xf>
    <xf numFmtId="2" fontId="25" fillId="9" borderId="34" xfId="0" applyNumberFormat="1" applyFont="1" applyFill="1" applyBorder="1" applyAlignment="1">
      <alignment horizontal="center" vertical="center"/>
    </xf>
    <xf numFmtId="2" fontId="25" fillId="0" borderId="37" xfId="0" applyNumberFormat="1" applyFont="1" applyBorder="1" applyAlignment="1">
      <alignment horizontal="center" vertical="center"/>
    </xf>
    <xf numFmtId="2" fontId="25" fillId="0" borderId="84" xfId="0" applyNumberFormat="1" applyFont="1" applyBorder="1" applyAlignment="1">
      <alignment horizontal="center" vertical="center"/>
    </xf>
    <xf numFmtId="2" fontId="25" fillId="9" borderId="36" xfId="0" applyNumberFormat="1" applyFont="1" applyFill="1" applyBorder="1" applyAlignment="1">
      <alignment horizontal="center" vertical="center" wrapText="1"/>
    </xf>
    <xf numFmtId="2" fontId="25" fillId="8" borderId="80" xfId="0" applyNumberFormat="1" applyFont="1" applyFill="1" applyBorder="1" applyAlignment="1">
      <alignment horizontal="center" vertical="center"/>
    </xf>
    <xf numFmtId="2" fontId="25" fillId="9" borderId="29" xfId="0" applyNumberFormat="1" applyFont="1" applyFill="1" applyBorder="1" applyAlignment="1">
      <alignment vertical="center" wrapText="1"/>
    </xf>
    <xf numFmtId="2" fontId="25" fillId="9" borderId="34" xfId="0" applyNumberFormat="1" applyFont="1" applyFill="1" applyBorder="1" applyAlignment="1">
      <alignment vertical="center" wrapText="1"/>
    </xf>
    <xf numFmtId="2" fontId="25" fillId="0" borderId="29" xfId="0" applyNumberFormat="1" applyFont="1" applyBorder="1"/>
    <xf numFmtId="2" fontId="25" fillId="0" borderId="34" xfId="0" applyNumberFormat="1" applyFont="1" applyBorder="1"/>
    <xf numFmtId="2" fontId="25" fillId="0" borderId="36" xfId="0" applyNumberFormat="1" applyFont="1" applyBorder="1"/>
    <xf numFmtId="2" fontId="35" fillId="8" borderId="2" xfId="0" applyNumberFormat="1" applyFont="1" applyFill="1" applyBorder="1" applyAlignment="1">
      <alignment horizontal="center" vertical="center" wrapText="1"/>
    </xf>
    <xf numFmtId="2" fontId="25" fillId="9" borderId="47" xfId="0" applyNumberFormat="1" applyFont="1" applyFill="1" applyBorder="1" applyAlignment="1">
      <alignment horizontal="center" vertical="center" wrapText="1"/>
    </xf>
    <xf numFmtId="2" fontId="32" fillId="8" borderId="54" xfId="0" applyNumberFormat="1" applyFont="1" applyFill="1" applyBorder="1" applyAlignment="1">
      <alignment horizontal="center" vertical="center" wrapText="1"/>
    </xf>
    <xf numFmtId="2" fontId="0" fillId="9" borderId="29" xfId="0" applyNumberFormat="1" applyFill="1" applyBorder="1" applyAlignment="1">
      <alignment horizontal="center" vertical="center" wrapText="1"/>
    </xf>
    <xf numFmtId="2" fontId="32" fillId="8" borderId="22" xfId="0" applyNumberFormat="1" applyFont="1" applyFill="1" applyBorder="1" applyAlignment="1">
      <alignment horizontal="center" vertical="center" wrapText="1"/>
    </xf>
    <xf numFmtId="2" fontId="0" fillId="9" borderId="34" xfId="0" applyNumberFormat="1" applyFill="1" applyBorder="1" applyAlignment="1">
      <alignment horizontal="center" vertical="center" wrapText="1"/>
    </xf>
    <xf numFmtId="2" fontId="32" fillId="8" borderId="59" xfId="0" applyNumberFormat="1" applyFont="1" applyFill="1" applyBorder="1" applyAlignment="1">
      <alignment horizontal="center" vertical="center" wrapText="1"/>
    </xf>
    <xf numFmtId="2" fontId="0" fillId="0" borderId="75" xfId="0" applyNumberFormat="1" applyBorder="1"/>
    <xf numFmtId="2" fontId="0" fillId="9" borderId="36" xfId="0" applyNumberFormat="1" applyFill="1" applyBorder="1" applyAlignment="1">
      <alignment horizontal="center" vertical="center" wrapText="1"/>
    </xf>
    <xf numFmtId="2" fontId="35" fillId="2" borderId="0" xfId="0" applyNumberFormat="1" applyFont="1" applyFill="1" applyAlignment="1">
      <alignment horizontal="center" vertical="center" wrapText="1"/>
    </xf>
    <xf numFmtId="2" fontId="35" fillId="2" borderId="16" xfId="5" applyNumberFormat="1" applyFont="1" applyFill="1" applyBorder="1" applyAlignment="1">
      <alignment horizontal="center" vertical="center" wrapText="1"/>
    </xf>
    <xf numFmtId="2" fontId="67" fillId="2" borderId="0" xfId="5" applyNumberFormat="1" applyFont="1" applyFill="1" applyAlignment="1">
      <alignment vertical="center" wrapText="1"/>
    </xf>
    <xf numFmtId="2" fontId="68" fillId="2" borderId="0" xfId="0" applyNumberFormat="1" applyFont="1" applyFill="1"/>
    <xf numFmtId="2" fontId="0" fillId="7" borderId="0" xfId="0" applyNumberFormat="1" applyFill="1"/>
    <xf numFmtId="2" fontId="33" fillId="2" borderId="16" xfId="0" applyNumberFormat="1" applyFont="1" applyFill="1" applyBorder="1" applyAlignment="1">
      <alignment horizontal="center" vertical="center"/>
    </xf>
    <xf numFmtId="2" fontId="68" fillId="2" borderId="0" xfId="0" applyNumberFormat="1" applyFont="1" applyFill="1" applyAlignment="1">
      <alignment horizontal="right"/>
    </xf>
    <xf numFmtId="2" fontId="49" fillId="0" borderId="0" xfId="0" applyNumberFormat="1" applyFont="1" applyAlignment="1">
      <alignment horizontal="center" vertical="center"/>
    </xf>
    <xf numFmtId="2" fontId="68" fillId="2" borderId="0" xfId="3" applyNumberFormat="1" applyFont="1" applyFill="1"/>
    <xf numFmtId="2" fontId="76" fillId="0" borderId="16" xfId="0" applyNumberFormat="1" applyFont="1" applyBorder="1" applyAlignment="1">
      <alignment horizontal="center" vertical="center"/>
    </xf>
    <xf numFmtId="2" fontId="68" fillId="2" borderId="0" xfId="0" applyNumberFormat="1" applyFont="1" applyFill="1" applyAlignment="1">
      <alignment horizontal="center" wrapText="1"/>
    </xf>
    <xf numFmtId="2" fontId="68" fillId="2" borderId="0" xfId="0" applyNumberFormat="1" applyFont="1" applyFill="1" applyAlignment="1">
      <alignment horizontal="center" vertical="center"/>
    </xf>
    <xf numFmtId="2" fontId="25" fillId="2" borderId="22" xfId="0" applyNumberFormat="1" applyFont="1" applyFill="1" applyBorder="1"/>
    <xf numFmtId="2" fontId="35" fillId="2" borderId="15" xfId="0" applyNumberFormat="1" applyFont="1" applyFill="1" applyBorder="1" applyAlignment="1">
      <alignment horizontal="center" vertical="center"/>
    </xf>
    <xf numFmtId="2" fontId="35" fillId="2" borderId="16" xfId="0" applyNumberFormat="1" applyFont="1" applyFill="1" applyBorder="1" applyAlignment="1">
      <alignment horizontal="center"/>
    </xf>
    <xf numFmtId="2" fontId="35" fillId="2" borderId="35" xfId="0" applyNumberFormat="1" applyFont="1" applyFill="1" applyBorder="1" applyAlignment="1">
      <alignment horizontal="center" vertical="center"/>
    </xf>
    <xf numFmtId="2" fontId="35" fillId="2" borderId="85" xfId="0" applyNumberFormat="1" applyFont="1" applyFill="1" applyBorder="1" applyAlignment="1">
      <alignment horizontal="center" vertical="center"/>
    </xf>
    <xf numFmtId="2" fontId="35" fillId="2" borderId="38" xfId="0" applyNumberFormat="1" applyFont="1" applyFill="1" applyBorder="1" applyAlignment="1">
      <alignment horizontal="center"/>
    </xf>
    <xf numFmtId="2" fontId="35" fillId="2" borderId="22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36" fillId="2" borderId="52" xfId="0" applyNumberFormat="1" applyFont="1" applyFill="1" applyBorder="1" applyAlignment="1">
      <alignment horizontal="center" vertical="center" wrapText="1"/>
    </xf>
    <xf numFmtId="2" fontId="36" fillId="2" borderId="76" xfId="0" applyNumberFormat="1" applyFont="1" applyFill="1" applyBorder="1" applyAlignment="1">
      <alignment horizontal="center" vertical="center" wrapText="1"/>
    </xf>
    <xf numFmtId="2" fontId="32" fillId="2" borderId="53" xfId="0" applyNumberFormat="1" applyFont="1" applyFill="1" applyBorder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/>
    </xf>
    <xf numFmtId="2" fontId="13" fillId="3" borderId="40" xfId="0" applyNumberFormat="1" applyFont="1" applyFill="1" applyBorder="1" applyAlignment="1">
      <alignment vertical="center"/>
    </xf>
    <xf numFmtId="2" fontId="13" fillId="3" borderId="41" xfId="0" applyNumberFormat="1" applyFont="1" applyFill="1" applyBorder="1" applyAlignment="1">
      <alignment vertical="center"/>
    </xf>
    <xf numFmtId="2" fontId="13" fillId="2" borderId="64" xfId="0" applyNumberFormat="1" applyFont="1" applyFill="1" applyBorder="1" applyAlignment="1">
      <alignment vertical="center"/>
    </xf>
    <xf numFmtId="2" fontId="39" fillId="0" borderId="0" xfId="0" applyNumberFormat="1" applyFont="1" applyAlignment="1">
      <alignment horizontal="center"/>
    </xf>
    <xf numFmtId="2" fontId="40" fillId="0" borderId="0" xfId="0" applyNumberFormat="1" applyFont="1"/>
    <xf numFmtId="2" fontId="1" fillId="2" borderId="14" xfId="0" applyNumberFormat="1" applyFont="1" applyFill="1" applyBorder="1" applyAlignment="1" applyProtection="1">
      <alignment horizontal="left" vertical="center"/>
      <protection locked="0"/>
    </xf>
    <xf numFmtId="2" fontId="1" fillId="2" borderId="13" xfId="0" applyNumberFormat="1" applyFont="1" applyFill="1" applyBorder="1" applyAlignment="1" applyProtection="1">
      <alignment horizontal="left" vertical="center"/>
      <protection locked="0"/>
    </xf>
    <xf numFmtId="2" fontId="41" fillId="2" borderId="13" xfId="0" applyNumberFormat="1" applyFont="1" applyFill="1" applyBorder="1" applyAlignment="1">
      <alignment vertical="center"/>
    </xf>
    <xf numFmtId="1" fontId="41" fillId="2" borderId="68" xfId="0" applyNumberFormat="1" applyFont="1" applyFill="1" applyBorder="1" applyAlignment="1">
      <alignment horizontal="center" vertical="center"/>
    </xf>
    <xf numFmtId="1" fontId="41" fillId="2" borderId="8" xfId="0" applyNumberFormat="1" applyFont="1" applyFill="1" applyBorder="1" applyAlignment="1">
      <alignment horizontal="center" vertical="center"/>
    </xf>
    <xf numFmtId="1" fontId="41" fillId="2" borderId="50" xfId="0" applyNumberFormat="1" applyFont="1" applyFill="1" applyBorder="1" applyAlignment="1">
      <alignment horizontal="center" vertical="center"/>
    </xf>
    <xf numFmtId="1" fontId="25" fillId="2" borderId="65" xfId="0" applyNumberFormat="1" applyFont="1" applyFill="1" applyBorder="1" applyAlignment="1">
      <alignment horizontal="center" vertical="center"/>
    </xf>
    <xf numFmtId="2" fontId="40" fillId="0" borderId="32" xfId="0" applyNumberFormat="1" applyFont="1" applyBorder="1" applyAlignment="1">
      <alignment horizontal="center" vertical="center"/>
    </xf>
    <xf numFmtId="2" fontId="1" fillId="2" borderId="14" xfId="0" applyNumberFormat="1" applyFont="1" applyFill="1" applyBorder="1"/>
    <xf numFmtId="2" fontId="40" fillId="0" borderId="18" xfId="0" applyNumberFormat="1" applyFont="1" applyBorder="1"/>
    <xf numFmtId="2" fontId="40" fillId="0" borderId="33" xfId="0" applyNumberFormat="1" applyFont="1" applyBorder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41" fillId="2" borderId="18" xfId="0" applyNumberFormat="1" applyFont="1" applyFill="1" applyBorder="1" applyAlignment="1">
      <alignment vertical="center"/>
    </xf>
    <xf numFmtId="1" fontId="41" fillId="2" borderId="32" xfId="0" applyNumberFormat="1" applyFont="1" applyFill="1" applyBorder="1" applyAlignment="1">
      <alignment horizontal="center" vertical="center"/>
    </xf>
    <xf numFmtId="1" fontId="41" fillId="2" borderId="34" xfId="0" applyNumberFormat="1" applyFont="1" applyFill="1" applyBorder="1" applyAlignment="1">
      <alignment horizontal="center" vertical="center"/>
    </xf>
    <xf numFmtId="1" fontId="25" fillId="2" borderId="33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 applyProtection="1">
      <alignment horizontal="left" vertical="center"/>
      <protection locked="0"/>
    </xf>
    <xf numFmtId="2" fontId="41" fillId="2" borderId="12" xfId="0" applyNumberFormat="1" applyFont="1" applyFill="1" applyBorder="1" applyAlignment="1">
      <alignment vertical="center"/>
    </xf>
    <xf numFmtId="2" fontId="1" fillId="2" borderId="14" xfId="0" quotePrefix="1" applyNumberFormat="1" applyFont="1" applyFill="1" applyBorder="1" applyAlignment="1" applyProtection="1">
      <alignment horizontal="left"/>
      <protection locked="0"/>
    </xf>
    <xf numFmtId="2" fontId="1" fillId="2" borderId="12" xfId="0" quotePrefix="1" applyNumberFormat="1" applyFont="1" applyFill="1" applyBorder="1" applyAlignment="1" applyProtection="1">
      <alignment horizontal="left"/>
      <protection locked="0"/>
    </xf>
    <xf numFmtId="1" fontId="41" fillId="2" borderId="35" xfId="0" applyNumberFormat="1" applyFont="1" applyFill="1" applyBorder="1" applyAlignment="1">
      <alignment horizontal="center" vertical="center"/>
    </xf>
    <xf numFmtId="1" fontId="41" fillId="2" borderId="38" xfId="0" applyNumberFormat="1" applyFont="1" applyFill="1" applyBorder="1" applyAlignment="1">
      <alignment horizontal="center" vertical="center"/>
    </xf>
    <xf numFmtId="1" fontId="41" fillId="2" borderId="36" xfId="0" applyNumberFormat="1" applyFont="1" applyFill="1" applyBorder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14" fillId="2" borderId="0" xfId="0" quotePrefix="1" applyNumberFormat="1" applyFont="1" applyFill="1" applyAlignment="1" applyProtection="1">
      <alignment horizontal="left"/>
      <protection locked="0"/>
    </xf>
    <xf numFmtId="2" fontId="14" fillId="0" borderId="0" xfId="0" applyNumberFormat="1" applyFont="1"/>
    <xf numFmtId="2" fontId="1" fillId="0" borderId="0" xfId="0" quotePrefix="1" applyNumberFormat="1" applyFont="1"/>
    <xf numFmtId="2" fontId="40" fillId="2" borderId="0" xfId="0" applyNumberFormat="1" applyFont="1" applyFill="1"/>
    <xf numFmtId="2" fontId="40" fillId="2" borderId="0" xfId="0" applyNumberFormat="1" applyFont="1" applyFill="1" applyAlignment="1">
      <alignment horizontal="center" vertical="center"/>
    </xf>
    <xf numFmtId="165" fontId="37" fillId="0" borderId="6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35" fillId="2" borderId="16" xfId="0" applyNumberFormat="1" applyFont="1" applyFill="1" applyBorder="1" applyAlignment="1">
      <alignment horizontal="center" vertical="center" wrapText="1"/>
    </xf>
    <xf numFmtId="165" fontId="37" fillId="0" borderId="16" xfId="0" applyNumberFormat="1" applyFont="1" applyBorder="1" applyAlignment="1">
      <alignment horizontal="center" vertical="center"/>
    </xf>
    <xf numFmtId="2" fontId="35" fillId="2" borderId="76" xfId="0" applyNumberFormat="1" applyFont="1" applyFill="1" applyBorder="1" applyAlignment="1">
      <alignment horizontal="center" vertical="center" wrapText="1"/>
    </xf>
    <xf numFmtId="2" fontId="34" fillId="0" borderId="76" xfId="0" applyNumberFormat="1" applyFont="1" applyBorder="1" applyAlignment="1">
      <alignment horizontal="center" vertical="center" wrapText="1"/>
    </xf>
    <xf numFmtId="165" fontId="37" fillId="0" borderId="32" xfId="0" applyNumberFormat="1" applyFont="1" applyBorder="1" applyAlignment="1">
      <alignment horizontal="center" vertical="center"/>
    </xf>
    <xf numFmtId="165" fontId="37" fillId="0" borderId="35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72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2" fontId="25" fillId="3" borderId="83" xfId="0" applyNumberFormat="1" applyFont="1" applyFill="1" applyBorder="1" applyAlignment="1">
      <alignment horizontal="center" vertical="center"/>
    </xf>
    <xf numFmtId="2" fontId="38" fillId="3" borderId="83" xfId="0" applyNumberFormat="1" applyFont="1" applyFill="1" applyBorder="1" applyAlignment="1">
      <alignment horizontal="center" vertical="center"/>
    </xf>
    <xf numFmtId="2" fontId="38" fillId="0" borderId="16" xfId="0" applyNumberFormat="1" applyFont="1" applyBorder="1" applyAlignment="1">
      <alignment horizontal="center" vertical="center"/>
    </xf>
    <xf numFmtId="2" fontId="25" fillId="0" borderId="34" xfId="0" applyNumberFormat="1" applyFont="1" applyBorder="1" applyAlignment="1">
      <alignment horizontal="center" vertical="center"/>
    </xf>
    <xf numFmtId="2" fontId="38" fillId="0" borderId="38" xfId="0" applyNumberFormat="1" applyFont="1" applyBorder="1" applyAlignment="1">
      <alignment horizontal="center" vertical="center"/>
    </xf>
    <xf numFmtId="2" fontId="25" fillId="0" borderId="36" xfId="0" applyNumberFormat="1" applyFont="1" applyBorder="1" applyAlignment="1">
      <alignment horizontal="center" vertical="center"/>
    </xf>
    <xf numFmtId="2" fontId="1" fillId="2" borderId="0" xfId="0" applyNumberFormat="1" applyFont="1" applyFill="1" applyAlignment="1" applyProtection="1">
      <alignment horizontal="left" vertical="center"/>
      <protection locked="0"/>
    </xf>
    <xf numFmtId="2" fontId="41" fillId="2" borderId="0" xfId="0" applyNumberFormat="1" applyFont="1" applyFill="1" applyAlignment="1">
      <alignment vertical="center"/>
    </xf>
    <xf numFmtId="2" fontId="1" fillId="2" borderId="0" xfId="0" quotePrefix="1" applyNumberFormat="1" applyFont="1" applyFill="1" applyAlignment="1" applyProtection="1">
      <alignment horizontal="left"/>
      <protection locked="0"/>
    </xf>
    <xf numFmtId="2" fontId="32" fillId="2" borderId="0" xfId="0" applyNumberFormat="1" applyFont="1" applyFill="1" applyAlignment="1">
      <alignment vertical="center"/>
    </xf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1" fillId="2" borderId="22" xfId="0" quotePrefix="1" applyNumberFormat="1" applyFont="1" applyFill="1" applyBorder="1" applyAlignment="1" applyProtection="1">
      <alignment horizontal="left"/>
      <protection locked="0"/>
    </xf>
    <xf numFmtId="2" fontId="13" fillId="2" borderId="41" xfId="0" applyNumberFormat="1" applyFont="1" applyFill="1" applyBorder="1" applyAlignment="1">
      <alignment vertical="center"/>
    </xf>
    <xf numFmtId="1" fontId="25" fillId="2" borderId="54" xfId="0" applyNumberFormat="1" applyFont="1" applyFill="1" applyBorder="1" applyAlignment="1">
      <alignment horizontal="center" vertical="center"/>
    </xf>
    <xf numFmtId="1" fontId="25" fillId="2" borderId="22" xfId="0" applyNumberFormat="1" applyFont="1" applyFill="1" applyBorder="1" applyAlignment="1">
      <alignment horizontal="center" vertical="center"/>
    </xf>
    <xf numFmtId="1" fontId="25" fillId="2" borderId="59" xfId="0" applyNumberFormat="1" applyFont="1" applyFill="1" applyBorder="1" applyAlignment="1">
      <alignment horizontal="center" vertical="center"/>
    </xf>
    <xf numFmtId="2" fontId="1" fillId="2" borderId="54" xfId="0" applyNumberFormat="1" applyFont="1" applyFill="1" applyBorder="1" applyAlignment="1" applyProtection="1">
      <alignment horizontal="left" vertical="center"/>
      <protection locked="0"/>
    </xf>
    <xf numFmtId="2" fontId="1" fillId="2" borderId="55" xfId="0" applyNumberFormat="1" applyFont="1" applyFill="1" applyBorder="1" applyAlignment="1" applyProtection="1">
      <alignment horizontal="left" vertical="center"/>
      <protection locked="0"/>
    </xf>
    <xf numFmtId="2" fontId="41" fillId="2" borderId="55" xfId="0" applyNumberFormat="1" applyFont="1" applyFill="1" applyBorder="1" applyAlignment="1">
      <alignment vertical="center"/>
    </xf>
    <xf numFmtId="2" fontId="1" fillId="2" borderId="59" xfId="0" quotePrefix="1" applyNumberFormat="1" applyFont="1" applyFill="1" applyBorder="1" applyAlignment="1" applyProtection="1">
      <alignment horizontal="left"/>
      <protection locked="0"/>
    </xf>
    <xf numFmtId="2" fontId="1" fillId="2" borderId="60" xfId="0" quotePrefix="1" applyNumberFormat="1" applyFont="1" applyFill="1" applyBorder="1" applyAlignment="1" applyProtection="1">
      <alignment horizontal="left"/>
      <protection locked="0"/>
    </xf>
    <xf numFmtId="2" fontId="41" fillId="2" borderId="60" xfId="0" applyNumberFormat="1" applyFont="1" applyFill="1" applyBorder="1" applyAlignment="1">
      <alignment vertical="center"/>
    </xf>
    <xf numFmtId="2" fontId="43" fillId="0" borderId="0" xfId="0" applyNumberFormat="1" applyFont="1" applyAlignment="1" applyProtection="1">
      <alignment vertical="center"/>
      <protection locked="0"/>
    </xf>
    <xf numFmtId="2" fontId="34" fillId="11" borderId="32" xfId="0" applyNumberFormat="1" applyFont="1" applyFill="1" applyBorder="1" applyAlignment="1">
      <alignment horizontal="center" vertical="center"/>
    </xf>
    <xf numFmtId="2" fontId="34" fillId="7" borderId="34" xfId="0" applyNumberFormat="1" applyFont="1" applyFill="1" applyBorder="1" applyAlignment="1">
      <alignment horizontal="center" vertical="center"/>
    </xf>
    <xf numFmtId="2" fontId="34" fillId="0" borderId="16" xfId="0" applyNumberFormat="1" applyFont="1" applyBorder="1" applyAlignment="1">
      <alignment horizontal="center" vertical="center"/>
    </xf>
    <xf numFmtId="2" fontId="1" fillId="11" borderId="16" xfId="0" applyNumberFormat="1" applyFont="1" applyFill="1" applyBorder="1" applyAlignment="1">
      <alignment horizontal="center"/>
    </xf>
    <xf numFmtId="2" fontId="1" fillId="7" borderId="16" xfId="0" applyNumberFormat="1" applyFont="1" applyFill="1" applyBorder="1" applyAlignment="1">
      <alignment vertical="center"/>
    </xf>
    <xf numFmtId="2" fontId="0" fillId="7" borderId="16" xfId="0" applyNumberFormat="1" applyFill="1" applyBorder="1"/>
    <xf numFmtId="2" fontId="34" fillId="11" borderId="35" xfId="0" applyNumberFormat="1" applyFont="1" applyFill="1" applyBorder="1" applyAlignment="1">
      <alignment horizontal="center" vertical="center"/>
    </xf>
    <xf numFmtId="2" fontId="34" fillId="7" borderId="36" xfId="0" applyNumberFormat="1" applyFon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/>
    </xf>
    <xf numFmtId="2" fontId="1" fillId="7" borderId="16" xfId="0" quotePrefix="1" applyNumberFormat="1" applyFont="1" applyFill="1" applyBorder="1" applyAlignment="1">
      <alignment horizontal="center"/>
    </xf>
    <xf numFmtId="2" fontId="0" fillId="0" borderId="22" xfId="0" applyNumberFormat="1" applyBorder="1"/>
    <xf numFmtId="2" fontId="0" fillId="0" borderId="41" xfId="0" applyNumberFormat="1" applyBorder="1"/>
    <xf numFmtId="2" fontId="1" fillId="2" borderId="0" xfId="0" quotePrefix="1" applyNumberFormat="1" applyFont="1" applyFill="1" applyAlignment="1">
      <alignment horizontal="center"/>
    </xf>
    <xf numFmtId="2" fontId="23" fillId="11" borderId="16" xfId="0" applyNumberFormat="1" applyFont="1" applyFill="1" applyBorder="1" applyAlignment="1">
      <alignment horizontal="center" vertical="center"/>
    </xf>
    <xf numFmtId="2" fontId="1" fillId="7" borderId="16" xfId="0" applyNumberFormat="1" applyFont="1" applyFill="1" applyBorder="1" applyAlignment="1">
      <alignment horizontal="center"/>
    </xf>
    <xf numFmtId="2" fontId="0" fillId="0" borderId="22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34" fillId="7" borderId="16" xfId="0" applyNumberFormat="1" applyFont="1" applyFill="1" applyBorder="1" applyAlignment="1">
      <alignment horizontal="center" vertical="center"/>
    </xf>
    <xf numFmtId="2" fontId="34" fillId="7" borderId="0" xfId="0" applyNumberFormat="1" applyFont="1" applyFill="1" applyAlignment="1">
      <alignment horizontal="center" vertical="center"/>
    </xf>
    <xf numFmtId="2" fontId="25" fillId="6" borderId="59" xfId="0" applyNumberFormat="1" applyFont="1" applyFill="1" applyBorder="1"/>
    <xf numFmtId="2" fontId="35" fillId="2" borderId="16" xfId="5" applyNumberFormat="1" applyFont="1" applyFill="1" applyBorder="1" applyAlignment="1">
      <alignment vertical="center"/>
    </xf>
    <xf numFmtId="2" fontId="0" fillId="0" borderId="16" xfId="0" applyNumberFormat="1" applyBorder="1"/>
    <xf numFmtId="2" fontId="35" fillId="2" borderId="55" xfId="5" applyNumberFormat="1" applyFont="1" applyFill="1" applyBorder="1" applyAlignment="1">
      <alignment horizontal="center" vertical="center"/>
    </xf>
    <xf numFmtId="2" fontId="33" fillId="11" borderId="16" xfId="0" applyNumberFormat="1" applyFont="1" applyFill="1" applyBorder="1" applyAlignment="1">
      <alignment horizontal="center" vertical="center"/>
    </xf>
    <xf numFmtId="2" fontId="29" fillId="11" borderId="16" xfId="5" applyNumberFormat="1" applyFont="1" applyFill="1" applyBorder="1" applyAlignment="1">
      <alignment horizontal="center" vertical="center"/>
    </xf>
    <xf numFmtId="2" fontId="32" fillId="3" borderId="32" xfId="0" applyNumberFormat="1" applyFont="1" applyFill="1" applyBorder="1" applyAlignment="1">
      <alignment horizontal="center" vertical="center"/>
    </xf>
    <xf numFmtId="2" fontId="32" fillId="3" borderId="34" xfId="0" applyNumberFormat="1" applyFont="1" applyFill="1" applyBorder="1" applyAlignment="1">
      <alignment horizontal="center" vertical="center"/>
    </xf>
    <xf numFmtId="2" fontId="25" fillId="11" borderId="16" xfId="0" applyNumberFormat="1" applyFont="1" applyFill="1" applyBorder="1" applyAlignment="1">
      <alignment horizontal="center" vertical="center"/>
    </xf>
    <xf numFmtId="2" fontId="25" fillId="11" borderId="34" xfId="0" applyNumberFormat="1" applyFont="1" applyFill="1" applyBorder="1" applyAlignment="1">
      <alignment horizontal="center" vertical="center"/>
    </xf>
    <xf numFmtId="2" fontId="32" fillId="3" borderId="32" xfId="0" applyNumberFormat="1" applyFont="1" applyFill="1" applyBorder="1" applyAlignment="1">
      <alignment horizontal="center"/>
    </xf>
    <xf numFmtId="2" fontId="32" fillId="3" borderId="34" xfId="0" applyNumberFormat="1" applyFont="1" applyFill="1" applyBorder="1" applyAlignment="1">
      <alignment horizontal="center"/>
    </xf>
    <xf numFmtId="2" fontId="25" fillId="11" borderId="16" xfId="0" applyNumberFormat="1" applyFont="1" applyFill="1" applyBorder="1" applyAlignment="1">
      <alignment horizontal="center"/>
    </xf>
    <xf numFmtId="2" fontId="25" fillId="11" borderId="34" xfId="0" applyNumberFormat="1" applyFont="1" applyFill="1" applyBorder="1" applyAlignment="1">
      <alignment horizontal="center"/>
    </xf>
    <xf numFmtId="2" fontId="34" fillId="3" borderId="34" xfId="0" applyNumberFormat="1" applyFont="1" applyFill="1" applyBorder="1" applyAlignment="1">
      <alignment horizontal="center"/>
    </xf>
    <xf numFmtId="2" fontId="32" fillId="3" borderId="35" xfId="0" applyNumberFormat="1" applyFont="1" applyFill="1" applyBorder="1" applyAlignment="1">
      <alignment horizontal="center" vertical="center"/>
    </xf>
    <xf numFmtId="2" fontId="34" fillId="3" borderId="36" xfId="0" applyNumberFormat="1" applyFont="1" applyFill="1" applyBorder="1" applyAlignment="1">
      <alignment horizontal="center"/>
    </xf>
    <xf numFmtId="2" fontId="25" fillId="11" borderId="38" xfId="0" applyNumberFormat="1" applyFont="1" applyFill="1" applyBorder="1" applyAlignment="1">
      <alignment horizontal="center" vertical="center"/>
    </xf>
    <xf numFmtId="2" fontId="25" fillId="11" borderId="38" xfId="0" applyNumberFormat="1" applyFont="1" applyFill="1" applyBorder="1" applyAlignment="1">
      <alignment horizontal="center"/>
    </xf>
    <xf numFmtId="2" fontId="25" fillId="11" borderId="36" xfId="0" applyNumberFormat="1" applyFont="1" applyFill="1" applyBorder="1" applyAlignment="1">
      <alignment horizontal="center"/>
    </xf>
    <xf numFmtId="2" fontId="25" fillId="0" borderId="60" xfId="0" applyNumberFormat="1" applyFont="1" applyBorder="1"/>
    <xf numFmtId="2" fontId="25" fillId="2" borderId="4" xfId="0" applyNumberFormat="1" applyFont="1" applyFill="1" applyBorder="1" applyAlignment="1">
      <alignment horizontal="center" vertical="center"/>
    </xf>
    <xf numFmtId="2" fontId="25" fillId="2" borderId="4" xfId="0" applyNumberFormat="1" applyFont="1" applyFill="1" applyBorder="1" applyAlignment="1">
      <alignment horizontal="center"/>
    </xf>
    <xf numFmtId="2" fontId="25" fillId="2" borderId="45" xfId="0" applyNumberFormat="1" applyFont="1" applyFill="1" applyBorder="1" applyAlignment="1">
      <alignment horizontal="center"/>
    </xf>
    <xf numFmtId="2" fontId="25" fillId="11" borderId="30" xfId="0" applyNumberFormat="1" applyFont="1" applyFill="1" applyBorder="1" applyAlignment="1">
      <alignment horizontal="center" vertical="center"/>
    </xf>
    <xf numFmtId="2" fontId="25" fillId="11" borderId="30" xfId="0" applyNumberFormat="1" applyFont="1" applyFill="1" applyBorder="1" applyAlignment="1">
      <alignment horizontal="center"/>
    </xf>
    <xf numFmtId="2" fontId="25" fillId="11" borderId="29" xfId="0" applyNumberFormat="1" applyFont="1" applyFill="1" applyBorder="1" applyAlignment="1">
      <alignment horizontal="center"/>
    </xf>
    <xf numFmtId="2" fontId="25" fillId="0" borderId="55" xfId="0" applyNumberFormat="1" applyFont="1" applyBorder="1"/>
    <xf numFmtId="2" fontId="49" fillId="3" borderId="34" xfId="0" applyNumberFormat="1" applyFont="1" applyFill="1" applyBorder="1" applyAlignment="1">
      <alignment horizontal="center" vertical="center"/>
    </xf>
    <xf numFmtId="2" fontId="25" fillId="11" borderId="36" xfId="0" applyNumberFormat="1" applyFont="1" applyFill="1" applyBorder="1" applyAlignment="1">
      <alignment horizontal="center" vertical="center"/>
    </xf>
    <xf numFmtId="2" fontId="25" fillId="2" borderId="63" xfId="0" applyNumberFormat="1" applyFont="1" applyFill="1" applyBorder="1" applyAlignment="1">
      <alignment horizontal="center" vertical="center"/>
    </xf>
    <xf numFmtId="2" fontId="25" fillId="11" borderId="29" xfId="0" applyNumberFormat="1" applyFont="1" applyFill="1" applyBorder="1" applyAlignment="1">
      <alignment horizontal="center" vertical="center"/>
    </xf>
    <xf numFmtId="2" fontId="25" fillId="2" borderId="21" xfId="0" applyNumberFormat="1" applyFont="1" applyFill="1" applyBorder="1" applyAlignment="1">
      <alignment horizontal="center" vertical="center"/>
    </xf>
    <xf numFmtId="2" fontId="25" fillId="0" borderId="22" xfId="0" applyNumberFormat="1" applyFont="1" applyBorder="1" applyAlignment="1">
      <alignment horizontal="center" vertical="center"/>
    </xf>
    <xf numFmtId="2" fontId="35" fillId="2" borderId="55" xfId="5" applyNumberFormat="1" applyFont="1" applyFill="1" applyBorder="1" applyAlignment="1">
      <alignment horizontal="left" vertical="center" wrapText="1"/>
    </xf>
    <xf numFmtId="2" fontId="30" fillId="2" borderId="16" xfId="5" applyNumberFormat="1" applyFont="1" applyFill="1" applyBorder="1" applyAlignment="1">
      <alignment horizontal="center" vertical="center"/>
    </xf>
    <xf numFmtId="2" fontId="25" fillId="7" borderId="16" xfId="0" applyNumberFormat="1" applyFont="1" applyFill="1" applyBorder="1" applyAlignment="1">
      <alignment horizontal="center"/>
    </xf>
    <xf numFmtId="2" fontId="25" fillId="2" borderId="16" xfId="5" applyNumberFormat="1" applyFont="1" applyFill="1" applyBorder="1" applyAlignment="1">
      <alignment horizontal="center"/>
    </xf>
    <xf numFmtId="2" fontId="25" fillId="2" borderId="22" xfId="5" applyNumberFormat="1" applyFont="1" applyFill="1" applyBorder="1" applyAlignment="1">
      <alignment horizontal="center"/>
    </xf>
    <xf numFmtId="2" fontId="32" fillId="2" borderId="0" xfId="5" applyNumberFormat="1" applyFont="1" applyFill="1"/>
    <xf numFmtId="2" fontId="0" fillId="7" borderId="30" xfId="0" applyNumberFormat="1" applyFill="1" applyBorder="1"/>
    <xf numFmtId="2" fontId="0" fillId="7" borderId="29" xfId="0" applyNumberFormat="1" applyFill="1" applyBorder="1"/>
    <xf numFmtId="2" fontId="30" fillId="2" borderId="0" xfId="5" applyNumberFormat="1" applyFont="1" applyFill="1"/>
    <xf numFmtId="2" fontId="0" fillId="7" borderId="34" xfId="0" applyNumberFormat="1" applyFill="1" applyBorder="1"/>
    <xf numFmtId="2" fontId="0" fillId="7" borderId="38" xfId="0" applyNumberFormat="1" applyFill="1" applyBorder="1"/>
    <xf numFmtId="2" fontId="0" fillId="7" borderId="36" xfId="0" applyNumberFormat="1" applyFill="1" applyBorder="1"/>
    <xf numFmtId="2" fontId="35" fillId="2" borderId="0" xfId="0" applyNumberFormat="1" applyFont="1" applyFill="1" applyAlignment="1">
      <alignment vertical="center"/>
    </xf>
    <xf numFmtId="2" fontId="35" fillId="2" borderId="0" xfId="5" applyNumberFormat="1" applyFont="1" applyFill="1" applyAlignment="1">
      <alignment vertical="center"/>
    </xf>
    <xf numFmtId="2" fontId="30" fillId="2" borderId="0" xfId="5" applyNumberFormat="1" applyFont="1" applyFill="1" applyAlignment="1">
      <alignment horizontal="center"/>
    </xf>
    <xf numFmtId="2" fontId="33" fillId="2" borderId="0" xfId="0" applyNumberFormat="1" applyFont="1" applyFill="1" applyAlignment="1">
      <alignment vertical="center"/>
    </xf>
    <xf numFmtId="2" fontId="35" fillId="2" borderId="16" xfId="0" applyNumberFormat="1" applyFont="1" applyFill="1" applyBorder="1" applyAlignment="1">
      <alignment horizontal="center" vertical="center"/>
    </xf>
    <xf numFmtId="2" fontId="25" fillId="2" borderId="0" xfId="0" applyNumberFormat="1" applyFont="1" applyFill="1" applyAlignment="1">
      <alignment horizontal="center"/>
    </xf>
    <xf numFmtId="2" fontId="25" fillId="2" borderId="60" xfId="0" applyNumberFormat="1" applyFont="1" applyFill="1" applyBorder="1"/>
    <xf numFmtId="2" fontId="25" fillId="2" borderId="60" xfId="5" applyNumberFormat="1" applyFont="1" applyFill="1" applyBorder="1" applyAlignment="1">
      <alignment horizontal="center"/>
    </xf>
    <xf numFmtId="2" fontId="0" fillId="0" borderId="60" xfId="0" applyNumberFormat="1" applyBorder="1"/>
    <xf numFmtId="2" fontId="0" fillId="0" borderId="61" xfId="0" applyNumberFormat="1" applyBorder="1"/>
    <xf numFmtId="2" fontId="25" fillId="11" borderId="16" xfId="0" applyNumberFormat="1" applyFont="1" applyFill="1" applyBorder="1" applyAlignment="1">
      <alignment vertical="center"/>
    </xf>
    <xf numFmtId="2" fontId="41" fillId="2" borderId="32" xfId="5" applyNumberFormat="1" applyFont="1" applyFill="1" applyBorder="1" applyAlignment="1">
      <alignment horizontal="center" vertical="center"/>
    </xf>
    <xf numFmtId="2" fontId="7" fillId="0" borderId="34" xfId="0" applyNumberFormat="1" applyFont="1" applyBorder="1" applyAlignment="1">
      <alignment vertical="center"/>
    </xf>
    <xf numFmtId="2" fontId="58" fillId="0" borderId="34" xfId="0" applyNumberFormat="1" applyFont="1" applyBorder="1" applyAlignment="1">
      <alignment horizontal="left" vertical="center"/>
    </xf>
    <xf numFmtId="2" fontId="25" fillId="2" borderId="35" xfId="0" applyNumberFormat="1" applyFont="1" applyFill="1" applyBorder="1" applyAlignment="1">
      <alignment horizontal="center"/>
    </xf>
    <xf numFmtId="2" fontId="7" fillId="0" borderId="38" xfId="0" applyNumberFormat="1" applyFont="1" applyBorder="1" applyAlignment="1">
      <alignment horizontal="center" vertical="center"/>
    </xf>
    <xf numFmtId="2" fontId="7" fillId="0" borderId="36" xfId="0" applyNumberFormat="1" applyFont="1" applyBorder="1" applyAlignment="1">
      <alignment horizontal="center" vertical="center"/>
    </xf>
    <xf numFmtId="2" fontId="25" fillId="11" borderId="16" xfId="0" applyNumberFormat="1" applyFont="1" applyFill="1" applyBorder="1" applyAlignment="1">
      <alignment horizontal="left" vertical="center"/>
    </xf>
    <xf numFmtId="2" fontId="43" fillId="0" borderId="0" xfId="0" applyNumberFormat="1" applyFont="1" applyAlignment="1">
      <alignment vertical="center"/>
    </xf>
    <xf numFmtId="2" fontId="29" fillId="0" borderId="16" xfId="5" applyNumberFormat="1" applyFont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/>
    </xf>
    <xf numFmtId="2" fontId="23" fillId="0" borderId="16" xfId="0" quotePrefix="1" applyNumberFormat="1" applyFont="1" applyBorder="1" applyAlignment="1">
      <alignment horizontal="center" vertical="center"/>
    </xf>
    <xf numFmtId="2" fontId="1" fillId="0" borderId="16" xfId="5" applyNumberForma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/>
    </xf>
    <xf numFmtId="2" fontId="0" fillId="0" borderId="16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34" fillId="0" borderId="0" xfId="0" applyNumberFormat="1" applyFont="1"/>
    <xf numFmtId="164" fontId="0" fillId="0" borderId="16" xfId="0" quotePrefix="1" applyNumberFormat="1" applyBorder="1" applyAlignment="1">
      <alignment horizontal="center" vertical="center"/>
    </xf>
    <xf numFmtId="2" fontId="0" fillId="2" borderId="22" xfId="0" applyNumberFormat="1" applyFill="1" applyBorder="1"/>
    <xf numFmtId="2" fontId="1" fillId="0" borderId="8" xfId="0" applyNumberFormat="1" applyFont="1" applyBorder="1" applyAlignment="1">
      <alignment horizontal="center"/>
    </xf>
    <xf numFmtId="2" fontId="45" fillId="2" borderId="22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4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46" fillId="0" borderId="16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2" fontId="45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46" fillId="0" borderId="16" xfId="0" quotePrefix="1" applyNumberFormat="1" applyFont="1" applyBorder="1" applyAlignment="1">
      <alignment horizontal="center" vertical="center"/>
    </xf>
    <xf numFmtId="2" fontId="1" fillId="0" borderId="22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30" fillId="9" borderId="16" xfId="5" applyNumberFormat="1" applyFont="1" applyFill="1" applyBorder="1"/>
    <xf numFmtId="2" fontId="34" fillId="9" borderId="16" xfId="0" applyNumberFormat="1" applyFont="1" applyFill="1" applyBorder="1" applyAlignment="1">
      <alignment horizontal="center" vertical="center"/>
    </xf>
    <xf numFmtId="2" fontId="30" fillId="9" borderId="16" xfId="5" applyNumberFormat="1" applyFont="1" applyFill="1" applyBorder="1" applyAlignment="1">
      <alignment horizontal="center" vertical="center"/>
    </xf>
    <xf numFmtId="2" fontId="41" fillId="9" borderId="16" xfId="5" applyNumberFormat="1" applyFont="1" applyFill="1" applyBorder="1" applyAlignment="1">
      <alignment horizontal="center" vertical="center"/>
    </xf>
    <xf numFmtId="2" fontId="1" fillId="9" borderId="16" xfId="5" applyNumberFormat="1" applyFill="1" applyBorder="1" applyAlignment="1">
      <alignment horizontal="center" vertical="center"/>
    </xf>
    <xf numFmtId="2" fontId="1" fillId="9" borderId="16" xfId="0" applyNumberFormat="1" applyFont="1" applyFill="1" applyBorder="1" applyAlignment="1">
      <alignment horizontal="center" vertical="center"/>
    </xf>
    <xf numFmtId="2" fontId="0" fillId="9" borderId="16" xfId="0" applyNumberFormat="1" applyFill="1" applyBorder="1" applyAlignment="1">
      <alignment horizontal="center" vertical="center"/>
    </xf>
    <xf numFmtId="2" fontId="1" fillId="0" borderId="16" xfId="0" applyNumberFormat="1" applyFont="1" applyBorder="1"/>
    <xf numFmtId="2" fontId="23" fillId="9" borderId="16" xfId="0" applyNumberFormat="1" applyFont="1" applyFill="1" applyBorder="1" applyAlignment="1">
      <alignment horizontal="center" vertical="center"/>
    </xf>
    <xf numFmtId="2" fontId="29" fillId="9" borderId="16" xfId="5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47" fillId="2" borderId="16" xfId="0" applyNumberFormat="1" applyFont="1" applyFill="1" applyBorder="1" applyAlignment="1">
      <alignment horizontal="center" vertical="center"/>
    </xf>
    <xf numFmtId="1" fontId="23" fillId="2" borderId="16" xfId="0" applyNumberFormat="1" applyFont="1" applyFill="1" applyBorder="1" applyAlignment="1">
      <alignment horizontal="center" vertical="center"/>
    </xf>
    <xf numFmtId="2" fontId="1" fillId="7" borderId="28" xfId="0" applyNumberFormat="1" applyFont="1" applyFill="1" applyBorder="1" applyAlignment="1">
      <alignment horizontal="center" vertical="center" wrapText="1"/>
    </xf>
    <xf numFmtId="2" fontId="25" fillId="2" borderId="31" xfId="0" applyNumberFormat="1" applyFont="1" applyFill="1" applyBorder="1" applyAlignment="1">
      <alignment horizontal="center" vertical="center"/>
    </xf>
    <xf numFmtId="164" fontId="25" fillId="2" borderId="29" xfId="0" applyNumberFormat="1" applyFont="1" applyFill="1" applyBorder="1" applyAlignment="1">
      <alignment horizontal="center" vertical="center"/>
    </xf>
    <xf numFmtId="164" fontId="35" fillId="2" borderId="16" xfId="0" applyNumberFormat="1" applyFont="1" applyFill="1" applyBorder="1" applyAlignment="1">
      <alignment horizontal="center" vertical="center" wrapText="1"/>
    </xf>
    <xf numFmtId="2" fontId="1" fillId="7" borderId="32" xfId="0" applyNumberFormat="1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/>
    </xf>
    <xf numFmtId="164" fontId="25" fillId="2" borderId="50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vertical="center"/>
    </xf>
    <xf numFmtId="164" fontId="1" fillId="2" borderId="16" xfId="5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7" borderId="69" xfId="0" applyNumberFormat="1" applyFont="1" applyFill="1" applyBorder="1" applyAlignment="1">
      <alignment horizontal="center" vertical="center" wrapText="1"/>
    </xf>
    <xf numFmtId="164" fontId="25" fillId="2" borderId="45" xfId="0" applyNumberFormat="1" applyFont="1" applyFill="1" applyBorder="1" applyAlignment="1">
      <alignment horizontal="center" vertical="center"/>
    </xf>
    <xf numFmtId="2" fontId="79" fillId="2" borderId="38" xfId="0" applyNumberFormat="1" applyFont="1" applyFill="1" applyBorder="1" applyAlignment="1">
      <alignment horizontal="center" vertical="center"/>
    </xf>
    <xf numFmtId="164" fontId="80" fillId="2" borderId="36" xfId="0" applyNumberFormat="1" applyFont="1" applyFill="1" applyBorder="1" applyAlignment="1">
      <alignment horizontal="center" vertical="center"/>
    </xf>
    <xf numFmtId="2" fontId="81" fillId="2" borderId="0" xfId="0" applyNumberFormat="1" applyFont="1" applyFill="1" applyAlignment="1">
      <alignment horizontal="center" vertical="center" wrapText="1"/>
    </xf>
    <xf numFmtId="2" fontId="82" fillId="2" borderId="0" xfId="0" applyNumberFormat="1" applyFont="1" applyFill="1" applyAlignment="1">
      <alignment horizontal="center" vertical="center"/>
    </xf>
    <xf numFmtId="2" fontId="83" fillId="2" borderId="57" xfId="0" applyNumberFormat="1" applyFon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2" fontId="81" fillId="2" borderId="0" xfId="0" applyNumberFormat="1" applyFont="1" applyFill="1"/>
    <xf numFmtId="2" fontId="81" fillId="2" borderId="57" xfId="0" applyNumberFormat="1" applyFont="1" applyFill="1" applyBorder="1"/>
    <xf numFmtId="2" fontId="81" fillId="2" borderId="0" xfId="0" applyNumberFormat="1" applyFont="1" applyFill="1" applyAlignment="1">
      <alignment horizontal="center" vertical="center"/>
    </xf>
    <xf numFmtId="2" fontId="0" fillId="2" borderId="57" xfId="0" applyNumberFormat="1" applyFill="1" applyBorder="1"/>
    <xf numFmtId="2" fontId="32" fillId="2" borderId="0" xfId="0" applyNumberFormat="1" applyFont="1" applyFill="1"/>
    <xf numFmtId="2" fontId="32" fillId="2" borderId="57" xfId="0" applyNumberFormat="1" applyFont="1" applyFill="1" applyBorder="1"/>
    <xf numFmtId="2" fontId="35" fillId="2" borderId="57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6" fillId="7" borderId="41" xfId="0" quotePrefix="1" applyNumberFormat="1" applyFont="1" applyFill="1" applyBorder="1" applyAlignment="1">
      <alignment vertical="center"/>
    </xf>
    <xf numFmtId="2" fontId="6" fillId="7" borderId="64" xfId="0" quotePrefix="1" applyNumberFormat="1" applyFont="1" applyFill="1" applyBorder="1" applyAlignment="1">
      <alignment vertical="center"/>
    </xf>
    <xf numFmtId="2" fontId="12" fillId="9" borderId="68" xfId="0" applyNumberFormat="1" applyFont="1" applyFill="1" applyBorder="1"/>
    <xf numFmtId="2" fontId="12" fillId="9" borderId="8" xfId="0" applyNumberFormat="1" applyFont="1" applyFill="1" applyBorder="1" applyAlignment="1">
      <alignment horizontal="center" vertical="center"/>
    </xf>
    <xf numFmtId="2" fontId="12" fillId="9" borderId="8" xfId="0" applyNumberFormat="1" applyFont="1" applyFill="1" applyBorder="1" applyAlignment="1">
      <alignment vertical="center"/>
    </xf>
    <xf numFmtId="1" fontId="12" fillId="9" borderId="8" xfId="0" applyNumberFormat="1" applyFont="1" applyFill="1" applyBorder="1" applyAlignment="1">
      <alignment vertical="center"/>
    </xf>
    <xf numFmtId="1" fontId="12" fillId="9" borderId="8" xfId="0" applyNumberFormat="1" applyFont="1" applyFill="1" applyBorder="1" applyAlignment="1">
      <alignment horizontal="center" vertical="center"/>
    </xf>
    <xf numFmtId="1" fontId="12" fillId="9" borderId="50" xfId="0" applyNumberFormat="1" applyFont="1" applyFill="1" applyBorder="1" applyAlignment="1">
      <alignment horizontal="center" vertical="center"/>
    </xf>
    <xf numFmtId="1" fontId="40" fillId="0" borderId="68" xfId="0" applyNumberFormat="1" applyFont="1" applyBorder="1" applyAlignment="1">
      <alignment horizontal="center" vertical="center"/>
    </xf>
    <xf numFmtId="2" fontId="40" fillId="0" borderId="19" xfId="0" applyNumberFormat="1" applyFont="1" applyBorder="1"/>
    <xf numFmtId="2" fontId="40" fillId="0" borderId="13" xfId="0" applyNumberFormat="1" applyFont="1" applyBorder="1"/>
    <xf numFmtId="2" fontId="40" fillId="0" borderId="65" xfId="0" applyNumberFormat="1" applyFont="1" applyBorder="1"/>
    <xf numFmtId="2" fontId="12" fillId="9" borderId="32" xfId="0" applyNumberFormat="1" applyFont="1" applyFill="1" applyBorder="1"/>
    <xf numFmtId="2" fontId="12" fillId="9" borderId="16" xfId="0" applyNumberFormat="1" applyFont="1" applyFill="1" applyBorder="1" applyAlignment="1">
      <alignment horizontal="center" vertical="center"/>
    </xf>
    <xf numFmtId="2" fontId="12" fillId="9" borderId="16" xfId="0" applyNumberFormat="1" applyFont="1" applyFill="1" applyBorder="1" applyAlignment="1">
      <alignment vertical="center"/>
    </xf>
    <xf numFmtId="1" fontId="12" fillId="9" borderId="16" xfId="0" applyNumberFormat="1" applyFont="1" applyFill="1" applyBorder="1" applyAlignment="1">
      <alignment vertical="center"/>
    </xf>
    <xf numFmtId="1" fontId="12" fillId="9" borderId="16" xfId="0" applyNumberFormat="1" applyFont="1" applyFill="1" applyBorder="1" applyAlignment="1">
      <alignment horizontal="center" vertical="center"/>
    </xf>
    <xf numFmtId="1" fontId="12" fillId="9" borderId="34" xfId="0" applyNumberFormat="1" applyFont="1" applyFill="1" applyBorder="1" applyAlignment="1">
      <alignment horizontal="center" vertical="center"/>
    </xf>
    <xf numFmtId="1" fontId="40" fillId="0" borderId="32" xfId="0" applyNumberFormat="1" applyFont="1" applyBorder="1" applyAlignment="1">
      <alignment horizontal="center" vertical="center"/>
    </xf>
    <xf numFmtId="2" fontId="40" fillId="0" borderId="14" xfId="0" applyNumberFormat="1" applyFont="1" applyBorder="1"/>
    <xf numFmtId="1" fontId="12" fillId="9" borderId="16" xfId="0" applyNumberFormat="1" applyFont="1" applyFill="1" applyBorder="1" applyAlignment="1">
      <alignment horizontal="right" vertical="center"/>
    </xf>
    <xf numFmtId="2" fontId="40" fillId="0" borderId="57" xfId="0" applyNumberFormat="1" applyFont="1" applyBorder="1"/>
    <xf numFmtId="2" fontId="40" fillId="7" borderId="59" xfId="0" applyNumberFormat="1" applyFont="1" applyFill="1" applyBorder="1"/>
    <xf numFmtId="2" fontId="40" fillId="7" borderId="60" xfId="0" applyNumberFormat="1" applyFont="1" applyFill="1" applyBorder="1"/>
    <xf numFmtId="2" fontId="40" fillId="7" borderId="61" xfId="0" applyNumberFormat="1" applyFont="1" applyFill="1" applyBorder="1"/>
    <xf numFmtId="0" fontId="43" fillId="3" borderId="14" xfId="0" applyFont="1" applyFill="1" applyBorder="1" applyAlignment="1">
      <alignment horizontal="center" vertical="center"/>
    </xf>
    <xf numFmtId="189" fontId="43" fillId="0" borderId="0" xfId="0" applyNumberFormat="1" applyFont="1" applyAlignment="1">
      <alignment horizontal="left" vertical="center"/>
    </xf>
    <xf numFmtId="189" fontId="58" fillId="0" borderId="0" xfId="0" applyNumberFormat="1" applyFont="1" applyAlignment="1">
      <alignment horizontal="left" vertical="center"/>
    </xf>
    <xf numFmtId="0" fontId="45" fillId="0" borderId="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2" fontId="58" fillId="0" borderId="0" xfId="0" applyNumberFormat="1" applyFont="1" applyAlignment="1">
      <alignment horizontal="right" vertical="center"/>
    </xf>
    <xf numFmtId="172" fontId="58" fillId="0" borderId="0" xfId="0" applyNumberFormat="1" applyFont="1" applyAlignment="1">
      <alignment horizontal="center" vertical="center"/>
    </xf>
    <xf numFmtId="173" fontId="58" fillId="0" borderId="0" xfId="0" applyNumberFormat="1" applyFont="1" applyAlignment="1">
      <alignment horizontal="center" vertical="center"/>
    </xf>
    <xf numFmtId="171" fontId="58" fillId="0" borderId="0" xfId="0" applyNumberFormat="1" applyFont="1" applyAlignment="1">
      <alignment horizontal="center" vertical="center"/>
    </xf>
    <xf numFmtId="172" fontId="58" fillId="0" borderId="0" xfId="0" applyNumberFormat="1" applyFont="1" applyAlignment="1">
      <alignment horizontal="left" vertical="center"/>
    </xf>
    <xf numFmtId="173" fontId="58" fillId="0" borderId="0" xfId="0" applyNumberFormat="1" applyFont="1" applyAlignment="1">
      <alignment horizontal="left" vertical="center"/>
    </xf>
    <xf numFmtId="2" fontId="58" fillId="0" borderId="0" xfId="0" applyNumberFormat="1" applyFont="1" applyAlignment="1">
      <alignment horizontal="left" vertical="center"/>
    </xf>
    <xf numFmtId="0" fontId="58" fillId="0" borderId="15" xfId="0" applyFont="1" applyBorder="1" applyAlignment="1">
      <alignment vertical="center"/>
    </xf>
    <xf numFmtId="165" fontId="58" fillId="0" borderId="14" xfId="0" applyNumberFormat="1" applyFont="1" applyBorder="1" applyAlignment="1">
      <alignment horizontal="right" vertical="center"/>
    </xf>
    <xf numFmtId="164" fontId="58" fillId="0" borderId="14" xfId="0" applyNumberFormat="1" applyFont="1" applyBorder="1" applyAlignment="1">
      <alignment horizontal="right" vertical="center"/>
    </xf>
    <xf numFmtId="0" fontId="58" fillId="0" borderId="14" xfId="0" applyFont="1" applyBorder="1" applyAlignment="1">
      <alignment horizontal="right" vertical="center"/>
    </xf>
    <xf numFmtId="0" fontId="58" fillId="0" borderId="0" xfId="0" applyFont="1" applyAlignment="1">
      <alignment horizontal="right" vertical="center"/>
    </xf>
    <xf numFmtId="2" fontId="58" fillId="0" borderId="15" xfId="0" applyNumberFormat="1" applyFont="1" applyBorder="1" applyAlignment="1">
      <alignment horizontal="left" vertical="center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87" fillId="0" borderId="0" xfId="7" applyFont="1" applyAlignment="1">
      <alignment horizontal="center" vertical="center" wrapText="1"/>
    </xf>
    <xf numFmtId="0" fontId="34" fillId="0" borderId="0" xfId="7" applyFont="1" applyProtection="1">
      <protection locked="0"/>
    </xf>
    <xf numFmtId="0" fontId="30" fillId="0" borderId="14" xfId="7" applyFont="1" applyBorder="1" applyAlignment="1">
      <alignment horizontal="left" vertical="top" wrapText="1"/>
    </xf>
    <xf numFmtId="0" fontId="30" fillId="0" borderId="15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30" fillId="0" borderId="15" xfId="7" applyFont="1" applyBorder="1" applyAlignment="1">
      <alignment horizontal="left" vertical="top"/>
    </xf>
    <xf numFmtId="0" fontId="30" fillId="0" borderId="0" xfId="7" applyFont="1" applyAlignment="1">
      <alignment vertical="center" wrapText="1"/>
    </xf>
    <xf numFmtId="0" fontId="30" fillId="0" borderId="0" xfId="7" applyFont="1" applyAlignment="1">
      <alignment horizontal="left" vertical="center" wrapText="1"/>
    </xf>
    <xf numFmtId="0" fontId="30" fillId="0" borderId="0" xfId="7" applyFont="1" applyAlignment="1">
      <alignment horizontal="center" vertical="center" wrapText="1"/>
    </xf>
    <xf numFmtId="0" fontId="89" fillId="0" borderId="0" xfId="7" applyFont="1"/>
    <xf numFmtId="0" fontId="30" fillId="0" borderId="0" xfId="7" applyFont="1" applyAlignment="1" applyProtection="1">
      <alignment horizontal="left" vertical="center" wrapText="1"/>
      <protection locked="0"/>
    </xf>
    <xf numFmtId="0" fontId="30" fillId="0" borderId="0" xfId="7" applyFont="1" applyAlignment="1" applyProtection="1">
      <alignment horizontal="center" vertical="center" wrapText="1"/>
      <protection locked="0"/>
    </xf>
    <xf numFmtId="190" fontId="30" fillId="0" borderId="0" xfId="7" quotePrefix="1" applyNumberFormat="1" applyFont="1" applyAlignment="1" applyProtection="1">
      <alignment horizontal="left"/>
      <protection locked="0"/>
    </xf>
    <xf numFmtId="0" fontId="30" fillId="0" borderId="0" xfId="7" applyFont="1" applyProtection="1">
      <protection locked="0"/>
    </xf>
    <xf numFmtId="2" fontId="88" fillId="0" borderId="0" xfId="7" quotePrefix="1" applyNumberFormat="1" applyFont="1" applyProtection="1">
      <protection locked="0"/>
    </xf>
    <xf numFmtId="0" fontId="89" fillId="0" borderId="0" xfId="7" applyFont="1" applyProtection="1">
      <protection locked="0"/>
    </xf>
    <xf numFmtId="0" fontId="88" fillId="0" borderId="0" xfId="7" quotePrefix="1" applyFont="1" applyAlignment="1" applyProtection="1">
      <alignment horizontal="left"/>
      <protection locked="0"/>
    </xf>
    <xf numFmtId="0" fontId="30" fillId="0" borderId="14" xfId="7" applyFont="1" applyBorder="1" applyAlignment="1">
      <alignment vertical="top"/>
    </xf>
    <xf numFmtId="0" fontId="30" fillId="0" borderId="15" xfId="7" applyFont="1" applyBorder="1" applyAlignment="1" applyProtection="1">
      <alignment vertical="top" wrapText="1"/>
      <protection locked="0"/>
    </xf>
    <xf numFmtId="0" fontId="30" fillId="0" borderId="15" xfId="7" applyFont="1" applyBorder="1" applyAlignment="1" applyProtection="1">
      <alignment vertical="top"/>
      <protection locked="0"/>
    </xf>
    <xf numFmtId="0" fontId="13" fillId="0" borderId="0" xfId="7" applyFont="1" applyAlignment="1">
      <alignment vertical="top"/>
    </xf>
    <xf numFmtId="0" fontId="30" fillId="0" borderId="0" xfId="7" applyFont="1" applyAlignment="1" applyProtection="1">
      <alignment horizontal="center" vertical="top" wrapText="1"/>
      <protection locked="0"/>
    </xf>
    <xf numFmtId="0" fontId="87" fillId="0" borderId="0" xfId="7" applyFont="1" applyAlignment="1">
      <alignment wrapText="1"/>
    </xf>
    <xf numFmtId="0" fontId="84" fillId="0" borderId="0" xfId="7" applyFont="1" applyAlignment="1">
      <alignment horizontal="center"/>
    </xf>
    <xf numFmtId="0" fontId="24" fillId="0" borderId="0" xfId="7" applyFont="1"/>
    <xf numFmtId="0" fontId="30" fillId="0" borderId="0" xfId="7" applyFont="1" applyAlignment="1">
      <alignment horizontal="center" vertical="top" wrapText="1"/>
    </xf>
    <xf numFmtId="0" fontId="30" fillId="0" borderId="0" xfId="7" applyFont="1" applyAlignment="1">
      <alignment vertical="top" wrapText="1"/>
    </xf>
    <xf numFmtId="0" fontId="30" fillId="0" borderId="0" xfId="7" applyFont="1" applyAlignment="1">
      <alignment horizontal="justify" vertical="center" wrapText="1"/>
    </xf>
    <xf numFmtId="0" fontId="90" fillId="0" borderId="0" xfId="7" applyFont="1" applyAlignment="1">
      <alignment vertical="center"/>
    </xf>
    <xf numFmtId="0" fontId="1" fillId="0" borderId="54" xfId="7" applyBorder="1"/>
    <xf numFmtId="0" fontId="91" fillId="0" borderId="56" xfId="7" applyFont="1" applyBorder="1"/>
    <xf numFmtId="0" fontId="1" fillId="0" borderId="22" xfId="7" applyBorder="1"/>
    <xf numFmtId="0" fontId="1" fillId="0" borderId="57" xfId="7" applyBorder="1"/>
    <xf numFmtId="0" fontId="1" fillId="0" borderId="22" xfId="7" applyBorder="1" applyAlignment="1">
      <alignment wrapText="1"/>
    </xf>
    <xf numFmtId="0" fontId="1" fillId="0" borderId="57" xfId="7" applyBorder="1" applyAlignment="1">
      <alignment wrapText="1"/>
    </xf>
    <xf numFmtId="0" fontId="91" fillId="0" borderId="57" xfId="7" applyFont="1" applyBorder="1"/>
    <xf numFmtId="0" fontId="92" fillId="0" borderId="57" xfId="7" applyFont="1" applyBorder="1" applyAlignment="1">
      <alignment horizontal="left" wrapText="1"/>
    </xf>
    <xf numFmtId="0" fontId="1" fillId="0" borderId="0" xfId="7" applyAlignment="1">
      <alignment wrapText="1"/>
    </xf>
    <xf numFmtId="0" fontId="92" fillId="0" borderId="22" xfId="7" applyFont="1" applyBorder="1" applyAlignment="1">
      <alignment wrapText="1"/>
    </xf>
    <xf numFmtId="189" fontId="92" fillId="0" borderId="57" xfId="7" applyNumberFormat="1" applyFont="1" applyBorder="1" applyAlignment="1">
      <alignment horizontal="left"/>
    </xf>
    <xf numFmtId="189" fontId="1" fillId="0" borderId="57" xfId="7" applyNumberFormat="1" applyBorder="1"/>
    <xf numFmtId="0" fontId="93" fillId="0" borderId="57" xfId="7" applyFont="1" applyBorder="1" applyAlignment="1">
      <alignment horizontal="left" wrapText="1"/>
    </xf>
    <xf numFmtId="0" fontId="92" fillId="0" borderId="57" xfId="7" applyFont="1" applyBorder="1" applyAlignment="1">
      <alignment wrapText="1"/>
    </xf>
    <xf numFmtId="0" fontId="92" fillId="0" borderId="22" xfId="7" applyFont="1" applyBorder="1"/>
    <xf numFmtId="0" fontId="92" fillId="0" borderId="59" xfId="7" applyFont="1" applyBorder="1"/>
    <xf numFmtId="0" fontId="92" fillId="0" borderId="61" xfId="7" applyFont="1" applyBorder="1" applyAlignment="1">
      <alignment wrapText="1"/>
    </xf>
    <xf numFmtId="192" fontId="58" fillId="0" borderId="0" xfId="0" applyNumberFormat="1" applyFont="1" applyAlignment="1">
      <alignment horizontal="left" vertical="center"/>
    </xf>
    <xf numFmtId="190" fontId="58" fillId="0" borderId="0" xfId="0" applyNumberFormat="1" applyFont="1" applyAlignment="1">
      <alignment horizontal="left" vertical="center"/>
    </xf>
    <xf numFmtId="164" fontId="0" fillId="0" borderId="16" xfId="0" applyNumberFormat="1" applyBorder="1"/>
    <xf numFmtId="164" fontId="0" fillId="0" borderId="8" xfId="0" quotePrefix="1" applyNumberFormat="1" applyBorder="1" applyAlignment="1">
      <alignment horizontal="center" vertical="center"/>
    </xf>
    <xf numFmtId="2" fontId="1" fillId="2" borderId="55" xfId="0" applyNumberFormat="1" applyFont="1" applyFill="1" applyBorder="1"/>
    <xf numFmtId="164" fontId="35" fillId="2" borderId="16" xfId="0" applyNumberFormat="1" applyFont="1" applyFill="1" applyBorder="1" applyAlignment="1">
      <alignment horizontal="center" vertical="center"/>
    </xf>
    <xf numFmtId="2" fontId="78" fillId="7" borderId="69" xfId="0" applyNumberFormat="1" applyFont="1" applyFill="1" applyBorder="1" applyAlignment="1">
      <alignment horizontal="center" vertical="center" wrapText="1"/>
    </xf>
    <xf numFmtId="2" fontId="78" fillId="7" borderId="16" xfId="0" applyNumberFormat="1" applyFont="1" applyFill="1" applyBorder="1" applyAlignment="1">
      <alignment horizontal="center" vertical="center" wrapText="1"/>
    </xf>
    <xf numFmtId="165" fontId="51" fillId="0" borderId="0" xfId="0" applyNumberFormat="1" applyFont="1" applyAlignment="1" applyProtection="1">
      <alignment horizontal="center" vertical="center"/>
      <protection locked="0"/>
    </xf>
    <xf numFmtId="1" fontId="51" fillId="0" borderId="0" xfId="0" applyNumberFormat="1" applyFont="1" applyAlignment="1" applyProtection="1">
      <alignment horizontal="center" vertical="center"/>
      <protection locked="0"/>
    </xf>
    <xf numFmtId="0" fontId="94" fillId="4" borderId="0" xfId="0" quotePrefix="1" applyFont="1" applyFill="1" applyAlignment="1" applyProtection="1">
      <alignment horizontal="left" vertical="center"/>
      <protection locked="0"/>
    </xf>
    <xf numFmtId="165" fontId="94" fillId="4" borderId="16" xfId="0" applyNumberFormat="1" applyFont="1" applyFill="1" applyBorder="1" applyAlignment="1" applyProtection="1">
      <alignment horizontal="center" vertical="center"/>
      <protection locked="0"/>
    </xf>
    <xf numFmtId="0" fontId="94" fillId="4" borderId="14" xfId="0" applyFont="1" applyFill="1" applyBorder="1" applyAlignment="1" applyProtection="1">
      <alignment horizontal="right" vertical="center"/>
      <protection locked="0"/>
    </xf>
    <xf numFmtId="164" fontId="94" fillId="4" borderId="14" xfId="0" applyNumberFormat="1" applyFont="1" applyFill="1" applyBorder="1" applyAlignment="1" applyProtection="1">
      <alignment horizontal="right" vertical="center"/>
      <protection locked="0"/>
    </xf>
    <xf numFmtId="165" fontId="94" fillId="4" borderId="14" xfId="0" quotePrefix="1" applyNumberFormat="1" applyFont="1" applyFill="1" applyBorder="1" applyAlignment="1" applyProtection="1">
      <alignment horizontal="right" vertical="center"/>
      <protection locked="0"/>
    </xf>
    <xf numFmtId="165" fontId="94" fillId="4" borderId="14" xfId="0" applyNumberFormat="1" applyFont="1" applyFill="1" applyBorder="1" applyAlignment="1" applyProtection="1">
      <alignment horizontal="right" vertical="center"/>
      <protection locked="0"/>
    </xf>
    <xf numFmtId="0" fontId="94" fillId="4" borderId="16" xfId="0" applyFont="1" applyFill="1" applyBorder="1" applyAlignment="1" applyProtection="1">
      <alignment horizontal="center" vertical="center"/>
      <protection locked="0"/>
    </xf>
    <xf numFmtId="1" fontId="94" fillId="4" borderId="16" xfId="0" applyNumberFormat="1" applyFont="1" applyFill="1" applyBorder="1" applyAlignment="1" applyProtection="1">
      <alignment horizontal="center" vertical="center"/>
      <protection locked="0"/>
    </xf>
    <xf numFmtId="0" fontId="95" fillId="0" borderId="16" xfId="0" quotePrefix="1" applyFont="1" applyBorder="1" applyAlignment="1" applyProtection="1">
      <alignment horizontal="center" vertical="center"/>
      <protection locked="0"/>
    </xf>
    <xf numFmtId="0" fontId="45" fillId="0" borderId="0" xfId="0" applyFont="1"/>
    <xf numFmtId="0" fontId="58" fillId="0" borderId="0" xfId="0" applyFont="1"/>
    <xf numFmtId="0" fontId="97" fillId="0" borderId="0" xfId="0" applyFont="1" applyAlignment="1">
      <alignment horizontal="center" vertical="center"/>
    </xf>
    <xf numFmtId="2" fontId="97" fillId="0" borderId="0" xfId="0" applyNumberFormat="1" applyFont="1" applyAlignment="1">
      <alignment horizontal="right" vertical="center"/>
    </xf>
    <xf numFmtId="0" fontId="97" fillId="0" borderId="0" xfId="0" applyFont="1" applyAlignment="1">
      <alignment horizontal="left" vertical="center"/>
    </xf>
    <xf numFmtId="165" fontId="97" fillId="0" borderId="14" xfId="0" applyNumberFormat="1" applyFont="1" applyBorder="1" applyAlignment="1">
      <alignment horizontal="right" vertical="center"/>
    </xf>
    <xf numFmtId="164" fontId="97" fillId="0" borderId="14" xfId="0" applyNumberFormat="1" applyFont="1" applyBorder="1" applyAlignment="1">
      <alignment horizontal="right" vertical="center"/>
    </xf>
    <xf numFmtId="165" fontId="97" fillId="0" borderId="16" xfId="0" applyNumberFormat="1" applyFont="1" applyBorder="1" applyAlignment="1">
      <alignment horizontal="center" vertical="center"/>
    </xf>
    <xf numFmtId="2" fontId="97" fillId="0" borderId="16" xfId="0" applyNumberFormat="1" applyFont="1" applyBorder="1" applyAlignment="1">
      <alignment horizontal="center" vertical="center"/>
    </xf>
    <xf numFmtId="165" fontId="97" fillId="0" borderId="16" xfId="0" applyNumberFormat="1" applyFont="1" applyBorder="1" applyAlignment="1">
      <alignment horizontal="center" vertical="center" wrapText="1"/>
    </xf>
    <xf numFmtId="2" fontId="97" fillId="0" borderId="16" xfId="0" applyNumberFormat="1" applyFont="1" applyBorder="1" applyAlignment="1">
      <alignment horizontal="center" vertical="center" wrapText="1"/>
    </xf>
    <xf numFmtId="0" fontId="97" fillId="0" borderId="15" xfId="0" applyFont="1" applyBorder="1" applyAlignment="1">
      <alignment vertical="center"/>
    </xf>
    <xf numFmtId="0" fontId="97" fillId="0" borderId="0" xfId="0" applyFont="1" applyAlignment="1" applyProtection="1">
      <alignment horizontal="lef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9" fontId="1" fillId="0" borderId="2" xfId="0" quotePrefix="1" applyNumberFormat="1" applyFont="1" applyBorder="1" applyAlignment="1">
      <alignment horizontal="center" vertical="center"/>
    </xf>
    <xf numFmtId="189" fontId="1" fillId="0" borderId="8" xfId="0" quotePrefix="1" applyNumberFormat="1" applyFont="1" applyBorder="1" applyAlignment="1">
      <alignment horizontal="center" vertical="center"/>
    </xf>
    <xf numFmtId="189" fontId="1" fillId="0" borderId="2" xfId="0" applyNumberFormat="1" applyFont="1" applyBorder="1" applyAlignment="1">
      <alignment horizontal="center" vertical="center"/>
    </xf>
    <xf numFmtId="189" fontId="0" fillId="0" borderId="4" xfId="0" applyNumberFormat="1" applyBorder="1" applyAlignment="1">
      <alignment horizontal="center" vertical="center"/>
    </xf>
    <xf numFmtId="189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wrapText="1"/>
    </xf>
    <xf numFmtId="0" fontId="43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center" wrapText="1"/>
    </xf>
    <xf numFmtId="0" fontId="65" fillId="0" borderId="2" xfId="0" quotePrefix="1" applyFont="1" applyBorder="1" applyAlignment="1">
      <alignment horizontal="center" vertical="center" wrapText="1"/>
    </xf>
    <xf numFmtId="0" fontId="65" fillId="0" borderId="4" xfId="0" quotePrefix="1" applyFont="1" applyBorder="1" applyAlignment="1">
      <alignment horizontal="center" vertical="center" wrapText="1"/>
    </xf>
    <xf numFmtId="0" fontId="65" fillId="0" borderId="8" xfId="0" quotePrefix="1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65" fillId="0" borderId="16" xfId="0" quotePrefix="1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top" wrapText="1"/>
    </xf>
    <xf numFmtId="0" fontId="43" fillId="0" borderId="8" xfId="0" applyFont="1" applyBorder="1" applyAlignment="1">
      <alignment horizontal="center" vertical="top" wrapText="1"/>
    </xf>
    <xf numFmtId="0" fontId="6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165" fontId="94" fillId="4" borderId="16" xfId="0" applyNumberFormat="1" applyFont="1" applyFill="1" applyBorder="1" applyAlignment="1" applyProtection="1">
      <alignment horizontal="center" vertical="center"/>
      <protection locked="0"/>
    </xf>
    <xf numFmtId="0" fontId="69" fillId="0" borderId="16" xfId="0" applyFont="1" applyBorder="1" applyAlignment="1" applyProtection="1">
      <alignment horizontal="center" vertical="center"/>
      <protection locked="0"/>
    </xf>
    <xf numFmtId="0" fontId="43" fillId="0" borderId="16" xfId="0" applyFont="1" applyBorder="1" applyAlignment="1" applyProtection="1">
      <alignment horizontal="center" vertical="center"/>
      <protection locked="0"/>
    </xf>
    <xf numFmtId="0" fontId="43" fillId="4" borderId="0" xfId="0" applyFont="1" applyFill="1" applyAlignment="1" applyProtection="1">
      <alignment horizontal="left" vertical="center"/>
      <protection locked="0"/>
    </xf>
    <xf numFmtId="0" fontId="43" fillId="0" borderId="16" xfId="0" quotePrefix="1" applyFont="1" applyBorder="1" applyAlignment="1">
      <alignment horizontal="center" vertical="center"/>
    </xf>
    <xf numFmtId="165" fontId="43" fillId="0" borderId="16" xfId="0" applyNumberFormat="1" applyFont="1" applyBorder="1" applyAlignment="1">
      <alignment horizontal="center" vertical="center"/>
    </xf>
    <xf numFmtId="0" fontId="51" fillId="0" borderId="2" xfId="0" applyFont="1" applyBorder="1" applyAlignment="1" applyProtection="1">
      <alignment horizontal="center" vertical="center" wrapText="1"/>
      <protection locked="0"/>
    </xf>
    <xf numFmtId="0" fontId="51" fillId="0" borderId="8" xfId="0" applyFont="1" applyBorder="1" applyAlignment="1" applyProtection="1">
      <alignment horizontal="center" vertical="center" wrapText="1"/>
      <protection locked="0"/>
    </xf>
    <xf numFmtId="182" fontId="51" fillId="0" borderId="1" xfId="0" applyNumberFormat="1" applyFont="1" applyBorder="1" applyAlignment="1" applyProtection="1">
      <alignment horizontal="center" vertical="center" wrapText="1"/>
      <protection locked="0"/>
    </xf>
    <xf numFmtId="182" fontId="51" fillId="0" borderId="17" xfId="0" applyNumberFormat="1" applyFont="1" applyBorder="1" applyAlignment="1" applyProtection="1">
      <alignment horizontal="center" vertical="center" wrapText="1"/>
      <protection locked="0"/>
    </xf>
    <xf numFmtId="182" fontId="51" fillId="0" borderId="19" xfId="0" applyNumberFormat="1" applyFont="1" applyBorder="1" applyAlignment="1" applyProtection="1">
      <alignment horizontal="center" vertical="center" wrapText="1"/>
      <protection locked="0"/>
    </xf>
    <xf numFmtId="182" fontId="51" fillId="0" borderId="20" xfId="0" applyNumberFormat="1" applyFont="1" applyBorder="1" applyAlignment="1" applyProtection="1">
      <alignment horizontal="center" vertical="center" wrapText="1"/>
      <protection locked="0"/>
    </xf>
    <xf numFmtId="0" fontId="43" fillId="4" borderId="2" xfId="0" applyFont="1" applyFill="1" applyBorder="1" applyAlignment="1" applyProtection="1">
      <alignment horizontal="center" vertical="center" wrapText="1"/>
      <protection locked="0"/>
    </xf>
    <xf numFmtId="0" fontId="43" fillId="4" borderId="8" xfId="0" applyFont="1" applyFill="1" applyBorder="1" applyAlignment="1" applyProtection="1">
      <alignment horizontal="center" vertical="center" wrapText="1"/>
      <protection locked="0"/>
    </xf>
    <xf numFmtId="0" fontId="43" fillId="0" borderId="16" xfId="0" quotePrefix="1" applyFont="1" applyBorder="1" applyAlignment="1">
      <alignment horizontal="center" vertical="center" wrapText="1"/>
    </xf>
    <xf numFmtId="0" fontId="51" fillId="0" borderId="16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43" fillId="4" borderId="16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Border="1" applyAlignment="1" applyProtection="1">
      <alignment horizontal="center" vertical="center"/>
      <protection locked="0"/>
    </xf>
    <xf numFmtId="0" fontId="51" fillId="0" borderId="8" xfId="0" applyFont="1" applyBorder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center" vertical="center"/>
      <protection locked="0"/>
    </xf>
    <xf numFmtId="0" fontId="94" fillId="4" borderId="14" xfId="0" applyFont="1" applyFill="1" applyBorder="1" applyAlignment="1" applyProtection="1">
      <alignment horizontal="left" vertical="center"/>
      <protection locked="0"/>
    </xf>
    <xf numFmtId="0" fontId="94" fillId="4" borderId="18" xfId="0" applyFont="1" applyFill="1" applyBorder="1" applyAlignment="1" applyProtection="1">
      <alignment horizontal="left" vertical="center"/>
      <protection locked="0"/>
    </xf>
    <xf numFmtId="0" fontId="94" fillId="4" borderId="15" xfId="0" applyFont="1" applyFill="1" applyBorder="1" applyAlignment="1" applyProtection="1">
      <alignment horizontal="left" vertical="center"/>
      <protection locked="0"/>
    </xf>
    <xf numFmtId="0" fontId="51" fillId="0" borderId="1" xfId="0" applyFont="1" applyBorder="1" applyAlignment="1" applyProtection="1">
      <alignment horizontal="center" vertical="center"/>
      <protection locked="0"/>
    </xf>
    <xf numFmtId="0" fontId="51" fillId="0" borderId="12" xfId="0" applyFont="1" applyBorder="1" applyAlignment="1" applyProtection="1">
      <alignment horizontal="center" vertical="center"/>
      <protection locked="0"/>
    </xf>
    <xf numFmtId="0" fontId="51" fillId="0" borderId="17" xfId="0" applyFont="1" applyBorder="1" applyAlignment="1" applyProtection="1">
      <alignment horizontal="center" vertical="center"/>
      <protection locked="0"/>
    </xf>
    <xf numFmtId="0" fontId="51" fillId="0" borderId="19" xfId="0" applyFont="1" applyBorder="1" applyAlignment="1" applyProtection="1">
      <alignment horizontal="center" vertical="center"/>
      <protection locked="0"/>
    </xf>
    <xf numFmtId="0" fontId="51" fillId="0" borderId="13" xfId="0" applyFont="1" applyBorder="1" applyAlignment="1" applyProtection="1">
      <alignment horizontal="center" vertical="center"/>
      <protection locked="0"/>
    </xf>
    <xf numFmtId="0" fontId="51" fillId="0" borderId="20" xfId="0" applyFont="1" applyBorder="1" applyAlignment="1" applyProtection="1">
      <alignment horizontal="center" vertical="center"/>
      <protection locked="0"/>
    </xf>
    <xf numFmtId="0" fontId="94" fillId="4" borderId="14" xfId="0" applyFont="1" applyFill="1" applyBorder="1" applyAlignment="1" applyProtection="1">
      <alignment vertical="center"/>
      <protection locked="0"/>
    </xf>
    <xf numFmtId="0" fontId="94" fillId="4" borderId="18" xfId="0" applyFont="1" applyFill="1" applyBorder="1" applyAlignment="1" applyProtection="1">
      <alignment vertical="center"/>
      <protection locked="0"/>
    </xf>
    <xf numFmtId="0" fontId="94" fillId="4" borderId="15" xfId="0" applyFont="1" applyFill="1" applyBorder="1" applyAlignment="1" applyProtection="1">
      <alignment vertical="center"/>
      <protection locked="0"/>
    </xf>
    <xf numFmtId="0" fontId="43" fillId="0" borderId="0" xfId="0" applyFont="1" applyAlignment="1" applyProtection="1">
      <alignment horizontal="right" vertical="center"/>
      <protection locked="0"/>
    </xf>
    <xf numFmtId="0" fontId="94" fillId="4" borderId="0" xfId="0" applyFont="1" applyFill="1" applyAlignment="1" applyProtection="1">
      <alignment horizontal="left" vertical="center"/>
      <protection locked="0"/>
    </xf>
    <xf numFmtId="0" fontId="51" fillId="0" borderId="1" xfId="0" applyFont="1" applyBorder="1" applyAlignment="1" applyProtection="1">
      <alignment horizontal="center" vertical="center" wrapText="1"/>
      <protection locked="0"/>
    </xf>
    <xf numFmtId="0" fontId="51" fillId="0" borderId="17" xfId="0" applyFont="1" applyBorder="1" applyAlignment="1" applyProtection="1">
      <alignment horizontal="center" vertical="center" wrapText="1"/>
      <protection locked="0"/>
    </xf>
    <xf numFmtId="0" fontId="51" fillId="0" borderId="19" xfId="0" applyFont="1" applyBorder="1" applyAlignment="1" applyProtection="1">
      <alignment horizontal="center" vertical="center" wrapText="1"/>
      <protection locked="0"/>
    </xf>
    <xf numFmtId="0" fontId="51" fillId="0" borderId="20" xfId="0" applyFont="1" applyBorder="1" applyAlignment="1" applyProtection="1">
      <alignment horizontal="center" vertical="center" wrapText="1"/>
      <protection locked="0"/>
    </xf>
    <xf numFmtId="0" fontId="51" fillId="0" borderId="16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 applyProtection="1">
      <alignment horizontal="left" vertical="center" wrapText="1"/>
      <protection locked="0"/>
    </xf>
    <xf numFmtId="0" fontId="43" fillId="4" borderId="16" xfId="0" quotePrefix="1" applyFont="1" applyFill="1" applyBorder="1" applyAlignment="1" applyProtection="1">
      <alignment horizontal="center" vertical="center"/>
      <protection locked="0"/>
    </xf>
    <xf numFmtId="0" fontId="43" fillId="4" borderId="16" xfId="0" applyFont="1" applyFill="1" applyBorder="1" applyAlignment="1" applyProtection="1">
      <alignment horizontal="center" vertical="center"/>
      <protection locked="0"/>
    </xf>
    <xf numFmtId="0" fontId="51" fillId="5" borderId="16" xfId="0" applyFont="1" applyFill="1" applyBorder="1" applyAlignment="1" applyProtection="1">
      <alignment horizontal="center" vertical="center"/>
      <protection locked="0"/>
    </xf>
    <xf numFmtId="0" fontId="51" fillId="0" borderId="18" xfId="0" applyFont="1" applyBorder="1" applyAlignment="1" applyProtection="1">
      <alignment horizontal="center" vertical="center"/>
      <protection locked="0"/>
    </xf>
    <xf numFmtId="167" fontId="12" fillId="0" borderId="3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70" fillId="0" borderId="54" xfId="0" applyFont="1" applyBorder="1" applyAlignment="1">
      <alignment horizontal="center"/>
    </xf>
    <xf numFmtId="0" fontId="70" fillId="0" borderId="55" xfId="0" applyFont="1" applyBorder="1" applyAlignment="1">
      <alignment horizontal="center"/>
    </xf>
    <xf numFmtId="0" fontId="70" fillId="0" borderId="5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32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65" fontId="12" fillId="0" borderId="34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1" fillId="0" borderId="32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2" fontId="32" fillId="2" borderId="59" xfId="0" applyNumberFormat="1" applyFont="1" applyFill="1" applyBorder="1" applyAlignment="1">
      <alignment horizontal="center" vertical="center"/>
    </xf>
    <xf numFmtId="2" fontId="32" fillId="2" borderId="60" xfId="0" applyNumberFormat="1" applyFont="1" applyFill="1" applyBorder="1" applyAlignment="1">
      <alignment horizontal="center" vertical="center"/>
    </xf>
    <xf numFmtId="2" fontId="32" fillId="2" borderId="61" xfId="0" applyNumberFormat="1" applyFont="1" applyFill="1" applyBorder="1" applyAlignment="1">
      <alignment horizontal="center" vertical="center"/>
    </xf>
    <xf numFmtId="0" fontId="34" fillId="0" borderId="40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" fontId="58" fillId="3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51" fillId="0" borderId="16" xfId="2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51" fillId="0" borderId="2" xfId="0" applyFont="1" applyBorder="1" applyAlignment="1" applyProtection="1">
      <alignment horizontal="center" vertical="center" wrapText="1"/>
      <protection hidden="1"/>
    </xf>
    <xf numFmtId="0" fontId="51" fillId="0" borderId="8" xfId="0" applyFont="1" applyBorder="1" applyAlignment="1" applyProtection="1">
      <alignment horizontal="center" vertical="center" wrapText="1"/>
      <protection hidden="1"/>
    </xf>
    <xf numFmtId="0" fontId="7" fillId="3" borderId="16" xfId="0" applyFont="1" applyFill="1" applyBorder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2" fontId="43" fillId="0" borderId="18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 wrapText="1"/>
    </xf>
    <xf numFmtId="0" fontId="51" fillId="0" borderId="17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 wrapText="1"/>
    </xf>
    <xf numFmtId="0" fontId="51" fillId="0" borderId="20" xfId="0" applyFont="1" applyBorder="1" applyAlignment="1">
      <alignment horizontal="center" vertical="center" wrapText="1"/>
    </xf>
    <xf numFmtId="2" fontId="43" fillId="0" borderId="15" xfId="0" applyNumberFormat="1" applyFont="1" applyBorder="1" applyAlignment="1">
      <alignment horizontal="center" vertical="center"/>
    </xf>
    <xf numFmtId="1" fontId="43" fillId="0" borderId="16" xfId="0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51" fillId="0" borderId="12" xfId="0" applyFont="1" applyBorder="1" applyAlignment="1">
      <alignment horizontal="center" vertical="center" wrapText="1"/>
    </xf>
    <xf numFmtId="181" fontId="43" fillId="0" borderId="16" xfId="0" quotePrefix="1" applyNumberFormat="1" applyFont="1" applyBorder="1" applyAlignment="1">
      <alignment horizontal="center" vertical="center" wrapText="1"/>
    </xf>
    <xf numFmtId="2" fontId="43" fillId="3" borderId="16" xfId="0" applyNumberFormat="1" applyFont="1" applyFill="1" applyBorder="1" applyAlignment="1">
      <alignment horizontal="center" vertical="center"/>
    </xf>
    <xf numFmtId="175" fontId="52" fillId="7" borderId="1" xfId="0" applyNumberFormat="1" applyFont="1" applyFill="1" applyBorder="1" applyAlignment="1">
      <alignment horizontal="center" vertical="center"/>
    </xf>
    <xf numFmtId="175" fontId="52" fillId="7" borderId="17" xfId="0" applyNumberFormat="1" applyFont="1" applyFill="1" applyBorder="1" applyAlignment="1">
      <alignment horizontal="center" vertical="center"/>
    </xf>
    <xf numFmtId="175" fontId="52" fillId="7" borderId="19" xfId="0" applyNumberFormat="1" applyFont="1" applyFill="1" applyBorder="1" applyAlignment="1">
      <alignment horizontal="center" vertical="center"/>
    </xf>
    <xf numFmtId="175" fontId="52" fillId="7" borderId="20" xfId="0" applyNumberFormat="1" applyFont="1" applyFill="1" applyBorder="1" applyAlignment="1">
      <alignment horizontal="center" vertical="center"/>
    </xf>
    <xf numFmtId="181" fontId="43" fillId="0" borderId="16" xfId="0" quotePrefix="1" applyNumberFormat="1" applyFont="1" applyBorder="1" applyAlignment="1">
      <alignment horizontal="center" vertical="center"/>
    </xf>
    <xf numFmtId="0" fontId="42" fillId="0" borderId="40" xfId="0" applyFont="1" applyBorder="1" applyAlignment="1">
      <alignment horizontal="center"/>
    </xf>
    <xf numFmtId="0" fontId="42" fillId="0" borderId="41" xfId="0" applyFont="1" applyBorder="1" applyAlignment="1">
      <alignment horizontal="center"/>
    </xf>
    <xf numFmtId="0" fontId="42" fillId="0" borderId="42" xfId="0" applyFont="1" applyBorder="1" applyAlignment="1">
      <alignment horizont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64" xfId="0" applyFont="1" applyBorder="1" applyAlignment="1">
      <alignment horizontal="center" vertical="center"/>
    </xf>
    <xf numFmtId="0" fontId="51" fillId="0" borderId="16" xfId="0" applyFont="1" applyBorder="1" applyAlignment="1" applyProtection="1">
      <alignment horizontal="center" vertical="center" wrapText="1"/>
      <protection hidden="1"/>
    </xf>
    <xf numFmtId="0" fontId="51" fillId="0" borderId="13" xfId="0" applyFont="1" applyBorder="1" applyAlignment="1">
      <alignment horizontal="center" vertical="center" wrapText="1"/>
    </xf>
    <xf numFmtId="0" fontId="58" fillId="0" borderId="0" xfId="0" applyFont="1" applyAlignment="1" applyProtection="1">
      <alignment horizontal="left" vertical="center" wrapText="1"/>
      <protection locked="0"/>
    </xf>
    <xf numFmtId="0" fontId="97" fillId="0" borderId="16" xfId="0" applyFont="1" applyBorder="1" applyAlignment="1">
      <alignment horizontal="center" vertical="center"/>
    </xf>
    <xf numFmtId="1" fontId="97" fillId="0" borderId="16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165" fontId="97" fillId="0" borderId="16" xfId="0" applyNumberFormat="1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0" fontId="58" fillId="0" borderId="2" xfId="0" applyFont="1" applyBorder="1" applyAlignment="1">
      <alignment horizontal="center" wrapText="1"/>
    </xf>
    <xf numFmtId="0" fontId="58" fillId="0" borderId="4" xfId="0" applyFont="1" applyBorder="1" applyAlignment="1">
      <alignment horizont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right" vertical="center"/>
    </xf>
    <xf numFmtId="2" fontId="97" fillId="0" borderId="16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0" fillId="0" borderId="15" xfId="0" quotePrefix="1" applyFont="1" applyBorder="1" applyAlignment="1">
      <alignment horizontal="left" vertical="center"/>
    </xf>
    <xf numFmtId="0" fontId="58" fillId="0" borderId="16" xfId="0" applyFont="1" applyBorder="1" applyAlignment="1">
      <alignment horizontal="center" vertical="center" wrapText="1"/>
    </xf>
    <xf numFmtId="0" fontId="58" fillId="0" borderId="4" xfId="0" applyFont="1" applyBorder="1" applyAlignment="1">
      <alignment horizontal="center" vertical="top" wrapText="1"/>
    </xf>
    <xf numFmtId="0" fontId="58" fillId="0" borderId="8" xfId="0" applyFont="1" applyBorder="1" applyAlignment="1">
      <alignment horizontal="center" vertical="top" wrapText="1"/>
    </xf>
    <xf numFmtId="0" fontId="96" fillId="0" borderId="0" xfId="0" applyFont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 wrapText="1"/>
    </xf>
    <xf numFmtId="0" fontId="58" fillId="0" borderId="16" xfId="0" applyFont="1" applyBorder="1" applyAlignment="1">
      <alignment vertical="center"/>
    </xf>
    <xf numFmtId="0" fontId="45" fillId="0" borderId="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189" fontId="58" fillId="0" borderId="0" xfId="0" applyNumberFormat="1" applyFont="1" applyAlignment="1">
      <alignment horizontal="left" vertical="center"/>
    </xf>
    <xf numFmtId="2" fontId="32" fillId="2" borderId="28" xfId="5" applyNumberFormat="1" applyFont="1" applyFill="1" applyBorder="1" applyAlignment="1">
      <alignment horizontal="center" vertical="center"/>
    </xf>
    <xf numFmtId="2" fontId="32" fillId="2" borderId="30" xfId="5" applyNumberFormat="1" applyFont="1" applyFill="1" applyBorder="1" applyAlignment="1">
      <alignment horizontal="center" vertical="center"/>
    </xf>
    <xf numFmtId="2" fontId="32" fillId="2" borderId="29" xfId="5" applyNumberFormat="1" applyFont="1" applyFill="1" applyBorder="1" applyAlignment="1">
      <alignment horizontal="center" vertical="center"/>
    </xf>
    <xf numFmtId="0" fontId="45" fillId="0" borderId="16" xfId="0" applyFont="1" applyBorder="1" applyAlignment="1">
      <alignment horizontal="center" vertical="center" wrapText="1"/>
    </xf>
    <xf numFmtId="0" fontId="97" fillId="0" borderId="16" xfId="0" applyFont="1" applyBorder="1" applyAlignment="1">
      <alignment vertical="center"/>
    </xf>
    <xf numFmtId="0" fontId="58" fillId="0" borderId="16" xfId="0" applyFont="1" applyBorder="1" applyAlignment="1">
      <alignment horizontal="left" vertical="center"/>
    </xf>
    <xf numFmtId="0" fontId="60" fillId="0" borderId="15" xfId="0" quotePrefix="1" applyFont="1" applyBorder="1" applyAlignment="1">
      <alignment horizontal="left" vertical="center" wrapText="1"/>
    </xf>
    <xf numFmtId="0" fontId="30" fillId="0" borderId="14" xfId="7" applyFont="1" applyBorder="1" applyAlignment="1">
      <alignment horizontal="left" vertical="top" wrapText="1"/>
    </xf>
    <xf numFmtId="0" fontId="30" fillId="0" borderId="18" xfId="7" applyFont="1" applyBorder="1" applyAlignment="1">
      <alignment horizontal="left" vertical="top" wrapText="1"/>
    </xf>
    <xf numFmtId="0" fontId="86" fillId="0" borderId="0" xfId="7" applyFont="1" applyAlignment="1" applyProtection="1">
      <alignment horizontal="center" vertical="center"/>
      <protection locked="0"/>
    </xf>
    <xf numFmtId="189" fontId="88" fillId="0" borderId="0" xfId="7" quotePrefix="1" applyNumberFormat="1" applyFont="1" applyAlignment="1" applyProtection="1">
      <alignment horizontal="center" vertical="center"/>
      <protection locked="0"/>
    </xf>
    <xf numFmtId="189" fontId="88" fillId="0" borderId="0" xfId="7" applyNumberFormat="1" applyFont="1" applyAlignment="1" applyProtection="1">
      <alignment horizontal="center" vertical="center"/>
      <protection locked="0"/>
    </xf>
    <xf numFmtId="0" fontId="30" fillId="0" borderId="0" xfId="7" applyFont="1" applyAlignment="1">
      <alignment horizontal="center"/>
    </xf>
    <xf numFmtId="0" fontId="15" fillId="0" borderId="0" xfId="7" applyFont="1" applyAlignment="1">
      <alignment horizontal="right" vertical="center"/>
    </xf>
    <xf numFmtId="0" fontId="85" fillId="0" borderId="0" xfId="7" applyFont="1" applyAlignment="1">
      <alignment horizontal="center"/>
    </xf>
    <xf numFmtId="0" fontId="88" fillId="0" borderId="0" xfId="7" applyFont="1" applyAlignment="1" applyProtection="1">
      <alignment horizontal="left"/>
      <protection locked="0"/>
    </xf>
    <xf numFmtId="0" fontId="30" fillId="0" borderId="0" xfId="7" applyFont="1" applyAlignment="1">
      <alignment horizontal="left" vertical="center" wrapText="1"/>
    </xf>
    <xf numFmtId="0" fontId="89" fillId="0" borderId="0" xfId="7" quotePrefix="1" applyFont="1" applyAlignment="1" applyProtection="1">
      <alignment horizontal="left" vertical="center" wrapText="1"/>
      <protection locked="0"/>
    </xf>
    <xf numFmtId="11" fontId="88" fillId="0" borderId="0" xfId="7" quotePrefix="1" applyNumberFormat="1" applyFont="1" applyAlignment="1" applyProtection="1">
      <alignment horizontal="left"/>
      <protection locked="0"/>
    </xf>
    <xf numFmtId="0" fontId="30" fillId="0" borderId="0" xfId="7" applyFont="1" applyAlignment="1" applyProtection="1">
      <alignment horizontal="left" vertical="center" wrapText="1"/>
      <protection locked="0"/>
    </xf>
    <xf numFmtId="0" fontId="88" fillId="0" borderId="0" xfId="7" quotePrefix="1" applyFont="1" applyAlignment="1" applyProtection="1">
      <alignment horizontal="left"/>
      <protection locked="0"/>
    </xf>
    <xf numFmtId="0" fontId="89" fillId="0" borderId="0" xfId="7" applyFont="1" applyAlignment="1" applyProtection="1">
      <alignment horizontal="left" vertical="center" wrapText="1"/>
      <protection locked="0"/>
    </xf>
    <xf numFmtId="0" fontId="30" fillId="0" borderId="0" xfId="7" applyFont="1" applyAlignment="1" applyProtection="1">
      <alignment horizontal="left" vertical="top" wrapText="1"/>
      <protection locked="0"/>
    </xf>
    <xf numFmtId="0" fontId="30" fillId="0" borderId="0" xfId="7" applyFont="1" applyAlignment="1" applyProtection="1">
      <alignment horizontal="justify" vertical="top" wrapText="1"/>
      <protection locked="0"/>
    </xf>
    <xf numFmtId="191" fontId="88" fillId="0" borderId="0" xfId="7" quotePrefix="1" applyNumberFormat="1" applyFont="1" applyAlignment="1" applyProtection="1">
      <alignment horizontal="left" vertical="center"/>
      <protection locked="0"/>
    </xf>
    <xf numFmtId="191" fontId="88" fillId="0" borderId="0" xfId="7" applyNumberFormat="1" applyFont="1" applyAlignment="1" applyProtection="1">
      <alignment horizontal="left" vertical="center"/>
      <protection locked="0"/>
    </xf>
    <xf numFmtId="0" fontId="30" fillId="0" borderId="0" xfId="7" applyFont="1" applyAlignment="1">
      <alignment horizontal="left" vertical="top" wrapText="1"/>
    </xf>
    <xf numFmtId="0" fontId="84" fillId="0" borderId="0" xfId="7" applyFont="1" applyAlignment="1">
      <alignment horizontal="center"/>
    </xf>
    <xf numFmtId="189" fontId="30" fillId="0" borderId="0" xfId="7" applyNumberFormat="1" applyFont="1" applyAlignment="1">
      <alignment horizontal="left" vertical="center" wrapText="1"/>
    </xf>
    <xf numFmtId="0" fontId="30" fillId="3" borderId="0" xfId="7" applyFont="1" applyFill="1" applyAlignment="1">
      <alignment horizontal="justify" vertical="center" wrapText="1"/>
    </xf>
    <xf numFmtId="189" fontId="30" fillId="0" borderId="0" xfId="7" applyNumberFormat="1" applyFont="1" applyAlignment="1">
      <alignment horizontal="left" vertical="top" wrapText="1"/>
    </xf>
    <xf numFmtId="0" fontId="41" fillId="0" borderId="0" xfId="7" applyFont="1" applyAlignment="1">
      <alignment horizontal="left" vertical="center" wrapText="1"/>
    </xf>
    <xf numFmtId="0" fontId="59" fillId="0" borderId="0" xfId="0" applyFont="1" applyAlignment="1">
      <alignment horizontal="center" vertical="center"/>
    </xf>
    <xf numFmtId="165" fontId="58" fillId="0" borderId="16" xfId="0" applyNumberFormat="1" applyFont="1" applyBorder="1" applyAlignment="1">
      <alignment horizontal="center" vertical="center"/>
    </xf>
    <xf numFmtId="2" fontId="58" fillId="0" borderId="16" xfId="0" applyNumberFormat="1" applyFont="1" applyBorder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1" fontId="58" fillId="0" borderId="16" xfId="0" applyNumberFormat="1" applyFont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23" fillId="2" borderId="16" xfId="0" applyNumberFormat="1" applyFont="1" applyFill="1" applyBorder="1" applyAlignment="1">
      <alignment horizontal="center" vertical="center" wrapText="1"/>
    </xf>
    <xf numFmtId="2" fontId="42" fillId="0" borderId="40" xfId="0" applyNumberFormat="1" applyFont="1" applyBorder="1" applyAlignment="1">
      <alignment horizontal="center"/>
    </xf>
    <xf numFmtId="2" fontId="42" fillId="0" borderId="41" xfId="0" applyNumberFormat="1" applyFont="1" applyBorder="1" applyAlignment="1">
      <alignment horizontal="center"/>
    </xf>
    <xf numFmtId="2" fontId="42" fillId="0" borderId="64" xfId="0" applyNumberFormat="1" applyFont="1" applyBorder="1" applyAlignment="1">
      <alignment horizontal="center"/>
    </xf>
    <xf numFmtId="1" fontId="34" fillId="9" borderId="35" xfId="0" applyNumberFormat="1" applyFont="1" applyFill="1" applyBorder="1" applyAlignment="1">
      <alignment horizontal="center"/>
    </xf>
    <xf numFmtId="1" fontId="34" fillId="9" borderId="38" xfId="0" applyNumberFormat="1" applyFont="1" applyFill="1" applyBorder="1" applyAlignment="1">
      <alignment horizontal="center"/>
    </xf>
    <xf numFmtId="1" fontId="34" fillId="9" borderId="36" xfId="0" applyNumberFormat="1" applyFont="1" applyFill="1" applyBorder="1" applyAlignment="1">
      <alignment horizontal="center"/>
    </xf>
    <xf numFmtId="2" fontId="48" fillId="2" borderId="25" xfId="5" applyNumberFormat="1" applyFont="1" applyFill="1" applyBorder="1" applyAlignment="1">
      <alignment horizontal="center" vertical="center"/>
    </xf>
    <xf numFmtId="2" fontId="48" fillId="2" borderId="26" xfId="5" applyNumberFormat="1" applyFont="1" applyFill="1" applyBorder="1" applyAlignment="1">
      <alignment horizontal="center" vertical="center"/>
    </xf>
    <xf numFmtId="2" fontId="48" fillId="2" borderId="27" xfId="5" applyNumberFormat="1" applyFont="1" applyFill="1" applyBorder="1" applyAlignment="1">
      <alignment horizontal="center" vertical="center"/>
    </xf>
    <xf numFmtId="2" fontId="35" fillId="2" borderId="0" xfId="0" applyNumberFormat="1" applyFont="1" applyFill="1" applyAlignment="1">
      <alignment horizontal="center" vertical="center" wrapText="1"/>
    </xf>
    <xf numFmtId="2" fontId="1" fillId="9" borderId="16" xfId="0" applyNumberFormat="1" applyFont="1" applyFill="1" applyBorder="1" applyAlignment="1">
      <alignment horizontal="center" vertical="center" wrapText="1"/>
    </xf>
    <xf numFmtId="2" fontId="47" fillId="2" borderId="16" xfId="0" applyNumberFormat="1" applyFont="1" applyFill="1" applyBorder="1" applyAlignment="1">
      <alignment horizontal="center" vertical="center" wrapText="1"/>
    </xf>
    <xf numFmtId="2" fontId="36" fillId="2" borderId="28" xfId="0" applyNumberFormat="1" applyFont="1" applyFill="1" applyBorder="1" applyAlignment="1">
      <alignment horizontal="center" vertical="center" wrapText="1"/>
    </xf>
    <xf numFmtId="2" fontId="36" fillId="2" borderId="32" xfId="0" applyNumberFormat="1" applyFont="1" applyFill="1" applyBorder="1" applyAlignment="1">
      <alignment horizontal="center" vertical="center" wrapText="1"/>
    </xf>
    <xf numFmtId="2" fontId="36" fillId="2" borderId="69" xfId="0" applyNumberFormat="1" applyFont="1" applyFill="1" applyBorder="1" applyAlignment="1">
      <alignment horizontal="center" vertical="center" wrapText="1"/>
    </xf>
    <xf numFmtId="2" fontId="36" fillId="2" borderId="43" xfId="0" applyNumberFormat="1" applyFont="1" applyFill="1" applyBorder="1" applyAlignment="1">
      <alignment horizontal="center" vertical="center" wrapText="1"/>
    </xf>
    <xf numFmtId="2" fontId="36" fillId="2" borderId="4" xfId="0" applyNumberFormat="1" applyFont="1" applyFill="1" applyBorder="1" applyAlignment="1">
      <alignment horizontal="center" vertical="center" wrapText="1"/>
    </xf>
    <xf numFmtId="2" fontId="36" fillId="2" borderId="72" xfId="0" applyNumberFormat="1" applyFont="1" applyFill="1" applyBorder="1" applyAlignment="1">
      <alignment horizontal="center" vertical="center" wrapText="1"/>
    </xf>
    <xf numFmtId="2" fontId="34" fillId="2" borderId="44" xfId="0" applyNumberFormat="1" applyFont="1" applyFill="1" applyBorder="1" applyAlignment="1">
      <alignment horizontal="center" vertical="center" wrapText="1"/>
    </xf>
    <xf numFmtId="2" fontId="34" fillId="2" borderId="45" xfId="0" applyNumberFormat="1" applyFont="1" applyFill="1" applyBorder="1" applyAlignment="1">
      <alignment horizontal="center" vertical="center" wrapText="1"/>
    </xf>
    <xf numFmtId="2" fontId="34" fillId="2" borderId="49" xfId="0" applyNumberFormat="1" applyFont="1" applyFill="1" applyBorder="1" applyAlignment="1">
      <alignment horizontal="center" vertical="center" wrapText="1"/>
    </xf>
    <xf numFmtId="2" fontId="29" fillId="2" borderId="16" xfId="5" applyNumberFormat="1" applyFont="1" applyFill="1" applyBorder="1" applyAlignment="1">
      <alignment horizontal="center" vertical="center" wrapText="1"/>
    </xf>
    <xf numFmtId="2" fontId="23" fillId="2" borderId="16" xfId="0" applyNumberFormat="1" applyFont="1" applyFill="1" applyBorder="1" applyAlignment="1">
      <alignment horizontal="center" vertical="center"/>
    </xf>
    <xf numFmtId="2" fontId="30" fillId="9" borderId="16" xfId="5" applyNumberFormat="1" applyFont="1" applyFill="1" applyBorder="1" applyAlignment="1">
      <alignment horizontal="center" vertical="center"/>
    </xf>
    <xf numFmtId="2" fontId="1" fillId="9" borderId="16" xfId="0" applyNumberFormat="1" applyFont="1" applyFill="1" applyBorder="1" applyAlignment="1">
      <alignment horizontal="center" vertical="center"/>
    </xf>
    <xf numFmtId="2" fontId="34" fillId="9" borderId="16" xfId="0" applyNumberFormat="1" applyFont="1" applyFill="1" applyBorder="1" applyAlignment="1">
      <alignment horizontal="center" vertical="center"/>
    </xf>
    <xf numFmtId="2" fontId="24" fillId="9" borderId="16" xfId="0" applyNumberFormat="1" applyFont="1" applyFill="1" applyBorder="1" applyAlignment="1">
      <alignment horizontal="center" vertical="center" wrapText="1"/>
    </xf>
    <xf numFmtId="2" fontId="30" fillId="9" borderId="16" xfId="5" applyNumberFormat="1" applyFont="1" applyFill="1" applyBorder="1" applyAlignment="1">
      <alignment horizontal="center"/>
    </xf>
    <xf numFmtId="2" fontId="34" fillId="2" borderId="16" xfId="0" applyNumberFormat="1" applyFont="1" applyFill="1" applyBorder="1" applyAlignment="1">
      <alignment horizontal="center" vertical="center" wrapText="1"/>
    </xf>
    <xf numFmtId="2" fontId="23" fillId="0" borderId="16" xfId="0" applyNumberFormat="1" applyFont="1" applyBorder="1" applyAlignment="1">
      <alignment horizontal="center" vertical="center"/>
    </xf>
    <xf numFmtId="2" fontId="45" fillId="6" borderId="22" xfId="0" applyNumberFormat="1" applyFont="1" applyFill="1" applyBorder="1" applyAlignment="1">
      <alignment horizontal="center" vertical="center" wrapText="1"/>
    </xf>
    <xf numFmtId="2" fontId="45" fillId="6" borderId="0" xfId="0" applyNumberFormat="1" applyFont="1" applyFill="1" applyAlignment="1">
      <alignment horizontal="center" vertical="center" wrapText="1"/>
    </xf>
    <xf numFmtId="2" fontId="30" fillId="9" borderId="14" xfId="5" applyNumberFormat="1" applyFont="1" applyFill="1" applyBorder="1" applyAlignment="1">
      <alignment horizontal="center"/>
    </xf>
    <xf numFmtId="2" fontId="30" fillId="9" borderId="18" xfId="5" applyNumberFormat="1" applyFont="1" applyFill="1" applyBorder="1" applyAlignment="1">
      <alignment horizontal="center"/>
    </xf>
    <xf numFmtId="2" fontId="30" fillId="9" borderId="15" xfId="5" applyNumberFormat="1" applyFont="1" applyFill="1" applyBorder="1" applyAlignment="1">
      <alignment horizontal="center"/>
    </xf>
    <xf numFmtId="2" fontId="34" fillId="2" borderId="16" xfId="0" applyNumberFormat="1" applyFont="1" applyFill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 wrapText="1"/>
    </xf>
    <xf numFmtId="2" fontId="77" fillId="0" borderId="16" xfId="0" applyNumberFormat="1" applyFont="1" applyBorder="1" applyAlignment="1">
      <alignment horizontal="center" vertical="center" wrapText="1"/>
    </xf>
    <xf numFmtId="2" fontId="24" fillId="0" borderId="16" xfId="0" applyNumberFormat="1" applyFont="1" applyBorder="1" applyAlignment="1">
      <alignment horizontal="center" vertical="center"/>
    </xf>
    <xf numFmtId="2" fontId="29" fillId="0" borderId="16" xfId="5" applyNumberFormat="1" applyFont="1" applyBorder="1" applyAlignment="1">
      <alignment horizontal="center" vertical="center"/>
    </xf>
    <xf numFmtId="2" fontId="77" fillId="2" borderId="16" xfId="0" applyNumberFormat="1" applyFont="1" applyFill="1" applyBorder="1" applyAlignment="1">
      <alignment horizontal="center" vertical="center" wrapText="1"/>
    </xf>
    <xf numFmtId="2" fontId="34" fillId="0" borderId="16" xfId="0" applyNumberFormat="1" applyFont="1" applyBorder="1" applyAlignment="1">
      <alignment horizontal="center" vertical="center"/>
    </xf>
    <xf numFmtId="2" fontId="29" fillId="0" borderId="16" xfId="5" applyNumberFormat="1" applyFont="1" applyBorder="1" applyAlignment="1">
      <alignment horizontal="center"/>
    </xf>
    <xf numFmtId="2" fontId="23" fillId="0" borderId="2" xfId="0" applyNumberFormat="1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2" fontId="1" fillId="0" borderId="2" xfId="5" applyNumberFormat="1" applyBorder="1" applyAlignment="1">
      <alignment horizontal="center" vertical="center"/>
    </xf>
    <xf numFmtId="2" fontId="1" fillId="0" borderId="8" xfId="5" applyNumberFormat="1" applyBorder="1" applyAlignment="1">
      <alignment horizontal="center" vertical="center"/>
    </xf>
    <xf numFmtId="2" fontId="44" fillId="6" borderId="58" xfId="0" applyNumberFormat="1" applyFont="1" applyFill="1" applyBorder="1" applyAlignment="1">
      <alignment horizontal="center" vertical="center"/>
    </xf>
    <xf numFmtId="2" fontId="44" fillId="6" borderId="13" xfId="0" applyNumberFormat="1" applyFont="1" applyFill="1" applyBorder="1" applyAlignment="1">
      <alignment horizontal="center" vertical="center"/>
    </xf>
    <xf numFmtId="2" fontId="32" fillId="7" borderId="16" xfId="0" applyNumberFormat="1" applyFont="1" applyFill="1" applyBorder="1" applyAlignment="1">
      <alignment horizontal="center" vertical="center"/>
    </xf>
    <xf numFmtId="2" fontId="32" fillId="11" borderId="16" xfId="0" applyNumberFormat="1" applyFont="1" applyFill="1" applyBorder="1" applyAlignment="1">
      <alignment horizontal="center" vertical="center"/>
    </xf>
    <xf numFmtId="2" fontId="35" fillId="2" borderId="16" xfId="0" applyNumberFormat="1" applyFont="1" applyFill="1" applyBorder="1" applyAlignment="1">
      <alignment horizontal="center" vertical="center" wrapText="1"/>
    </xf>
    <xf numFmtId="2" fontId="32" fillId="2" borderId="16" xfId="5" applyNumberFormat="1" applyFont="1" applyFill="1" applyBorder="1" applyAlignment="1">
      <alignment horizontal="center" vertical="center" wrapText="1"/>
    </xf>
    <xf numFmtId="2" fontId="25" fillId="2" borderId="28" xfId="0" applyNumberFormat="1" applyFont="1" applyFill="1" applyBorder="1" applyAlignment="1">
      <alignment horizontal="center" vertical="center"/>
    </xf>
    <xf numFmtId="2" fontId="25" fillId="2" borderId="32" xfId="0" applyNumberFormat="1" applyFont="1" applyFill="1" applyBorder="1" applyAlignment="1">
      <alignment horizontal="center" vertical="center"/>
    </xf>
    <xf numFmtId="2" fontId="25" fillId="2" borderId="35" xfId="0" applyNumberFormat="1" applyFont="1" applyFill="1" applyBorder="1" applyAlignment="1">
      <alignment horizontal="center" vertical="center"/>
    </xf>
    <xf numFmtId="2" fontId="35" fillId="2" borderId="16" xfId="5" applyNumberFormat="1" applyFont="1" applyFill="1" applyBorder="1" applyAlignment="1">
      <alignment horizontal="center" vertical="center" wrapText="1"/>
    </xf>
    <xf numFmtId="2" fontId="35" fillId="2" borderId="16" xfId="5" applyNumberFormat="1" applyFont="1" applyFill="1" applyBorder="1" applyAlignment="1">
      <alignment horizontal="left" vertical="center" wrapText="1"/>
    </xf>
    <xf numFmtId="2" fontId="33" fillId="2" borderId="16" xfId="0" applyNumberFormat="1" applyFont="1" applyFill="1" applyBorder="1" applyAlignment="1">
      <alignment horizontal="center" vertical="center"/>
    </xf>
    <xf numFmtId="2" fontId="25" fillId="11" borderId="16" xfId="0" applyNumberFormat="1" applyFont="1" applyFill="1" applyBorder="1" applyAlignment="1">
      <alignment horizontal="center" vertical="center"/>
    </xf>
    <xf numFmtId="2" fontId="25" fillId="11" borderId="30" xfId="0" applyNumberFormat="1" applyFont="1" applyFill="1" applyBorder="1" applyAlignment="1">
      <alignment horizontal="center" vertical="center"/>
    </xf>
    <xf numFmtId="2" fontId="25" fillId="11" borderId="38" xfId="0" applyNumberFormat="1" applyFont="1" applyFill="1" applyBorder="1" applyAlignment="1">
      <alignment horizontal="center" vertical="center"/>
    </xf>
    <xf numFmtId="2" fontId="25" fillId="11" borderId="43" xfId="0" applyNumberFormat="1" applyFont="1" applyFill="1" applyBorder="1" applyAlignment="1">
      <alignment horizontal="center" vertical="center"/>
    </xf>
    <xf numFmtId="2" fontId="25" fillId="11" borderId="4" xfId="0" applyNumberFormat="1" applyFont="1" applyFill="1" applyBorder="1" applyAlignment="1">
      <alignment horizontal="center" vertical="center"/>
    </xf>
    <xf numFmtId="2" fontId="25" fillId="11" borderId="72" xfId="0" applyNumberFormat="1" applyFont="1" applyFill="1" applyBorder="1" applyAlignment="1">
      <alignment horizontal="center" vertical="center"/>
    </xf>
    <xf numFmtId="2" fontId="35" fillId="3" borderId="28" xfId="0" applyNumberFormat="1" applyFont="1" applyFill="1" applyBorder="1" applyAlignment="1">
      <alignment horizontal="center" vertical="center"/>
    </xf>
    <xf numFmtId="2" fontId="35" fillId="3" borderId="29" xfId="0" applyNumberFormat="1" applyFont="1" applyFill="1" applyBorder="1" applyAlignment="1">
      <alignment horizontal="center" vertical="center"/>
    </xf>
    <xf numFmtId="2" fontId="32" fillId="3" borderId="32" xfId="0" applyNumberFormat="1" applyFont="1" applyFill="1" applyBorder="1" applyAlignment="1">
      <alignment horizontal="center" vertical="center"/>
    </xf>
    <xf numFmtId="2" fontId="32" fillId="3" borderId="34" xfId="0" applyNumberFormat="1" applyFont="1" applyFill="1" applyBorder="1" applyAlignment="1">
      <alignment horizontal="center" vertical="center"/>
    </xf>
    <xf numFmtId="2" fontId="25" fillId="11" borderId="2" xfId="0" applyNumberFormat="1" applyFont="1" applyFill="1" applyBorder="1" applyAlignment="1">
      <alignment horizontal="center" vertical="center"/>
    </xf>
    <xf numFmtId="2" fontId="33" fillId="11" borderId="16" xfId="0" applyNumberFormat="1" applyFont="1" applyFill="1" applyBorder="1" applyAlignment="1">
      <alignment horizontal="center" vertical="center"/>
    </xf>
    <xf numFmtId="2" fontId="33" fillId="11" borderId="1" xfId="0" applyNumberFormat="1" applyFont="1" applyFill="1" applyBorder="1" applyAlignment="1">
      <alignment horizontal="center" vertical="center"/>
    </xf>
    <xf numFmtId="2" fontId="33" fillId="11" borderId="12" xfId="0" applyNumberFormat="1" applyFont="1" applyFill="1" applyBorder="1" applyAlignment="1">
      <alignment horizontal="center" vertical="center"/>
    </xf>
    <xf numFmtId="2" fontId="33" fillId="11" borderId="17" xfId="0" applyNumberFormat="1" applyFont="1" applyFill="1" applyBorder="1" applyAlignment="1">
      <alignment horizontal="center" vertical="center"/>
    </xf>
    <xf numFmtId="2" fontId="33" fillId="11" borderId="34" xfId="0" applyNumberFormat="1" applyFont="1" applyFill="1" applyBorder="1" applyAlignment="1">
      <alignment horizontal="center" vertical="center"/>
    </xf>
    <xf numFmtId="2" fontId="25" fillId="6" borderId="0" xfId="0" applyNumberFormat="1" applyFont="1" applyFill="1" applyAlignment="1">
      <alignment horizontal="center"/>
    </xf>
    <xf numFmtId="2" fontId="39" fillId="11" borderId="16" xfId="5" applyNumberFormat="1" applyFont="1" applyFill="1" applyBorder="1" applyAlignment="1">
      <alignment horizontal="center" vertical="center"/>
    </xf>
    <xf numFmtId="2" fontId="29" fillId="11" borderId="16" xfId="5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35" fillId="11" borderId="16" xfId="5" applyNumberFormat="1" applyFont="1" applyFill="1" applyBorder="1" applyAlignment="1">
      <alignment horizontal="center" vertical="center"/>
    </xf>
    <xf numFmtId="2" fontId="32" fillId="11" borderId="16" xfId="0" applyNumberFormat="1" applyFont="1" applyFill="1" applyBorder="1" applyAlignment="1">
      <alignment horizontal="center" vertical="center" wrapText="1"/>
    </xf>
    <xf numFmtId="2" fontId="32" fillId="11" borderId="30" xfId="0" applyNumberFormat="1" applyFont="1" applyFill="1" applyBorder="1" applyAlignment="1">
      <alignment horizontal="center" vertical="center"/>
    </xf>
    <xf numFmtId="2" fontId="32" fillId="11" borderId="30" xfId="0" applyNumberFormat="1" applyFont="1" applyFill="1" applyBorder="1" applyAlignment="1">
      <alignment horizontal="center" vertical="center" wrapText="1"/>
    </xf>
    <xf numFmtId="2" fontId="35" fillId="11" borderId="30" xfId="5" applyNumberFormat="1" applyFont="1" applyFill="1" applyBorder="1" applyAlignment="1">
      <alignment horizontal="center" vertical="center"/>
    </xf>
    <xf numFmtId="2" fontId="35" fillId="11" borderId="29" xfId="5" applyNumberFormat="1" applyFont="1" applyFill="1" applyBorder="1" applyAlignment="1">
      <alignment horizontal="center" vertical="center"/>
    </xf>
    <xf numFmtId="2" fontId="36" fillId="11" borderId="28" xfId="0" applyNumberFormat="1" applyFont="1" applyFill="1" applyBorder="1" applyAlignment="1">
      <alignment horizontal="center" vertical="center"/>
    </xf>
    <xf numFmtId="2" fontId="36" fillId="11" borderId="29" xfId="0" applyNumberFormat="1" applyFont="1" applyFill="1" applyBorder="1" applyAlignment="1">
      <alignment horizontal="center" vertical="center"/>
    </xf>
    <xf numFmtId="2" fontId="23" fillId="11" borderId="16" xfId="0" applyNumberFormat="1" applyFont="1" applyFill="1" applyBorder="1" applyAlignment="1">
      <alignment horizontal="center" vertical="center"/>
    </xf>
    <xf numFmtId="2" fontId="23" fillId="11" borderId="14" xfId="0" applyNumberFormat="1" applyFont="1" applyFill="1" applyBorder="1" applyAlignment="1">
      <alignment horizontal="center" vertical="center"/>
    </xf>
    <xf numFmtId="2" fontId="23" fillId="11" borderId="18" xfId="0" applyNumberFormat="1" applyFont="1" applyFill="1" applyBorder="1" applyAlignment="1">
      <alignment horizontal="center" vertical="center"/>
    </xf>
    <xf numFmtId="2" fontId="23" fillId="11" borderId="15" xfId="0" applyNumberFormat="1" applyFont="1" applyFill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48" fillId="6" borderId="22" xfId="0" applyNumberFormat="1" applyFont="1" applyFill="1" applyBorder="1" applyAlignment="1">
      <alignment horizontal="center" vertical="center"/>
    </xf>
    <xf numFmtId="2" fontId="48" fillId="6" borderId="0" xfId="0" applyNumberFormat="1" applyFont="1" applyFill="1" applyAlignment="1">
      <alignment horizontal="center" vertical="center"/>
    </xf>
    <xf numFmtId="0" fontId="38" fillId="0" borderId="43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72" xfId="0" applyFont="1" applyBorder="1" applyAlignment="1">
      <alignment horizontal="center" vertical="center"/>
    </xf>
    <xf numFmtId="2" fontId="23" fillId="2" borderId="14" xfId="0" applyNumberFormat="1" applyFont="1" applyFill="1" applyBorder="1" applyAlignment="1">
      <alignment horizontal="center" vertical="center"/>
    </xf>
    <xf numFmtId="2" fontId="23" fillId="2" borderId="18" xfId="0" applyNumberFormat="1" applyFont="1" applyFill="1" applyBorder="1" applyAlignment="1">
      <alignment horizontal="center" vertical="center"/>
    </xf>
    <xf numFmtId="2" fontId="23" fillId="2" borderId="15" xfId="0" applyNumberFormat="1" applyFont="1" applyFill="1" applyBorder="1" applyAlignment="1">
      <alignment horizontal="center" vertical="center"/>
    </xf>
    <xf numFmtId="2" fontId="0" fillId="2" borderId="46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25" fillId="2" borderId="14" xfId="0" applyNumberFormat="1" applyFont="1" applyFill="1" applyBorder="1" applyAlignment="1">
      <alignment horizontal="center"/>
    </xf>
    <xf numFmtId="2" fontId="25" fillId="2" borderId="18" xfId="0" applyNumberFormat="1" applyFont="1" applyFill="1" applyBorder="1" applyAlignment="1">
      <alignment horizontal="center"/>
    </xf>
    <xf numFmtId="2" fontId="25" fillId="2" borderId="15" xfId="0" applyNumberFormat="1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3" xfId="0" applyNumberFormat="1" applyFill="1" applyBorder="1" applyAlignment="1">
      <alignment horizontal="center"/>
    </xf>
    <xf numFmtId="2" fontId="26" fillId="6" borderId="54" xfId="0" applyNumberFormat="1" applyFont="1" applyFill="1" applyBorder="1" applyAlignment="1">
      <alignment horizontal="center" vertical="center"/>
    </xf>
    <xf numFmtId="2" fontId="26" fillId="6" borderId="55" xfId="0" applyNumberFormat="1" applyFont="1" applyFill="1" applyBorder="1" applyAlignment="1">
      <alignment horizontal="center" vertical="center"/>
    </xf>
    <xf numFmtId="2" fontId="26" fillId="6" borderId="56" xfId="0" applyNumberFormat="1" applyFont="1" applyFill="1" applyBorder="1" applyAlignment="1">
      <alignment horizontal="center" vertical="center"/>
    </xf>
    <xf numFmtId="2" fontId="27" fillId="7" borderId="16" xfId="5" applyNumberFormat="1" applyFont="1" applyFill="1" applyBorder="1" applyAlignment="1">
      <alignment horizontal="center"/>
    </xf>
    <xf numFmtId="2" fontId="27" fillId="7" borderId="16" xfId="5" applyNumberFormat="1" applyFont="1" applyFill="1" applyBorder="1" applyAlignment="1">
      <alignment horizontal="center" vertical="center"/>
    </xf>
    <xf numFmtId="2" fontId="23" fillId="2" borderId="34" xfId="0" applyNumberFormat="1" applyFont="1" applyFill="1" applyBorder="1" applyAlignment="1">
      <alignment horizontal="center" vertical="center" wrapText="1"/>
    </xf>
    <xf numFmtId="2" fontId="30" fillId="7" borderId="14" xfId="5" applyNumberFormat="1" applyFont="1" applyFill="1" applyBorder="1" applyAlignment="1">
      <alignment horizontal="center"/>
    </xf>
    <xf numFmtId="2" fontId="30" fillId="7" borderId="18" xfId="5" applyNumberFormat="1" applyFont="1" applyFill="1" applyBorder="1" applyAlignment="1">
      <alignment horizontal="center"/>
    </xf>
    <xf numFmtId="2" fontId="30" fillId="7" borderId="15" xfId="5" applyNumberFormat="1" applyFont="1" applyFill="1" applyBorder="1" applyAlignment="1">
      <alignment horizontal="center"/>
    </xf>
    <xf numFmtId="2" fontId="0" fillId="2" borderId="58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25" fillId="2" borderId="19" xfId="0" applyNumberFormat="1" applyFont="1" applyFill="1" applyBorder="1" applyAlignment="1">
      <alignment horizontal="center"/>
    </xf>
    <xf numFmtId="2" fontId="25" fillId="2" borderId="13" xfId="0" applyNumberFormat="1" applyFont="1" applyFill="1" applyBorder="1" applyAlignment="1">
      <alignment horizontal="center"/>
    </xf>
    <xf numFmtId="2" fontId="25" fillId="2" borderId="20" xfId="0" applyNumberFormat="1" applyFont="1" applyFill="1" applyBorder="1" applyAlignment="1">
      <alignment horizontal="center"/>
    </xf>
    <xf numFmtId="2" fontId="33" fillId="8" borderId="30" xfId="0" applyNumberFormat="1" applyFont="1" applyFill="1" applyBorder="1" applyAlignment="1">
      <alignment horizontal="center" vertical="center" wrapText="1"/>
    </xf>
    <xf numFmtId="2" fontId="33" fillId="8" borderId="16" xfId="0" applyNumberFormat="1" applyFont="1" applyFill="1" applyBorder="1" applyAlignment="1">
      <alignment horizontal="center" vertical="center" wrapText="1"/>
    </xf>
    <xf numFmtId="2" fontId="33" fillId="8" borderId="38" xfId="0" applyNumberFormat="1" applyFont="1" applyFill="1" applyBorder="1" applyAlignment="1">
      <alignment horizontal="center" vertical="center" wrapText="1"/>
    </xf>
    <xf numFmtId="2" fontId="34" fillId="0" borderId="29" xfId="0" applyNumberFormat="1" applyFont="1" applyBorder="1" applyAlignment="1">
      <alignment horizontal="center" vertical="center" wrapText="1"/>
    </xf>
    <xf numFmtId="2" fontId="34" fillId="0" borderId="34" xfId="0" applyNumberFormat="1" applyFont="1" applyBorder="1" applyAlignment="1">
      <alignment horizontal="center" vertical="center" wrapText="1"/>
    </xf>
    <xf numFmtId="2" fontId="34" fillId="0" borderId="36" xfId="0" applyNumberFormat="1" applyFont="1" applyBorder="1" applyAlignment="1">
      <alignment horizontal="center" vertical="center" wrapText="1"/>
    </xf>
    <xf numFmtId="2" fontId="32" fillId="8" borderId="68" xfId="0" applyNumberFormat="1" applyFont="1" applyFill="1" applyBorder="1" applyAlignment="1">
      <alignment horizontal="center" vertical="center"/>
    </xf>
    <xf numFmtId="2" fontId="32" fillId="8" borderId="32" xfId="0" applyNumberFormat="1" applyFont="1" applyFill="1" applyBorder="1" applyAlignment="1">
      <alignment horizontal="center" vertical="center"/>
    </xf>
    <xf numFmtId="2" fontId="32" fillId="8" borderId="35" xfId="0" applyNumberFormat="1" applyFont="1" applyFill="1" applyBorder="1" applyAlignment="1">
      <alignment horizontal="center" vertical="center"/>
    </xf>
    <xf numFmtId="2" fontId="32" fillId="8" borderId="62" xfId="0" applyNumberFormat="1" applyFont="1" applyFill="1" applyBorder="1" applyAlignment="1">
      <alignment horizontal="center" vertical="center" wrapText="1"/>
    </xf>
    <xf numFmtId="2" fontId="32" fillId="8" borderId="63" xfId="0" applyNumberFormat="1" applyFont="1" applyFill="1" applyBorder="1" applyAlignment="1">
      <alignment horizontal="center" vertical="center" wrapText="1"/>
    </xf>
    <xf numFmtId="2" fontId="32" fillId="8" borderId="77" xfId="0" applyNumberFormat="1" applyFont="1" applyFill="1" applyBorder="1" applyAlignment="1">
      <alignment horizontal="center" vertical="center" wrapText="1"/>
    </xf>
    <xf numFmtId="2" fontId="0" fillId="6" borderId="59" xfId="0" applyNumberFormat="1" applyFill="1" applyBorder="1" applyAlignment="1">
      <alignment horizontal="center" vertical="center"/>
    </xf>
    <xf numFmtId="2" fontId="0" fillId="6" borderId="60" xfId="0" applyNumberFormat="1" applyFill="1" applyBorder="1" applyAlignment="1">
      <alignment horizontal="center" vertical="center"/>
    </xf>
    <xf numFmtId="2" fontId="0" fillId="6" borderId="61" xfId="0" applyNumberFormat="1" applyFill="1" applyBorder="1" applyAlignment="1">
      <alignment horizontal="center" vertical="center"/>
    </xf>
    <xf numFmtId="2" fontId="32" fillId="8" borderId="28" xfId="0" applyNumberFormat="1" applyFont="1" applyFill="1" applyBorder="1" applyAlignment="1">
      <alignment horizontal="center" vertical="center" wrapText="1"/>
    </xf>
    <xf numFmtId="2" fontId="32" fillId="8" borderId="32" xfId="0" applyNumberFormat="1" applyFont="1" applyFill="1" applyBorder="1" applyAlignment="1">
      <alignment horizontal="center" vertical="center" wrapText="1"/>
    </xf>
    <xf numFmtId="2" fontId="32" fillId="8" borderId="35" xfId="0" applyNumberFormat="1" applyFont="1" applyFill="1" applyBorder="1" applyAlignment="1">
      <alignment horizontal="center" vertical="center" wrapText="1"/>
    </xf>
    <xf numFmtId="2" fontId="32" fillId="8" borderId="43" xfId="0" applyNumberFormat="1" applyFont="1" applyFill="1" applyBorder="1" applyAlignment="1">
      <alignment horizontal="center" vertical="center" wrapText="1"/>
    </xf>
    <xf numFmtId="2" fontId="32" fillId="8" borderId="4" xfId="0" applyNumberFormat="1" applyFont="1" applyFill="1" applyBorder="1" applyAlignment="1">
      <alignment horizontal="center" vertical="center" wrapText="1"/>
    </xf>
    <xf numFmtId="2" fontId="32" fillId="8" borderId="72" xfId="0" applyNumberFormat="1" applyFont="1" applyFill="1" applyBorder="1" applyAlignment="1">
      <alignment horizontal="center" vertical="center" wrapText="1"/>
    </xf>
    <xf numFmtId="2" fontId="33" fillId="8" borderId="31" xfId="0" applyNumberFormat="1" applyFont="1" applyFill="1" applyBorder="1" applyAlignment="1">
      <alignment horizontal="center" vertical="center" wrapText="1"/>
    </xf>
    <xf numFmtId="2" fontId="33" fillId="8" borderId="14" xfId="0" applyNumberFormat="1" applyFont="1" applyFill="1" applyBorder="1" applyAlignment="1">
      <alignment horizontal="center" vertical="center" wrapText="1"/>
    </xf>
    <xf numFmtId="2" fontId="33" fillId="8" borderId="54" xfId="0" applyNumberFormat="1" applyFont="1" applyFill="1" applyBorder="1" applyAlignment="1">
      <alignment horizontal="center" vertical="center"/>
    </xf>
    <xf numFmtId="2" fontId="33" fillId="8" borderId="55" xfId="0" applyNumberFormat="1" applyFont="1" applyFill="1" applyBorder="1" applyAlignment="1">
      <alignment horizontal="center" vertical="center"/>
    </xf>
    <xf numFmtId="2" fontId="33" fillId="8" borderId="56" xfId="0" applyNumberFormat="1" applyFont="1" applyFill="1" applyBorder="1" applyAlignment="1">
      <alignment horizontal="center" vertical="center"/>
    </xf>
    <xf numFmtId="2" fontId="33" fillId="8" borderId="22" xfId="0" applyNumberFormat="1" applyFont="1" applyFill="1" applyBorder="1" applyAlignment="1">
      <alignment horizontal="center" vertical="center"/>
    </xf>
    <xf numFmtId="2" fontId="33" fillId="8" borderId="0" xfId="0" applyNumberFormat="1" applyFont="1" applyFill="1" applyAlignment="1">
      <alignment horizontal="center" vertical="center"/>
    </xf>
    <xf numFmtId="2" fontId="33" fillId="8" borderId="57" xfId="0" applyNumberFormat="1" applyFont="1" applyFill="1" applyBorder="1" applyAlignment="1">
      <alignment horizontal="center" vertical="center"/>
    </xf>
    <xf numFmtId="2" fontId="33" fillId="8" borderId="62" xfId="0" applyNumberFormat="1" applyFont="1" applyFill="1" applyBorder="1" applyAlignment="1">
      <alignment horizontal="center" vertical="center"/>
    </xf>
    <xf numFmtId="2" fontId="33" fillId="8" borderId="63" xfId="0" applyNumberFormat="1" applyFont="1" applyFill="1" applyBorder="1" applyAlignment="1">
      <alignment horizontal="center" vertical="center"/>
    </xf>
    <xf numFmtId="2" fontId="33" fillId="8" borderId="39" xfId="0" applyNumberFormat="1" applyFont="1" applyFill="1" applyBorder="1" applyAlignment="1">
      <alignment horizontal="center" vertical="center"/>
    </xf>
    <xf numFmtId="2" fontId="33" fillId="8" borderId="37" xfId="0" applyNumberFormat="1" applyFont="1" applyFill="1" applyBorder="1" applyAlignment="1">
      <alignment horizontal="center" vertical="center" wrapText="1"/>
    </xf>
    <xf numFmtId="2" fontId="33" fillId="8" borderId="73" xfId="0" applyNumberFormat="1" applyFont="1" applyFill="1" applyBorder="1" applyAlignment="1">
      <alignment horizontal="center" vertical="center" wrapText="1"/>
    </xf>
    <xf numFmtId="2" fontId="33" fillId="8" borderId="74" xfId="0" applyNumberFormat="1" applyFont="1" applyFill="1" applyBorder="1" applyAlignment="1">
      <alignment horizontal="center" vertical="center" wrapText="1"/>
    </xf>
    <xf numFmtId="2" fontId="33" fillId="8" borderId="75" xfId="0" applyNumberFormat="1" applyFont="1" applyFill="1" applyBorder="1" applyAlignment="1">
      <alignment horizontal="center" vertical="center" wrapText="1"/>
    </xf>
    <xf numFmtId="2" fontId="32" fillId="8" borderId="30" xfId="0" applyNumberFormat="1" applyFont="1" applyFill="1" applyBorder="1" applyAlignment="1">
      <alignment horizontal="center" vertical="center" wrapText="1"/>
    </xf>
    <xf numFmtId="2" fontId="32" fillId="8" borderId="16" xfId="0" applyNumberFormat="1" applyFont="1" applyFill="1" applyBorder="1" applyAlignment="1">
      <alignment horizontal="center" vertical="center" wrapText="1"/>
    </xf>
    <xf numFmtId="2" fontId="32" fillId="8" borderId="38" xfId="0" applyNumberFormat="1" applyFont="1" applyFill="1" applyBorder="1" applyAlignment="1">
      <alignment horizontal="center" vertical="center" wrapText="1"/>
    </xf>
    <xf numFmtId="2" fontId="34" fillId="0" borderId="62" xfId="0" applyNumberFormat="1" applyFont="1" applyBorder="1" applyAlignment="1">
      <alignment horizontal="center" vertical="center"/>
    </xf>
    <xf numFmtId="2" fontId="34" fillId="0" borderId="63" xfId="0" applyNumberFormat="1" applyFont="1" applyBorder="1" applyAlignment="1">
      <alignment horizontal="center" vertical="center"/>
    </xf>
    <xf numFmtId="2" fontId="34" fillId="0" borderId="77" xfId="0" applyNumberFormat="1" applyFont="1" applyBorder="1" applyAlignment="1">
      <alignment horizontal="center" vertical="center"/>
    </xf>
    <xf numFmtId="2" fontId="32" fillId="8" borderId="28" xfId="0" applyNumberFormat="1" applyFont="1" applyFill="1" applyBorder="1" applyAlignment="1">
      <alignment horizontal="center" vertical="center"/>
    </xf>
    <xf numFmtId="2" fontId="33" fillId="8" borderId="30" xfId="0" applyNumberFormat="1" applyFont="1" applyFill="1" applyBorder="1" applyAlignment="1">
      <alignment horizontal="center" vertical="center"/>
    </xf>
    <xf numFmtId="2" fontId="33" fillId="8" borderId="16" xfId="0" applyNumberFormat="1" applyFont="1" applyFill="1" applyBorder="1" applyAlignment="1">
      <alignment horizontal="center" vertical="center"/>
    </xf>
    <xf numFmtId="2" fontId="33" fillId="8" borderId="43" xfId="0" applyNumberFormat="1" applyFont="1" applyFill="1" applyBorder="1" applyAlignment="1">
      <alignment horizontal="center" vertical="center"/>
    </xf>
    <xf numFmtId="2" fontId="33" fillId="8" borderId="4" xfId="0" applyNumberFormat="1" applyFont="1" applyFill="1" applyBorder="1" applyAlignment="1">
      <alignment horizontal="center" vertical="center"/>
    </xf>
    <xf numFmtId="2" fontId="33" fillId="8" borderId="72" xfId="0" applyNumberFormat="1" applyFont="1" applyFill="1" applyBorder="1" applyAlignment="1">
      <alignment horizontal="center" vertical="center"/>
    </xf>
    <xf numFmtId="2" fontId="32" fillId="2" borderId="28" xfId="0" applyNumberFormat="1" applyFont="1" applyFill="1" applyBorder="1" applyAlignment="1">
      <alignment horizontal="center" vertical="center" wrapText="1"/>
    </xf>
    <xf numFmtId="2" fontId="32" fillId="2" borderId="32" xfId="0" applyNumberFormat="1" applyFont="1" applyFill="1" applyBorder="1" applyAlignment="1">
      <alignment horizontal="center" vertical="center" wrapText="1"/>
    </xf>
    <xf numFmtId="2" fontId="32" fillId="2" borderId="35" xfId="0" applyNumberFormat="1" applyFont="1" applyFill="1" applyBorder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 wrapText="1"/>
    </xf>
    <xf numFmtId="2" fontId="33" fillId="2" borderId="14" xfId="0" applyNumberFormat="1" applyFont="1" applyFill="1" applyBorder="1" applyAlignment="1">
      <alignment horizontal="center" vertical="center"/>
    </xf>
    <xf numFmtId="2" fontId="33" fillId="2" borderId="18" xfId="0" applyNumberFormat="1" applyFont="1" applyFill="1" applyBorder="1" applyAlignment="1">
      <alignment horizontal="center" vertical="center"/>
    </xf>
    <xf numFmtId="2" fontId="33" fillId="2" borderId="15" xfId="0" applyNumberFormat="1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>
      <alignment horizontal="center" vertical="center"/>
    </xf>
    <xf numFmtId="2" fontId="33" fillId="2" borderId="8" xfId="0" applyNumberFormat="1" applyFont="1" applyFill="1" applyBorder="1" applyAlignment="1">
      <alignment horizontal="center" vertical="center"/>
    </xf>
    <xf numFmtId="2" fontId="33" fillId="2" borderId="16" xfId="0" applyNumberFormat="1" applyFont="1" applyFill="1" applyBorder="1" applyAlignment="1">
      <alignment horizontal="center" vertical="center" wrapText="1"/>
    </xf>
    <xf numFmtId="2" fontId="32" fillId="2" borderId="62" xfId="0" applyNumberFormat="1" applyFont="1" applyFill="1" applyBorder="1" applyAlignment="1">
      <alignment horizontal="center" vertical="center" wrapText="1"/>
    </xf>
    <xf numFmtId="2" fontId="32" fillId="2" borderId="63" xfId="0" applyNumberFormat="1" applyFont="1" applyFill="1" applyBorder="1" applyAlignment="1">
      <alignment horizontal="center" vertical="center" wrapText="1"/>
    </xf>
    <xf numFmtId="2" fontId="32" fillId="2" borderId="28" xfId="0" applyNumberFormat="1" applyFont="1" applyFill="1" applyBorder="1" applyAlignment="1">
      <alignment horizontal="center" vertical="center"/>
    </xf>
    <xf numFmtId="2" fontId="32" fillId="2" borderId="79" xfId="0" applyNumberFormat="1" applyFont="1" applyFill="1" applyBorder="1" applyAlignment="1">
      <alignment horizontal="center" vertical="center"/>
    </xf>
    <xf numFmtId="2" fontId="32" fillId="2" borderId="30" xfId="0" applyNumberFormat="1" applyFont="1" applyFill="1" applyBorder="1" applyAlignment="1">
      <alignment horizontal="center" vertical="center"/>
    </xf>
    <xf numFmtId="2" fontId="32" fillId="2" borderId="29" xfId="0" applyNumberFormat="1" applyFont="1" applyFill="1" applyBorder="1" applyAlignment="1">
      <alignment horizontal="center" vertical="center"/>
    </xf>
    <xf numFmtId="2" fontId="26" fillId="2" borderId="28" xfId="0" applyNumberFormat="1" applyFont="1" applyFill="1" applyBorder="1" applyAlignment="1">
      <alignment horizontal="center" vertical="center"/>
    </xf>
    <xf numFmtId="2" fontId="26" fillId="2" borderId="30" xfId="0" applyNumberFormat="1" applyFont="1" applyFill="1" applyBorder="1" applyAlignment="1">
      <alignment horizontal="center" vertical="center"/>
    </xf>
    <xf numFmtId="2" fontId="26" fillId="2" borderId="29" xfId="0" applyNumberFormat="1" applyFont="1" applyFill="1" applyBorder="1" applyAlignment="1">
      <alignment horizontal="center" vertical="center"/>
    </xf>
    <xf numFmtId="2" fontId="26" fillId="2" borderId="0" xfId="0" applyNumberFormat="1" applyFont="1" applyFill="1" applyAlignment="1">
      <alignment horizontal="center" vertical="center"/>
    </xf>
    <xf numFmtId="2" fontId="68" fillId="2" borderId="0" xfId="0" applyNumberFormat="1" applyFont="1" applyFill="1" applyAlignment="1">
      <alignment horizontal="center" wrapText="1"/>
    </xf>
    <xf numFmtId="2" fontId="1" fillId="2" borderId="48" xfId="0" applyNumberFormat="1" applyFont="1" applyFill="1" applyBorder="1" applyAlignment="1">
      <alignment horizontal="center"/>
    </xf>
    <xf numFmtId="2" fontId="1" fillId="2" borderId="66" xfId="0" applyNumberFormat="1" applyFont="1" applyFill="1" applyBorder="1" applyAlignment="1">
      <alignment horizontal="center"/>
    </xf>
    <xf numFmtId="2" fontId="32" fillId="2" borderId="40" xfId="0" applyNumberFormat="1" applyFont="1" applyFill="1" applyBorder="1" applyAlignment="1">
      <alignment horizontal="center" vertical="center"/>
    </xf>
    <xf numFmtId="2" fontId="32" fillId="2" borderId="41" xfId="0" applyNumberFormat="1" applyFont="1" applyFill="1" applyBorder="1" applyAlignment="1">
      <alignment horizontal="center" vertical="center"/>
    </xf>
    <xf numFmtId="2" fontId="32" fillId="2" borderId="64" xfId="0" applyNumberFormat="1" applyFont="1" applyFill="1" applyBorder="1" applyAlignment="1">
      <alignment horizontal="center" vertical="center"/>
    </xf>
    <xf numFmtId="2" fontId="34" fillId="0" borderId="40" xfId="0" applyNumberFormat="1" applyFont="1" applyBorder="1" applyAlignment="1">
      <alignment horizontal="center" vertical="center"/>
    </xf>
    <xf numFmtId="2" fontId="34" fillId="0" borderId="64" xfId="0" applyNumberFormat="1" applyFont="1" applyBorder="1" applyAlignment="1">
      <alignment horizontal="center" vertical="center"/>
    </xf>
    <xf numFmtId="2" fontId="0" fillId="0" borderId="48" xfId="0" applyNumberFormat="1" applyBorder="1" applyAlignment="1">
      <alignment horizontal="left" vertical="center"/>
    </xf>
    <xf numFmtId="2" fontId="0" fillId="0" borderId="67" xfId="0" applyNumberFormat="1" applyBorder="1" applyAlignment="1">
      <alignment horizontal="left" vertical="center"/>
    </xf>
    <xf numFmtId="2" fontId="0" fillId="0" borderId="66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1" fillId="2" borderId="46" xfId="0" applyNumberFormat="1" applyFont="1" applyFill="1" applyBorder="1" applyAlignment="1">
      <alignment horizontal="center"/>
    </xf>
    <xf numFmtId="2" fontId="1" fillId="2" borderId="33" xfId="0" applyNumberFormat="1" applyFont="1" applyFill="1" applyBorder="1" applyAlignment="1">
      <alignment horizontal="center"/>
    </xf>
    <xf numFmtId="2" fontId="13" fillId="2" borderId="40" xfId="0" applyNumberFormat="1" applyFont="1" applyFill="1" applyBorder="1" applyAlignment="1">
      <alignment horizontal="center" vertical="center"/>
    </xf>
    <xf numFmtId="2" fontId="13" fillId="2" borderId="41" xfId="0" applyNumberFormat="1" applyFont="1" applyFill="1" applyBorder="1" applyAlignment="1">
      <alignment horizontal="center" vertical="center"/>
    </xf>
    <xf numFmtId="2" fontId="13" fillId="2" borderId="64" xfId="0" applyNumberFormat="1" applyFont="1" applyFill="1" applyBorder="1" applyAlignment="1">
      <alignment horizontal="center" vertical="center"/>
    </xf>
    <xf numFmtId="2" fontId="39" fillId="0" borderId="40" xfId="0" applyNumberFormat="1" applyFont="1" applyBorder="1" applyAlignment="1">
      <alignment horizontal="center"/>
    </xf>
    <xf numFmtId="2" fontId="39" fillId="0" borderId="64" xfId="0" applyNumberFormat="1" applyFont="1" applyBorder="1" applyAlignment="1">
      <alignment horizontal="center"/>
    </xf>
    <xf numFmtId="2" fontId="40" fillId="0" borderId="25" xfId="0" applyNumberFormat="1" applyFont="1" applyBorder="1" applyAlignment="1">
      <alignment horizontal="center"/>
    </xf>
    <xf numFmtId="2" fontId="40" fillId="0" borderId="26" xfId="0" applyNumberFormat="1" applyFont="1" applyBorder="1" applyAlignment="1">
      <alignment horizontal="center"/>
    </xf>
    <xf numFmtId="2" fontId="40" fillId="0" borderId="27" xfId="0" applyNumberFormat="1" applyFont="1" applyBorder="1" applyAlignment="1">
      <alignment horizontal="center"/>
    </xf>
    <xf numFmtId="2" fontId="1" fillId="2" borderId="58" xfId="0" applyNumberFormat="1" applyFont="1" applyFill="1" applyBorder="1" applyAlignment="1">
      <alignment horizontal="center"/>
    </xf>
    <xf numFmtId="2" fontId="1" fillId="2" borderId="65" xfId="0" applyNumberFormat="1" applyFont="1" applyFill="1" applyBorder="1" applyAlignment="1">
      <alignment horizontal="center"/>
    </xf>
    <xf numFmtId="0" fontId="25" fillId="8" borderId="69" xfId="0" applyFont="1" applyFill="1" applyBorder="1" applyAlignment="1">
      <alignment horizontal="center" vertical="center"/>
    </xf>
    <xf numFmtId="0" fontId="25" fillId="8" borderId="63" xfId="0" applyFont="1" applyFill="1" applyBorder="1" applyAlignment="1">
      <alignment horizontal="center" vertical="center"/>
    </xf>
    <xf numFmtId="0" fontId="25" fillId="8" borderId="77" xfId="0" applyFont="1" applyFill="1" applyBorder="1" applyAlignment="1">
      <alignment horizontal="center" vertical="center"/>
    </xf>
    <xf numFmtId="0" fontId="25" fillId="8" borderId="62" xfId="0" applyFont="1" applyFill="1" applyBorder="1" applyAlignment="1">
      <alignment horizontal="center" vertical="center"/>
    </xf>
    <xf numFmtId="0" fontId="25" fillId="8" borderId="62" xfId="0" applyFont="1" applyFill="1" applyBorder="1" applyAlignment="1">
      <alignment horizontal="center" vertical="center" wrapText="1"/>
    </xf>
    <xf numFmtId="0" fontId="25" fillId="8" borderId="63" xfId="0" applyFont="1" applyFill="1" applyBorder="1" applyAlignment="1">
      <alignment horizontal="center" vertical="center" wrapText="1"/>
    </xf>
    <xf numFmtId="0" fontId="25" fillId="8" borderId="68" xfId="0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5" fillId="8" borderId="77" xfId="0" applyFont="1" applyFill="1" applyBorder="1" applyAlignment="1">
      <alignment horizontal="center" vertical="center" wrapText="1"/>
    </xf>
    <xf numFmtId="0" fontId="25" fillId="8" borderId="73" xfId="0" applyFont="1" applyFill="1" applyBorder="1" applyAlignment="1">
      <alignment horizontal="center" vertical="center" wrapText="1"/>
    </xf>
    <xf numFmtId="0" fontId="25" fillId="8" borderId="74" xfId="0" applyFont="1" applyFill="1" applyBorder="1" applyAlignment="1">
      <alignment horizontal="center" vertical="center" wrapText="1"/>
    </xf>
    <xf numFmtId="0" fontId="25" fillId="8" borderId="75" xfId="0" applyFont="1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9" borderId="80" xfId="0" applyFill="1" applyBorder="1" applyAlignment="1">
      <alignment horizontal="center" vertical="center" wrapText="1"/>
    </xf>
    <xf numFmtId="0" fontId="0" fillId="9" borderId="81" xfId="0" applyFill="1" applyBorder="1" applyAlignment="1">
      <alignment horizontal="center" vertical="center" wrapText="1"/>
    </xf>
    <xf numFmtId="0" fontId="26" fillId="6" borderId="54" xfId="0" applyFont="1" applyFill="1" applyBorder="1" applyAlignment="1">
      <alignment horizontal="center" vertical="center"/>
    </xf>
    <xf numFmtId="0" fontId="26" fillId="6" borderId="55" xfId="0" applyFont="1" applyFill="1" applyBorder="1" applyAlignment="1">
      <alignment horizontal="center" vertical="center"/>
    </xf>
    <xf numFmtId="0" fontId="26" fillId="6" borderId="56" xfId="0" applyFont="1" applyFill="1" applyBorder="1" applyAlignment="1">
      <alignment horizontal="center" vertical="center"/>
    </xf>
    <xf numFmtId="0" fontId="27" fillId="7" borderId="16" xfId="1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7" fillId="7" borderId="16" xfId="1" applyFont="1" applyFill="1" applyBorder="1" applyAlignment="1">
      <alignment horizontal="center" vertical="center"/>
    </xf>
    <xf numFmtId="0" fontId="30" fillId="7" borderId="14" xfId="1" applyFont="1" applyFill="1" applyBorder="1" applyAlignment="1">
      <alignment horizontal="center"/>
    </xf>
    <xf numFmtId="0" fontId="30" fillId="7" borderId="18" xfId="1" applyFont="1" applyFill="1" applyBorder="1" applyAlignment="1">
      <alignment horizontal="center"/>
    </xf>
    <xf numFmtId="0" fontId="30" fillId="7" borderId="15" xfId="1" applyFont="1" applyFill="1" applyBorder="1" applyAlignment="1">
      <alignment horizontal="center"/>
    </xf>
    <xf numFmtId="0" fontId="23" fillId="2" borderId="34" xfId="0" applyFont="1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5" fillId="2" borderId="14" xfId="0" applyFont="1" applyFill="1" applyBorder="1" applyAlignment="1">
      <alignment horizontal="center"/>
    </xf>
    <xf numFmtId="0" fontId="25" fillId="2" borderId="18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32" fillId="8" borderId="28" xfId="0" applyFont="1" applyFill="1" applyBorder="1" applyAlignment="1">
      <alignment horizontal="center" vertical="center" wrapText="1"/>
    </xf>
    <xf numFmtId="0" fontId="32" fillId="8" borderId="32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2" fillId="8" borderId="16" xfId="0" applyFont="1" applyFill="1" applyBorder="1" applyAlignment="1">
      <alignment horizontal="center" vertical="center" wrapText="1"/>
    </xf>
    <xf numFmtId="0" fontId="33" fillId="8" borderId="30" xfId="0" applyFont="1" applyFill="1" applyBorder="1" applyAlignment="1">
      <alignment horizontal="center" vertical="center" wrapText="1"/>
    </xf>
    <xf numFmtId="0" fontId="33" fillId="8" borderId="16" xfId="0" applyFont="1" applyFill="1" applyBorder="1" applyAlignment="1">
      <alignment horizontal="center" vertical="center" wrapText="1"/>
    </xf>
    <xf numFmtId="0" fontId="33" fillId="8" borderId="30" xfId="0" applyFont="1" applyFill="1" applyBorder="1" applyAlignment="1">
      <alignment horizontal="center" vertical="center"/>
    </xf>
    <xf numFmtId="0" fontId="33" fillId="8" borderId="16" xfId="0" applyFont="1" applyFill="1" applyBorder="1" applyAlignment="1">
      <alignment horizontal="center" vertical="center"/>
    </xf>
    <xf numFmtId="0" fontId="34" fillId="0" borderId="29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36" fillId="2" borderId="16" xfId="1" applyFont="1" applyFill="1" applyBorder="1" applyAlignment="1">
      <alignment horizontal="left" vertical="center" wrapText="1"/>
    </xf>
    <xf numFmtId="0" fontId="35" fillId="2" borderId="0" xfId="1" applyFont="1" applyFill="1" applyAlignment="1">
      <alignment horizontal="left" vertical="center" wrapText="1"/>
    </xf>
    <xf numFmtId="0" fontId="73" fillId="2" borderId="16" xfId="0" applyFont="1" applyFill="1" applyBorder="1" applyAlignment="1">
      <alignment horizontal="center" vertical="center"/>
    </xf>
    <xf numFmtId="0" fontId="73" fillId="2" borderId="16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32" fillId="2" borderId="28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horizontal="center" vertical="center"/>
    </xf>
    <xf numFmtId="0" fontId="32" fillId="2" borderId="29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30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73" fillId="2" borderId="2" xfId="0" applyFont="1" applyFill="1" applyBorder="1" applyAlignment="1">
      <alignment horizontal="center" vertical="center"/>
    </xf>
    <xf numFmtId="0" fontId="73" fillId="2" borderId="8" xfId="0" applyFont="1" applyFill="1" applyBorder="1" applyAlignment="1">
      <alignment horizontal="center" vertical="center"/>
    </xf>
    <xf numFmtId="2" fontId="37" fillId="2" borderId="16" xfId="0" applyNumberFormat="1" applyFont="1" applyFill="1" applyBorder="1" applyAlignment="1">
      <alignment horizontal="center" vertical="center"/>
    </xf>
    <xf numFmtId="2" fontId="37" fillId="2" borderId="19" xfId="0" applyNumberFormat="1" applyFont="1" applyFill="1" applyBorder="1" applyAlignment="1">
      <alignment horizontal="center" vertical="center"/>
    </xf>
    <xf numFmtId="2" fontId="37" fillId="2" borderId="20" xfId="0" applyNumberFormat="1" applyFont="1" applyFill="1" applyBorder="1" applyAlignment="1">
      <alignment horizontal="center" vertical="center"/>
    </xf>
    <xf numFmtId="0" fontId="38" fillId="2" borderId="30" xfId="0" applyFont="1" applyFill="1" applyBorder="1" applyAlignment="1">
      <alignment horizontal="center" vertical="center"/>
    </xf>
    <xf numFmtId="0" fontId="38" fillId="2" borderId="16" xfId="0" applyFont="1" applyFill="1" applyBorder="1" applyAlignment="1">
      <alignment horizontal="center" vertical="center"/>
    </xf>
    <xf numFmtId="0" fontId="38" fillId="2" borderId="38" xfId="0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center" vertical="center"/>
    </xf>
    <xf numFmtId="0" fontId="32" fillId="2" borderId="41" xfId="0" applyFont="1" applyFill="1" applyBorder="1" applyAlignment="1">
      <alignment horizontal="center" vertical="center"/>
    </xf>
    <xf numFmtId="0" fontId="32" fillId="2" borderId="64" xfId="0" applyFont="1" applyFill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4" fillId="0" borderId="64" xfId="0" applyFont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1" fillId="0" borderId="46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3" fillId="2" borderId="40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39" fillId="0" borderId="40" xfId="0" applyFont="1" applyBorder="1" applyAlignment="1">
      <alignment horizontal="center"/>
    </xf>
    <xf numFmtId="0" fontId="39" fillId="0" borderId="64" xfId="0" applyFont="1" applyBorder="1" applyAlignment="1">
      <alignment horizontal="center"/>
    </xf>
    <xf numFmtId="0" fontId="40" fillId="0" borderId="25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/>
    </xf>
  </cellXfs>
  <cellStyles count="8">
    <cellStyle name="Normal" xfId="0" builtinId="0"/>
    <cellStyle name="Normal 2" xfId="1" xr:uid="{00000000-0005-0000-0000-000001000000}"/>
    <cellStyle name="Normal 2 2" xfId="5" xr:uid="{D189E011-4F3F-41FE-A36E-B034C104D381}"/>
    <cellStyle name="Normal 2 3" xfId="7" xr:uid="{2B182B4B-D1AB-4C4B-AC33-9229FC1909D6}"/>
    <cellStyle name="Normal 3" xfId="6" xr:uid="{978C7288-ED46-4212-8472-10C003C01689}"/>
    <cellStyle name="Normal_Daftar kelistrikan (ecg)" xfId="2" xr:uid="{00000000-0005-0000-0000-000002000000}"/>
    <cellStyle name="Normal_Sheet1" xfId="4" xr:uid="{AA3F687C-1A0A-44CE-B89C-3AD4ACCC1FBA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1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1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1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1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1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</xdr:row>
          <xdr:rowOff>0</xdr:rowOff>
        </xdr:from>
        <xdr:to>
          <xdr:col>10</xdr:col>
          <xdr:colOff>419100</xdr:colOff>
          <xdr:row>3</xdr:row>
          <xdr:rowOff>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1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1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1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2" name="Object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1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1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4" name="Object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1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5" name="Object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1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6" name="Object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1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7" name="Object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1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8" name="Object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1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9" name="Object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1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107</xdr:row>
          <xdr:rowOff>0</xdr:rowOff>
        </xdr:from>
        <xdr:to>
          <xdr:col>10</xdr:col>
          <xdr:colOff>419100</xdr:colOff>
          <xdr:row>107</xdr:row>
          <xdr:rowOff>0</xdr:rowOff>
        </xdr:to>
        <xdr:sp macro="" textlink="">
          <xdr:nvSpPr>
            <xdr:cNvPr id="7190" name="Object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1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1" name="Object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1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2" name="Object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1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3" name="Object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1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1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1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6" name="Object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1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7" name="Object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1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8" name="Object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1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9" name="Object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1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0" name="Object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1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1" name="Object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1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2" name="Object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1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3" name="Object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1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4" name="Object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1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5" name="Object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1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6" name="Object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1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7" name="Object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1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8" name="Object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1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9" name="Object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1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32</xdr:row>
          <xdr:rowOff>0</xdr:rowOff>
        </xdr:from>
        <xdr:to>
          <xdr:col>10</xdr:col>
          <xdr:colOff>419100</xdr:colOff>
          <xdr:row>32</xdr:row>
          <xdr:rowOff>0</xdr:rowOff>
        </xdr:to>
        <xdr:sp macro="" textlink="">
          <xdr:nvSpPr>
            <xdr:cNvPr id="7210" name="Object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1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2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2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2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</xdr:row>
          <xdr:rowOff>0</xdr:rowOff>
        </xdr:from>
        <xdr:to>
          <xdr:col>10</xdr:col>
          <xdr:colOff>419100</xdr:colOff>
          <xdr:row>3</xdr:row>
          <xdr:rowOff>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2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2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2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2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2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103</xdr:row>
          <xdr:rowOff>0</xdr:rowOff>
        </xdr:from>
        <xdr:to>
          <xdr:col>10</xdr:col>
          <xdr:colOff>412750</xdr:colOff>
          <xdr:row>103</xdr:row>
          <xdr:rowOff>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2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2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2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2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2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2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2" name="Object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2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2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7" name="Object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2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8" name="Object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9" name="Object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2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0" name="Object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2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1" name="Object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2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2" name="Object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2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3" name="Object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2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4" name="Object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2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5" name="Object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2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32</xdr:row>
          <xdr:rowOff>0</xdr:rowOff>
        </xdr:from>
        <xdr:to>
          <xdr:col>10</xdr:col>
          <xdr:colOff>419100</xdr:colOff>
          <xdr:row>32</xdr:row>
          <xdr:rowOff>0</xdr:rowOff>
        </xdr:to>
        <xdr:sp macro="" textlink="">
          <xdr:nvSpPr>
            <xdr:cNvPr id="6186" name="Object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5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5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5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5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5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5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0" name="Object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5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1" name="Object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5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5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3" name="Object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5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24" name="Object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5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25" name="Object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5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5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27" name="Object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5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28" name="Object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5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5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30" name="Object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5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31" name="Object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5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32" name="Object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5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33" name="Object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5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99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334" name="Object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5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5" name="Object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5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6" name="Object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5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7" name="Object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5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8" name="Object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5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9" name="Object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5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0" name="Object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5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1" name="Object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5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2" name="Object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5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3" name="Object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5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4" name="Object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5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5" name="Object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5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6" name="Object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5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7" name="Object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5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8" name="Object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5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9" name="Object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5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0" name="Object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5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1" name="Object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5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2" name="Object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5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3" name="Object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5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4" name="Object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5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112</xdr:row>
          <xdr:rowOff>0</xdr:rowOff>
        </xdr:from>
        <xdr:to>
          <xdr:col>12</xdr:col>
          <xdr:colOff>355600</xdr:colOff>
          <xdr:row>112</xdr:row>
          <xdr:rowOff>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6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59" name="Object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6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0" name="Object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6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1" name="Object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6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2" name="Object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6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3" name="Object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6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4" name="Object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6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5" name="Object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6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6" name="Object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6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7" name="Object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6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8" name="Object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6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69" name="Object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6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0" name="Object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6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1" name="Object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6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2" name="Object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6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3" name="Object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6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4" name="Object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6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5" name="Object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6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6" name="Object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6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7" name="Object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6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4378" name="Object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6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112</xdr:row>
          <xdr:rowOff>0</xdr:rowOff>
        </xdr:from>
        <xdr:to>
          <xdr:col>12</xdr:col>
          <xdr:colOff>355600</xdr:colOff>
          <xdr:row>112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8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8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8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8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8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8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8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8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1" name="Object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8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2" name="Object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8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3" name="Object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8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4" name="Object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8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5" name="Object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8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6" name="Object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8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7" name="Object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8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8" name="Object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8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49" name="Object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8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50" name="Object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8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51" name="Object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8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52" name="Object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8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27</xdr:row>
          <xdr:rowOff>0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8453" name="Object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8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DL\LARAGON%20TRAXEL\Centrifuge-CENTRI-14-09-2023.xlsx" TargetMode="External"/><Relationship Id="rId1" Type="http://schemas.openxmlformats.org/officeDocument/2006/relationships/externalLinkPath" Target="/Users/user/Documents/DL/LARAGON%20TRAXEL/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26" Type="http://schemas.openxmlformats.org/officeDocument/2006/relationships/oleObject" Target="../embeddings/oleObject22.bin"/><Relationship Id="rId39" Type="http://schemas.openxmlformats.org/officeDocument/2006/relationships/oleObject" Target="../embeddings/oleObject35.bin"/><Relationship Id="rId21" Type="http://schemas.openxmlformats.org/officeDocument/2006/relationships/oleObject" Target="../embeddings/oleObject17.bin"/><Relationship Id="rId34" Type="http://schemas.openxmlformats.org/officeDocument/2006/relationships/oleObject" Target="../embeddings/oleObject30.bin"/><Relationship Id="rId42" Type="http://schemas.openxmlformats.org/officeDocument/2006/relationships/oleObject" Target="../embeddings/oleObject38.bin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9" Type="http://schemas.openxmlformats.org/officeDocument/2006/relationships/oleObject" Target="../embeddings/oleObject25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24" Type="http://schemas.openxmlformats.org/officeDocument/2006/relationships/oleObject" Target="../embeddings/oleObject20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36" Type="http://schemas.openxmlformats.org/officeDocument/2006/relationships/oleObject" Target="../embeddings/oleObject32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31" Type="http://schemas.openxmlformats.org/officeDocument/2006/relationships/oleObject" Target="../embeddings/oleObject27.bin"/><Relationship Id="rId44" Type="http://schemas.openxmlformats.org/officeDocument/2006/relationships/oleObject" Target="../embeddings/oleObject40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43" Type="http://schemas.openxmlformats.org/officeDocument/2006/relationships/oleObject" Target="../embeddings/oleObject39.bin"/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5" Type="http://schemas.openxmlformats.org/officeDocument/2006/relationships/oleObject" Target="../embeddings/oleObject21.bin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46" Type="http://schemas.openxmlformats.org/officeDocument/2006/relationships/oleObject" Target="../embeddings/oleObject42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1.bin"/><Relationship Id="rId18" Type="http://schemas.openxmlformats.org/officeDocument/2006/relationships/oleObject" Target="../embeddings/oleObject56.bin"/><Relationship Id="rId26" Type="http://schemas.openxmlformats.org/officeDocument/2006/relationships/oleObject" Target="../embeddings/oleObject64.bin"/><Relationship Id="rId39" Type="http://schemas.openxmlformats.org/officeDocument/2006/relationships/oleObject" Target="../embeddings/oleObject77.bin"/><Relationship Id="rId21" Type="http://schemas.openxmlformats.org/officeDocument/2006/relationships/oleObject" Target="../embeddings/oleObject59.bin"/><Relationship Id="rId34" Type="http://schemas.openxmlformats.org/officeDocument/2006/relationships/oleObject" Target="../embeddings/oleObject72.bin"/><Relationship Id="rId42" Type="http://schemas.openxmlformats.org/officeDocument/2006/relationships/oleObject" Target="../embeddings/oleObject80.bin"/><Relationship Id="rId7" Type="http://schemas.openxmlformats.org/officeDocument/2006/relationships/oleObject" Target="../embeddings/oleObject45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54.bin"/><Relationship Id="rId29" Type="http://schemas.openxmlformats.org/officeDocument/2006/relationships/oleObject" Target="../embeddings/oleObject6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4.bin"/><Relationship Id="rId11" Type="http://schemas.openxmlformats.org/officeDocument/2006/relationships/oleObject" Target="../embeddings/oleObject49.bin"/><Relationship Id="rId24" Type="http://schemas.openxmlformats.org/officeDocument/2006/relationships/oleObject" Target="../embeddings/oleObject62.bin"/><Relationship Id="rId32" Type="http://schemas.openxmlformats.org/officeDocument/2006/relationships/oleObject" Target="../embeddings/oleObject70.bin"/><Relationship Id="rId37" Type="http://schemas.openxmlformats.org/officeDocument/2006/relationships/oleObject" Target="../embeddings/oleObject75.bin"/><Relationship Id="rId40" Type="http://schemas.openxmlformats.org/officeDocument/2006/relationships/oleObject" Target="../embeddings/oleObject78.bin"/><Relationship Id="rId45" Type="http://schemas.openxmlformats.org/officeDocument/2006/relationships/oleObject" Target="../embeddings/oleObject8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53.bin"/><Relationship Id="rId23" Type="http://schemas.openxmlformats.org/officeDocument/2006/relationships/oleObject" Target="../embeddings/oleObject61.bin"/><Relationship Id="rId28" Type="http://schemas.openxmlformats.org/officeDocument/2006/relationships/oleObject" Target="../embeddings/oleObject66.bin"/><Relationship Id="rId36" Type="http://schemas.openxmlformats.org/officeDocument/2006/relationships/oleObject" Target="../embeddings/oleObject74.bin"/><Relationship Id="rId10" Type="http://schemas.openxmlformats.org/officeDocument/2006/relationships/oleObject" Target="../embeddings/oleObject48.bin"/><Relationship Id="rId19" Type="http://schemas.openxmlformats.org/officeDocument/2006/relationships/oleObject" Target="../embeddings/oleObject57.bin"/><Relationship Id="rId31" Type="http://schemas.openxmlformats.org/officeDocument/2006/relationships/oleObject" Target="../embeddings/oleObject69.bin"/><Relationship Id="rId44" Type="http://schemas.openxmlformats.org/officeDocument/2006/relationships/oleObject" Target="../embeddings/oleObject82.bin"/><Relationship Id="rId4" Type="http://schemas.openxmlformats.org/officeDocument/2006/relationships/oleObject" Target="../embeddings/oleObject43.bin"/><Relationship Id="rId9" Type="http://schemas.openxmlformats.org/officeDocument/2006/relationships/oleObject" Target="../embeddings/oleObject47.bin"/><Relationship Id="rId14" Type="http://schemas.openxmlformats.org/officeDocument/2006/relationships/oleObject" Target="../embeddings/oleObject52.bin"/><Relationship Id="rId22" Type="http://schemas.openxmlformats.org/officeDocument/2006/relationships/oleObject" Target="../embeddings/oleObject60.bin"/><Relationship Id="rId27" Type="http://schemas.openxmlformats.org/officeDocument/2006/relationships/oleObject" Target="../embeddings/oleObject65.bin"/><Relationship Id="rId30" Type="http://schemas.openxmlformats.org/officeDocument/2006/relationships/oleObject" Target="../embeddings/oleObject68.bin"/><Relationship Id="rId35" Type="http://schemas.openxmlformats.org/officeDocument/2006/relationships/oleObject" Target="../embeddings/oleObject73.bin"/><Relationship Id="rId43" Type="http://schemas.openxmlformats.org/officeDocument/2006/relationships/oleObject" Target="../embeddings/oleObject81.bin"/><Relationship Id="rId8" Type="http://schemas.openxmlformats.org/officeDocument/2006/relationships/oleObject" Target="../embeddings/oleObject46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0.bin"/><Relationship Id="rId17" Type="http://schemas.openxmlformats.org/officeDocument/2006/relationships/oleObject" Target="../embeddings/oleObject55.bin"/><Relationship Id="rId25" Type="http://schemas.openxmlformats.org/officeDocument/2006/relationships/oleObject" Target="../embeddings/oleObject63.bin"/><Relationship Id="rId33" Type="http://schemas.openxmlformats.org/officeDocument/2006/relationships/oleObject" Target="../embeddings/oleObject71.bin"/><Relationship Id="rId38" Type="http://schemas.openxmlformats.org/officeDocument/2006/relationships/oleObject" Target="../embeddings/oleObject76.bin"/><Relationship Id="rId46" Type="http://schemas.openxmlformats.org/officeDocument/2006/relationships/comments" Target="../comments1.xml"/><Relationship Id="rId20" Type="http://schemas.openxmlformats.org/officeDocument/2006/relationships/oleObject" Target="../embeddings/oleObject58.bin"/><Relationship Id="rId41" Type="http://schemas.openxmlformats.org/officeDocument/2006/relationships/oleObject" Target="../embeddings/oleObject7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2.bin"/><Relationship Id="rId18" Type="http://schemas.openxmlformats.org/officeDocument/2006/relationships/oleObject" Target="../embeddings/oleObject97.bin"/><Relationship Id="rId26" Type="http://schemas.openxmlformats.org/officeDocument/2006/relationships/oleObject" Target="../embeddings/oleObject105.bin"/><Relationship Id="rId39" Type="http://schemas.openxmlformats.org/officeDocument/2006/relationships/oleObject" Target="../embeddings/oleObject118.bin"/><Relationship Id="rId21" Type="http://schemas.openxmlformats.org/officeDocument/2006/relationships/oleObject" Target="../embeddings/oleObject100.bin"/><Relationship Id="rId34" Type="http://schemas.openxmlformats.org/officeDocument/2006/relationships/oleObject" Target="../embeddings/oleObject113.bin"/><Relationship Id="rId42" Type="http://schemas.openxmlformats.org/officeDocument/2006/relationships/oleObject" Target="../embeddings/oleObject121.bin"/><Relationship Id="rId7" Type="http://schemas.openxmlformats.org/officeDocument/2006/relationships/oleObject" Target="../embeddings/oleObject86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95.bin"/><Relationship Id="rId29" Type="http://schemas.openxmlformats.org/officeDocument/2006/relationships/oleObject" Target="../embeddings/oleObject108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85.bin"/><Relationship Id="rId11" Type="http://schemas.openxmlformats.org/officeDocument/2006/relationships/oleObject" Target="../embeddings/oleObject90.bin"/><Relationship Id="rId24" Type="http://schemas.openxmlformats.org/officeDocument/2006/relationships/oleObject" Target="../embeddings/oleObject103.bin"/><Relationship Id="rId32" Type="http://schemas.openxmlformats.org/officeDocument/2006/relationships/oleObject" Target="../embeddings/oleObject111.bin"/><Relationship Id="rId37" Type="http://schemas.openxmlformats.org/officeDocument/2006/relationships/oleObject" Target="../embeddings/oleObject116.bin"/><Relationship Id="rId40" Type="http://schemas.openxmlformats.org/officeDocument/2006/relationships/oleObject" Target="../embeddings/oleObject119.bin"/><Relationship Id="rId45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94.bin"/><Relationship Id="rId23" Type="http://schemas.openxmlformats.org/officeDocument/2006/relationships/oleObject" Target="../embeddings/oleObject102.bin"/><Relationship Id="rId28" Type="http://schemas.openxmlformats.org/officeDocument/2006/relationships/oleObject" Target="../embeddings/oleObject107.bin"/><Relationship Id="rId36" Type="http://schemas.openxmlformats.org/officeDocument/2006/relationships/oleObject" Target="../embeddings/oleObject115.bin"/><Relationship Id="rId10" Type="http://schemas.openxmlformats.org/officeDocument/2006/relationships/oleObject" Target="../embeddings/oleObject89.bin"/><Relationship Id="rId19" Type="http://schemas.openxmlformats.org/officeDocument/2006/relationships/oleObject" Target="../embeddings/oleObject98.bin"/><Relationship Id="rId31" Type="http://schemas.openxmlformats.org/officeDocument/2006/relationships/oleObject" Target="../embeddings/oleObject110.bin"/><Relationship Id="rId44" Type="http://schemas.openxmlformats.org/officeDocument/2006/relationships/oleObject" Target="../embeddings/oleObject123.bin"/><Relationship Id="rId4" Type="http://schemas.openxmlformats.org/officeDocument/2006/relationships/oleObject" Target="../embeddings/oleObject84.bin"/><Relationship Id="rId9" Type="http://schemas.openxmlformats.org/officeDocument/2006/relationships/oleObject" Target="../embeddings/oleObject88.bin"/><Relationship Id="rId14" Type="http://schemas.openxmlformats.org/officeDocument/2006/relationships/oleObject" Target="../embeddings/oleObject93.bin"/><Relationship Id="rId22" Type="http://schemas.openxmlformats.org/officeDocument/2006/relationships/oleObject" Target="../embeddings/oleObject101.bin"/><Relationship Id="rId27" Type="http://schemas.openxmlformats.org/officeDocument/2006/relationships/oleObject" Target="../embeddings/oleObject106.bin"/><Relationship Id="rId30" Type="http://schemas.openxmlformats.org/officeDocument/2006/relationships/oleObject" Target="../embeddings/oleObject109.bin"/><Relationship Id="rId35" Type="http://schemas.openxmlformats.org/officeDocument/2006/relationships/oleObject" Target="../embeddings/oleObject114.bin"/><Relationship Id="rId43" Type="http://schemas.openxmlformats.org/officeDocument/2006/relationships/oleObject" Target="../embeddings/oleObject122.bin"/><Relationship Id="rId8" Type="http://schemas.openxmlformats.org/officeDocument/2006/relationships/oleObject" Target="../embeddings/oleObject87.bin"/><Relationship Id="rId3" Type="http://schemas.openxmlformats.org/officeDocument/2006/relationships/vmlDrawing" Target="../drawings/vmlDrawing3.vml"/><Relationship Id="rId12" Type="http://schemas.openxmlformats.org/officeDocument/2006/relationships/oleObject" Target="../embeddings/oleObject91.bin"/><Relationship Id="rId17" Type="http://schemas.openxmlformats.org/officeDocument/2006/relationships/oleObject" Target="../embeddings/oleObject96.bin"/><Relationship Id="rId25" Type="http://schemas.openxmlformats.org/officeDocument/2006/relationships/oleObject" Target="../embeddings/oleObject104.bin"/><Relationship Id="rId33" Type="http://schemas.openxmlformats.org/officeDocument/2006/relationships/oleObject" Target="../embeddings/oleObject112.bin"/><Relationship Id="rId38" Type="http://schemas.openxmlformats.org/officeDocument/2006/relationships/oleObject" Target="../embeddings/oleObject117.bin"/><Relationship Id="rId46" Type="http://schemas.openxmlformats.org/officeDocument/2006/relationships/oleObject" Target="../embeddings/oleObject125.bin"/><Relationship Id="rId20" Type="http://schemas.openxmlformats.org/officeDocument/2006/relationships/oleObject" Target="../embeddings/oleObject99.bin"/><Relationship Id="rId41" Type="http://schemas.openxmlformats.org/officeDocument/2006/relationships/oleObject" Target="../embeddings/oleObject120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8.bin"/><Relationship Id="rId13" Type="http://schemas.openxmlformats.org/officeDocument/2006/relationships/oleObject" Target="../embeddings/oleObject133.bin"/><Relationship Id="rId18" Type="http://schemas.openxmlformats.org/officeDocument/2006/relationships/oleObject" Target="../embeddings/oleObject138.bin"/><Relationship Id="rId26" Type="http://schemas.openxmlformats.org/officeDocument/2006/relationships/oleObject" Target="../embeddings/oleObject146.bin"/><Relationship Id="rId3" Type="http://schemas.openxmlformats.org/officeDocument/2006/relationships/vmlDrawing" Target="../drawings/vmlDrawing4.vml"/><Relationship Id="rId21" Type="http://schemas.openxmlformats.org/officeDocument/2006/relationships/oleObject" Target="../embeddings/oleObject141.bin"/><Relationship Id="rId7" Type="http://schemas.openxmlformats.org/officeDocument/2006/relationships/image" Target="../media/image1.emf"/><Relationship Id="rId12" Type="http://schemas.openxmlformats.org/officeDocument/2006/relationships/oleObject" Target="../embeddings/oleObject132.bin"/><Relationship Id="rId17" Type="http://schemas.openxmlformats.org/officeDocument/2006/relationships/oleObject" Target="../embeddings/oleObject137.bin"/><Relationship Id="rId25" Type="http://schemas.openxmlformats.org/officeDocument/2006/relationships/oleObject" Target="../embeddings/oleObject145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136.bin"/><Relationship Id="rId20" Type="http://schemas.openxmlformats.org/officeDocument/2006/relationships/oleObject" Target="../embeddings/oleObject140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7.bin"/><Relationship Id="rId11" Type="http://schemas.openxmlformats.org/officeDocument/2006/relationships/oleObject" Target="../embeddings/oleObject131.bin"/><Relationship Id="rId24" Type="http://schemas.openxmlformats.org/officeDocument/2006/relationships/oleObject" Target="../embeddings/oleObject144.bin"/><Relationship Id="rId5" Type="http://schemas.openxmlformats.org/officeDocument/2006/relationships/image" Target="../media/image2.emf"/><Relationship Id="rId15" Type="http://schemas.openxmlformats.org/officeDocument/2006/relationships/oleObject" Target="../embeddings/oleObject135.bin"/><Relationship Id="rId23" Type="http://schemas.openxmlformats.org/officeDocument/2006/relationships/oleObject" Target="../embeddings/oleObject143.bin"/><Relationship Id="rId10" Type="http://schemas.openxmlformats.org/officeDocument/2006/relationships/oleObject" Target="../embeddings/oleObject130.bin"/><Relationship Id="rId19" Type="http://schemas.openxmlformats.org/officeDocument/2006/relationships/oleObject" Target="../embeddings/oleObject139.bin"/><Relationship Id="rId4" Type="http://schemas.openxmlformats.org/officeDocument/2006/relationships/oleObject" Target="../embeddings/oleObject126.bin"/><Relationship Id="rId9" Type="http://schemas.openxmlformats.org/officeDocument/2006/relationships/oleObject" Target="../embeddings/oleObject129.bin"/><Relationship Id="rId14" Type="http://schemas.openxmlformats.org/officeDocument/2006/relationships/oleObject" Target="../embeddings/oleObject134.bin"/><Relationship Id="rId22" Type="http://schemas.openxmlformats.org/officeDocument/2006/relationships/oleObject" Target="../embeddings/oleObject14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9.bin"/><Relationship Id="rId13" Type="http://schemas.openxmlformats.org/officeDocument/2006/relationships/oleObject" Target="../embeddings/oleObject154.bin"/><Relationship Id="rId18" Type="http://schemas.openxmlformats.org/officeDocument/2006/relationships/oleObject" Target="../embeddings/oleObject159.bin"/><Relationship Id="rId26" Type="http://schemas.openxmlformats.org/officeDocument/2006/relationships/oleObject" Target="../embeddings/oleObject167.bin"/><Relationship Id="rId3" Type="http://schemas.openxmlformats.org/officeDocument/2006/relationships/vmlDrawing" Target="../drawings/vmlDrawing6.vml"/><Relationship Id="rId21" Type="http://schemas.openxmlformats.org/officeDocument/2006/relationships/oleObject" Target="../embeddings/oleObject162.bin"/><Relationship Id="rId7" Type="http://schemas.openxmlformats.org/officeDocument/2006/relationships/image" Target="../media/image1.emf"/><Relationship Id="rId12" Type="http://schemas.openxmlformats.org/officeDocument/2006/relationships/oleObject" Target="../embeddings/oleObject153.bin"/><Relationship Id="rId17" Type="http://schemas.openxmlformats.org/officeDocument/2006/relationships/oleObject" Target="../embeddings/oleObject158.bin"/><Relationship Id="rId25" Type="http://schemas.openxmlformats.org/officeDocument/2006/relationships/oleObject" Target="../embeddings/oleObject166.bin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157.bin"/><Relationship Id="rId20" Type="http://schemas.openxmlformats.org/officeDocument/2006/relationships/oleObject" Target="../embeddings/oleObject161.bin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148.bin"/><Relationship Id="rId11" Type="http://schemas.openxmlformats.org/officeDocument/2006/relationships/oleObject" Target="../embeddings/oleObject152.bin"/><Relationship Id="rId24" Type="http://schemas.openxmlformats.org/officeDocument/2006/relationships/oleObject" Target="../embeddings/oleObject165.bin"/><Relationship Id="rId5" Type="http://schemas.openxmlformats.org/officeDocument/2006/relationships/image" Target="../media/image2.emf"/><Relationship Id="rId15" Type="http://schemas.openxmlformats.org/officeDocument/2006/relationships/oleObject" Target="../embeddings/oleObject156.bin"/><Relationship Id="rId23" Type="http://schemas.openxmlformats.org/officeDocument/2006/relationships/oleObject" Target="../embeddings/oleObject164.bin"/><Relationship Id="rId10" Type="http://schemas.openxmlformats.org/officeDocument/2006/relationships/oleObject" Target="../embeddings/oleObject151.bin"/><Relationship Id="rId19" Type="http://schemas.openxmlformats.org/officeDocument/2006/relationships/oleObject" Target="../embeddings/oleObject160.bin"/><Relationship Id="rId4" Type="http://schemas.openxmlformats.org/officeDocument/2006/relationships/oleObject" Target="../embeddings/oleObject147.bin"/><Relationship Id="rId9" Type="http://schemas.openxmlformats.org/officeDocument/2006/relationships/oleObject" Target="../embeddings/oleObject150.bin"/><Relationship Id="rId14" Type="http://schemas.openxmlformats.org/officeDocument/2006/relationships/oleObject" Target="../embeddings/oleObject155.bin"/><Relationship Id="rId22" Type="http://schemas.openxmlformats.org/officeDocument/2006/relationships/oleObject" Target="../embeddings/oleObject1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E50A-0BC5-4FC2-87E5-D6609BC838CC}">
  <sheetPr codeName="Sheet2"/>
  <dimension ref="A2:E100"/>
  <sheetViews>
    <sheetView topLeftCell="A8" workbookViewId="0">
      <selection activeCell="D26" sqref="D25:D26"/>
    </sheetView>
  </sheetViews>
  <sheetFormatPr defaultRowHeight="12.5" x14ac:dyDescent="0.25"/>
  <cols>
    <col min="2" max="2" width="17" customWidth="1"/>
    <col min="3" max="3" width="69.54296875" bestFit="1" customWidth="1"/>
    <col min="4" max="4" width="76.26953125" customWidth="1"/>
  </cols>
  <sheetData>
    <row r="2" spans="1:5" ht="13" x14ac:dyDescent="0.25">
      <c r="A2" s="1180" t="s">
        <v>0</v>
      </c>
      <c r="B2" s="1180" t="s">
        <v>1</v>
      </c>
      <c r="C2" s="1180" t="s">
        <v>2</v>
      </c>
      <c r="D2" s="1180"/>
      <c r="E2" s="1172" t="s">
        <v>3</v>
      </c>
    </row>
    <row r="3" spans="1:5" ht="13" x14ac:dyDescent="0.25">
      <c r="A3" s="1180"/>
      <c r="B3" s="1180"/>
      <c r="C3" s="473" t="s">
        <v>4</v>
      </c>
      <c r="D3" s="473" t="s">
        <v>5</v>
      </c>
      <c r="E3" s="1173"/>
    </row>
    <row r="4" spans="1:5" x14ac:dyDescent="0.25">
      <c r="A4" s="474">
        <v>1</v>
      </c>
      <c r="B4" s="475">
        <v>44231</v>
      </c>
      <c r="C4" s="474" t="s">
        <v>6</v>
      </c>
      <c r="D4" s="476" t="s">
        <v>7</v>
      </c>
      <c r="E4" s="528"/>
    </row>
    <row r="5" spans="1:5" ht="57.75" customHeight="1" x14ac:dyDescent="0.25">
      <c r="A5" s="474"/>
      <c r="B5" s="477"/>
      <c r="C5" s="478" t="s">
        <v>8</v>
      </c>
      <c r="D5" s="479" t="s">
        <v>9</v>
      </c>
      <c r="E5" s="528"/>
    </row>
    <row r="6" spans="1:5" ht="75.75" customHeight="1" x14ac:dyDescent="0.25">
      <c r="A6" s="474"/>
      <c r="B6" s="477"/>
      <c r="C6" s="480" t="s">
        <v>10</v>
      </c>
      <c r="D6" s="476" t="s">
        <v>11</v>
      </c>
      <c r="E6" s="528"/>
    </row>
    <row r="7" spans="1:5" ht="79.5" customHeight="1" x14ac:dyDescent="0.25">
      <c r="A7" s="474"/>
      <c r="B7" s="477"/>
      <c r="C7" s="481" t="s">
        <v>12</v>
      </c>
      <c r="D7" s="481" t="s">
        <v>13</v>
      </c>
      <c r="E7" s="528"/>
    </row>
    <row r="8" spans="1:5" ht="25" x14ac:dyDescent="0.25">
      <c r="A8" s="474"/>
      <c r="B8" s="477"/>
      <c r="C8" s="482" t="s">
        <v>14</v>
      </c>
      <c r="D8" s="476" t="s">
        <v>15</v>
      </c>
      <c r="E8" s="528"/>
    </row>
    <row r="9" spans="1:5" x14ac:dyDescent="0.25">
      <c r="A9" s="1172">
        <v>2</v>
      </c>
      <c r="B9" s="1174" t="s">
        <v>16</v>
      </c>
      <c r="C9" s="476" t="s">
        <v>17</v>
      </c>
      <c r="D9" s="476" t="s">
        <v>18</v>
      </c>
      <c r="E9" s="528" t="s">
        <v>19</v>
      </c>
    </row>
    <row r="10" spans="1:5" x14ac:dyDescent="0.25">
      <c r="A10" s="1173"/>
      <c r="B10" s="1175"/>
      <c r="C10" s="476" t="s">
        <v>20</v>
      </c>
      <c r="D10" s="476" t="s">
        <v>18</v>
      </c>
      <c r="E10" s="528" t="s">
        <v>19</v>
      </c>
    </row>
    <row r="11" spans="1:5" x14ac:dyDescent="0.25">
      <c r="A11" s="474">
        <v>3</v>
      </c>
      <c r="B11" s="475" t="s">
        <v>21</v>
      </c>
      <c r="C11" s="476" t="s">
        <v>22</v>
      </c>
      <c r="D11" s="476" t="s">
        <v>18</v>
      </c>
      <c r="E11" s="528" t="s">
        <v>19</v>
      </c>
    </row>
    <row r="12" spans="1:5" x14ac:dyDescent="0.25">
      <c r="A12" s="474">
        <v>4</v>
      </c>
      <c r="B12" s="477">
        <v>44406</v>
      </c>
      <c r="C12" s="476" t="s">
        <v>23</v>
      </c>
      <c r="D12" s="476" t="s">
        <v>18</v>
      </c>
      <c r="E12" s="593" t="s">
        <v>19</v>
      </c>
    </row>
    <row r="13" spans="1:5" x14ac:dyDescent="0.25">
      <c r="A13" s="474">
        <v>5</v>
      </c>
      <c r="B13" s="477">
        <v>44426</v>
      </c>
      <c r="C13" s="474" t="s">
        <v>24</v>
      </c>
      <c r="D13" s="474" t="s">
        <v>18</v>
      </c>
      <c r="E13" s="528" t="s">
        <v>25</v>
      </c>
    </row>
    <row r="14" spans="1:5" x14ac:dyDescent="0.25">
      <c r="A14" s="1172">
        <v>6</v>
      </c>
      <c r="B14" s="1176" t="s">
        <v>26</v>
      </c>
      <c r="C14" s="474" t="s">
        <v>27</v>
      </c>
      <c r="D14" s="474" t="s">
        <v>28</v>
      </c>
      <c r="E14" s="528" t="s">
        <v>19</v>
      </c>
    </row>
    <row r="15" spans="1:5" x14ac:dyDescent="0.25">
      <c r="A15" s="1179"/>
      <c r="B15" s="1177"/>
      <c r="C15" s="474" t="s">
        <v>29</v>
      </c>
      <c r="D15" s="474" t="s">
        <v>28</v>
      </c>
      <c r="E15" s="528" t="s">
        <v>19</v>
      </c>
    </row>
    <row r="16" spans="1:5" x14ac:dyDescent="0.25">
      <c r="A16" s="1173"/>
      <c r="B16" s="1178"/>
      <c r="C16" s="474" t="s">
        <v>30</v>
      </c>
      <c r="D16" s="474" t="s">
        <v>28</v>
      </c>
      <c r="E16" s="528" t="s">
        <v>19</v>
      </c>
    </row>
    <row r="17" spans="1:5" x14ac:dyDescent="0.25">
      <c r="A17" s="474">
        <v>7</v>
      </c>
      <c r="B17" s="477">
        <v>44595</v>
      </c>
      <c r="C17" s="476" t="s">
        <v>31</v>
      </c>
      <c r="D17" s="474" t="s">
        <v>28</v>
      </c>
      <c r="E17" s="528" t="s">
        <v>19</v>
      </c>
    </row>
    <row r="18" spans="1:5" x14ac:dyDescent="0.25">
      <c r="A18" s="474">
        <v>8</v>
      </c>
      <c r="B18" s="477">
        <v>44641</v>
      </c>
      <c r="C18" s="474" t="s">
        <v>32</v>
      </c>
      <c r="D18" s="474" t="s">
        <v>28</v>
      </c>
      <c r="E18" s="528" t="s">
        <v>25</v>
      </c>
    </row>
    <row r="19" spans="1:5" x14ac:dyDescent="0.25">
      <c r="A19" s="474">
        <v>9</v>
      </c>
      <c r="B19" s="475" t="s">
        <v>33</v>
      </c>
      <c r="C19" s="476" t="s">
        <v>34</v>
      </c>
      <c r="D19" s="476" t="s">
        <v>28</v>
      </c>
      <c r="E19" s="593" t="s">
        <v>19</v>
      </c>
    </row>
    <row r="20" spans="1:5" x14ac:dyDescent="0.25">
      <c r="A20" s="474"/>
      <c r="B20" s="477"/>
      <c r="C20" s="474"/>
      <c r="D20" s="474"/>
      <c r="E20" s="528"/>
    </row>
    <row r="100" spans="1:1" x14ac:dyDescent="0.25">
      <c r="A100" s="529" t="s">
        <v>35</v>
      </c>
    </row>
  </sheetData>
  <sheetProtection algorithmName="SHA-512" hashValue="/yWq96/mXrqTwskmdMTJ7I7g7vfVKbPjcXEk8RqQV25jEu8TXU+zRsJ+dNWUWffwej15/gGZO+rUf7Bh02PR6g==" saltValue="g6NA1zIBMuljGj02y9J1Iw==" spinCount="100000" sheet="1" objects="1" scenarios="1"/>
  <mergeCells count="8">
    <mergeCell ref="E2:E3"/>
    <mergeCell ref="A9:A10"/>
    <mergeCell ref="B9:B10"/>
    <mergeCell ref="B14:B16"/>
    <mergeCell ref="A14:A16"/>
    <mergeCell ref="A2:A3"/>
    <mergeCell ref="B2:B3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891D-8740-4FDF-9614-BEE991DAD289}">
  <dimension ref="A1:AB311"/>
  <sheetViews>
    <sheetView topLeftCell="A294" workbookViewId="0">
      <selection activeCell="A294" sqref="A1:XFD1048576"/>
    </sheetView>
  </sheetViews>
  <sheetFormatPr defaultColWidth="8.7265625" defaultRowHeight="12.5" x14ac:dyDescent="0.25"/>
  <cols>
    <col min="1" max="1" width="10.26953125" style="713" bestFit="1" customWidth="1"/>
    <col min="2" max="2" width="9.54296875" style="713" bestFit="1" customWidth="1"/>
    <col min="3" max="9" width="8.7265625" style="713"/>
    <col min="10" max="10" width="9.1796875" style="713" bestFit="1" customWidth="1"/>
    <col min="11" max="11" width="8.7265625" style="713"/>
    <col min="12" max="12" width="8.54296875" style="713" customWidth="1"/>
    <col min="13" max="13" width="12.26953125" style="713" customWidth="1"/>
    <col min="14" max="16384" width="8.7265625" style="713"/>
  </cols>
  <sheetData>
    <row r="1" spans="1:24" ht="18" x14ac:dyDescent="0.25">
      <c r="A1" s="1444" t="s">
        <v>333</v>
      </c>
      <c r="B1" s="1445"/>
      <c r="C1" s="1445"/>
      <c r="D1" s="1445"/>
      <c r="E1" s="1445"/>
      <c r="F1" s="1445"/>
      <c r="G1" s="1445"/>
      <c r="H1" s="1445"/>
      <c r="I1" s="1445"/>
      <c r="J1" s="1445"/>
      <c r="K1" s="1445"/>
      <c r="L1" s="1445"/>
      <c r="M1" s="1445"/>
      <c r="N1" s="1445"/>
      <c r="O1" s="1445"/>
      <c r="P1" s="1445"/>
      <c r="Q1" s="1445"/>
      <c r="R1" s="1445"/>
      <c r="S1" s="1445"/>
      <c r="T1" s="1445"/>
      <c r="U1" s="1445"/>
      <c r="V1" s="713" t="s">
        <v>128</v>
      </c>
    </row>
    <row r="2" spans="1:24" ht="14.5" x14ac:dyDescent="0.25">
      <c r="A2" s="1437" t="s">
        <v>334</v>
      </c>
      <c r="B2" s="1435" t="s">
        <v>335</v>
      </c>
      <c r="C2" s="1435"/>
      <c r="D2" s="1435"/>
      <c r="E2" s="1435"/>
      <c r="F2" s="1435"/>
      <c r="G2" s="1435"/>
      <c r="H2" s="1434" t="s">
        <v>336</v>
      </c>
      <c r="I2" s="1435" t="s">
        <v>337</v>
      </c>
      <c r="J2" s="1435"/>
      <c r="K2" s="1435"/>
      <c r="L2" s="1435"/>
      <c r="M2" s="1435"/>
      <c r="N2" s="1435"/>
      <c r="O2" s="1434" t="s">
        <v>338</v>
      </c>
      <c r="P2" s="1435" t="s">
        <v>339</v>
      </c>
      <c r="Q2" s="1435"/>
      <c r="R2" s="1435"/>
      <c r="S2" s="1435"/>
      <c r="T2" s="1435"/>
      <c r="U2" s="1435"/>
    </row>
    <row r="3" spans="1:24" ht="14" x14ac:dyDescent="0.3">
      <c r="A3" s="1437"/>
      <c r="B3" s="1439" t="s">
        <v>340</v>
      </c>
      <c r="C3" s="1439"/>
      <c r="D3" s="1439"/>
      <c r="E3" s="1439"/>
      <c r="F3" s="1439"/>
      <c r="G3" s="1439"/>
      <c r="H3" s="1434"/>
      <c r="I3" s="1439" t="s">
        <v>340</v>
      </c>
      <c r="J3" s="1439"/>
      <c r="K3" s="1439"/>
      <c r="L3" s="1439"/>
      <c r="M3" s="1439"/>
      <c r="N3" s="1439"/>
      <c r="O3" s="1434"/>
      <c r="P3" s="1436" t="s">
        <v>340</v>
      </c>
      <c r="Q3" s="1436"/>
      <c r="R3" s="1436"/>
      <c r="S3" s="1436"/>
      <c r="T3" s="1436"/>
      <c r="U3" s="1436"/>
    </row>
    <row r="4" spans="1:24" ht="13" x14ac:dyDescent="0.25">
      <c r="A4" s="1437"/>
      <c r="B4" s="1426" t="s">
        <v>341</v>
      </c>
      <c r="C4" s="1426"/>
      <c r="D4" s="1426"/>
      <c r="E4" s="1426"/>
      <c r="F4" s="1426" t="s">
        <v>342</v>
      </c>
      <c r="G4" s="1426" t="s">
        <v>343</v>
      </c>
      <c r="H4" s="1434"/>
      <c r="I4" s="1426" t="str">
        <f>B4</f>
        <v>Setting VAC</v>
      </c>
      <c r="J4" s="1426"/>
      <c r="K4" s="1426"/>
      <c r="L4" s="1426"/>
      <c r="M4" s="1426" t="s">
        <v>342</v>
      </c>
      <c r="N4" s="1426" t="s">
        <v>343</v>
      </c>
      <c r="O4" s="1434"/>
      <c r="P4" s="1426" t="str">
        <f>B4</f>
        <v>Setting VAC</v>
      </c>
      <c r="Q4" s="1426"/>
      <c r="R4" s="1426"/>
      <c r="S4" s="1426"/>
      <c r="T4" s="1426" t="s">
        <v>342</v>
      </c>
      <c r="U4" s="1426" t="s">
        <v>343</v>
      </c>
    </row>
    <row r="5" spans="1:24" ht="14" x14ac:dyDescent="0.25">
      <c r="A5" s="1437"/>
      <c r="B5" s="983" t="s">
        <v>344</v>
      </c>
      <c r="C5" s="984">
        <v>2022</v>
      </c>
      <c r="D5" s="984">
        <v>2020</v>
      </c>
      <c r="E5" s="984">
        <v>2019</v>
      </c>
      <c r="F5" s="1426"/>
      <c r="G5" s="1426"/>
      <c r="H5" s="1434"/>
      <c r="I5" s="983" t="s">
        <v>344</v>
      </c>
      <c r="J5" s="984">
        <v>2022</v>
      </c>
      <c r="K5" s="984">
        <v>2019</v>
      </c>
      <c r="L5" s="985">
        <v>2017</v>
      </c>
      <c r="M5" s="1426"/>
      <c r="N5" s="1426"/>
      <c r="O5" s="1434"/>
      <c r="P5" s="983" t="s">
        <v>344</v>
      </c>
      <c r="Q5" s="984">
        <v>2022</v>
      </c>
      <c r="R5" s="984">
        <v>2021</v>
      </c>
      <c r="S5" s="984">
        <v>2018</v>
      </c>
      <c r="T5" s="1426"/>
      <c r="U5" s="1426"/>
      <c r="V5" s="727"/>
      <c r="W5" s="727"/>
      <c r="X5" s="717"/>
    </row>
    <row r="6" spans="1:24" x14ac:dyDescent="0.25">
      <c r="A6" s="1437"/>
      <c r="B6" s="986">
        <v>150</v>
      </c>
      <c r="C6" s="213">
        <v>0.35</v>
      </c>
      <c r="D6" s="213">
        <v>0.31</v>
      </c>
      <c r="E6" s="213">
        <v>0.76</v>
      </c>
      <c r="F6" s="987">
        <f>0.5*(MAX(C6:E6)-MIN(C6:E6))</f>
        <v>0.22500000000000001</v>
      </c>
      <c r="G6" s="986">
        <f t="shared" ref="G6:G10" si="0">(1.2/100)*B6</f>
        <v>1.8</v>
      </c>
      <c r="H6" s="1434"/>
      <c r="I6" s="986">
        <v>150</v>
      </c>
      <c r="J6" s="920">
        <v>0.22</v>
      </c>
      <c r="K6" s="988">
        <v>0.15</v>
      </c>
      <c r="L6" s="988">
        <v>0.23</v>
      </c>
      <c r="M6" s="987">
        <f t="shared" ref="M6:M11" si="1">0.5*(MAX(K6:L6)-MIN(K6:L6))</f>
        <v>4.0000000000000008E-2</v>
      </c>
      <c r="N6" s="986">
        <f>(1.2/100)*I6</f>
        <v>1.8</v>
      </c>
      <c r="O6" s="1434"/>
      <c r="P6" s="986">
        <v>150</v>
      </c>
      <c r="Q6" s="988">
        <v>-1.43</v>
      </c>
      <c r="R6" s="988">
        <v>-1.6</v>
      </c>
      <c r="S6" s="988">
        <v>-7.0000000000000007E-2</v>
      </c>
      <c r="T6" s="987">
        <f>0.5*(MAX(Q6:S6)-MIN(Q6:S6))</f>
        <v>0.76500000000000001</v>
      </c>
      <c r="U6" s="986">
        <f t="shared" ref="U6:U11" si="2">(1.2/100)*P6</f>
        <v>1.8</v>
      </c>
      <c r="V6" s="107"/>
      <c r="W6" s="989"/>
      <c r="X6" s="717"/>
    </row>
    <row r="7" spans="1:24" x14ac:dyDescent="0.25">
      <c r="A7" s="1437"/>
      <c r="B7" s="986">
        <v>180</v>
      </c>
      <c r="C7" s="213">
        <v>-0.1</v>
      </c>
      <c r="D7" s="213">
        <v>0.1</v>
      </c>
      <c r="E7" s="213">
        <v>-0.03</v>
      </c>
      <c r="F7" s="987">
        <f t="shared" ref="F7:F11" si="3">0.5*(MAX(C7:E7)-MIN(C7:E7))</f>
        <v>0.1</v>
      </c>
      <c r="G7" s="986">
        <f t="shared" si="0"/>
        <v>2.16</v>
      </c>
      <c r="H7" s="1434"/>
      <c r="I7" s="986">
        <v>180</v>
      </c>
      <c r="J7" s="920">
        <v>0.1</v>
      </c>
      <c r="K7" s="988">
        <v>0.12</v>
      </c>
      <c r="L7" s="988">
        <v>-0.06</v>
      </c>
      <c r="M7" s="987">
        <f t="shared" si="1"/>
        <v>0.09</v>
      </c>
      <c r="N7" s="986">
        <f>(1.2/100)*I7</f>
        <v>2.16</v>
      </c>
      <c r="O7" s="1434"/>
      <c r="P7" s="986">
        <v>180</v>
      </c>
      <c r="Q7" s="988">
        <v>-1.81</v>
      </c>
      <c r="R7" s="988">
        <v>-1.9</v>
      </c>
      <c r="S7" s="988">
        <v>-0.13</v>
      </c>
      <c r="T7" s="987">
        <f t="shared" ref="T7:T11" si="4">0.5*(MAX(Q7:S7)-MIN(Q7:S7))</f>
        <v>0.88500000000000001</v>
      </c>
      <c r="U7" s="986">
        <f t="shared" si="2"/>
        <v>2.16</v>
      </c>
      <c r="V7" s="107"/>
      <c r="W7" s="989"/>
      <c r="X7" s="717"/>
    </row>
    <row r="8" spans="1:24" x14ac:dyDescent="0.25">
      <c r="A8" s="1437"/>
      <c r="B8" s="213">
        <v>200</v>
      </c>
      <c r="C8" s="213">
        <v>-0.17</v>
      </c>
      <c r="D8" s="213">
        <v>-0.04</v>
      </c>
      <c r="E8" s="213">
        <v>-0.16</v>
      </c>
      <c r="F8" s="987">
        <f t="shared" si="3"/>
        <v>6.5000000000000002E-2</v>
      </c>
      <c r="G8" s="986">
        <f t="shared" si="0"/>
        <v>2.4</v>
      </c>
      <c r="H8" s="1434"/>
      <c r="I8" s="213">
        <v>200</v>
      </c>
      <c r="J8" s="920">
        <v>0.09</v>
      </c>
      <c r="K8" s="988">
        <v>0.06</v>
      </c>
      <c r="L8" s="988">
        <v>-0.18</v>
      </c>
      <c r="M8" s="987">
        <f t="shared" si="1"/>
        <v>0.12</v>
      </c>
      <c r="N8" s="986">
        <f>(1.2/100)*I8</f>
        <v>2.4</v>
      </c>
      <c r="O8" s="1434"/>
      <c r="P8" s="986">
        <v>200</v>
      </c>
      <c r="Q8" s="988">
        <v>-2.0499999999999998</v>
      </c>
      <c r="R8" s="988">
        <v>-2.14</v>
      </c>
      <c r="S8" s="988">
        <v>-0.26</v>
      </c>
      <c r="T8" s="987">
        <f t="shared" si="4"/>
        <v>0.94000000000000006</v>
      </c>
      <c r="U8" s="986">
        <f t="shared" si="2"/>
        <v>2.4</v>
      </c>
      <c r="V8" s="107"/>
      <c r="W8" s="989"/>
      <c r="X8" s="717"/>
    </row>
    <row r="9" spans="1:24" x14ac:dyDescent="0.25">
      <c r="A9" s="1437"/>
      <c r="B9" s="213">
        <v>220</v>
      </c>
      <c r="C9" s="213">
        <v>-0.27</v>
      </c>
      <c r="D9" s="213">
        <v>-0.28000000000000003</v>
      </c>
      <c r="E9" s="213">
        <v>-0.18</v>
      </c>
      <c r="F9" s="987">
        <f t="shared" si="3"/>
        <v>5.0000000000000017E-2</v>
      </c>
      <c r="G9" s="986">
        <f t="shared" si="0"/>
        <v>2.64</v>
      </c>
      <c r="H9" s="1434"/>
      <c r="I9" s="213">
        <v>220</v>
      </c>
      <c r="J9" s="920">
        <v>0.53</v>
      </c>
      <c r="K9" s="988">
        <v>0.05</v>
      </c>
      <c r="L9" s="988">
        <v>-0.03</v>
      </c>
      <c r="M9" s="987">
        <f t="shared" si="1"/>
        <v>0.04</v>
      </c>
      <c r="N9" s="986">
        <f>(1.2/100)*I9</f>
        <v>2.64</v>
      </c>
      <c r="O9" s="1434"/>
      <c r="P9" s="213">
        <v>220</v>
      </c>
      <c r="Q9" s="988">
        <v>-2.29</v>
      </c>
      <c r="R9" s="988">
        <v>-3.44</v>
      </c>
      <c r="S9" s="988">
        <v>-0.28999999999999998</v>
      </c>
      <c r="T9" s="987">
        <f t="shared" si="4"/>
        <v>1.575</v>
      </c>
      <c r="U9" s="986">
        <f t="shared" si="2"/>
        <v>2.64</v>
      </c>
      <c r="V9" s="107"/>
      <c r="W9" s="989"/>
      <c r="X9" s="717"/>
    </row>
    <row r="10" spans="1:24" x14ac:dyDescent="0.25">
      <c r="A10" s="1437"/>
      <c r="B10" s="213">
        <v>230</v>
      </c>
      <c r="C10" s="213">
        <v>0.64</v>
      </c>
      <c r="D10" s="213">
        <v>-0.2</v>
      </c>
      <c r="E10" s="213">
        <v>-0.26</v>
      </c>
      <c r="F10" s="987">
        <f t="shared" si="3"/>
        <v>0.45</v>
      </c>
      <c r="G10" s="986">
        <f t="shared" si="0"/>
        <v>2.7600000000000002</v>
      </c>
      <c r="H10" s="1434"/>
      <c r="I10" s="213">
        <v>230</v>
      </c>
      <c r="J10" s="920">
        <v>1.08</v>
      </c>
      <c r="K10" s="213">
        <v>9.9999999999999995E-7</v>
      </c>
      <c r="L10" s="213">
        <v>0.05</v>
      </c>
      <c r="M10" s="987">
        <f t="shared" si="1"/>
        <v>2.4999500000000001E-2</v>
      </c>
      <c r="N10" s="986">
        <f>(1.2/100)*I10</f>
        <v>2.7600000000000002</v>
      </c>
      <c r="O10" s="1434"/>
      <c r="P10" s="213">
        <v>230</v>
      </c>
      <c r="Q10" s="988">
        <v>-11.79</v>
      </c>
      <c r="R10" s="988">
        <v>-2.52</v>
      </c>
      <c r="S10" s="988">
        <v>-0.23</v>
      </c>
      <c r="T10" s="987">
        <f t="shared" si="4"/>
        <v>5.7799999999999994</v>
      </c>
      <c r="U10" s="986">
        <f t="shared" si="2"/>
        <v>2.7600000000000002</v>
      </c>
      <c r="V10" s="107"/>
      <c r="W10" s="989"/>
      <c r="X10" s="717"/>
    </row>
    <row r="11" spans="1:24" x14ac:dyDescent="0.25">
      <c r="A11" s="1437"/>
      <c r="B11" s="213">
        <v>250</v>
      </c>
      <c r="C11" s="213">
        <v>-0.36</v>
      </c>
      <c r="D11" s="213">
        <v>-0.32</v>
      </c>
      <c r="E11" s="213">
        <v>9.9999999999999995E-7</v>
      </c>
      <c r="F11" s="987">
        <f t="shared" si="3"/>
        <v>0.18000049999999998</v>
      </c>
      <c r="G11" s="986">
        <f>(1.2/100)*B11</f>
        <v>3</v>
      </c>
      <c r="H11" s="1434"/>
      <c r="I11" s="213">
        <v>250</v>
      </c>
      <c r="J11" s="920">
        <v>-0.01</v>
      </c>
      <c r="K11" s="213">
        <v>9.9999999999999995E-7</v>
      </c>
      <c r="L11" s="213">
        <v>9.9999999999999995E-7</v>
      </c>
      <c r="M11" s="987">
        <f t="shared" si="1"/>
        <v>0</v>
      </c>
      <c r="N11" s="986">
        <v>2.76</v>
      </c>
      <c r="O11" s="1434"/>
      <c r="P11" s="213">
        <v>250</v>
      </c>
      <c r="Q11" s="988">
        <v>9.9999999999999995E-7</v>
      </c>
      <c r="R11" s="988">
        <v>9.9999999999999995E-7</v>
      </c>
      <c r="S11" s="988">
        <v>9.9999999999999995E-7</v>
      </c>
      <c r="T11" s="987">
        <f t="shared" si="4"/>
        <v>0</v>
      </c>
      <c r="U11" s="986">
        <f t="shared" si="2"/>
        <v>3</v>
      </c>
      <c r="V11" s="107"/>
      <c r="W11" s="989"/>
      <c r="X11" s="717"/>
    </row>
    <row r="12" spans="1:24" ht="13" customHeight="1" x14ac:dyDescent="0.25">
      <c r="A12" s="1437"/>
      <c r="B12" s="1433" t="s">
        <v>345</v>
      </c>
      <c r="C12" s="1433"/>
      <c r="D12" s="1433"/>
      <c r="E12" s="1433"/>
      <c r="F12" s="1426" t="s">
        <v>342</v>
      </c>
      <c r="G12" s="1442" t="s">
        <v>343</v>
      </c>
      <c r="H12" s="1434"/>
      <c r="I12" s="1433" t="str">
        <f>B12</f>
        <v>Current Leakage</v>
      </c>
      <c r="J12" s="1433"/>
      <c r="K12" s="1433"/>
      <c r="L12" s="1433"/>
      <c r="M12" s="1426" t="s">
        <v>342</v>
      </c>
      <c r="N12" s="1426" t="s">
        <v>343</v>
      </c>
      <c r="O12" s="1434"/>
      <c r="P12" s="1433" t="str">
        <f>B12</f>
        <v>Current Leakage</v>
      </c>
      <c r="Q12" s="1433"/>
      <c r="R12" s="1433"/>
      <c r="S12" s="1433"/>
      <c r="T12" s="1426" t="s">
        <v>342</v>
      </c>
      <c r="U12" s="1426" t="s">
        <v>343</v>
      </c>
      <c r="V12" s="717"/>
      <c r="W12" s="717"/>
      <c r="X12" s="717"/>
    </row>
    <row r="13" spans="1:24" ht="14" x14ac:dyDescent="0.25">
      <c r="A13" s="1437"/>
      <c r="B13" s="983" t="s">
        <v>346</v>
      </c>
      <c r="C13" s="984">
        <f>C5</f>
        <v>2022</v>
      </c>
      <c r="D13" s="984">
        <f>D5</f>
        <v>2020</v>
      </c>
      <c r="E13" s="984">
        <f>E5</f>
        <v>2019</v>
      </c>
      <c r="F13" s="1426"/>
      <c r="G13" s="1443"/>
      <c r="H13" s="1434"/>
      <c r="I13" s="983" t="s">
        <v>346</v>
      </c>
      <c r="J13" s="984">
        <f>J5</f>
        <v>2022</v>
      </c>
      <c r="K13" s="984">
        <f>K5</f>
        <v>2019</v>
      </c>
      <c r="L13" s="984">
        <f>L5</f>
        <v>2017</v>
      </c>
      <c r="M13" s="1426"/>
      <c r="N13" s="1426"/>
      <c r="O13" s="1434"/>
      <c r="P13" s="983" t="s">
        <v>346</v>
      </c>
      <c r="Q13" s="984">
        <f>Q5</f>
        <v>2022</v>
      </c>
      <c r="R13" s="984">
        <f>R5</f>
        <v>2021</v>
      </c>
      <c r="S13" s="984">
        <f>S5</f>
        <v>2018</v>
      </c>
      <c r="T13" s="1426"/>
      <c r="U13" s="1426"/>
      <c r="V13" s="717"/>
      <c r="W13" s="717"/>
      <c r="X13" s="717"/>
    </row>
    <row r="14" spans="1:24" x14ac:dyDescent="0.25">
      <c r="A14" s="1437"/>
      <c r="B14" s="213">
        <v>0</v>
      </c>
      <c r="C14" s="213">
        <v>0</v>
      </c>
      <c r="D14" s="213">
        <v>9.9999999999999995E-7</v>
      </c>
      <c r="E14" s="213">
        <v>9.9999999999999995E-7</v>
      </c>
      <c r="F14" s="987">
        <f>0.5*(MAX(C14:E14)-MIN(C14:E14))</f>
        <v>4.9999999999999998E-7</v>
      </c>
      <c r="G14" s="986">
        <f t="shared" ref="G14:G18" si="5">(0.59/100)*B14</f>
        <v>0</v>
      </c>
      <c r="H14" s="1434"/>
      <c r="I14" s="213">
        <v>0</v>
      </c>
      <c r="J14" s="920">
        <v>0</v>
      </c>
      <c r="K14" s="213">
        <v>9.9999999999999995E-7</v>
      </c>
      <c r="L14" s="213">
        <v>9.9999999999999995E-7</v>
      </c>
      <c r="M14" s="987">
        <f t="shared" ref="M14:M19" si="6">0.5*(MAX(K14:L14)-MIN(K14:L14))</f>
        <v>0</v>
      </c>
      <c r="N14" s="986">
        <f>(0.59/100)*I14</f>
        <v>0</v>
      </c>
      <c r="O14" s="1434"/>
      <c r="P14" s="213">
        <v>9.9999999999999995E-7</v>
      </c>
      <c r="Q14" s="213">
        <v>9.9999999999999995E-7</v>
      </c>
      <c r="R14" s="213">
        <v>9.9999999999999995E-7</v>
      </c>
      <c r="S14" s="213">
        <v>9.9999999999999995E-7</v>
      </c>
      <c r="T14" s="987">
        <f>0.5*(MAX(Q14:S14)-MIN(Q14:S14))</f>
        <v>0</v>
      </c>
      <c r="U14" s="213">
        <f t="shared" ref="U14:U19" si="7">(0.59/100)*P14</f>
        <v>5.8999999999999999E-9</v>
      </c>
      <c r="V14" s="717"/>
      <c r="W14" s="717"/>
      <c r="X14" s="717"/>
    </row>
    <row r="15" spans="1:24" x14ac:dyDescent="0.25">
      <c r="A15" s="1437"/>
      <c r="B15" s="213">
        <v>50</v>
      </c>
      <c r="C15" s="213">
        <v>4</v>
      </c>
      <c r="D15" s="213">
        <v>0.1</v>
      </c>
      <c r="E15" s="213">
        <v>-0.06</v>
      </c>
      <c r="F15" s="987">
        <f t="shared" ref="F15:F19" si="8">0.5*(MAX(C15:E15)-MIN(C15:E15))</f>
        <v>2.0299999999999998</v>
      </c>
      <c r="G15" s="986">
        <f t="shared" si="5"/>
        <v>0.29499999999999998</v>
      </c>
      <c r="H15" s="1434"/>
      <c r="I15" s="213">
        <v>50</v>
      </c>
      <c r="J15" s="920">
        <v>1</v>
      </c>
      <c r="K15" s="988">
        <v>-0.08</v>
      </c>
      <c r="L15" s="988">
        <v>0.1</v>
      </c>
      <c r="M15" s="987">
        <f t="shared" si="6"/>
        <v>0.09</v>
      </c>
      <c r="N15" s="986">
        <f>(0.59/100)*I15</f>
        <v>0.29499999999999998</v>
      </c>
      <c r="O15" s="1434"/>
      <c r="P15" s="213">
        <v>50</v>
      </c>
      <c r="Q15" s="988">
        <v>9.1</v>
      </c>
      <c r="R15" s="988">
        <v>-0.62</v>
      </c>
      <c r="S15" s="988">
        <v>2</v>
      </c>
      <c r="T15" s="987">
        <f t="shared" ref="T15:T19" si="9">0.5*(MAX(Q15:S15)-MIN(Q15:S15))</f>
        <v>4.8599999999999994</v>
      </c>
      <c r="U15" s="213">
        <f t="shared" si="7"/>
        <v>0.29499999999999998</v>
      </c>
      <c r="V15" s="717"/>
      <c r="W15" s="717"/>
      <c r="X15" s="717"/>
    </row>
    <row r="16" spans="1:24" x14ac:dyDescent="0.25">
      <c r="A16" s="1437"/>
      <c r="B16" s="213">
        <v>100</v>
      </c>
      <c r="C16" s="213">
        <v>3.6</v>
      </c>
      <c r="D16" s="213">
        <v>0.2</v>
      </c>
      <c r="E16" s="213">
        <v>-0.06</v>
      </c>
      <c r="F16" s="987">
        <f t="shared" si="8"/>
        <v>1.83</v>
      </c>
      <c r="G16" s="986">
        <f t="shared" si="5"/>
        <v>0.59</v>
      </c>
      <c r="H16" s="1434"/>
      <c r="I16" s="213">
        <v>100</v>
      </c>
      <c r="J16" s="920">
        <v>-0.9</v>
      </c>
      <c r="K16" s="213">
        <v>-7.0000000000000007E-2</v>
      </c>
      <c r="L16" s="213">
        <v>2.2000000000000002</v>
      </c>
      <c r="M16" s="987">
        <f t="shared" si="6"/>
        <v>1.135</v>
      </c>
      <c r="N16" s="986">
        <f t="shared" ref="N16:N19" si="10">(0.59/100)*I16</f>
        <v>0.59</v>
      </c>
      <c r="O16" s="1434"/>
      <c r="P16" s="213">
        <v>100</v>
      </c>
      <c r="Q16" s="988">
        <v>6</v>
      </c>
      <c r="R16" s="988">
        <v>-0.22</v>
      </c>
      <c r="S16" s="988">
        <v>2</v>
      </c>
      <c r="T16" s="987">
        <f t="shared" si="9"/>
        <v>3.11</v>
      </c>
      <c r="U16" s="213">
        <f t="shared" si="7"/>
        <v>0.59</v>
      </c>
      <c r="V16" s="717"/>
      <c r="W16" s="717"/>
      <c r="X16" s="717"/>
    </row>
    <row r="17" spans="1:28" x14ac:dyDescent="0.25">
      <c r="A17" s="1437"/>
      <c r="B17" s="213">
        <v>200</v>
      </c>
      <c r="C17" s="213">
        <v>2.2000000000000002</v>
      </c>
      <c r="D17" s="213">
        <v>0.4</v>
      </c>
      <c r="E17" s="213">
        <v>9.9999999999999995E-7</v>
      </c>
      <c r="F17" s="987">
        <f t="shared" si="8"/>
        <v>1.0999995</v>
      </c>
      <c r="G17" s="986">
        <f t="shared" si="5"/>
        <v>1.18</v>
      </c>
      <c r="H17" s="1434"/>
      <c r="I17" s="213">
        <v>200</v>
      </c>
      <c r="J17" s="920">
        <v>-6.4</v>
      </c>
      <c r="K17" s="988">
        <v>-0.1</v>
      </c>
      <c r="L17" s="988">
        <v>3.3</v>
      </c>
      <c r="M17" s="987">
        <f t="shared" si="6"/>
        <v>1.7</v>
      </c>
      <c r="N17" s="986">
        <f t="shared" si="10"/>
        <v>1.18</v>
      </c>
      <c r="O17" s="1434"/>
      <c r="P17" s="213">
        <v>200</v>
      </c>
      <c r="Q17" s="988">
        <v>-3.6</v>
      </c>
      <c r="R17" s="988">
        <v>-0.1</v>
      </c>
      <c r="S17" s="988">
        <v>3.6</v>
      </c>
      <c r="T17" s="987">
        <f t="shared" si="9"/>
        <v>3.6</v>
      </c>
      <c r="U17" s="213">
        <f t="shared" si="7"/>
        <v>1.18</v>
      </c>
      <c r="V17" s="717"/>
      <c r="W17" s="717"/>
      <c r="X17" s="717"/>
    </row>
    <row r="18" spans="1:28" ht="13" x14ac:dyDescent="0.3">
      <c r="A18" s="1437"/>
      <c r="B18" s="213">
        <v>500</v>
      </c>
      <c r="C18" s="213">
        <v>-2</v>
      </c>
      <c r="D18" s="213">
        <v>3.8</v>
      </c>
      <c r="E18" s="213">
        <v>-0.9</v>
      </c>
      <c r="F18" s="987">
        <f t="shared" si="8"/>
        <v>2.9</v>
      </c>
      <c r="G18" s="986">
        <f t="shared" si="5"/>
        <v>2.9499999999999997</v>
      </c>
      <c r="H18" s="1434"/>
      <c r="I18" s="213">
        <v>500</v>
      </c>
      <c r="J18" s="920">
        <v>-21.7</v>
      </c>
      <c r="K18" s="988">
        <v>0.8</v>
      </c>
      <c r="L18" s="988">
        <v>2</v>
      </c>
      <c r="M18" s="987">
        <f t="shared" si="6"/>
        <v>0.6</v>
      </c>
      <c r="N18" s="986">
        <f t="shared" si="10"/>
        <v>2.9499999999999997</v>
      </c>
      <c r="O18" s="1434"/>
      <c r="P18" s="213">
        <v>500</v>
      </c>
      <c r="Q18" s="988">
        <v>-18.8</v>
      </c>
      <c r="R18" s="988">
        <v>-1.1000000000000001</v>
      </c>
      <c r="S18" s="988">
        <v>2.9</v>
      </c>
      <c r="T18" s="987">
        <f t="shared" si="9"/>
        <v>10.85</v>
      </c>
      <c r="U18" s="213">
        <f t="shared" si="7"/>
        <v>2.9499999999999997</v>
      </c>
      <c r="V18" s="717"/>
      <c r="W18" s="717"/>
      <c r="X18" s="717"/>
      <c r="AB18" s="990"/>
    </row>
    <row r="19" spans="1:28" x14ac:dyDescent="0.25">
      <c r="A19" s="1437"/>
      <c r="B19" s="213">
        <v>1000</v>
      </c>
      <c r="C19" s="213">
        <v>-26</v>
      </c>
      <c r="D19" s="213">
        <v>9.9999999999999995E-7</v>
      </c>
      <c r="E19" s="213">
        <v>9.9999999999999995E-7</v>
      </c>
      <c r="F19" s="987">
        <f t="shared" si="8"/>
        <v>13.000000500000001</v>
      </c>
      <c r="G19" s="986">
        <f>(0.59/100)*B19</f>
        <v>5.8999999999999995</v>
      </c>
      <c r="H19" s="1434"/>
      <c r="I19" s="213">
        <v>1000</v>
      </c>
      <c r="J19" s="1142">
        <v>-6.7000000000000004E-2</v>
      </c>
      <c r="K19" s="213">
        <v>9.9999999999999995E-7</v>
      </c>
      <c r="L19" s="213">
        <v>9.9999999999999995E-7</v>
      </c>
      <c r="M19" s="987">
        <f t="shared" si="6"/>
        <v>0</v>
      </c>
      <c r="N19" s="986">
        <f t="shared" si="10"/>
        <v>5.8999999999999995</v>
      </c>
      <c r="O19" s="1434"/>
      <c r="P19" s="213">
        <v>1000</v>
      </c>
      <c r="Q19" s="988">
        <v>-47</v>
      </c>
      <c r="R19" s="988">
        <v>3</v>
      </c>
      <c r="S19" s="988">
        <v>3</v>
      </c>
      <c r="T19" s="987">
        <f t="shared" si="9"/>
        <v>25</v>
      </c>
      <c r="U19" s="213">
        <f t="shared" si="7"/>
        <v>5.8999999999999995</v>
      </c>
      <c r="V19" s="717"/>
      <c r="W19" s="717"/>
      <c r="X19" s="717"/>
    </row>
    <row r="20" spans="1:28" ht="13" x14ac:dyDescent="0.25">
      <c r="A20" s="1437"/>
      <c r="B20" s="1433" t="s">
        <v>347</v>
      </c>
      <c r="C20" s="1433"/>
      <c r="D20" s="1433"/>
      <c r="E20" s="1433"/>
      <c r="F20" s="1426" t="s">
        <v>342</v>
      </c>
      <c r="G20" s="1442" t="s">
        <v>343</v>
      </c>
      <c r="H20" s="1434"/>
      <c r="I20" s="1433" t="str">
        <f>B20</f>
        <v>Main-PE</v>
      </c>
      <c r="J20" s="1433"/>
      <c r="K20" s="1433"/>
      <c r="L20" s="1433"/>
      <c r="M20" s="1426" t="s">
        <v>342</v>
      </c>
      <c r="N20" s="1426" t="s">
        <v>343</v>
      </c>
      <c r="O20" s="1434"/>
      <c r="P20" s="1433" t="str">
        <f>B20</f>
        <v>Main-PE</v>
      </c>
      <c r="Q20" s="1433"/>
      <c r="R20" s="1433"/>
      <c r="S20" s="1433"/>
      <c r="T20" s="1426" t="s">
        <v>342</v>
      </c>
      <c r="U20" s="1426" t="s">
        <v>343</v>
      </c>
      <c r="V20" s="717"/>
      <c r="W20" s="717"/>
      <c r="X20" s="717"/>
    </row>
    <row r="21" spans="1:28" ht="14.5" x14ac:dyDescent="0.25">
      <c r="A21" s="1437"/>
      <c r="B21" s="983" t="s">
        <v>348</v>
      </c>
      <c r="C21" s="984">
        <f>C5</f>
        <v>2022</v>
      </c>
      <c r="D21" s="984">
        <f>D5</f>
        <v>2020</v>
      </c>
      <c r="E21" s="984">
        <f>E5</f>
        <v>2019</v>
      </c>
      <c r="F21" s="1426"/>
      <c r="G21" s="1443"/>
      <c r="H21" s="1434"/>
      <c r="I21" s="983" t="s">
        <v>348</v>
      </c>
      <c r="J21" s="984">
        <f>J5</f>
        <v>2022</v>
      </c>
      <c r="K21" s="984">
        <f>K5</f>
        <v>2019</v>
      </c>
      <c r="L21" s="984">
        <f>L5</f>
        <v>2017</v>
      </c>
      <c r="M21" s="1426"/>
      <c r="N21" s="1426"/>
      <c r="O21" s="1434"/>
      <c r="P21" s="983" t="s">
        <v>348</v>
      </c>
      <c r="Q21" s="984">
        <f>Q5</f>
        <v>2022</v>
      </c>
      <c r="R21" s="984">
        <f>R5</f>
        <v>2021</v>
      </c>
      <c r="S21" s="984">
        <f>S5</f>
        <v>2018</v>
      </c>
      <c r="T21" s="1426"/>
      <c r="U21" s="1426"/>
      <c r="V21" s="717"/>
      <c r="W21" s="717"/>
      <c r="X21" s="717"/>
    </row>
    <row r="22" spans="1:28" x14ac:dyDescent="0.25">
      <c r="A22" s="1437"/>
      <c r="B22" s="213">
        <v>10</v>
      </c>
      <c r="C22" s="213">
        <v>0</v>
      </c>
      <c r="D22" s="213">
        <v>-1E-3</v>
      </c>
      <c r="E22" s="213">
        <v>9.9999999999999995E-7</v>
      </c>
      <c r="F22" s="987">
        <f>0.5*(MAX(C22:E22)-MIN(C22:E22))</f>
        <v>5.0049999999999997E-4</v>
      </c>
      <c r="G22" s="986">
        <f t="shared" ref="G22:G23" si="11">(1.7/100)*(B22-C22)</f>
        <v>0.17</v>
      </c>
      <c r="H22" s="1434"/>
      <c r="I22" s="213">
        <v>10</v>
      </c>
      <c r="J22" s="920">
        <v>0</v>
      </c>
      <c r="K22" s="213">
        <v>0.1</v>
      </c>
      <c r="L22" s="213">
        <v>9.9999999999999995E-7</v>
      </c>
      <c r="M22" s="987">
        <f>0.5*(MAX(K22:L22)-MIN(K22:L22))</f>
        <v>4.9999500000000002E-2</v>
      </c>
      <c r="N22" s="986">
        <f>(1.7/100)*(I22-J22)</f>
        <v>0.17</v>
      </c>
      <c r="O22" s="1434"/>
      <c r="P22" s="213">
        <v>5</v>
      </c>
      <c r="Q22" s="988">
        <v>9.9999999999999995E-7</v>
      </c>
      <c r="R22" s="988">
        <v>9.9999999999999995E-7</v>
      </c>
      <c r="S22" s="988">
        <v>9.9999999999999995E-7</v>
      </c>
      <c r="T22" s="987">
        <f>0.5*(MAX(Q22:S22)-MIN(Q22:S22))</f>
        <v>0</v>
      </c>
      <c r="U22" s="213">
        <f>(1.7/100)*P22</f>
        <v>8.5000000000000006E-2</v>
      </c>
      <c r="V22" s="717"/>
      <c r="W22" s="717"/>
      <c r="X22" s="717"/>
    </row>
    <row r="23" spans="1:28" x14ac:dyDescent="0.25">
      <c r="A23" s="1437"/>
      <c r="B23" s="213">
        <v>20</v>
      </c>
      <c r="C23" s="213">
        <v>0.1</v>
      </c>
      <c r="D23" s="213">
        <v>9.9999999999999995E-7</v>
      </c>
      <c r="E23" s="213">
        <v>9.9999999999999995E-7</v>
      </c>
      <c r="F23" s="987">
        <f t="shared" ref="F23:F25" si="12">0.5*(MAX(C23:E23)-MIN(C23:E23))</f>
        <v>4.9999500000000002E-2</v>
      </c>
      <c r="G23" s="986">
        <f t="shared" si="11"/>
        <v>0.33829999999999999</v>
      </c>
      <c r="H23" s="1434"/>
      <c r="I23" s="213">
        <v>20</v>
      </c>
      <c r="J23" s="920">
        <v>0.1</v>
      </c>
      <c r="K23" s="213">
        <v>0.2</v>
      </c>
      <c r="L23" s="213">
        <v>0.1</v>
      </c>
      <c r="M23" s="987">
        <f>0.5*(MAX(K23:L23)-MIN(K23:L23))</f>
        <v>0.05</v>
      </c>
      <c r="N23" s="986">
        <f t="shared" ref="N23:N25" si="13">(1.7/100)*(I23-J23)</f>
        <v>0.33829999999999999</v>
      </c>
      <c r="O23" s="1434"/>
      <c r="P23" s="213">
        <v>10</v>
      </c>
      <c r="Q23" s="988">
        <v>9.9999999999999995E-7</v>
      </c>
      <c r="R23" s="988">
        <v>9.9999999999999995E-7</v>
      </c>
      <c r="S23" s="988">
        <v>9.9999999999999995E-7</v>
      </c>
      <c r="T23" s="987">
        <f t="shared" ref="T23:T25" si="14">0.5*(MAX(Q23:S23)-MIN(Q23:S23))</f>
        <v>0</v>
      </c>
      <c r="U23" s="213">
        <f>(1.7/100)*P23</f>
        <v>0.17</v>
      </c>
      <c r="V23" s="717"/>
      <c r="W23" s="717"/>
      <c r="X23" s="717"/>
    </row>
    <row r="24" spans="1:28" x14ac:dyDescent="0.25">
      <c r="A24" s="1437"/>
      <c r="B24" s="213">
        <v>50</v>
      </c>
      <c r="C24" s="213">
        <v>0.3</v>
      </c>
      <c r="D24" s="213">
        <v>9.9999999999999995E-7</v>
      </c>
      <c r="E24" s="213">
        <v>9.9999999999999995E-7</v>
      </c>
      <c r="F24" s="987">
        <f t="shared" si="12"/>
        <v>0.14999950000000001</v>
      </c>
      <c r="G24" s="986">
        <f>(1.7/100)*(B24-C24)</f>
        <v>0.8449000000000001</v>
      </c>
      <c r="H24" s="1434"/>
      <c r="I24" s="213">
        <v>50</v>
      </c>
      <c r="J24" s="920">
        <v>0.2</v>
      </c>
      <c r="K24" s="213">
        <v>0.3</v>
      </c>
      <c r="L24" s="213">
        <v>0.1</v>
      </c>
      <c r="M24" s="987">
        <f>0.5*(MAX(K24:L24)-MIN(K24:L24))</f>
        <v>9.9999999999999992E-2</v>
      </c>
      <c r="N24" s="986">
        <f t="shared" si="13"/>
        <v>0.84660000000000002</v>
      </c>
      <c r="O24" s="1434"/>
      <c r="P24" s="213">
        <v>20</v>
      </c>
      <c r="Q24" s="628">
        <v>9.9999999999999995E-7</v>
      </c>
      <c r="R24" s="628">
        <v>0.4</v>
      </c>
      <c r="S24" s="628">
        <v>0.3</v>
      </c>
      <c r="T24" s="987">
        <f t="shared" si="14"/>
        <v>0.19999950000000002</v>
      </c>
      <c r="U24" s="213">
        <f>(1.7/100)*P24</f>
        <v>0.34</v>
      </c>
      <c r="V24" s="717"/>
      <c r="W24" s="717"/>
      <c r="X24" s="717"/>
    </row>
    <row r="25" spans="1:28" x14ac:dyDescent="0.25">
      <c r="A25" s="1437"/>
      <c r="B25" s="213">
        <v>100</v>
      </c>
      <c r="C25" s="213">
        <v>0.4</v>
      </c>
      <c r="D25" s="213">
        <v>9.9999999999999995E-7</v>
      </c>
      <c r="E25" s="213">
        <v>9.9999999999999995E-7</v>
      </c>
      <c r="F25" s="987">
        <f t="shared" si="12"/>
        <v>0.19999950000000002</v>
      </c>
      <c r="G25" s="986">
        <f>(1.7/100)*(B25-C25)</f>
        <v>1.6932</v>
      </c>
      <c r="H25" s="1434"/>
      <c r="I25" s="213">
        <v>100</v>
      </c>
      <c r="J25" s="920">
        <v>0.2</v>
      </c>
      <c r="K25" s="213">
        <v>0.3</v>
      </c>
      <c r="L25" s="213">
        <v>9.9999999999999995E-7</v>
      </c>
      <c r="M25" s="987">
        <f>0.5*(MAX(K25:L25)-MIN(K25:L25))</f>
        <v>0.14999950000000001</v>
      </c>
      <c r="N25" s="986">
        <f t="shared" si="13"/>
        <v>1.6966000000000001</v>
      </c>
      <c r="O25" s="1434"/>
      <c r="P25" s="213">
        <v>50</v>
      </c>
      <c r="Q25" s="628">
        <v>0.1</v>
      </c>
      <c r="R25" s="628">
        <v>1.1000000000000001</v>
      </c>
      <c r="S25" s="628">
        <v>0.6</v>
      </c>
      <c r="T25" s="987">
        <f t="shared" si="14"/>
        <v>0.5</v>
      </c>
      <c r="U25" s="213">
        <f>(1.7/100)*P25</f>
        <v>0.85000000000000009</v>
      </c>
      <c r="V25" s="717"/>
      <c r="W25" s="717"/>
      <c r="X25" s="717"/>
    </row>
    <row r="26" spans="1:28" ht="13" customHeight="1" x14ac:dyDescent="0.25">
      <c r="A26" s="1437"/>
      <c r="B26" s="1433" t="s">
        <v>349</v>
      </c>
      <c r="C26" s="1433"/>
      <c r="D26" s="1433"/>
      <c r="E26" s="1433"/>
      <c r="F26" s="1426" t="s">
        <v>342</v>
      </c>
      <c r="G26" s="1442" t="s">
        <v>343</v>
      </c>
      <c r="H26" s="1434"/>
      <c r="I26" s="1433" t="str">
        <f>B26</f>
        <v>Resistance</v>
      </c>
      <c r="J26" s="1433"/>
      <c r="K26" s="1433"/>
      <c r="L26" s="1433"/>
      <c r="M26" s="1426" t="s">
        <v>342</v>
      </c>
      <c r="N26" s="1426" t="s">
        <v>343</v>
      </c>
      <c r="O26" s="1434"/>
      <c r="P26" s="1433" t="str">
        <f>B26</f>
        <v>Resistance</v>
      </c>
      <c r="Q26" s="1433"/>
      <c r="R26" s="1433"/>
      <c r="S26" s="1433"/>
      <c r="T26" s="1426" t="s">
        <v>342</v>
      </c>
      <c r="U26" s="1426" t="s">
        <v>343</v>
      </c>
      <c r="V26" s="717"/>
      <c r="W26" s="717"/>
      <c r="X26" s="717"/>
    </row>
    <row r="27" spans="1:28" ht="14.5" x14ac:dyDescent="0.25">
      <c r="A27" s="1437"/>
      <c r="B27" s="983" t="s">
        <v>350</v>
      </c>
      <c r="C27" s="984">
        <f>C5</f>
        <v>2022</v>
      </c>
      <c r="D27" s="984">
        <f>D5</f>
        <v>2020</v>
      </c>
      <c r="E27" s="984">
        <f>E5</f>
        <v>2019</v>
      </c>
      <c r="F27" s="1426"/>
      <c r="G27" s="1443"/>
      <c r="H27" s="1434"/>
      <c r="I27" s="983" t="s">
        <v>350</v>
      </c>
      <c r="J27" s="984">
        <f>J5</f>
        <v>2022</v>
      </c>
      <c r="K27" s="984">
        <f>K5</f>
        <v>2019</v>
      </c>
      <c r="L27" s="984">
        <f>L5</f>
        <v>2017</v>
      </c>
      <c r="M27" s="1426"/>
      <c r="N27" s="1426"/>
      <c r="O27" s="1434"/>
      <c r="P27" s="983" t="s">
        <v>350</v>
      </c>
      <c r="Q27" s="984">
        <f>Q5</f>
        <v>2022</v>
      </c>
      <c r="R27" s="984">
        <f>R5</f>
        <v>2021</v>
      </c>
      <c r="S27" s="984">
        <f>S5</f>
        <v>2018</v>
      </c>
      <c r="T27" s="1426"/>
      <c r="U27" s="1426"/>
      <c r="V27" s="717"/>
      <c r="W27" s="717"/>
      <c r="X27" s="717"/>
    </row>
    <row r="28" spans="1:28" x14ac:dyDescent="0.25">
      <c r="A28" s="1437"/>
      <c r="B28" s="213">
        <v>0</v>
      </c>
      <c r="C28" s="1000">
        <v>-2E-3</v>
      </c>
      <c r="D28" s="1000">
        <v>9.9999999999999995E-7</v>
      </c>
      <c r="E28" s="1000">
        <v>9.9999999999999995E-7</v>
      </c>
      <c r="F28" s="987">
        <f>0.5*(MAX(C28:E28)-MIN(C28:E28))</f>
        <v>1.0005000000000001E-3</v>
      </c>
      <c r="G28" s="986">
        <f>(1.2/100)*(B28-C28)</f>
        <v>2.4000000000000001E-5</v>
      </c>
      <c r="H28" s="1434"/>
      <c r="I28" s="213">
        <v>0.01</v>
      </c>
      <c r="J28" s="1142">
        <v>0</v>
      </c>
      <c r="K28" s="1000">
        <v>9.9999999999999995E-7</v>
      </c>
      <c r="L28" s="1000">
        <v>9.9999999999999995E-7</v>
      </c>
      <c r="M28" s="987">
        <f>0.5*(MAX(K28:L28)-MIN(K28:L28))</f>
        <v>0</v>
      </c>
      <c r="N28" s="986">
        <f>(1.2/100)*(I28-J28)</f>
        <v>1.2E-4</v>
      </c>
      <c r="O28" s="1434"/>
      <c r="P28" s="213">
        <v>0</v>
      </c>
      <c r="Q28" s="991">
        <v>-1E-3</v>
      </c>
      <c r="R28" s="991">
        <v>9.9999999999999995E-7</v>
      </c>
      <c r="S28" s="991">
        <v>9.9999999999999995E-7</v>
      </c>
      <c r="T28" s="987">
        <f>0.5*(MAX(Q28:S28)-MIN(Q28:S28))</f>
        <v>5.0049999999999997E-4</v>
      </c>
      <c r="U28" s="213">
        <f>(1.2/100)*P28</f>
        <v>0</v>
      </c>
      <c r="V28" s="717"/>
      <c r="W28" s="717"/>
      <c r="X28" s="717"/>
    </row>
    <row r="29" spans="1:28" x14ac:dyDescent="0.25">
      <c r="A29" s="1437"/>
      <c r="B29" s="213">
        <v>0.1</v>
      </c>
      <c r="C29" s="1000">
        <v>1E-3</v>
      </c>
      <c r="D29" s="1000">
        <v>-1E-3</v>
      </c>
      <c r="E29" s="1000">
        <v>2E-3</v>
      </c>
      <c r="F29" s="987">
        <f t="shared" ref="F29:F31" si="15">0.5*(MAX(C29:E29)-MIN(C29:E29))</f>
        <v>1.5E-3</v>
      </c>
      <c r="G29" s="986">
        <f t="shared" ref="G29:G30" si="16">(1.2/100)*(B29-C29)</f>
        <v>1.188E-3</v>
      </c>
      <c r="H29" s="1434"/>
      <c r="I29" s="213">
        <v>0.1</v>
      </c>
      <c r="J29" s="1142">
        <v>5.0000000000000001E-3</v>
      </c>
      <c r="K29" s="1000">
        <v>6.0000000000000001E-3</v>
      </c>
      <c r="L29" s="1000">
        <v>5.0000000000000001E-3</v>
      </c>
      <c r="M29" s="987">
        <f>0.5*(MAX(K29:L29)-MIN(K29:L29))</f>
        <v>5.0000000000000001E-4</v>
      </c>
      <c r="N29" s="986">
        <f t="shared" ref="N29:N30" si="17">(1.2/100)*(I29-J29)</f>
        <v>1.14E-3</v>
      </c>
      <c r="O29" s="1434"/>
      <c r="P29" s="213">
        <v>0.5</v>
      </c>
      <c r="Q29" s="991">
        <v>-2E-3</v>
      </c>
      <c r="R29" s="991">
        <v>-1E-3</v>
      </c>
      <c r="S29" s="991">
        <v>9.9999999999999995E-7</v>
      </c>
      <c r="T29" s="987">
        <f t="shared" ref="T29:T31" si="18">0.5*(MAX(Q29:S29)-MIN(Q29:S29))</f>
        <v>1.0005000000000001E-3</v>
      </c>
      <c r="U29" s="213">
        <f>(1.2/100)*P29</f>
        <v>6.0000000000000001E-3</v>
      </c>
      <c r="V29" s="717"/>
      <c r="W29" s="717"/>
      <c r="X29" s="717"/>
    </row>
    <row r="30" spans="1:28" x14ac:dyDescent="0.25">
      <c r="A30" s="1437"/>
      <c r="B30" s="213">
        <v>1</v>
      </c>
      <c r="C30" s="1000">
        <v>4.0000000000000001E-3</v>
      </c>
      <c r="D30" s="1000">
        <v>4.0000000000000001E-3</v>
      </c>
      <c r="E30" s="1000">
        <v>1.2E-2</v>
      </c>
      <c r="F30" s="987">
        <f t="shared" si="15"/>
        <v>4.0000000000000001E-3</v>
      </c>
      <c r="G30" s="986">
        <f t="shared" si="16"/>
        <v>1.1952000000000001E-2</v>
      </c>
      <c r="H30" s="1434"/>
      <c r="I30" s="213">
        <v>1</v>
      </c>
      <c r="J30" s="1142">
        <v>5.8000000000000003E-2</v>
      </c>
      <c r="K30" s="1000">
        <v>4.4999999999999998E-2</v>
      </c>
      <c r="L30" s="1000">
        <v>5.5E-2</v>
      </c>
      <c r="M30" s="987">
        <f>0.5*(MAX(K30:L30)-MIN(K30:L30))</f>
        <v>5.000000000000001E-3</v>
      </c>
      <c r="N30" s="986">
        <f t="shared" si="17"/>
        <v>1.1304E-2</v>
      </c>
      <c r="O30" s="1434"/>
      <c r="P30" s="213">
        <v>1</v>
      </c>
      <c r="Q30" s="991">
        <v>-1.2E-2</v>
      </c>
      <c r="R30" s="991">
        <v>5.0000000000000001E-3</v>
      </c>
      <c r="S30" s="991">
        <v>9.9999999999999995E-7</v>
      </c>
      <c r="T30" s="987">
        <f t="shared" si="18"/>
        <v>8.5000000000000006E-3</v>
      </c>
      <c r="U30" s="213">
        <f>(1.2/100)*P30</f>
        <v>1.2E-2</v>
      </c>
      <c r="V30" s="717"/>
      <c r="W30" s="717"/>
      <c r="X30" s="717"/>
    </row>
    <row r="31" spans="1:28" x14ac:dyDescent="0.25">
      <c r="A31" s="1437"/>
      <c r="B31" s="213">
        <v>2</v>
      </c>
      <c r="C31" s="1000">
        <v>1.2E-2</v>
      </c>
      <c r="D31" s="1000">
        <v>7.0000000000000001E-3</v>
      </c>
      <c r="E31" s="1000">
        <v>9.9999999999999995E-7</v>
      </c>
      <c r="F31" s="987">
        <f t="shared" si="15"/>
        <v>5.9995000000000005E-3</v>
      </c>
      <c r="G31" s="986">
        <f>(1.2/100)*(B31-C31)</f>
        <v>2.3855999999999999E-2</v>
      </c>
      <c r="H31" s="1434"/>
      <c r="I31" s="213">
        <v>2</v>
      </c>
      <c r="J31" s="1142">
        <v>0.113</v>
      </c>
      <c r="K31" s="1000">
        <v>9.9999999999999995E-7</v>
      </c>
      <c r="L31" s="1000">
        <v>9.9999999999999995E-7</v>
      </c>
      <c r="M31" s="987">
        <f>0.5*(MAX(K31:L31)-MIN(K31:L31))</f>
        <v>0</v>
      </c>
      <c r="N31" s="986">
        <f>(1.2/100)*(I31-J31)</f>
        <v>2.2644000000000001E-2</v>
      </c>
      <c r="O31" s="1434"/>
      <c r="P31" s="213">
        <v>2</v>
      </c>
      <c r="Q31" s="991">
        <v>-8.0000000000000002E-3</v>
      </c>
      <c r="R31" s="991">
        <v>1.4E-2</v>
      </c>
      <c r="S31" s="991">
        <v>9.9999999999999995E-7</v>
      </c>
      <c r="T31" s="987">
        <f t="shared" si="18"/>
        <v>1.0999999999999999E-2</v>
      </c>
      <c r="U31" s="213">
        <f>(1.2/100)*P31</f>
        <v>2.4E-2</v>
      </c>
      <c r="V31" s="717"/>
      <c r="W31" s="717"/>
      <c r="X31" s="717"/>
    </row>
    <row r="32" spans="1:28" x14ac:dyDescent="0.25">
      <c r="A32" s="992"/>
      <c r="T32" s="746"/>
      <c r="V32" s="717"/>
      <c r="W32" s="717"/>
      <c r="X32" s="717"/>
    </row>
    <row r="33" spans="1:24" ht="14.5" x14ac:dyDescent="0.25">
      <c r="A33" s="1437" t="s">
        <v>351</v>
      </c>
      <c r="B33" s="1438" t="s">
        <v>352</v>
      </c>
      <c r="C33" s="1438"/>
      <c r="D33" s="1438"/>
      <c r="E33" s="1438"/>
      <c r="F33" s="1438"/>
      <c r="G33" s="1438"/>
      <c r="H33" s="1434" t="s">
        <v>353</v>
      </c>
      <c r="I33" s="1435" t="s">
        <v>354</v>
      </c>
      <c r="J33" s="1435"/>
      <c r="K33" s="1435"/>
      <c r="L33" s="1435"/>
      <c r="M33" s="1435"/>
      <c r="N33" s="1435"/>
      <c r="O33" s="1434" t="s">
        <v>355</v>
      </c>
      <c r="P33" s="1438" t="s">
        <v>356</v>
      </c>
      <c r="Q33" s="1438"/>
      <c r="R33" s="1438"/>
      <c r="S33" s="1438"/>
      <c r="T33" s="1438"/>
      <c r="U33" s="1438"/>
      <c r="V33" s="717"/>
      <c r="W33" s="717"/>
      <c r="X33" s="717"/>
    </row>
    <row r="34" spans="1:24" ht="14" x14ac:dyDescent="0.3">
      <c r="A34" s="1437"/>
      <c r="B34" s="1439" t="s">
        <v>340</v>
      </c>
      <c r="C34" s="1439"/>
      <c r="D34" s="1439"/>
      <c r="E34" s="1439"/>
      <c r="F34" s="1439"/>
      <c r="G34" s="1439"/>
      <c r="H34" s="1434"/>
      <c r="I34" s="1439" t="s">
        <v>340</v>
      </c>
      <c r="J34" s="1439"/>
      <c r="K34" s="1439"/>
      <c r="L34" s="1439"/>
      <c r="M34" s="1439"/>
      <c r="N34" s="1439"/>
      <c r="O34" s="1434"/>
      <c r="P34" s="1439" t="s">
        <v>340</v>
      </c>
      <c r="Q34" s="1439"/>
      <c r="R34" s="1439"/>
      <c r="S34" s="1439"/>
      <c r="T34" s="1439"/>
      <c r="U34" s="1439"/>
      <c r="V34" s="717"/>
      <c r="W34" s="717"/>
      <c r="X34" s="717"/>
    </row>
    <row r="35" spans="1:24" ht="13" x14ac:dyDescent="0.25">
      <c r="A35" s="1437"/>
      <c r="B35" s="1426" t="str">
        <f>B4</f>
        <v>Setting VAC</v>
      </c>
      <c r="C35" s="1426"/>
      <c r="D35" s="1426"/>
      <c r="E35" s="1426"/>
      <c r="F35" s="1426" t="s">
        <v>342</v>
      </c>
      <c r="G35" s="1426" t="s">
        <v>343</v>
      </c>
      <c r="H35" s="1434"/>
      <c r="I35" s="1426" t="str">
        <f>B35</f>
        <v>Setting VAC</v>
      </c>
      <c r="J35" s="1426"/>
      <c r="K35" s="1426"/>
      <c r="L35" s="1426"/>
      <c r="M35" s="1426" t="s">
        <v>342</v>
      </c>
      <c r="N35" s="1426" t="s">
        <v>343</v>
      </c>
      <c r="O35" s="1434"/>
      <c r="P35" s="1426" t="str">
        <f>I35</f>
        <v>Setting VAC</v>
      </c>
      <c r="Q35" s="1426"/>
      <c r="R35" s="1426"/>
      <c r="S35" s="1426"/>
      <c r="T35" s="1426" t="s">
        <v>342</v>
      </c>
      <c r="U35" s="1426" t="s">
        <v>343</v>
      </c>
      <c r="V35" s="717"/>
      <c r="W35" s="717"/>
      <c r="X35" s="717"/>
    </row>
    <row r="36" spans="1:24" ht="14" x14ac:dyDescent="0.25">
      <c r="A36" s="1437"/>
      <c r="B36" s="983" t="s">
        <v>344</v>
      </c>
      <c r="C36" s="984">
        <v>2022</v>
      </c>
      <c r="D36" s="984">
        <v>2021</v>
      </c>
      <c r="E36" s="984">
        <v>2019</v>
      </c>
      <c r="F36" s="1426"/>
      <c r="G36" s="1426"/>
      <c r="H36" s="1434"/>
      <c r="I36" s="983" t="s">
        <v>344</v>
      </c>
      <c r="J36" s="984">
        <v>2022</v>
      </c>
      <c r="K36" s="984">
        <v>2021</v>
      </c>
      <c r="L36" s="984">
        <v>2019</v>
      </c>
      <c r="M36" s="1426"/>
      <c r="N36" s="1426"/>
      <c r="O36" s="1434"/>
      <c r="P36" s="983" t="s">
        <v>344</v>
      </c>
      <c r="Q36" s="984">
        <v>2023</v>
      </c>
      <c r="R36" s="984">
        <v>2022</v>
      </c>
      <c r="S36" s="984">
        <v>2019</v>
      </c>
      <c r="T36" s="1426"/>
      <c r="U36" s="1426"/>
      <c r="V36" s="727"/>
      <c r="W36" s="727"/>
      <c r="X36" s="717"/>
    </row>
    <row r="37" spans="1:24" x14ac:dyDescent="0.25">
      <c r="A37" s="1437"/>
      <c r="B37" s="986">
        <v>150</v>
      </c>
      <c r="C37" s="920">
        <v>0.08</v>
      </c>
      <c r="D37" s="988">
        <v>-0.05</v>
      </c>
      <c r="E37" s="988">
        <v>0.11</v>
      </c>
      <c r="F37" s="987">
        <f t="shared" ref="F37:F42" si="19">0.5*(MAX(D37:E37)-MIN(D37:E37))</f>
        <v>0.08</v>
      </c>
      <c r="G37" s="986">
        <f t="shared" ref="G37:G42" si="20">(1.2/100)*B37</f>
        <v>1.8</v>
      </c>
      <c r="H37" s="1434"/>
      <c r="I37" s="986">
        <v>150</v>
      </c>
      <c r="J37" s="988">
        <v>0.02</v>
      </c>
      <c r="K37" s="988">
        <v>0.25</v>
      </c>
      <c r="L37" s="988">
        <v>0.02</v>
      </c>
      <c r="M37" s="987">
        <f>0.5*(MAX(J37:L37)-MIN(J37:L37))</f>
        <v>0.115</v>
      </c>
      <c r="N37" s="986">
        <f t="shared" ref="N37:N42" si="21">(1.2/100)*I37</f>
        <v>1.8</v>
      </c>
      <c r="O37" s="1434"/>
      <c r="P37" s="986">
        <v>150</v>
      </c>
      <c r="Q37" s="988">
        <v>0.14000000000000001</v>
      </c>
      <c r="R37" s="988">
        <v>0.15</v>
      </c>
      <c r="S37" s="988">
        <v>-0.15</v>
      </c>
      <c r="T37" s="987">
        <f>0.5*(MAX(Q37:S37)-MIN(Q37:S37))</f>
        <v>0.15</v>
      </c>
      <c r="U37" s="986">
        <f>(1.2/100)*P37</f>
        <v>1.8</v>
      </c>
      <c r="V37" s="107"/>
      <c r="W37" s="989"/>
      <c r="X37" s="717"/>
    </row>
    <row r="38" spans="1:24" x14ac:dyDescent="0.25">
      <c r="A38" s="1437"/>
      <c r="B38" s="986">
        <v>180</v>
      </c>
      <c r="C38" s="920">
        <v>0.11</v>
      </c>
      <c r="D38" s="988">
        <v>-0.04</v>
      </c>
      <c r="E38" s="988">
        <v>0.03</v>
      </c>
      <c r="F38" s="987">
        <f t="shared" si="19"/>
        <v>3.5000000000000003E-2</v>
      </c>
      <c r="G38" s="986">
        <f t="shared" si="20"/>
        <v>2.16</v>
      </c>
      <c r="H38" s="1434"/>
      <c r="I38" s="986">
        <v>180</v>
      </c>
      <c r="J38" s="988">
        <v>-0.08</v>
      </c>
      <c r="K38" s="988">
        <v>0.09</v>
      </c>
      <c r="L38" s="988">
        <v>0.1</v>
      </c>
      <c r="M38" s="987">
        <f t="shared" ref="M38:M42" si="22">0.5*(MAX(J38:L38)-MIN(J38:L38))</f>
        <v>0.09</v>
      </c>
      <c r="N38" s="986">
        <f t="shared" si="21"/>
        <v>2.16</v>
      </c>
      <c r="O38" s="1434"/>
      <c r="P38" s="986">
        <v>180</v>
      </c>
      <c r="Q38" s="988">
        <v>0.17</v>
      </c>
      <c r="R38" s="988">
        <v>0.17</v>
      </c>
      <c r="S38" s="988">
        <v>-0.11</v>
      </c>
      <c r="T38" s="987">
        <f t="shared" ref="T38:T42" si="23">0.5*(MAX(Q38:S38)-MIN(Q38:S38))</f>
        <v>0.14000000000000001</v>
      </c>
      <c r="U38" s="986">
        <f>(1.2/100)*P38</f>
        <v>2.16</v>
      </c>
      <c r="V38" s="107"/>
      <c r="W38" s="989"/>
      <c r="X38" s="717"/>
    </row>
    <row r="39" spans="1:24" x14ac:dyDescent="0.25">
      <c r="A39" s="1437"/>
      <c r="B39" s="986">
        <v>200</v>
      </c>
      <c r="C39" s="920">
        <v>0.11</v>
      </c>
      <c r="D39" s="988">
        <v>-0.67</v>
      </c>
      <c r="E39" s="988">
        <v>0.05</v>
      </c>
      <c r="F39" s="987">
        <f t="shared" si="19"/>
        <v>0.36000000000000004</v>
      </c>
      <c r="G39" s="986">
        <f t="shared" si="20"/>
        <v>2.4</v>
      </c>
      <c r="H39" s="1434"/>
      <c r="I39" s="986">
        <v>200</v>
      </c>
      <c r="J39" s="988">
        <v>-0.12</v>
      </c>
      <c r="K39" s="988">
        <v>0.18</v>
      </c>
      <c r="L39" s="988">
        <v>-0.03</v>
      </c>
      <c r="M39" s="987">
        <f t="shared" si="22"/>
        <v>0.15</v>
      </c>
      <c r="N39" s="986">
        <f t="shared" si="21"/>
        <v>2.4</v>
      </c>
      <c r="O39" s="1434"/>
      <c r="P39" s="213">
        <v>200</v>
      </c>
      <c r="Q39" s="988">
        <v>0.08</v>
      </c>
      <c r="R39" s="988">
        <v>0.1</v>
      </c>
      <c r="S39" s="988">
        <v>-0.1</v>
      </c>
      <c r="T39" s="987">
        <f t="shared" si="23"/>
        <v>0.1</v>
      </c>
      <c r="U39" s="986">
        <f>(1.2/100)*P39</f>
        <v>2.4</v>
      </c>
      <c r="V39" s="107"/>
      <c r="W39" s="989"/>
      <c r="X39" s="717"/>
    </row>
    <row r="40" spans="1:24" x14ac:dyDescent="0.25">
      <c r="A40" s="1437"/>
      <c r="B40" s="213">
        <v>220</v>
      </c>
      <c r="C40" s="920">
        <v>0.13</v>
      </c>
      <c r="D40" s="988">
        <v>9.9999999999999995E-7</v>
      </c>
      <c r="E40" s="988">
        <v>0.1</v>
      </c>
      <c r="F40" s="987">
        <f t="shared" si="19"/>
        <v>4.9999500000000002E-2</v>
      </c>
      <c r="G40" s="986">
        <f t="shared" si="20"/>
        <v>2.64</v>
      </c>
      <c r="H40" s="1434"/>
      <c r="I40" s="213">
        <v>220</v>
      </c>
      <c r="J40" s="988">
        <v>-0.17</v>
      </c>
      <c r="K40" s="988">
        <v>0.56000000000000005</v>
      </c>
      <c r="L40" s="988">
        <v>0.38</v>
      </c>
      <c r="M40" s="987">
        <f t="shared" si="22"/>
        <v>0.36500000000000005</v>
      </c>
      <c r="N40" s="986">
        <f t="shared" si="21"/>
        <v>2.64</v>
      </c>
      <c r="O40" s="1434"/>
      <c r="P40" s="213">
        <v>220</v>
      </c>
      <c r="Q40" s="988">
        <v>0.06</v>
      </c>
      <c r="R40" s="988">
        <v>7.0000000000000007E-2</v>
      </c>
      <c r="S40" s="988">
        <v>-0.13</v>
      </c>
      <c r="T40" s="987">
        <f t="shared" si="23"/>
        <v>0.1</v>
      </c>
      <c r="U40" s="986">
        <f>(1.2/100)*P40</f>
        <v>2.64</v>
      </c>
      <c r="V40" s="107"/>
      <c r="W40" s="989"/>
      <c r="X40" s="717"/>
    </row>
    <row r="41" spans="1:24" x14ac:dyDescent="0.25">
      <c r="A41" s="1437"/>
      <c r="B41" s="213">
        <v>230</v>
      </c>
      <c r="C41" s="920">
        <v>0.11</v>
      </c>
      <c r="D41" s="988">
        <v>-0.11</v>
      </c>
      <c r="E41" s="988">
        <v>1.1100000000000001</v>
      </c>
      <c r="F41" s="987">
        <f t="shared" si="19"/>
        <v>0.6100000000000001</v>
      </c>
      <c r="G41" s="986">
        <f t="shared" si="20"/>
        <v>2.7600000000000002</v>
      </c>
      <c r="H41" s="1434"/>
      <c r="I41" s="213">
        <v>230</v>
      </c>
      <c r="J41" s="988">
        <v>-0.14000000000000001</v>
      </c>
      <c r="K41" s="988">
        <v>0.73</v>
      </c>
      <c r="L41" s="988">
        <v>-0.16</v>
      </c>
      <c r="M41" s="987">
        <f t="shared" si="22"/>
        <v>0.44500000000000001</v>
      </c>
      <c r="N41" s="986">
        <f t="shared" si="21"/>
        <v>2.7600000000000002</v>
      </c>
      <c r="O41" s="1434"/>
      <c r="P41" s="213">
        <v>230</v>
      </c>
      <c r="Q41" s="988">
        <v>0.04</v>
      </c>
      <c r="R41" s="988">
        <v>0.08</v>
      </c>
      <c r="S41" s="988">
        <v>-0.15</v>
      </c>
      <c r="T41" s="987">
        <f t="shared" si="23"/>
        <v>0.11499999999999999</v>
      </c>
      <c r="U41" s="986">
        <f>(1.2/100)*P41</f>
        <v>2.7600000000000002</v>
      </c>
      <c r="V41" s="107"/>
      <c r="W41" s="989"/>
      <c r="X41" s="717"/>
    </row>
    <row r="42" spans="1:24" x14ac:dyDescent="0.25">
      <c r="A42" s="1437"/>
      <c r="B42" s="213">
        <v>250</v>
      </c>
      <c r="C42" s="920">
        <v>0</v>
      </c>
      <c r="D42" s="988">
        <v>9.9999999999999995E-7</v>
      </c>
      <c r="E42" s="988">
        <v>9.9999999999999995E-7</v>
      </c>
      <c r="F42" s="987">
        <f t="shared" si="19"/>
        <v>0</v>
      </c>
      <c r="G42" s="986">
        <f t="shared" si="20"/>
        <v>3</v>
      </c>
      <c r="H42" s="1434"/>
      <c r="I42" s="213">
        <v>240</v>
      </c>
      <c r="J42" s="988">
        <v>-0.31</v>
      </c>
      <c r="K42" s="988">
        <v>9.9999999999999995E-7</v>
      </c>
      <c r="L42" s="988">
        <v>9.9999999999999995E-7</v>
      </c>
      <c r="M42" s="987">
        <f t="shared" si="22"/>
        <v>0.15500049999999999</v>
      </c>
      <c r="N42" s="986">
        <f t="shared" si="21"/>
        <v>2.88</v>
      </c>
      <c r="O42" s="1434"/>
      <c r="P42" s="213">
        <v>250</v>
      </c>
      <c r="Q42" s="988">
        <v>0</v>
      </c>
      <c r="R42" s="988">
        <v>0</v>
      </c>
      <c r="S42" s="988">
        <v>9.9999999999999995E-7</v>
      </c>
      <c r="T42" s="987">
        <f t="shared" si="23"/>
        <v>4.9999999999999998E-7</v>
      </c>
      <c r="U42" s="986">
        <f>(0/100)*P42</f>
        <v>0</v>
      </c>
      <c r="V42" s="107"/>
      <c r="W42" s="989"/>
      <c r="X42" s="717"/>
    </row>
    <row r="43" spans="1:24" ht="12.75" customHeight="1" x14ac:dyDescent="0.25">
      <c r="A43" s="1437"/>
      <c r="B43" s="1433" t="str">
        <f>B12</f>
        <v>Current Leakage</v>
      </c>
      <c r="C43" s="1433"/>
      <c r="D43" s="1433"/>
      <c r="E43" s="1433"/>
      <c r="F43" s="1426" t="s">
        <v>342</v>
      </c>
      <c r="G43" s="1426" t="s">
        <v>343</v>
      </c>
      <c r="H43" s="1434"/>
      <c r="I43" s="1433" t="str">
        <f>B43</f>
        <v>Current Leakage</v>
      </c>
      <c r="J43" s="1433"/>
      <c r="K43" s="1433"/>
      <c r="L43" s="1433"/>
      <c r="M43" s="1426" t="s">
        <v>342</v>
      </c>
      <c r="N43" s="1426" t="s">
        <v>343</v>
      </c>
      <c r="O43" s="1434"/>
      <c r="P43" s="1433" t="str">
        <f>I43</f>
        <v>Current Leakage</v>
      </c>
      <c r="Q43" s="1433"/>
      <c r="R43" s="1433"/>
      <c r="S43" s="1433"/>
      <c r="T43" s="1426" t="s">
        <v>342</v>
      </c>
      <c r="U43" s="1426" t="s">
        <v>343</v>
      </c>
      <c r="V43" s="717"/>
      <c r="W43" s="717"/>
      <c r="X43" s="717"/>
    </row>
    <row r="44" spans="1:24" ht="14" x14ac:dyDescent="0.25">
      <c r="A44" s="1437"/>
      <c r="B44" s="983" t="s">
        <v>346</v>
      </c>
      <c r="C44" s="984">
        <f>C36</f>
        <v>2022</v>
      </c>
      <c r="D44" s="984">
        <f>D36</f>
        <v>2021</v>
      </c>
      <c r="E44" s="984">
        <f>E36</f>
        <v>2019</v>
      </c>
      <c r="F44" s="1426"/>
      <c r="G44" s="1426"/>
      <c r="H44" s="1434"/>
      <c r="I44" s="983" t="s">
        <v>346</v>
      </c>
      <c r="J44" s="984">
        <f>J36</f>
        <v>2022</v>
      </c>
      <c r="K44" s="984">
        <f>K36</f>
        <v>2021</v>
      </c>
      <c r="L44" s="984">
        <f>L36</f>
        <v>2019</v>
      </c>
      <c r="M44" s="1426"/>
      <c r="N44" s="1426"/>
      <c r="O44" s="1434"/>
      <c r="P44" s="983" t="s">
        <v>346</v>
      </c>
      <c r="Q44" s="984">
        <f>Q36</f>
        <v>2023</v>
      </c>
      <c r="R44" s="984">
        <f>R36</f>
        <v>2022</v>
      </c>
      <c r="S44" s="984">
        <f>S36</f>
        <v>2019</v>
      </c>
      <c r="T44" s="1426"/>
      <c r="U44" s="1426"/>
      <c r="V44" s="717"/>
      <c r="W44" s="717"/>
      <c r="X44" s="717"/>
    </row>
    <row r="45" spans="1:24" x14ac:dyDescent="0.25">
      <c r="A45" s="1437"/>
      <c r="B45" s="213">
        <v>0</v>
      </c>
      <c r="C45" s="920">
        <v>0</v>
      </c>
      <c r="D45" s="628">
        <v>9.9999999999999995E-7</v>
      </c>
      <c r="E45" s="213">
        <v>9.9999999999999995E-7</v>
      </c>
      <c r="F45" s="987">
        <f t="shared" ref="F45:F50" si="24">0.5*(MAX(D45:E45)-MIN(D45:E45))</f>
        <v>0</v>
      </c>
      <c r="G45" s="213">
        <f t="shared" ref="G45:G50" si="25">(0.59/100)*B45</f>
        <v>0</v>
      </c>
      <c r="H45" s="1434"/>
      <c r="I45" s="213">
        <v>0</v>
      </c>
      <c r="J45" s="628">
        <v>0</v>
      </c>
      <c r="K45" s="628">
        <v>9.9999999999999995E-7</v>
      </c>
      <c r="L45" s="628">
        <v>9.9999999999999995E-7</v>
      </c>
      <c r="M45" s="987">
        <f>0.5*(MAX(J45:L45)-MIN(J45:L45))</f>
        <v>4.9999999999999998E-7</v>
      </c>
      <c r="N45" s="213">
        <f>(0.59/100)*I45</f>
        <v>0</v>
      </c>
      <c r="O45" s="1434"/>
      <c r="P45" s="213">
        <v>0</v>
      </c>
      <c r="Q45" s="920">
        <v>0</v>
      </c>
      <c r="R45" s="628">
        <v>0</v>
      </c>
      <c r="S45" s="628">
        <v>9.9999999999999995E-7</v>
      </c>
      <c r="T45" s="987">
        <f t="shared" ref="T45:T50" si="26">0.5*(MAX(R45:S45)-MIN(R45:S45))</f>
        <v>4.9999999999999998E-7</v>
      </c>
      <c r="U45" s="213">
        <f>(0.59/100)*P45</f>
        <v>0</v>
      </c>
    </row>
    <row r="46" spans="1:24" x14ac:dyDescent="0.25">
      <c r="A46" s="1437"/>
      <c r="B46" s="213">
        <v>50</v>
      </c>
      <c r="C46" s="920">
        <v>2.2999999999999998</v>
      </c>
      <c r="D46" s="988">
        <v>-0.3</v>
      </c>
      <c r="E46" s="988">
        <v>-0.28999999999999998</v>
      </c>
      <c r="F46" s="987">
        <f t="shared" si="24"/>
        <v>5.0000000000000044E-3</v>
      </c>
      <c r="G46" s="213">
        <f t="shared" si="25"/>
        <v>0.29499999999999998</v>
      </c>
      <c r="H46" s="1434"/>
      <c r="I46" s="213">
        <v>50</v>
      </c>
      <c r="J46" s="988">
        <v>4.0999999999999996</v>
      </c>
      <c r="K46" s="988">
        <v>0.3</v>
      </c>
      <c r="L46" s="988">
        <v>-0.33</v>
      </c>
      <c r="M46" s="987">
        <f t="shared" ref="M46:M50" si="27">0.5*(MAX(J46:L46)-MIN(J46:L46))</f>
        <v>2.2149999999999999</v>
      </c>
      <c r="N46" s="213">
        <f t="shared" ref="N46:N49" si="28">(0.59/100)*I46</f>
        <v>0.29499999999999998</v>
      </c>
      <c r="O46" s="1434"/>
      <c r="P46" s="213">
        <v>50</v>
      </c>
      <c r="Q46" s="920">
        <v>4.5</v>
      </c>
      <c r="R46" s="988">
        <v>19.100000000000001</v>
      </c>
      <c r="S46" s="988">
        <v>0.02</v>
      </c>
      <c r="T46" s="987">
        <f t="shared" si="26"/>
        <v>9.5400000000000009</v>
      </c>
      <c r="U46" s="213">
        <f>(0.59/100)*P46</f>
        <v>0.29499999999999998</v>
      </c>
    </row>
    <row r="47" spans="1:24" x14ac:dyDescent="0.25">
      <c r="A47" s="1437"/>
      <c r="B47" s="213">
        <v>100</v>
      </c>
      <c r="C47" s="920">
        <v>4.0999999999999996</v>
      </c>
      <c r="D47" s="988">
        <v>-0.4</v>
      </c>
      <c r="E47" s="988">
        <v>-0.35</v>
      </c>
      <c r="F47" s="987">
        <f t="shared" si="24"/>
        <v>2.5000000000000022E-2</v>
      </c>
      <c r="G47" s="213">
        <f t="shared" si="25"/>
        <v>0.59</v>
      </c>
      <c r="H47" s="1434"/>
      <c r="I47" s="213">
        <v>100</v>
      </c>
      <c r="J47" s="988">
        <v>5</v>
      </c>
      <c r="K47" s="988">
        <v>-0.1</v>
      </c>
      <c r="L47" s="988">
        <v>-0.42</v>
      </c>
      <c r="M47" s="987">
        <f t="shared" si="27"/>
        <v>2.71</v>
      </c>
      <c r="N47" s="213">
        <f t="shared" si="28"/>
        <v>0.59</v>
      </c>
      <c r="O47" s="1434"/>
      <c r="P47" s="213">
        <v>100</v>
      </c>
      <c r="Q47" s="920">
        <v>6.2</v>
      </c>
      <c r="R47" s="988">
        <v>18.399999999999999</v>
      </c>
      <c r="S47" s="988">
        <v>0.22</v>
      </c>
      <c r="T47" s="987">
        <f t="shared" si="26"/>
        <v>9.09</v>
      </c>
      <c r="U47" s="213">
        <f t="shared" ref="U47:U50" si="29">(0.59/100)*P47</f>
        <v>0.59</v>
      </c>
    </row>
    <row r="48" spans="1:24" x14ac:dyDescent="0.25">
      <c r="A48" s="1437"/>
      <c r="B48" s="213">
        <v>200</v>
      </c>
      <c r="C48" s="920">
        <v>5</v>
      </c>
      <c r="D48" s="988">
        <v>0.3</v>
      </c>
      <c r="E48" s="988">
        <v>0.8</v>
      </c>
      <c r="F48" s="987">
        <f t="shared" si="24"/>
        <v>0.25</v>
      </c>
      <c r="G48" s="213">
        <f t="shared" si="25"/>
        <v>1.18</v>
      </c>
      <c r="H48" s="1434"/>
      <c r="I48" s="213">
        <v>200</v>
      </c>
      <c r="J48" s="988">
        <v>7.7</v>
      </c>
      <c r="K48" s="988">
        <v>1.3</v>
      </c>
      <c r="L48" s="988">
        <v>1.3</v>
      </c>
      <c r="M48" s="987">
        <f t="shared" si="27"/>
        <v>3.2</v>
      </c>
      <c r="N48" s="213">
        <f t="shared" si="28"/>
        <v>1.18</v>
      </c>
      <c r="O48" s="1434"/>
      <c r="P48" s="213">
        <v>200</v>
      </c>
      <c r="Q48" s="920">
        <v>9.4</v>
      </c>
      <c r="R48" s="988">
        <v>14.4</v>
      </c>
      <c r="S48" s="988">
        <v>0.8</v>
      </c>
      <c r="T48" s="987">
        <f t="shared" si="26"/>
        <v>6.8</v>
      </c>
      <c r="U48" s="213">
        <f t="shared" si="29"/>
        <v>1.18</v>
      </c>
    </row>
    <row r="49" spans="1:21" x14ac:dyDescent="0.25">
      <c r="A49" s="1437"/>
      <c r="B49" s="213">
        <v>500</v>
      </c>
      <c r="C49" s="920">
        <v>3.5</v>
      </c>
      <c r="D49" s="988">
        <v>0.2</v>
      </c>
      <c r="E49" s="988">
        <v>1.2</v>
      </c>
      <c r="F49" s="987">
        <f t="shared" si="24"/>
        <v>0.5</v>
      </c>
      <c r="G49" s="213">
        <f t="shared" si="25"/>
        <v>2.9499999999999997</v>
      </c>
      <c r="H49" s="1434"/>
      <c r="I49" s="213">
        <v>500</v>
      </c>
      <c r="J49" s="988">
        <v>5.7</v>
      </c>
      <c r="K49" s="988">
        <v>0.7</v>
      </c>
      <c r="L49" s="988">
        <v>0.7</v>
      </c>
      <c r="M49" s="987">
        <f t="shared" si="27"/>
        <v>2.5</v>
      </c>
      <c r="N49" s="213">
        <f t="shared" si="28"/>
        <v>2.9499999999999997</v>
      </c>
      <c r="O49" s="1434"/>
      <c r="P49" s="213">
        <v>500</v>
      </c>
      <c r="Q49" s="920">
        <v>10.8</v>
      </c>
      <c r="R49" s="988">
        <v>6.2</v>
      </c>
      <c r="S49" s="988">
        <v>1.1000000000000001</v>
      </c>
      <c r="T49" s="987">
        <f t="shared" si="26"/>
        <v>2.5499999999999998</v>
      </c>
      <c r="U49" s="213">
        <f t="shared" si="29"/>
        <v>2.9499999999999997</v>
      </c>
    </row>
    <row r="50" spans="1:21" x14ac:dyDescent="0.25">
      <c r="A50" s="1437"/>
      <c r="B50" s="213">
        <v>1000</v>
      </c>
      <c r="C50" s="920">
        <v>-1</v>
      </c>
      <c r="D50" s="988">
        <v>2</v>
      </c>
      <c r="E50" s="988">
        <v>2</v>
      </c>
      <c r="F50" s="987">
        <f t="shared" si="24"/>
        <v>0</v>
      </c>
      <c r="G50" s="213">
        <f t="shared" si="25"/>
        <v>5.8999999999999995</v>
      </c>
      <c r="H50" s="1434"/>
      <c r="I50" s="213">
        <v>1000</v>
      </c>
      <c r="J50" s="988">
        <v>-88</v>
      </c>
      <c r="K50" s="988">
        <v>9.9999999999999995E-7</v>
      </c>
      <c r="L50" s="988">
        <v>9.9999999999999995E-7</v>
      </c>
      <c r="M50" s="987">
        <f t="shared" si="27"/>
        <v>44.000000499999999</v>
      </c>
      <c r="N50" s="213">
        <f>(0.59/100)*I50</f>
        <v>5.8999999999999995</v>
      </c>
      <c r="O50" s="1434"/>
      <c r="P50" s="213">
        <v>1000</v>
      </c>
      <c r="Q50" s="920">
        <v>-88</v>
      </c>
      <c r="R50" s="988">
        <v>0</v>
      </c>
      <c r="S50" s="988">
        <v>9.9999999999999995E-7</v>
      </c>
      <c r="T50" s="987">
        <f t="shared" si="26"/>
        <v>4.9999999999999998E-7</v>
      </c>
      <c r="U50" s="213">
        <f t="shared" si="29"/>
        <v>5.8999999999999995</v>
      </c>
    </row>
    <row r="51" spans="1:21" ht="13" x14ac:dyDescent="0.25">
      <c r="A51" s="1437"/>
      <c r="B51" s="1433" t="str">
        <f>B20</f>
        <v>Main-PE</v>
      </c>
      <c r="C51" s="1433"/>
      <c r="D51" s="1433"/>
      <c r="E51" s="1433"/>
      <c r="F51" s="1426" t="s">
        <v>342</v>
      </c>
      <c r="G51" s="1426" t="s">
        <v>343</v>
      </c>
      <c r="H51" s="1434"/>
      <c r="I51" s="1433" t="str">
        <f>B51</f>
        <v>Main-PE</v>
      </c>
      <c r="J51" s="1433"/>
      <c r="K51" s="1433"/>
      <c r="L51" s="1433"/>
      <c r="M51" s="1426" t="s">
        <v>342</v>
      </c>
      <c r="N51" s="1426" t="s">
        <v>343</v>
      </c>
      <c r="O51" s="1434"/>
      <c r="P51" s="1433" t="str">
        <f>I51</f>
        <v>Main-PE</v>
      </c>
      <c r="Q51" s="1433"/>
      <c r="R51" s="1433"/>
      <c r="S51" s="1433"/>
      <c r="T51" s="1426" t="s">
        <v>342</v>
      </c>
      <c r="U51" s="1426" t="s">
        <v>343</v>
      </c>
    </row>
    <row r="52" spans="1:21" ht="14.5" x14ac:dyDescent="0.25">
      <c r="A52" s="1437"/>
      <c r="B52" s="983" t="s">
        <v>348</v>
      </c>
      <c r="C52" s="984">
        <f>C36</f>
        <v>2022</v>
      </c>
      <c r="D52" s="984">
        <f>D36</f>
        <v>2021</v>
      </c>
      <c r="E52" s="984">
        <f>E36</f>
        <v>2019</v>
      </c>
      <c r="F52" s="1426"/>
      <c r="G52" s="1426"/>
      <c r="H52" s="1434"/>
      <c r="I52" s="983" t="s">
        <v>348</v>
      </c>
      <c r="J52" s="984">
        <f>J36</f>
        <v>2022</v>
      </c>
      <c r="K52" s="984">
        <f>K36</f>
        <v>2021</v>
      </c>
      <c r="L52" s="984">
        <f>L36</f>
        <v>2019</v>
      </c>
      <c r="M52" s="1426"/>
      <c r="N52" s="1426"/>
      <c r="O52" s="1434"/>
      <c r="P52" s="983" t="s">
        <v>348</v>
      </c>
      <c r="Q52" s="984">
        <f>Q36</f>
        <v>2023</v>
      </c>
      <c r="R52" s="984">
        <f>R36</f>
        <v>2022</v>
      </c>
      <c r="S52" s="984">
        <f>S36</f>
        <v>2019</v>
      </c>
      <c r="T52" s="1426"/>
      <c r="U52" s="1426"/>
    </row>
    <row r="53" spans="1:21" x14ac:dyDescent="0.25">
      <c r="A53" s="1437"/>
      <c r="B53" s="213">
        <v>10</v>
      </c>
      <c r="C53" s="920">
        <v>0</v>
      </c>
      <c r="D53" s="988">
        <v>9.9999999999999995E-7</v>
      </c>
      <c r="E53" s="988">
        <v>0.1</v>
      </c>
      <c r="F53" s="987">
        <f>0.5*(MAX(D53:E53)-MIN(D53:E53))</f>
        <v>4.9999500000000002E-2</v>
      </c>
      <c r="G53" s="213">
        <f>(1.7/100)*(B53-C53)</f>
        <v>0.17</v>
      </c>
      <c r="H53" s="1434"/>
      <c r="I53" s="213">
        <v>10</v>
      </c>
      <c r="J53" s="988">
        <v>0</v>
      </c>
      <c r="K53" s="988">
        <v>9.9999999999999995E-7</v>
      </c>
      <c r="L53" s="988">
        <v>0.1</v>
      </c>
      <c r="M53" s="987">
        <f>0.5*(MAX(J53:L53)-MIN(J53:L53))</f>
        <v>0.05</v>
      </c>
      <c r="N53" s="213">
        <f>(1.7/100)*(I53-J53)</f>
        <v>0.17</v>
      </c>
      <c r="O53" s="1434"/>
      <c r="P53" s="213">
        <v>10</v>
      </c>
      <c r="Q53" s="920">
        <v>0</v>
      </c>
      <c r="R53" s="988">
        <v>0.1</v>
      </c>
      <c r="S53" s="988">
        <v>0.1</v>
      </c>
      <c r="T53" s="987">
        <f>0.5*(MAX(R53:S53)-MIN(R53:S53))</f>
        <v>0</v>
      </c>
      <c r="U53" s="213">
        <f>(1.7/100)*(P53-Q53)</f>
        <v>0.17</v>
      </c>
    </row>
    <row r="54" spans="1:21" x14ac:dyDescent="0.25">
      <c r="A54" s="1437"/>
      <c r="B54" s="213">
        <v>20</v>
      </c>
      <c r="C54" s="920">
        <v>0.1</v>
      </c>
      <c r="D54" s="988">
        <v>0.1</v>
      </c>
      <c r="E54" s="988">
        <v>0.2</v>
      </c>
      <c r="F54" s="987">
        <f>0.5*(MAX(D54:E54)-MIN(D54:E54))</f>
        <v>0.05</v>
      </c>
      <c r="G54" s="213">
        <f t="shared" ref="G54:G55" si="30">(1.7/100)*(B54-C54)</f>
        <v>0.33829999999999999</v>
      </c>
      <c r="H54" s="1434"/>
      <c r="I54" s="213">
        <v>20</v>
      </c>
      <c r="J54" s="988">
        <v>0.1</v>
      </c>
      <c r="K54" s="988">
        <v>0.1</v>
      </c>
      <c r="L54" s="988">
        <v>0.1</v>
      </c>
      <c r="M54" s="987">
        <f t="shared" ref="M54:M56" si="31">0.5*(MAX(J54:L54)-MIN(J54:L54))</f>
        <v>0</v>
      </c>
      <c r="N54" s="213">
        <f t="shared" ref="N54:N56" si="32">(1.7/100)*(I54-J54)</f>
        <v>0.33829999999999999</v>
      </c>
      <c r="O54" s="1434"/>
      <c r="P54" s="213">
        <v>20</v>
      </c>
      <c r="Q54" s="920">
        <v>0.1</v>
      </c>
      <c r="R54" s="988">
        <v>0.1</v>
      </c>
      <c r="S54" s="988">
        <v>0.1</v>
      </c>
      <c r="T54" s="987">
        <f>0.5*(MAX(R54:S54)-MIN(R54:S54))</f>
        <v>0</v>
      </c>
      <c r="U54" s="213">
        <f t="shared" ref="U54:U56" si="33">(1.7/100)*(P54-Q54)</f>
        <v>0.33829999999999999</v>
      </c>
    </row>
    <row r="55" spans="1:21" x14ac:dyDescent="0.25">
      <c r="A55" s="1437"/>
      <c r="B55" s="213">
        <v>50</v>
      </c>
      <c r="C55" s="920">
        <v>0.4</v>
      </c>
      <c r="D55" s="628">
        <v>0.4</v>
      </c>
      <c r="E55" s="628">
        <v>0.5</v>
      </c>
      <c r="F55" s="987">
        <f>0.5*(MAX(D55:E55)-MIN(D55:E55))</f>
        <v>4.9999999999999989E-2</v>
      </c>
      <c r="G55" s="213">
        <f t="shared" si="30"/>
        <v>0.84320000000000006</v>
      </c>
      <c r="H55" s="1434"/>
      <c r="I55" s="213">
        <v>50</v>
      </c>
      <c r="J55" s="628">
        <v>0.3</v>
      </c>
      <c r="K55" s="628">
        <v>0.6</v>
      </c>
      <c r="L55" s="628">
        <v>0.4</v>
      </c>
      <c r="M55" s="987">
        <f t="shared" si="31"/>
        <v>0.15</v>
      </c>
      <c r="N55" s="213">
        <f t="shared" si="32"/>
        <v>0.8449000000000001</v>
      </c>
      <c r="O55" s="1434"/>
      <c r="P55" s="213">
        <v>50</v>
      </c>
      <c r="Q55" s="920">
        <v>0.1</v>
      </c>
      <c r="R55" s="628">
        <v>0.3</v>
      </c>
      <c r="S55" s="628">
        <v>0.3</v>
      </c>
      <c r="T55" s="987">
        <f>0.5*(MAX(R55:S55)-MIN(R55:S55))</f>
        <v>0</v>
      </c>
      <c r="U55" s="213">
        <f t="shared" si="33"/>
        <v>0.84830000000000005</v>
      </c>
    </row>
    <row r="56" spans="1:21" x14ac:dyDescent="0.25">
      <c r="A56" s="1437"/>
      <c r="B56" s="213">
        <v>100</v>
      </c>
      <c r="C56" s="920">
        <v>0.8</v>
      </c>
      <c r="D56" s="628">
        <v>1.4</v>
      </c>
      <c r="E56" s="628">
        <v>1</v>
      </c>
      <c r="F56" s="987">
        <f>0.5*(MAX(D56:E56)-MIN(D56:E56))</f>
        <v>0.19999999999999996</v>
      </c>
      <c r="G56" s="213">
        <f>(1.7/100)*(B56-C56)</f>
        <v>1.6864000000000001</v>
      </c>
      <c r="H56" s="1434"/>
      <c r="I56" s="213">
        <v>100</v>
      </c>
      <c r="J56" s="628">
        <v>0.4</v>
      </c>
      <c r="K56" s="628">
        <v>1.5</v>
      </c>
      <c r="L56" s="628">
        <v>0.8</v>
      </c>
      <c r="M56" s="987">
        <f t="shared" si="31"/>
        <v>0.55000000000000004</v>
      </c>
      <c r="N56" s="213">
        <f t="shared" si="32"/>
        <v>1.6932</v>
      </c>
      <c r="O56" s="1434"/>
      <c r="P56" s="213">
        <v>100</v>
      </c>
      <c r="Q56" s="920">
        <v>2</v>
      </c>
      <c r="R56" s="628">
        <v>0.6</v>
      </c>
      <c r="S56" s="628">
        <v>0.6</v>
      </c>
      <c r="T56" s="987">
        <f>0.5*(MAX(R56:S56)-MIN(R56:S56))</f>
        <v>0</v>
      </c>
      <c r="U56" s="213">
        <f t="shared" si="33"/>
        <v>1.6660000000000001</v>
      </c>
    </row>
    <row r="57" spans="1:21" ht="12.75" customHeight="1" x14ac:dyDescent="0.25">
      <c r="A57" s="1437"/>
      <c r="B57" s="1433" t="str">
        <f>B26</f>
        <v>Resistance</v>
      </c>
      <c r="C57" s="1433"/>
      <c r="D57" s="1433"/>
      <c r="E57" s="1433"/>
      <c r="F57" s="1426" t="s">
        <v>342</v>
      </c>
      <c r="G57" s="1426" t="s">
        <v>343</v>
      </c>
      <c r="H57" s="1434"/>
      <c r="I57" s="1433" t="str">
        <f>B57</f>
        <v>Resistance</v>
      </c>
      <c r="J57" s="1433"/>
      <c r="K57" s="1433"/>
      <c r="L57" s="1433"/>
      <c r="M57" s="1426" t="s">
        <v>342</v>
      </c>
      <c r="N57" s="1426" t="s">
        <v>343</v>
      </c>
      <c r="O57" s="1434"/>
      <c r="P57" s="1433" t="str">
        <f>I57</f>
        <v>Resistance</v>
      </c>
      <c r="Q57" s="1433"/>
      <c r="R57" s="1433"/>
      <c r="S57" s="1433"/>
      <c r="T57" s="1426" t="s">
        <v>342</v>
      </c>
      <c r="U57" s="1426" t="s">
        <v>343</v>
      </c>
    </row>
    <row r="58" spans="1:21" ht="14.5" x14ac:dyDescent="0.25">
      <c r="A58" s="1437"/>
      <c r="B58" s="983" t="s">
        <v>350</v>
      </c>
      <c r="C58" s="984">
        <f>C36</f>
        <v>2022</v>
      </c>
      <c r="D58" s="984">
        <f>D36</f>
        <v>2021</v>
      </c>
      <c r="E58" s="984">
        <f>E36</f>
        <v>2019</v>
      </c>
      <c r="F58" s="1426"/>
      <c r="G58" s="1426"/>
      <c r="H58" s="1434"/>
      <c r="I58" s="983" t="s">
        <v>350</v>
      </c>
      <c r="J58" s="984">
        <f>J36</f>
        <v>2022</v>
      </c>
      <c r="K58" s="984">
        <f>K36</f>
        <v>2021</v>
      </c>
      <c r="L58" s="984">
        <f>L36</f>
        <v>2019</v>
      </c>
      <c r="M58" s="1426"/>
      <c r="N58" s="1426"/>
      <c r="O58" s="1434"/>
      <c r="P58" s="983" t="s">
        <v>350</v>
      </c>
      <c r="Q58" s="984">
        <f>Q36</f>
        <v>2023</v>
      </c>
      <c r="R58" s="984">
        <f>R36</f>
        <v>2022</v>
      </c>
      <c r="S58" s="984">
        <f>S36</f>
        <v>2019</v>
      </c>
      <c r="T58" s="1426"/>
      <c r="U58" s="1426"/>
    </row>
    <row r="59" spans="1:21" x14ac:dyDescent="0.25">
      <c r="A59" s="1437"/>
      <c r="B59" s="213">
        <v>0.01</v>
      </c>
      <c r="C59" s="1142">
        <v>0</v>
      </c>
      <c r="D59" s="991">
        <v>9.9999999999999995E-7</v>
      </c>
      <c r="E59" s="991">
        <v>9.9999999999999995E-7</v>
      </c>
      <c r="F59" s="987">
        <f>0.5*(MAX(D59:E59)-MIN(D59:E59))</f>
        <v>0</v>
      </c>
      <c r="G59" s="213">
        <f t="shared" ref="G59:G61" si="34">(1.2/100)*(B59-C59)</f>
        <v>1.2E-4</v>
      </c>
      <c r="H59" s="1434"/>
      <c r="I59" s="213">
        <v>0.01</v>
      </c>
      <c r="J59" s="991">
        <v>0</v>
      </c>
      <c r="K59" s="991">
        <v>9.9999999999999995E-7</v>
      </c>
      <c r="L59" s="991">
        <v>9.9999999999999995E-7</v>
      </c>
      <c r="M59" s="987">
        <f>0.5*(MAX(J59:L59)-MIN(J59:L59))</f>
        <v>4.9999999999999998E-7</v>
      </c>
      <c r="N59" s="213">
        <f>(1.2/100)*(I59-J59)</f>
        <v>1.2E-4</v>
      </c>
      <c r="O59" s="1434"/>
      <c r="P59" s="213">
        <v>0.01</v>
      </c>
      <c r="Q59" s="1142">
        <v>0</v>
      </c>
      <c r="R59" s="991">
        <v>0</v>
      </c>
      <c r="S59" s="991">
        <v>9.9999999999999995E-7</v>
      </c>
      <c r="T59" s="987">
        <f>0.5*(MAX(R59:S59)-MIN(R59:S59))</f>
        <v>4.9999999999999998E-7</v>
      </c>
      <c r="U59" s="213">
        <f>(1.2/100)*(P59-Q59)</f>
        <v>1.2E-4</v>
      </c>
    </row>
    <row r="60" spans="1:21" x14ac:dyDescent="0.25">
      <c r="A60" s="1437"/>
      <c r="B60" s="213">
        <v>0.1</v>
      </c>
      <c r="C60" s="1142">
        <v>0</v>
      </c>
      <c r="D60" s="991">
        <v>-2E-3</v>
      </c>
      <c r="E60" s="991">
        <v>9.9999999999999995E-7</v>
      </c>
      <c r="F60" s="987">
        <f>0.5*(MAX(D60:E60)-MIN(D60:E60))</f>
        <v>1.0005000000000001E-3</v>
      </c>
      <c r="G60" s="213">
        <f>(1.2/100)*(B60-C60)</f>
        <v>1.2000000000000001E-3</v>
      </c>
      <c r="H60" s="1434"/>
      <c r="I60" s="213">
        <v>0.1</v>
      </c>
      <c r="J60" s="991">
        <v>-6.0000000000000001E-3</v>
      </c>
      <c r="K60" s="991">
        <v>5.0000000000000001E-3</v>
      </c>
      <c r="L60" s="991">
        <v>2E-3</v>
      </c>
      <c r="M60" s="987">
        <f t="shared" ref="M60:M62" si="35">0.5*(MAX(J60:L60)-MIN(J60:L60))</f>
        <v>5.4999999999999997E-3</v>
      </c>
      <c r="N60" s="213">
        <f t="shared" ref="N60:N62" si="36">(1.2/100)*(I60-J60)</f>
        <v>1.2720000000000001E-3</v>
      </c>
      <c r="O60" s="1434"/>
      <c r="P60" s="213">
        <v>0.1</v>
      </c>
      <c r="Q60" s="1142">
        <v>0</v>
      </c>
      <c r="R60" s="991">
        <v>-3.0000000000000001E-3</v>
      </c>
      <c r="S60" s="991">
        <v>-2E-3</v>
      </c>
      <c r="T60" s="987">
        <f>0.5*(MAX(R60:S60)-MIN(R60:S60))</f>
        <v>5.0000000000000001E-4</v>
      </c>
      <c r="U60" s="213">
        <f t="shared" ref="U60:U61" si="37">(1.2/100)*(P60-Q60)</f>
        <v>1.2000000000000001E-3</v>
      </c>
    </row>
    <row r="61" spans="1:21" x14ac:dyDescent="0.25">
      <c r="A61" s="1437"/>
      <c r="B61" s="213">
        <v>1</v>
      </c>
      <c r="C61" s="1142">
        <v>-2E-3</v>
      </c>
      <c r="D61" s="991">
        <v>-8.0000000000000002E-3</v>
      </c>
      <c r="E61" s="991">
        <v>-1E-3</v>
      </c>
      <c r="F61" s="987">
        <f>0.5*(MAX(D61:E61)-MIN(D61:E61))</f>
        <v>3.5000000000000001E-3</v>
      </c>
      <c r="G61" s="213">
        <f t="shared" si="34"/>
        <v>1.2024E-2</v>
      </c>
      <c r="H61" s="1434"/>
      <c r="I61" s="213">
        <v>1</v>
      </c>
      <c r="J61" s="991">
        <v>-2E-3</v>
      </c>
      <c r="K61" s="991">
        <v>1.7999999999999999E-2</v>
      </c>
      <c r="L61" s="991">
        <v>1.2E-2</v>
      </c>
      <c r="M61" s="987">
        <f t="shared" si="35"/>
        <v>9.9999999999999985E-3</v>
      </c>
      <c r="N61" s="213">
        <f t="shared" si="36"/>
        <v>1.2024E-2</v>
      </c>
      <c r="O61" s="1434"/>
      <c r="P61" s="213">
        <v>1</v>
      </c>
      <c r="Q61" s="1142">
        <v>-6.0000000000000001E-3</v>
      </c>
      <c r="R61" s="991">
        <v>-7.0000000000000001E-3</v>
      </c>
      <c r="S61" s="991">
        <v>-1E-3</v>
      </c>
      <c r="T61" s="987">
        <f>0.5*(MAX(R61:S61)-MIN(R61:S61))</f>
        <v>3.0000000000000001E-3</v>
      </c>
      <c r="U61" s="213">
        <f t="shared" si="37"/>
        <v>1.2072000000000001E-2</v>
      </c>
    </row>
    <row r="62" spans="1:21" x14ac:dyDescent="0.25">
      <c r="A62" s="1437"/>
      <c r="B62" s="213">
        <v>2</v>
      </c>
      <c r="C62" s="1142">
        <v>-6.0000000000000001E-3</v>
      </c>
      <c r="D62" s="991">
        <v>-7.0000000000000001E-3</v>
      </c>
      <c r="E62" s="991">
        <v>9.9999999999999995E-7</v>
      </c>
      <c r="F62" s="987">
        <f>0.5*(MAX(D62:E62)-MIN(D62:E62))</f>
        <v>3.5005000000000001E-3</v>
      </c>
      <c r="G62" s="213">
        <f>(1.2/100)*(B62-C62)</f>
        <v>2.4071999999999996E-2</v>
      </c>
      <c r="H62" s="1434"/>
      <c r="I62" s="707">
        <v>2</v>
      </c>
      <c r="J62" s="1143">
        <v>-4.0000000000000001E-3</v>
      </c>
      <c r="K62" s="1143">
        <v>0.113</v>
      </c>
      <c r="L62" s="1143">
        <v>9.9999999999999995E-7</v>
      </c>
      <c r="M62" s="993">
        <f t="shared" si="35"/>
        <v>5.8500000000000003E-2</v>
      </c>
      <c r="N62" s="213">
        <f t="shared" si="36"/>
        <v>2.4048E-2</v>
      </c>
      <c r="O62" s="1434"/>
      <c r="P62" s="213">
        <v>2</v>
      </c>
      <c r="Q62" s="1142">
        <v>-7.0000000000000001E-3</v>
      </c>
      <c r="R62" s="991">
        <v>-7.0000000000000001E-3</v>
      </c>
      <c r="S62" s="991">
        <v>9.9999999999999995E-7</v>
      </c>
      <c r="T62" s="987">
        <f>0.5*(MAX(R62:S62)-MIN(R62:S62))</f>
        <v>3.5005000000000001E-3</v>
      </c>
      <c r="U62" s="213">
        <f>(1.2/100)*(P62-Q62)</f>
        <v>2.4084000000000001E-2</v>
      </c>
    </row>
    <row r="63" spans="1:21" ht="15.5" x14ac:dyDescent="0.25">
      <c r="A63" s="994"/>
      <c r="B63" s="864"/>
      <c r="C63" s="864"/>
      <c r="D63" s="995"/>
      <c r="E63" s="995"/>
      <c r="F63" s="995"/>
      <c r="H63" s="996"/>
      <c r="I63" s="997"/>
      <c r="J63" s="864"/>
      <c r="K63" s="995"/>
      <c r="L63" s="995"/>
      <c r="M63" s="995"/>
      <c r="O63" s="996"/>
      <c r="P63" s="864"/>
      <c r="Q63" s="864"/>
      <c r="T63" s="746"/>
    </row>
    <row r="64" spans="1:21" ht="14.5" customHeight="1" x14ac:dyDescent="0.25">
      <c r="A64" s="1437" t="s">
        <v>144</v>
      </c>
      <c r="B64" s="1438" t="s">
        <v>357</v>
      </c>
      <c r="C64" s="1438"/>
      <c r="D64" s="1438"/>
      <c r="E64" s="1438"/>
      <c r="F64" s="1438"/>
      <c r="G64" s="1438"/>
      <c r="H64" s="1434" t="s">
        <v>358</v>
      </c>
      <c r="I64" s="1438" t="s">
        <v>359</v>
      </c>
      <c r="J64" s="1438"/>
      <c r="K64" s="1438"/>
      <c r="L64" s="1438"/>
      <c r="M64" s="1438"/>
      <c r="N64" s="1438"/>
      <c r="O64" s="1434" t="s">
        <v>87</v>
      </c>
      <c r="P64" s="1438" t="s">
        <v>360</v>
      </c>
      <c r="Q64" s="1438"/>
      <c r="R64" s="1438"/>
      <c r="S64" s="1438"/>
      <c r="T64" s="1438"/>
      <c r="U64" s="1438"/>
    </row>
    <row r="65" spans="1:21" ht="14" x14ac:dyDescent="0.3">
      <c r="A65" s="1437"/>
      <c r="B65" s="1439" t="s">
        <v>340</v>
      </c>
      <c r="C65" s="1439"/>
      <c r="D65" s="1439"/>
      <c r="E65" s="1439"/>
      <c r="F65" s="1439"/>
      <c r="G65" s="1439"/>
      <c r="H65" s="1434"/>
      <c r="I65" s="1436" t="s">
        <v>340</v>
      </c>
      <c r="J65" s="1436"/>
      <c r="K65" s="1436"/>
      <c r="L65" s="1436"/>
      <c r="M65" s="1436"/>
      <c r="N65" s="1436"/>
      <c r="O65" s="1434"/>
      <c r="P65" s="1436" t="s">
        <v>340</v>
      </c>
      <c r="Q65" s="1436"/>
      <c r="R65" s="1436"/>
      <c r="S65" s="1436"/>
      <c r="T65" s="1436"/>
      <c r="U65" s="1436"/>
    </row>
    <row r="66" spans="1:21" ht="13" x14ac:dyDescent="0.25">
      <c r="A66" s="1437"/>
      <c r="B66" s="1426" t="s">
        <v>341</v>
      </c>
      <c r="C66" s="1426"/>
      <c r="D66" s="1426"/>
      <c r="E66" s="1426"/>
      <c r="F66" s="1426" t="s">
        <v>342</v>
      </c>
      <c r="G66" s="1426" t="s">
        <v>343</v>
      </c>
      <c r="H66" s="1434"/>
      <c r="I66" s="1426" t="str">
        <f>B66</f>
        <v>Setting VAC</v>
      </c>
      <c r="J66" s="1426"/>
      <c r="K66" s="1426"/>
      <c r="L66" s="1426"/>
      <c r="M66" s="1426" t="s">
        <v>342</v>
      </c>
      <c r="N66" s="1426" t="s">
        <v>343</v>
      </c>
      <c r="O66" s="1434"/>
      <c r="P66" s="1426" t="str">
        <f>B66</f>
        <v>Setting VAC</v>
      </c>
      <c r="Q66" s="1426"/>
      <c r="R66" s="1426"/>
      <c r="S66" s="1426"/>
      <c r="T66" s="1426" t="s">
        <v>342</v>
      </c>
      <c r="U66" s="1426" t="s">
        <v>343</v>
      </c>
    </row>
    <row r="67" spans="1:21" ht="14" x14ac:dyDescent="0.25">
      <c r="A67" s="1437"/>
      <c r="B67" s="983" t="s">
        <v>344</v>
      </c>
      <c r="C67" s="984">
        <v>2023</v>
      </c>
      <c r="D67" s="984">
        <v>2022</v>
      </c>
      <c r="E67" s="984">
        <v>2020</v>
      </c>
      <c r="F67" s="1426"/>
      <c r="G67" s="1426"/>
      <c r="H67" s="1434"/>
      <c r="I67" s="983" t="s">
        <v>344</v>
      </c>
      <c r="J67" s="984">
        <v>2022</v>
      </c>
      <c r="K67" s="984">
        <v>2020</v>
      </c>
      <c r="L67" s="984">
        <v>2016</v>
      </c>
      <c r="M67" s="1426"/>
      <c r="N67" s="1426"/>
      <c r="O67" s="1434"/>
      <c r="P67" s="983" t="s">
        <v>344</v>
      </c>
      <c r="Q67" s="984">
        <v>2022</v>
      </c>
      <c r="R67" s="984">
        <v>2020</v>
      </c>
      <c r="S67" s="984">
        <v>2016</v>
      </c>
      <c r="T67" s="1426"/>
      <c r="U67" s="1426"/>
    </row>
    <row r="68" spans="1:21" ht="13" x14ac:dyDescent="0.25">
      <c r="A68" s="1437"/>
      <c r="B68" s="986">
        <v>150</v>
      </c>
      <c r="C68" s="920">
        <v>0.14000000000000001</v>
      </c>
      <c r="D68" s="213">
        <v>0.36</v>
      </c>
      <c r="E68" s="213">
        <v>0.21</v>
      </c>
      <c r="F68" s="987">
        <f t="shared" ref="F68:F73" si="38">0.5*(MAX(D68:E68)-MIN(D68:E68))</f>
        <v>7.4999999999999997E-2</v>
      </c>
      <c r="G68" s="986">
        <f t="shared" ref="G68:G73" si="39">(1.2/100)*B68</f>
        <v>1.8</v>
      </c>
      <c r="H68" s="1434"/>
      <c r="I68" s="986">
        <v>150</v>
      </c>
      <c r="J68" s="998">
        <v>-0.17</v>
      </c>
      <c r="K68" s="998">
        <v>-0.24</v>
      </c>
      <c r="L68" s="920"/>
      <c r="M68" s="987">
        <f>0.5*(MAX(J68:L68)-MIN(J68:L68))</f>
        <v>3.4999999999999989E-2</v>
      </c>
      <c r="N68" s="986">
        <f t="shared" ref="N68:N73" si="40">(1.2/100)*I68</f>
        <v>1.8</v>
      </c>
      <c r="O68" s="1434"/>
      <c r="P68" s="986">
        <v>150</v>
      </c>
      <c r="Q68" s="998">
        <v>-0.08</v>
      </c>
      <c r="R68" s="998">
        <v>-0.17</v>
      </c>
      <c r="S68" s="920"/>
      <c r="T68" s="987">
        <f>0.5*(MAX(Q68:S68)-MIN(Q68:S68))</f>
        <v>4.5000000000000005E-2</v>
      </c>
      <c r="U68" s="986">
        <f t="shared" ref="U68:U73" si="41">(1.2/100)*P68</f>
        <v>1.8</v>
      </c>
    </row>
    <row r="69" spans="1:21" ht="13" x14ac:dyDescent="0.25">
      <c r="A69" s="1437"/>
      <c r="B69" s="986">
        <v>180</v>
      </c>
      <c r="C69" s="920">
        <v>0.34</v>
      </c>
      <c r="D69" s="213">
        <v>0.46</v>
      </c>
      <c r="E69" s="213">
        <v>0.33</v>
      </c>
      <c r="F69" s="987">
        <f t="shared" si="38"/>
        <v>6.5000000000000002E-2</v>
      </c>
      <c r="G69" s="986">
        <f t="shared" si="39"/>
        <v>2.16</v>
      </c>
      <c r="H69" s="1434"/>
      <c r="I69" s="986">
        <v>180</v>
      </c>
      <c r="J69" s="998">
        <v>-0.39</v>
      </c>
      <c r="K69" s="998">
        <v>-0.14000000000000001</v>
      </c>
      <c r="L69" s="920"/>
      <c r="M69" s="987">
        <f t="shared" ref="M69:M73" si="42">0.5*(MAX(J69:L69)-MIN(J69:L69))</f>
        <v>0.125</v>
      </c>
      <c r="N69" s="986">
        <f t="shared" si="40"/>
        <v>2.16</v>
      </c>
      <c r="O69" s="1434"/>
      <c r="P69" s="986">
        <v>180</v>
      </c>
      <c r="Q69" s="998">
        <v>-0.2</v>
      </c>
      <c r="R69" s="998">
        <v>-0.22</v>
      </c>
      <c r="S69" s="920"/>
      <c r="T69" s="987">
        <f t="shared" ref="T69:T73" si="43">0.5*(MAX(Q69:S69)-MIN(Q69:S69))</f>
        <v>9.999999999999995E-3</v>
      </c>
      <c r="U69" s="986">
        <f t="shared" si="41"/>
        <v>2.16</v>
      </c>
    </row>
    <row r="70" spans="1:21" x14ac:dyDescent="0.25">
      <c r="A70" s="1437"/>
      <c r="B70" s="213">
        <v>200</v>
      </c>
      <c r="C70" s="920">
        <v>0.42</v>
      </c>
      <c r="D70" s="213">
        <v>0.52</v>
      </c>
      <c r="E70" s="213">
        <v>0.34</v>
      </c>
      <c r="F70" s="987">
        <f t="shared" si="38"/>
        <v>0.09</v>
      </c>
      <c r="G70" s="986">
        <f t="shared" si="39"/>
        <v>2.4</v>
      </c>
      <c r="H70" s="1434"/>
      <c r="I70" s="213">
        <v>200</v>
      </c>
      <c r="J70" s="213">
        <v>-0.23</v>
      </c>
      <c r="K70" s="213">
        <v>-0.33</v>
      </c>
      <c r="L70" s="920"/>
      <c r="M70" s="987">
        <f t="shared" si="42"/>
        <v>0.05</v>
      </c>
      <c r="N70" s="986">
        <f>(1.2/100)*I70</f>
        <v>2.4</v>
      </c>
      <c r="O70" s="1434"/>
      <c r="P70" s="213">
        <v>200</v>
      </c>
      <c r="Q70" s="213">
        <v>-0.25</v>
      </c>
      <c r="R70" s="213">
        <v>-0.33</v>
      </c>
      <c r="S70" s="920"/>
      <c r="T70" s="987">
        <f t="shared" si="43"/>
        <v>4.0000000000000008E-2</v>
      </c>
      <c r="U70" s="986">
        <f t="shared" si="41"/>
        <v>2.4</v>
      </c>
    </row>
    <row r="71" spans="1:21" x14ac:dyDescent="0.25">
      <c r="A71" s="1437"/>
      <c r="B71" s="213">
        <v>220</v>
      </c>
      <c r="C71" s="920">
        <v>0.32</v>
      </c>
      <c r="D71" s="213">
        <v>0.57999999999999996</v>
      </c>
      <c r="E71" s="213">
        <v>0.37</v>
      </c>
      <c r="F71" s="987">
        <f t="shared" si="38"/>
        <v>0.10499999999999998</v>
      </c>
      <c r="G71" s="986">
        <f t="shared" si="39"/>
        <v>2.64</v>
      </c>
      <c r="H71" s="1434"/>
      <c r="I71" s="213">
        <v>220</v>
      </c>
      <c r="J71" s="213">
        <v>-0.16</v>
      </c>
      <c r="K71" s="213">
        <v>-0.45</v>
      </c>
      <c r="L71" s="920"/>
      <c r="M71" s="987">
        <f t="shared" si="42"/>
        <v>0.14500000000000002</v>
      </c>
      <c r="N71" s="986">
        <f t="shared" si="40"/>
        <v>2.64</v>
      </c>
      <c r="O71" s="1434"/>
      <c r="P71" s="213">
        <v>220</v>
      </c>
      <c r="Q71" s="213">
        <v>-0.28999999999999998</v>
      </c>
      <c r="R71" s="213">
        <v>-0.39</v>
      </c>
      <c r="S71" s="920"/>
      <c r="T71" s="987">
        <f t="shared" si="43"/>
        <v>5.0000000000000017E-2</v>
      </c>
      <c r="U71" s="986">
        <f t="shared" si="41"/>
        <v>2.64</v>
      </c>
    </row>
    <row r="72" spans="1:21" x14ac:dyDescent="0.25">
      <c r="A72" s="1437"/>
      <c r="B72" s="213">
        <v>230</v>
      </c>
      <c r="C72" s="920">
        <v>0.38</v>
      </c>
      <c r="D72" s="213">
        <v>0.47</v>
      </c>
      <c r="E72" s="213">
        <v>0.47</v>
      </c>
      <c r="F72" s="987">
        <f t="shared" si="38"/>
        <v>0</v>
      </c>
      <c r="G72" s="986">
        <f t="shared" si="39"/>
        <v>2.7600000000000002</v>
      </c>
      <c r="H72" s="1434"/>
      <c r="I72" s="213">
        <v>230</v>
      </c>
      <c r="J72" s="213">
        <v>-0.15</v>
      </c>
      <c r="K72" s="213">
        <v>-0.54</v>
      </c>
      <c r="L72" s="920"/>
      <c r="M72" s="987">
        <f t="shared" si="42"/>
        <v>0.19500000000000001</v>
      </c>
      <c r="N72" s="986">
        <f t="shared" si="40"/>
        <v>2.7600000000000002</v>
      </c>
      <c r="O72" s="1434"/>
      <c r="P72" s="213">
        <v>230</v>
      </c>
      <c r="Q72" s="213">
        <v>-0.34</v>
      </c>
      <c r="R72" s="213">
        <v>-0.39</v>
      </c>
      <c r="S72" s="920"/>
      <c r="T72" s="987">
        <f t="shared" si="43"/>
        <v>2.4999999999999994E-2</v>
      </c>
      <c r="U72" s="986">
        <f t="shared" si="41"/>
        <v>2.7600000000000002</v>
      </c>
    </row>
    <row r="73" spans="1:21" x14ac:dyDescent="0.25">
      <c r="A73" s="1437"/>
      <c r="B73" s="213">
        <v>240</v>
      </c>
      <c r="C73" s="920">
        <v>0.44</v>
      </c>
      <c r="D73" s="213">
        <v>0</v>
      </c>
      <c r="E73" s="213">
        <v>0.38</v>
      </c>
      <c r="F73" s="987">
        <f t="shared" si="38"/>
        <v>0.19</v>
      </c>
      <c r="G73" s="986">
        <f t="shared" si="39"/>
        <v>2.88</v>
      </c>
      <c r="H73" s="1434"/>
      <c r="I73" s="213">
        <v>250</v>
      </c>
      <c r="J73" s="213">
        <v>9.9999999999999995E-7</v>
      </c>
      <c r="K73" s="213">
        <v>-0.49</v>
      </c>
      <c r="L73" s="920"/>
      <c r="M73" s="987">
        <f t="shared" si="42"/>
        <v>0.24500049999999998</v>
      </c>
      <c r="N73" s="986">
        <f t="shared" si="40"/>
        <v>3</v>
      </c>
      <c r="O73" s="1434"/>
      <c r="P73" s="213">
        <v>250</v>
      </c>
      <c r="Q73" s="213">
        <v>0</v>
      </c>
      <c r="R73" s="213">
        <v>-0.39</v>
      </c>
      <c r="S73" s="920"/>
      <c r="T73" s="987">
        <f t="shared" si="43"/>
        <v>0.19500000000000001</v>
      </c>
      <c r="U73" s="986">
        <f t="shared" si="41"/>
        <v>3</v>
      </c>
    </row>
    <row r="74" spans="1:21" ht="12.75" customHeight="1" x14ac:dyDescent="0.25">
      <c r="A74" s="1437"/>
      <c r="B74" s="1433" t="s">
        <v>345</v>
      </c>
      <c r="C74" s="1433"/>
      <c r="D74" s="1433"/>
      <c r="E74" s="1433"/>
      <c r="F74" s="1426" t="s">
        <v>342</v>
      </c>
      <c r="G74" s="1426" t="s">
        <v>343</v>
      </c>
      <c r="H74" s="1434"/>
      <c r="I74" s="1433" t="str">
        <f>B74</f>
        <v>Current Leakage</v>
      </c>
      <c r="J74" s="1433"/>
      <c r="K74" s="1433"/>
      <c r="L74" s="1433"/>
      <c r="M74" s="1426" t="s">
        <v>342</v>
      </c>
      <c r="N74" s="1426" t="s">
        <v>343</v>
      </c>
      <c r="O74" s="1434"/>
      <c r="P74" s="1433" t="str">
        <f>B74</f>
        <v>Current Leakage</v>
      </c>
      <c r="Q74" s="1433"/>
      <c r="R74" s="1433"/>
      <c r="S74" s="1433"/>
      <c r="T74" s="1426" t="s">
        <v>342</v>
      </c>
      <c r="U74" s="1426" t="s">
        <v>343</v>
      </c>
    </row>
    <row r="75" spans="1:21" ht="14" x14ac:dyDescent="0.25">
      <c r="A75" s="1437"/>
      <c r="B75" s="983" t="s">
        <v>346</v>
      </c>
      <c r="C75" s="984">
        <f>C67</f>
        <v>2023</v>
      </c>
      <c r="D75" s="984">
        <f>D67</f>
        <v>2022</v>
      </c>
      <c r="E75" s="984">
        <f>E67</f>
        <v>2020</v>
      </c>
      <c r="F75" s="1426"/>
      <c r="G75" s="1426"/>
      <c r="H75" s="1434"/>
      <c r="I75" s="983" t="s">
        <v>346</v>
      </c>
      <c r="J75" s="984">
        <f>J67</f>
        <v>2022</v>
      </c>
      <c r="K75" s="984">
        <f>K67</f>
        <v>2020</v>
      </c>
      <c r="L75" s="984">
        <f>L67</f>
        <v>2016</v>
      </c>
      <c r="M75" s="1426"/>
      <c r="N75" s="1426"/>
      <c r="O75" s="1434"/>
      <c r="P75" s="983" t="s">
        <v>346</v>
      </c>
      <c r="Q75" s="984">
        <f>Q67</f>
        <v>2022</v>
      </c>
      <c r="R75" s="984">
        <f>R67</f>
        <v>2020</v>
      </c>
      <c r="S75" s="984">
        <f>S67</f>
        <v>2016</v>
      </c>
      <c r="T75" s="1426"/>
      <c r="U75" s="1426"/>
    </row>
    <row r="76" spans="1:21" x14ac:dyDescent="0.25">
      <c r="A76" s="1437"/>
      <c r="B76" s="213">
        <v>0</v>
      </c>
      <c r="C76" s="920">
        <v>0</v>
      </c>
      <c r="D76" s="213">
        <v>0</v>
      </c>
      <c r="E76" s="213">
        <v>9.9999999999999995E-7</v>
      </c>
      <c r="F76" s="987">
        <f t="shared" ref="F76:F81" si="44">0.5*(MAX(D76:E76)-MIN(D76:E76))</f>
        <v>4.9999999999999998E-7</v>
      </c>
      <c r="G76" s="213">
        <f>(0.59/100)*B76</f>
        <v>0</v>
      </c>
      <c r="H76" s="1434"/>
      <c r="I76" s="213">
        <v>0</v>
      </c>
      <c r="J76" s="213">
        <v>9.9999999999999995E-7</v>
      </c>
      <c r="K76" s="213">
        <v>9.9999999999999995E-7</v>
      </c>
      <c r="L76" s="920"/>
      <c r="M76" s="987">
        <f>0.5*(MAX(J76:L76)-MIN(J76:L76))</f>
        <v>0</v>
      </c>
      <c r="N76" s="213">
        <f>(0.59/100)*I76</f>
        <v>0</v>
      </c>
      <c r="O76" s="1434"/>
      <c r="P76" s="213">
        <v>0</v>
      </c>
      <c r="Q76" s="213">
        <v>0</v>
      </c>
      <c r="R76" s="213">
        <v>9.9999999999999995E-7</v>
      </c>
      <c r="S76" s="920"/>
      <c r="T76" s="987">
        <f>0.5*(MAX(Q76:S76)-MIN(Q76:S76))</f>
        <v>4.9999999999999998E-7</v>
      </c>
      <c r="U76" s="213">
        <v>0.12</v>
      </c>
    </row>
    <row r="77" spans="1:21" x14ac:dyDescent="0.25">
      <c r="A77" s="1437"/>
      <c r="B77" s="213">
        <v>50</v>
      </c>
      <c r="C77" s="920">
        <v>5</v>
      </c>
      <c r="D77" s="213">
        <v>1.9</v>
      </c>
      <c r="E77" s="213">
        <v>1.7</v>
      </c>
      <c r="F77" s="987">
        <f t="shared" si="44"/>
        <v>9.9999999999999978E-2</v>
      </c>
      <c r="G77" s="213">
        <f>(0.59/100)*B77</f>
        <v>0.29499999999999998</v>
      </c>
      <c r="H77" s="1434"/>
      <c r="I77" s="213">
        <v>20</v>
      </c>
      <c r="J77" s="228">
        <v>6.6</v>
      </c>
      <c r="K77" s="213">
        <v>0.9</v>
      </c>
      <c r="L77" s="920"/>
      <c r="M77" s="987">
        <f t="shared" ref="M77:M81" si="45">0.5*(MAX(J77:L77)-MIN(J77:L77))</f>
        <v>2.8499999999999996</v>
      </c>
      <c r="N77" s="213">
        <f t="shared" ref="N77:N81" si="46">(0.59/100)*I77</f>
        <v>0.11799999999999999</v>
      </c>
      <c r="O77" s="1434"/>
      <c r="P77" s="213">
        <v>20</v>
      </c>
      <c r="Q77" s="213">
        <v>4.9000000000000004</v>
      </c>
      <c r="R77" s="213">
        <v>0.8</v>
      </c>
      <c r="S77" s="920"/>
      <c r="T77" s="987">
        <f t="shared" ref="T77:T81" si="47">0.5*(MAX(Q77:S77)-MIN(Q77:S77))</f>
        <v>2.0500000000000003</v>
      </c>
      <c r="U77" s="213">
        <f>(0.59/100)*P77</f>
        <v>0.11799999999999999</v>
      </c>
    </row>
    <row r="78" spans="1:21" x14ac:dyDescent="0.25">
      <c r="A78" s="1437"/>
      <c r="B78" s="213">
        <v>100</v>
      </c>
      <c r="C78" s="920">
        <v>6.2</v>
      </c>
      <c r="D78" s="213">
        <v>1.7</v>
      </c>
      <c r="E78" s="213">
        <v>1.7</v>
      </c>
      <c r="F78" s="987">
        <f t="shared" si="44"/>
        <v>0</v>
      </c>
      <c r="G78" s="213">
        <f t="shared" ref="G78:G81" si="48">(0.59/100)*B78</f>
        <v>0.59</v>
      </c>
      <c r="H78" s="1434"/>
      <c r="I78" s="213">
        <v>50</v>
      </c>
      <c r="J78" s="228">
        <v>5</v>
      </c>
      <c r="K78" s="228">
        <v>2.1</v>
      </c>
      <c r="L78" s="920"/>
      <c r="M78" s="987">
        <f t="shared" si="45"/>
        <v>1.45</v>
      </c>
      <c r="N78" s="213">
        <f t="shared" si="46"/>
        <v>0.29499999999999998</v>
      </c>
      <c r="O78" s="1434"/>
      <c r="P78" s="213">
        <v>50</v>
      </c>
      <c r="Q78" s="228">
        <v>9.1999999999999993</v>
      </c>
      <c r="R78" s="228">
        <v>1.7</v>
      </c>
      <c r="S78" s="920"/>
      <c r="T78" s="987">
        <f t="shared" si="47"/>
        <v>3.7499999999999996</v>
      </c>
      <c r="U78" s="213">
        <f>(0.59/100)*P78</f>
        <v>0.29499999999999998</v>
      </c>
    </row>
    <row r="79" spans="1:21" x14ac:dyDescent="0.25">
      <c r="A79" s="1437"/>
      <c r="B79" s="213">
        <v>200</v>
      </c>
      <c r="C79" s="920">
        <v>8.6</v>
      </c>
      <c r="D79" s="213">
        <v>1.5</v>
      </c>
      <c r="E79" s="213">
        <v>0.4</v>
      </c>
      <c r="F79" s="987">
        <f t="shared" si="44"/>
        <v>0.55000000000000004</v>
      </c>
      <c r="G79" s="213">
        <f t="shared" si="48"/>
        <v>1.18</v>
      </c>
      <c r="H79" s="1434"/>
      <c r="I79" s="213">
        <v>200</v>
      </c>
      <c r="J79" s="213">
        <v>-8.1999999999999993</v>
      </c>
      <c r="K79" s="213">
        <v>3.7</v>
      </c>
      <c r="L79" s="920"/>
      <c r="M79" s="987">
        <f t="shared" si="45"/>
        <v>5.9499999999999993</v>
      </c>
      <c r="N79" s="213">
        <f t="shared" si="46"/>
        <v>1.18</v>
      </c>
      <c r="O79" s="1434"/>
      <c r="P79" s="213">
        <v>200</v>
      </c>
      <c r="Q79" s="213">
        <v>-0.2</v>
      </c>
      <c r="R79" s="213">
        <v>3.4</v>
      </c>
      <c r="S79" s="920"/>
      <c r="T79" s="987">
        <f t="shared" si="47"/>
        <v>1.8</v>
      </c>
      <c r="U79" s="213">
        <f>(0.59/100)*P79</f>
        <v>1.18</v>
      </c>
    </row>
    <row r="80" spans="1:21" x14ac:dyDescent="0.25">
      <c r="A80" s="1437"/>
      <c r="B80" s="213">
        <v>500</v>
      </c>
      <c r="C80" s="920">
        <v>9.3000000000000007</v>
      </c>
      <c r="D80" s="213">
        <v>0.9</v>
      </c>
      <c r="E80" s="213">
        <v>3</v>
      </c>
      <c r="F80" s="987">
        <f t="shared" si="44"/>
        <v>1.05</v>
      </c>
      <c r="G80" s="213">
        <f t="shared" si="48"/>
        <v>2.9499999999999997</v>
      </c>
      <c r="H80" s="1434"/>
      <c r="I80" s="213">
        <v>500</v>
      </c>
      <c r="J80" s="213">
        <v>-31.8</v>
      </c>
      <c r="K80" s="213">
        <v>8.3000000000000007</v>
      </c>
      <c r="L80" s="920"/>
      <c r="M80" s="987">
        <f t="shared" si="45"/>
        <v>20.05</v>
      </c>
      <c r="N80" s="213">
        <f t="shared" si="46"/>
        <v>2.9499999999999997</v>
      </c>
      <c r="O80" s="1434"/>
      <c r="P80" s="213">
        <v>500</v>
      </c>
      <c r="Q80" s="213">
        <v>-25.1</v>
      </c>
      <c r="R80" s="213">
        <v>7.2</v>
      </c>
      <c r="S80" s="920"/>
      <c r="T80" s="987">
        <f t="shared" si="47"/>
        <v>16.150000000000002</v>
      </c>
      <c r="U80" s="213">
        <f>(0.59/100)*P80</f>
        <v>2.9499999999999997</v>
      </c>
    </row>
    <row r="81" spans="1:21" x14ac:dyDescent="0.25">
      <c r="A81" s="1437"/>
      <c r="B81" s="213">
        <v>1000</v>
      </c>
      <c r="C81" s="920">
        <v>-88</v>
      </c>
      <c r="D81" s="213">
        <v>0</v>
      </c>
      <c r="E81" s="213">
        <v>9.9999999999999995E-7</v>
      </c>
      <c r="F81" s="987">
        <f t="shared" si="44"/>
        <v>4.9999999999999998E-7</v>
      </c>
      <c r="G81" s="213">
        <f t="shared" si="48"/>
        <v>5.8999999999999995</v>
      </c>
      <c r="H81" s="1434"/>
      <c r="I81" s="213">
        <v>1000</v>
      </c>
      <c r="J81" s="213">
        <v>-74</v>
      </c>
      <c r="K81" s="213">
        <v>9.9999999999999995E-7</v>
      </c>
      <c r="L81" s="920"/>
      <c r="M81" s="987">
        <f t="shared" si="45"/>
        <v>37.000000499999999</v>
      </c>
      <c r="N81" s="213">
        <f t="shared" si="46"/>
        <v>5.8999999999999995</v>
      </c>
      <c r="O81" s="1434"/>
      <c r="P81" s="213">
        <v>1000</v>
      </c>
      <c r="Q81" s="213">
        <v>-6.6000000000000003E-2</v>
      </c>
      <c r="R81" s="213">
        <v>9.9999999999999995E-7</v>
      </c>
      <c r="S81" s="920"/>
      <c r="T81" s="987">
        <f t="shared" si="47"/>
        <v>3.3000500000000002E-2</v>
      </c>
      <c r="U81" s="213">
        <v>2.99</v>
      </c>
    </row>
    <row r="82" spans="1:21" ht="13" x14ac:dyDescent="0.25">
      <c r="A82" s="1437"/>
      <c r="B82" s="1433" t="s">
        <v>347</v>
      </c>
      <c r="C82" s="1433"/>
      <c r="D82" s="1433"/>
      <c r="E82" s="1433"/>
      <c r="F82" s="1426" t="s">
        <v>342</v>
      </c>
      <c r="G82" s="1426" t="s">
        <v>343</v>
      </c>
      <c r="H82" s="1434"/>
      <c r="I82" s="1433" t="s">
        <v>347</v>
      </c>
      <c r="J82" s="1433"/>
      <c r="K82" s="1433"/>
      <c r="L82" s="1433"/>
      <c r="M82" s="1426" t="s">
        <v>342</v>
      </c>
      <c r="N82" s="1426" t="s">
        <v>343</v>
      </c>
      <c r="O82" s="1434"/>
      <c r="P82" s="1433" t="str">
        <f>B82</f>
        <v>Main-PE</v>
      </c>
      <c r="Q82" s="1433"/>
      <c r="R82" s="1433"/>
      <c r="S82" s="1433"/>
      <c r="T82" s="1426" t="s">
        <v>342</v>
      </c>
      <c r="U82" s="1426" t="s">
        <v>343</v>
      </c>
    </row>
    <row r="83" spans="1:21" ht="14.5" x14ac:dyDescent="0.25">
      <c r="A83" s="1437"/>
      <c r="B83" s="983" t="s">
        <v>348</v>
      </c>
      <c r="C83" s="984">
        <f>C67</f>
        <v>2023</v>
      </c>
      <c r="D83" s="984">
        <f>D67</f>
        <v>2022</v>
      </c>
      <c r="E83" s="984">
        <f>E67</f>
        <v>2020</v>
      </c>
      <c r="F83" s="1426"/>
      <c r="G83" s="1426"/>
      <c r="H83" s="1434"/>
      <c r="I83" s="983" t="s">
        <v>348</v>
      </c>
      <c r="J83" s="984">
        <f>J67</f>
        <v>2022</v>
      </c>
      <c r="K83" s="984">
        <f>K67</f>
        <v>2020</v>
      </c>
      <c r="L83" s="984">
        <f>L67</f>
        <v>2016</v>
      </c>
      <c r="M83" s="1426"/>
      <c r="N83" s="1426"/>
      <c r="O83" s="1434"/>
      <c r="P83" s="983" t="s">
        <v>348</v>
      </c>
      <c r="Q83" s="984">
        <f>Q67</f>
        <v>2022</v>
      </c>
      <c r="R83" s="984">
        <f>R67</f>
        <v>2020</v>
      </c>
      <c r="S83" s="984">
        <f>S67</f>
        <v>2016</v>
      </c>
      <c r="T83" s="1426"/>
      <c r="U83" s="1426"/>
    </row>
    <row r="84" spans="1:21" x14ac:dyDescent="0.25">
      <c r="A84" s="1437"/>
      <c r="B84" s="213">
        <v>10</v>
      </c>
      <c r="C84" s="920">
        <v>0</v>
      </c>
      <c r="D84" s="213">
        <v>0</v>
      </c>
      <c r="E84" s="213">
        <v>9.9999999999999995E-7</v>
      </c>
      <c r="F84" s="987">
        <f>0.5*(MAX(D84:E84)-MIN(D84:E84))</f>
        <v>4.9999999999999998E-7</v>
      </c>
      <c r="G84" s="213">
        <f>(1.7/100)*(B84-C84)</f>
        <v>0.17</v>
      </c>
      <c r="H84" s="1434"/>
      <c r="I84" s="213">
        <v>10</v>
      </c>
      <c r="J84" s="213">
        <v>9.9999999999999995E-7</v>
      </c>
      <c r="K84" s="213">
        <v>9.9999999999999995E-7</v>
      </c>
      <c r="L84" s="920"/>
      <c r="M84" s="987">
        <f>0.5*(MAX(J84:L84)-MIN(J84:L84))</f>
        <v>0</v>
      </c>
      <c r="N84" s="213">
        <f>(1.7/100)*I84</f>
        <v>0.17</v>
      </c>
      <c r="O84" s="1434"/>
      <c r="P84" s="213">
        <v>10</v>
      </c>
      <c r="Q84" s="213">
        <v>0</v>
      </c>
      <c r="R84" s="213">
        <v>9.9999999999999995E-7</v>
      </c>
      <c r="S84" s="920"/>
      <c r="T84" s="987">
        <f>0.5*(MAX(Q84:S84)-MIN(Q84:S84))</f>
        <v>4.9999999999999998E-7</v>
      </c>
      <c r="U84" s="213">
        <v>0</v>
      </c>
    </row>
    <row r="85" spans="1:21" x14ac:dyDescent="0.25">
      <c r="A85" s="1437"/>
      <c r="B85" s="213">
        <v>20</v>
      </c>
      <c r="C85" s="920">
        <v>0.1</v>
      </c>
      <c r="D85" s="213">
        <v>0.1</v>
      </c>
      <c r="E85" s="213">
        <v>9.9999999999999995E-7</v>
      </c>
      <c r="F85" s="987">
        <f>0.5*(MAX(D85:E85)-MIN(D85:E85))</f>
        <v>4.9999500000000002E-2</v>
      </c>
      <c r="G85" s="213">
        <f t="shared" ref="G85:G86" si="49">(1.7/100)*(B85-C85)</f>
        <v>0.33829999999999999</v>
      </c>
      <c r="H85" s="1434"/>
      <c r="I85" s="213">
        <v>20</v>
      </c>
      <c r="J85" s="213">
        <v>9.9999999999999995E-7</v>
      </c>
      <c r="K85" s="213">
        <v>9.9999999999999995E-7</v>
      </c>
      <c r="L85" s="920"/>
      <c r="M85" s="987">
        <f t="shared" ref="M85:M87" si="50">0.5*(MAX(J85:L85)-MIN(J85:L85))</f>
        <v>0</v>
      </c>
      <c r="N85" s="213">
        <f t="shared" ref="N85:N87" si="51">(1.7/100)*I85</f>
        <v>0.34</v>
      </c>
      <c r="O85" s="1434"/>
      <c r="P85" s="213">
        <v>20</v>
      </c>
      <c r="Q85" s="213">
        <v>0</v>
      </c>
      <c r="R85" s="213">
        <v>9.9999999999999995E-7</v>
      </c>
      <c r="S85" s="920"/>
      <c r="T85" s="987">
        <f t="shared" ref="T85:T87" si="52">0.5*(MAX(Q85:S85)-MIN(Q85:S85))</f>
        <v>4.9999999999999998E-7</v>
      </c>
      <c r="U85" s="213">
        <v>0</v>
      </c>
    </row>
    <row r="86" spans="1:21" x14ac:dyDescent="0.25">
      <c r="A86" s="1437"/>
      <c r="B86" s="213">
        <v>50</v>
      </c>
      <c r="C86" s="920">
        <v>0.3</v>
      </c>
      <c r="D86" s="213">
        <v>0.5</v>
      </c>
      <c r="E86" s="213">
        <v>9.9999999999999995E-7</v>
      </c>
      <c r="F86" s="987">
        <f>0.5*(MAX(D86:E86)-MIN(D86:E86))</f>
        <v>0.24999950000000001</v>
      </c>
      <c r="G86" s="213">
        <f t="shared" si="49"/>
        <v>0.8449000000000001</v>
      </c>
      <c r="H86" s="1434"/>
      <c r="I86" s="213">
        <v>50</v>
      </c>
      <c r="J86" s="213">
        <v>0.2</v>
      </c>
      <c r="K86" s="213">
        <v>9.9999999999999995E-7</v>
      </c>
      <c r="L86" s="920"/>
      <c r="M86" s="987">
        <f t="shared" si="50"/>
        <v>9.9999500000000005E-2</v>
      </c>
      <c r="N86" s="213">
        <f t="shared" si="51"/>
        <v>0.85000000000000009</v>
      </c>
      <c r="O86" s="1434"/>
      <c r="P86" s="213">
        <v>50</v>
      </c>
      <c r="Q86" s="213">
        <v>0.2</v>
      </c>
      <c r="R86" s="213">
        <v>9.9999999999999995E-7</v>
      </c>
      <c r="S86" s="920"/>
      <c r="T86" s="987">
        <f t="shared" si="52"/>
        <v>9.9999500000000005E-2</v>
      </c>
      <c r="U86" s="213">
        <v>0</v>
      </c>
    </row>
    <row r="87" spans="1:21" x14ac:dyDescent="0.25">
      <c r="A87" s="1437"/>
      <c r="B87" s="213">
        <v>100</v>
      </c>
      <c r="C87" s="920">
        <v>0.8</v>
      </c>
      <c r="D87" s="213">
        <v>0.9</v>
      </c>
      <c r="E87" s="213">
        <v>9.9999999999999995E-7</v>
      </c>
      <c r="F87" s="987">
        <f>0.5*(MAX(D87:E87)-MIN(D87:E87))</f>
        <v>0.4499995</v>
      </c>
      <c r="G87" s="213">
        <f>(1.7/100)*(B87-C87)</f>
        <v>1.6864000000000001</v>
      </c>
      <c r="H87" s="1434"/>
      <c r="I87" s="213">
        <v>100</v>
      </c>
      <c r="J87" s="213">
        <v>0.4</v>
      </c>
      <c r="K87" s="213">
        <v>9.9999999999999995E-7</v>
      </c>
      <c r="L87" s="920"/>
      <c r="M87" s="987">
        <f t="shared" si="50"/>
        <v>0.19999950000000002</v>
      </c>
      <c r="N87" s="213">
        <f t="shared" si="51"/>
        <v>1.7000000000000002</v>
      </c>
      <c r="O87" s="1434"/>
      <c r="P87" s="213">
        <v>100</v>
      </c>
      <c r="Q87" s="213">
        <v>0.6</v>
      </c>
      <c r="R87" s="213">
        <v>9.9999999999999995E-7</v>
      </c>
      <c r="S87" s="920"/>
      <c r="T87" s="987">
        <f t="shared" si="52"/>
        <v>0.29999949999999997</v>
      </c>
      <c r="U87" s="213">
        <v>0</v>
      </c>
    </row>
    <row r="88" spans="1:21" ht="12.75" customHeight="1" x14ac:dyDescent="0.25">
      <c r="A88" s="1437"/>
      <c r="B88" s="1433" t="s">
        <v>349</v>
      </c>
      <c r="C88" s="1433"/>
      <c r="D88" s="1433"/>
      <c r="E88" s="1433"/>
      <c r="F88" s="1426" t="s">
        <v>342</v>
      </c>
      <c r="G88" s="1426" t="s">
        <v>343</v>
      </c>
      <c r="H88" s="1434"/>
      <c r="I88" s="1433" t="s">
        <v>349</v>
      </c>
      <c r="J88" s="1433"/>
      <c r="K88" s="1433"/>
      <c r="L88" s="1433"/>
      <c r="M88" s="1426" t="s">
        <v>342</v>
      </c>
      <c r="N88" s="1440" t="s">
        <v>343</v>
      </c>
      <c r="O88" s="1434"/>
      <c r="P88" s="1433" t="str">
        <f>B88</f>
        <v>Resistance</v>
      </c>
      <c r="Q88" s="1433"/>
      <c r="R88" s="1433"/>
      <c r="S88" s="1433"/>
      <c r="T88" s="1426" t="s">
        <v>342</v>
      </c>
      <c r="U88" s="1426" t="s">
        <v>343</v>
      </c>
    </row>
    <row r="89" spans="1:21" ht="14.5" x14ac:dyDescent="0.25">
      <c r="A89" s="1437"/>
      <c r="B89" s="983" t="s">
        <v>350</v>
      </c>
      <c r="C89" s="984">
        <f>C67</f>
        <v>2023</v>
      </c>
      <c r="D89" s="984">
        <f>D67</f>
        <v>2022</v>
      </c>
      <c r="E89" s="984">
        <f>E67</f>
        <v>2020</v>
      </c>
      <c r="F89" s="1426"/>
      <c r="G89" s="1426"/>
      <c r="H89" s="1434"/>
      <c r="I89" s="983" t="s">
        <v>350</v>
      </c>
      <c r="J89" s="984">
        <f>J67</f>
        <v>2022</v>
      </c>
      <c r="K89" s="984">
        <f>K67</f>
        <v>2020</v>
      </c>
      <c r="L89" s="984">
        <f>L67</f>
        <v>2016</v>
      </c>
      <c r="M89" s="1426"/>
      <c r="N89" s="1441"/>
      <c r="O89" s="1434"/>
      <c r="P89" s="983" t="s">
        <v>350</v>
      </c>
      <c r="Q89" s="984">
        <f>Q67</f>
        <v>2022</v>
      </c>
      <c r="R89" s="984">
        <f>R67</f>
        <v>2020</v>
      </c>
      <c r="S89" s="984">
        <f>S67</f>
        <v>2016</v>
      </c>
      <c r="T89" s="1426"/>
      <c r="U89" s="1426"/>
    </row>
    <row r="90" spans="1:21" x14ac:dyDescent="0.25">
      <c r="A90" s="1437"/>
      <c r="B90" s="213">
        <v>0.01</v>
      </c>
      <c r="C90" s="1142">
        <v>0</v>
      </c>
      <c r="D90" s="1000">
        <v>0</v>
      </c>
      <c r="E90" s="1000">
        <v>9.9999999999999995E-7</v>
      </c>
      <c r="F90" s="987">
        <f>0.5*(MAX(D90:E90)-MIN(D90:E90))</f>
        <v>4.9999999999999998E-7</v>
      </c>
      <c r="G90" s="213">
        <f>(1.2/100)*(B90-C90)</f>
        <v>1.2E-4</v>
      </c>
      <c r="H90" s="1434"/>
      <c r="I90" s="213">
        <v>0.1</v>
      </c>
      <c r="J90" s="218">
        <v>-1E-3</v>
      </c>
      <c r="K90" s="218">
        <v>-1E-3</v>
      </c>
      <c r="L90" s="920"/>
      <c r="M90" s="999">
        <f>0.5*(MAX(J90:L90)-MIN(J90:L90))</f>
        <v>0</v>
      </c>
      <c r="N90" s="213">
        <f>(1.2/100)*I90</f>
        <v>1.2000000000000001E-3</v>
      </c>
      <c r="O90" s="1434"/>
      <c r="P90" s="213">
        <v>1E-3</v>
      </c>
      <c r="Q90" s="228">
        <v>0</v>
      </c>
      <c r="R90" s="228">
        <v>-1E-3</v>
      </c>
      <c r="S90" s="920"/>
      <c r="T90" s="987">
        <f>0.5*(MAX(Q90:S90)-MIN(Q90:S90))</f>
        <v>5.0000000000000001E-4</v>
      </c>
      <c r="U90" s="213">
        <f>(1.2/100)*P90</f>
        <v>1.2E-5</v>
      </c>
    </row>
    <row r="91" spans="1:21" x14ac:dyDescent="0.25">
      <c r="A91" s="1437"/>
      <c r="B91" s="213">
        <v>0.5</v>
      </c>
      <c r="C91" s="1142">
        <v>8.0000000000000002E-3</v>
      </c>
      <c r="D91" s="1000">
        <v>3.0000000000000001E-3</v>
      </c>
      <c r="E91" s="1000">
        <v>9.9999999999999995E-7</v>
      </c>
      <c r="F91" s="987">
        <f>0.5*(MAX(D91:E91)-MIN(D91:E91))</f>
        <v>1.4995E-3</v>
      </c>
      <c r="G91" s="213">
        <f t="shared" ref="G91:G93" si="53">(1.2/100)*(B91-C91)</f>
        <v>5.9040000000000004E-3</v>
      </c>
      <c r="H91" s="1434"/>
      <c r="I91" s="213">
        <v>0.5</v>
      </c>
      <c r="J91" s="1000">
        <v>4.0000000000000001E-3</v>
      </c>
      <c r="K91" s="1000">
        <v>-3.0000000000000001E-3</v>
      </c>
      <c r="L91" s="920"/>
      <c r="M91" s="999">
        <f t="shared" ref="M91:M93" si="54">0.5*(MAX(J91:L91)-MIN(J91:L91))</f>
        <v>3.5000000000000001E-3</v>
      </c>
      <c r="N91" s="213">
        <f>(1.2/100)*I91</f>
        <v>6.0000000000000001E-3</v>
      </c>
      <c r="O91" s="1434"/>
      <c r="P91" s="213">
        <v>0.10199999999999999</v>
      </c>
      <c r="Q91" s="213">
        <v>1E-3</v>
      </c>
      <c r="R91" s="213">
        <v>-2E-3</v>
      </c>
      <c r="S91" s="920"/>
      <c r="T91" s="987">
        <f t="shared" ref="T91:T93" si="55">0.5*(MAX(Q91:S91)-MIN(Q91:S91))</f>
        <v>1.5E-3</v>
      </c>
      <c r="U91" s="213">
        <f>(1.2/100)*P91</f>
        <v>1.224E-3</v>
      </c>
    </row>
    <row r="92" spans="1:21" x14ac:dyDescent="0.25">
      <c r="A92" s="1437"/>
      <c r="B92" s="213">
        <v>1</v>
      </c>
      <c r="C92" s="1142">
        <v>-6.0000000000000001E-3</v>
      </c>
      <c r="D92" s="1000">
        <v>2E-3</v>
      </c>
      <c r="E92" s="1000">
        <v>-2E-3</v>
      </c>
      <c r="F92" s="987">
        <f>0.5*(MAX(D92:E92)-MIN(D92:E92))</f>
        <v>2E-3</v>
      </c>
      <c r="G92" s="213">
        <f t="shared" si="53"/>
        <v>1.2072000000000001E-2</v>
      </c>
      <c r="H92" s="1434"/>
      <c r="I92" s="213">
        <v>1</v>
      </c>
      <c r="J92" s="1000">
        <v>5.0000000000000001E-3</v>
      </c>
      <c r="K92" s="1000">
        <v>1E-3</v>
      </c>
      <c r="L92" s="920"/>
      <c r="M92" s="999">
        <f t="shared" si="54"/>
        <v>2E-3</v>
      </c>
      <c r="N92" s="213">
        <f>(1.2/100)*I92</f>
        <v>1.2E-2</v>
      </c>
      <c r="O92" s="1434"/>
      <c r="P92" s="213">
        <v>0.5</v>
      </c>
      <c r="Q92" s="213">
        <v>4.0000000000000001E-3</v>
      </c>
      <c r="R92" s="213">
        <v>9.9999999999999995E-7</v>
      </c>
      <c r="S92" s="920"/>
      <c r="T92" s="987">
        <f t="shared" si="55"/>
        <v>1.9995E-3</v>
      </c>
      <c r="U92" s="213">
        <f>(1.2/100)*P92</f>
        <v>6.0000000000000001E-3</v>
      </c>
    </row>
    <row r="93" spans="1:21" x14ac:dyDescent="0.25">
      <c r="A93" s="1437"/>
      <c r="B93" s="213">
        <v>2</v>
      </c>
      <c r="C93" s="1142">
        <v>-8.0000000000000002E-3</v>
      </c>
      <c r="D93" s="1000">
        <v>-1E-3</v>
      </c>
      <c r="E93" s="1000">
        <v>9.9999999999999995E-7</v>
      </c>
      <c r="F93" s="987">
        <f>0.5*(MAX(D93:E93)-MIN(D93:E93))</f>
        <v>5.0049999999999997E-4</v>
      </c>
      <c r="G93" s="213">
        <f t="shared" si="53"/>
        <v>2.4095999999999999E-2</v>
      </c>
      <c r="H93" s="1434"/>
      <c r="I93" s="213">
        <v>2</v>
      </c>
      <c r="J93" s="1000">
        <v>5.0000000000000001E-3</v>
      </c>
      <c r="K93" s="1000">
        <v>-1E-3</v>
      </c>
      <c r="L93" s="920"/>
      <c r="M93" s="999">
        <f t="shared" si="54"/>
        <v>3.0000000000000001E-3</v>
      </c>
      <c r="N93" s="213">
        <f>(1.2/100)*I93</f>
        <v>2.4E-2</v>
      </c>
      <c r="O93" s="1434"/>
      <c r="P93" s="707">
        <v>1</v>
      </c>
      <c r="Q93" s="707">
        <v>0</v>
      </c>
      <c r="R93" s="707">
        <v>-1E-3</v>
      </c>
      <c r="S93" s="920"/>
      <c r="T93" s="993">
        <f t="shared" si="55"/>
        <v>5.0000000000000001E-4</v>
      </c>
      <c r="U93" s="213">
        <f>(1.2/100)*P93</f>
        <v>1.2E-2</v>
      </c>
    </row>
    <row r="94" spans="1:21" ht="15.5" x14ac:dyDescent="0.25">
      <c r="A94" s="1001"/>
      <c r="B94" s="864"/>
      <c r="C94" s="864"/>
      <c r="D94" s="995"/>
      <c r="E94" s="914"/>
      <c r="F94" s="1002"/>
      <c r="H94" s="996"/>
      <c r="I94" s="864"/>
      <c r="J94" s="864"/>
      <c r="K94" s="995"/>
      <c r="L94" s="995"/>
      <c r="M94" s="995"/>
      <c r="O94" s="996"/>
      <c r="P94" s="864"/>
      <c r="Q94" s="864"/>
      <c r="R94" s="995"/>
      <c r="S94" s="995"/>
      <c r="T94" s="995"/>
    </row>
    <row r="95" spans="1:21" ht="14.5" x14ac:dyDescent="0.25">
      <c r="A95" s="1437" t="s">
        <v>361</v>
      </c>
      <c r="B95" s="1438">
        <v>10</v>
      </c>
      <c r="C95" s="1438"/>
      <c r="D95" s="1438"/>
      <c r="E95" s="1438"/>
      <c r="F95" s="1438"/>
      <c r="G95" s="1438"/>
      <c r="H95" s="1434" t="s">
        <v>362</v>
      </c>
      <c r="I95" s="1435">
        <v>11</v>
      </c>
      <c r="J95" s="1435"/>
      <c r="K95" s="1435"/>
      <c r="L95" s="1435"/>
      <c r="M95" s="1435"/>
      <c r="N95" s="1435"/>
      <c r="O95" s="1434" t="s">
        <v>363</v>
      </c>
      <c r="P95" s="1435">
        <v>12</v>
      </c>
      <c r="Q95" s="1435"/>
      <c r="R95" s="1435"/>
      <c r="S95" s="1435"/>
      <c r="T95" s="1435"/>
      <c r="U95" s="1435"/>
    </row>
    <row r="96" spans="1:21" ht="14" x14ac:dyDescent="0.3">
      <c r="A96" s="1437"/>
      <c r="B96" s="1439" t="s">
        <v>340</v>
      </c>
      <c r="C96" s="1439"/>
      <c r="D96" s="1439"/>
      <c r="E96" s="1439"/>
      <c r="F96" s="1439"/>
      <c r="G96" s="1439"/>
      <c r="H96" s="1434"/>
      <c r="I96" s="1436" t="s">
        <v>340</v>
      </c>
      <c r="J96" s="1436"/>
      <c r="K96" s="1436"/>
      <c r="L96" s="1436"/>
      <c r="M96" s="1436"/>
      <c r="N96" s="1436"/>
      <c r="O96" s="1434"/>
      <c r="P96" s="1436" t="s">
        <v>340</v>
      </c>
      <c r="Q96" s="1436"/>
      <c r="R96" s="1436"/>
      <c r="S96" s="1436"/>
      <c r="T96" s="1436"/>
      <c r="U96" s="1436"/>
    </row>
    <row r="97" spans="1:21" ht="13" x14ac:dyDescent="0.25">
      <c r="A97" s="1437"/>
      <c r="B97" s="1426" t="s">
        <v>341</v>
      </c>
      <c r="C97" s="1426"/>
      <c r="D97" s="1426"/>
      <c r="E97" s="1426"/>
      <c r="F97" s="1426" t="s">
        <v>342</v>
      </c>
      <c r="G97" s="1426" t="s">
        <v>343</v>
      </c>
      <c r="H97" s="1434"/>
      <c r="I97" s="1426" t="str">
        <f>B97</f>
        <v>Setting VAC</v>
      </c>
      <c r="J97" s="1426"/>
      <c r="K97" s="1426"/>
      <c r="L97" s="1426"/>
      <c r="M97" s="1426" t="s">
        <v>342</v>
      </c>
      <c r="N97" s="1426" t="s">
        <v>343</v>
      </c>
      <c r="O97" s="1434"/>
      <c r="P97" s="1426" t="str">
        <f>B97</f>
        <v>Setting VAC</v>
      </c>
      <c r="Q97" s="1426"/>
      <c r="R97" s="1426"/>
      <c r="S97" s="1426"/>
      <c r="T97" s="1426" t="s">
        <v>342</v>
      </c>
      <c r="U97" s="1426" t="s">
        <v>343</v>
      </c>
    </row>
    <row r="98" spans="1:21" ht="14" x14ac:dyDescent="0.25">
      <c r="A98" s="1437"/>
      <c r="B98" s="983" t="s">
        <v>344</v>
      </c>
      <c r="C98" s="985">
        <v>2021</v>
      </c>
      <c r="D98" s="985" t="s">
        <v>364</v>
      </c>
      <c r="E98" s="984">
        <v>2016</v>
      </c>
      <c r="F98" s="1426"/>
      <c r="G98" s="1426"/>
      <c r="H98" s="1434"/>
      <c r="I98" s="983" t="s">
        <v>344</v>
      </c>
      <c r="J98" s="985" t="s">
        <v>364</v>
      </c>
      <c r="K98" s="985" t="s">
        <v>364</v>
      </c>
      <c r="L98" s="984">
        <v>2016</v>
      </c>
      <c r="M98" s="1426"/>
      <c r="N98" s="1426"/>
      <c r="O98" s="1434"/>
      <c r="P98" s="983" t="s">
        <v>344</v>
      </c>
      <c r="Q98" s="985" t="s">
        <v>364</v>
      </c>
      <c r="R98" s="985" t="s">
        <v>364</v>
      </c>
      <c r="S98" s="984">
        <v>2016</v>
      </c>
      <c r="T98" s="1426"/>
      <c r="U98" s="1426"/>
    </row>
    <row r="99" spans="1:21" ht="13" x14ac:dyDescent="0.25">
      <c r="A99" s="1437"/>
      <c r="B99" s="986">
        <v>150</v>
      </c>
      <c r="C99" s="213">
        <v>-0.05</v>
      </c>
      <c r="D99" s="1003" t="s">
        <v>364</v>
      </c>
      <c r="E99" s="920"/>
      <c r="F99" s="987">
        <f>0.5*(MAX(C99:E99)-MIN(C99:E99))</f>
        <v>0</v>
      </c>
      <c r="G99" s="1003" t="s">
        <v>364</v>
      </c>
      <c r="H99" s="1434"/>
      <c r="I99" s="986">
        <v>150</v>
      </c>
      <c r="J99" s="228">
        <v>9.9999999999999995E-7</v>
      </c>
      <c r="K99" s="1003" t="s">
        <v>364</v>
      </c>
      <c r="L99" s="920"/>
      <c r="M99" s="987">
        <f>0.5*(MAX(J99:L99)-MIN(J99:L99))</f>
        <v>0</v>
      </c>
      <c r="N99" s="1003" t="s">
        <v>364</v>
      </c>
      <c r="O99" s="1434"/>
      <c r="P99" s="986">
        <v>150</v>
      </c>
      <c r="Q99" s="228">
        <v>9.9999999999999995E-7</v>
      </c>
      <c r="R99" s="1003" t="s">
        <v>364</v>
      </c>
      <c r="S99" s="920"/>
      <c r="T99" s="987">
        <f>0.5*(MAX(Q99:S99)-MIN(Q99:S99))</f>
        <v>0</v>
      </c>
      <c r="U99" s="1003" t="s">
        <v>364</v>
      </c>
    </row>
    <row r="100" spans="1:21" ht="13" x14ac:dyDescent="0.25">
      <c r="A100" s="1437"/>
      <c r="B100" s="986">
        <v>180</v>
      </c>
      <c r="C100" s="213">
        <v>-0.04</v>
      </c>
      <c r="D100" s="988" t="s">
        <v>364</v>
      </c>
      <c r="E100" s="920"/>
      <c r="F100" s="987">
        <f t="shared" ref="F100:F104" si="56">0.5*(MAX(C100:E100)-MIN(C100:E100))</f>
        <v>0</v>
      </c>
      <c r="G100" s="1003" t="s">
        <v>364</v>
      </c>
      <c r="H100" s="1434"/>
      <c r="I100" s="986">
        <v>180</v>
      </c>
      <c r="J100" s="228">
        <v>9.9999999999999995E-7</v>
      </c>
      <c r="K100" s="988" t="s">
        <v>364</v>
      </c>
      <c r="L100" s="920"/>
      <c r="M100" s="987">
        <f t="shared" ref="M100:M104" si="57">0.5*(MAX(J100:L100)-MIN(J100:L100))</f>
        <v>0</v>
      </c>
      <c r="N100" s="988" t="s">
        <v>364</v>
      </c>
      <c r="O100" s="1434"/>
      <c r="P100" s="986">
        <v>180</v>
      </c>
      <c r="Q100" s="228">
        <v>9.9999999999999995E-7</v>
      </c>
      <c r="R100" s="988" t="s">
        <v>364</v>
      </c>
      <c r="S100" s="920"/>
      <c r="T100" s="987">
        <f t="shared" ref="T100:T104" si="58">0.5*(MAX(Q100:S100)-MIN(Q100:S100))</f>
        <v>0</v>
      </c>
      <c r="U100" s="988" t="s">
        <v>364</v>
      </c>
    </row>
    <row r="101" spans="1:21" ht="13" x14ac:dyDescent="0.25">
      <c r="A101" s="1437"/>
      <c r="B101" s="213">
        <v>200</v>
      </c>
      <c r="C101" s="213">
        <v>-0.67</v>
      </c>
      <c r="D101" s="988" t="s">
        <v>364</v>
      </c>
      <c r="E101" s="920"/>
      <c r="F101" s="987">
        <f t="shared" si="56"/>
        <v>0</v>
      </c>
      <c r="G101" s="1003" t="s">
        <v>364</v>
      </c>
      <c r="H101" s="1434"/>
      <c r="I101" s="213">
        <v>200</v>
      </c>
      <c r="J101" s="213">
        <v>9.9999999999999995E-7</v>
      </c>
      <c r="K101" s="988" t="s">
        <v>364</v>
      </c>
      <c r="L101" s="920"/>
      <c r="M101" s="987">
        <f t="shared" si="57"/>
        <v>0</v>
      </c>
      <c r="N101" s="988" t="s">
        <v>364</v>
      </c>
      <c r="O101" s="1434"/>
      <c r="P101" s="213">
        <v>200</v>
      </c>
      <c r="Q101" s="228">
        <v>9.9999999999999995E-7</v>
      </c>
      <c r="R101" s="988" t="s">
        <v>364</v>
      </c>
      <c r="S101" s="920"/>
      <c r="T101" s="987">
        <f t="shared" si="58"/>
        <v>0</v>
      </c>
      <c r="U101" s="988" t="s">
        <v>364</v>
      </c>
    </row>
    <row r="102" spans="1:21" ht="13" x14ac:dyDescent="0.25">
      <c r="A102" s="1437"/>
      <c r="B102" s="213">
        <v>220</v>
      </c>
      <c r="C102" s="213">
        <v>9.9999999999999995E-7</v>
      </c>
      <c r="D102" s="988" t="s">
        <v>364</v>
      </c>
      <c r="E102" s="920"/>
      <c r="F102" s="987">
        <f t="shared" si="56"/>
        <v>0</v>
      </c>
      <c r="G102" s="1003" t="s">
        <v>364</v>
      </c>
      <c r="H102" s="1434"/>
      <c r="I102" s="213">
        <v>220</v>
      </c>
      <c r="J102" s="213">
        <v>9.9999999999999995E-7</v>
      </c>
      <c r="K102" s="988" t="s">
        <v>364</v>
      </c>
      <c r="L102" s="920"/>
      <c r="M102" s="987">
        <f t="shared" si="57"/>
        <v>0</v>
      </c>
      <c r="N102" s="988" t="s">
        <v>364</v>
      </c>
      <c r="O102" s="1434"/>
      <c r="P102" s="213">
        <v>220</v>
      </c>
      <c r="Q102" s="228">
        <v>9.9999999999999995E-7</v>
      </c>
      <c r="R102" s="988" t="s">
        <v>364</v>
      </c>
      <c r="S102" s="920"/>
      <c r="T102" s="987">
        <f t="shared" si="58"/>
        <v>0</v>
      </c>
      <c r="U102" s="988" t="s">
        <v>364</v>
      </c>
    </row>
    <row r="103" spans="1:21" ht="13" x14ac:dyDescent="0.25">
      <c r="A103" s="1437"/>
      <c r="B103" s="213">
        <v>230</v>
      </c>
      <c r="C103" s="213">
        <v>-0.11</v>
      </c>
      <c r="D103" s="988" t="s">
        <v>364</v>
      </c>
      <c r="E103" s="920"/>
      <c r="F103" s="987">
        <f t="shared" si="56"/>
        <v>0</v>
      </c>
      <c r="G103" s="1003" t="s">
        <v>364</v>
      </c>
      <c r="H103" s="1434"/>
      <c r="I103" s="213">
        <v>230</v>
      </c>
      <c r="J103" s="213">
        <v>9.9999999999999995E-7</v>
      </c>
      <c r="K103" s="988" t="s">
        <v>364</v>
      </c>
      <c r="L103" s="920"/>
      <c r="M103" s="987">
        <f t="shared" si="57"/>
        <v>0</v>
      </c>
      <c r="N103" s="988" t="s">
        <v>364</v>
      </c>
      <c r="O103" s="1434"/>
      <c r="P103" s="213">
        <v>230</v>
      </c>
      <c r="Q103" s="228">
        <v>9.9999999999999995E-7</v>
      </c>
      <c r="R103" s="988" t="s">
        <v>364</v>
      </c>
      <c r="S103" s="920"/>
      <c r="T103" s="987">
        <f t="shared" si="58"/>
        <v>0</v>
      </c>
      <c r="U103" s="988" t="s">
        <v>364</v>
      </c>
    </row>
    <row r="104" spans="1:21" ht="13" x14ac:dyDescent="0.25">
      <c r="A104" s="1437"/>
      <c r="B104" s="213">
        <v>250</v>
      </c>
      <c r="C104" s="213">
        <v>-0.11</v>
      </c>
      <c r="D104" s="988" t="s">
        <v>364</v>
      </c>
      <c r="E104" s="920"/>
      <c r="F104" s="987">
        <f t="shared" si="56"/>
        <v>0</v>
      </c>
      <c r="G104" s="1003" t="s">
        <v>364</v>
      </c>
      <c r="H104" s="1434"/>
      <c r="I104" s="213">
        <v>250</v>
      </c>
      <c r="J104" s="213">
        <v>9.9999999999999995E-7</v>
      </c>
      <c r="K104" s="988" t="s">
        <v>364</v>
      </c>
      <c r="L104" s="920"/>
      <c r="M104" s="987">
        <f t="shared" si="57"/>
        <v>0</v>
      </c>
      <c r="N104" s="988" t="s">
        <v>364</v>
      </c>
      <c r="O104" s="1434"/>
      <c r="P104" s="213">
        <v>250</v>
      </c>
      <c r="Q104" s="228">
        <v>9.9999999999999995E-7</v>
      </c>
      <c r="R104" s="988" t="s">
        <v>364</v>
      </c>
      <c r="S104" s="920"/>
      <c r="T104" s="987">
        <f t="shared" si="58"/>
        <v>0</v>
      </c>
      <c r="U104" s="988" t="s">
        <v>364</v>
      </c>
    </row>
    <row r="105" spans="1:21" ht="13" customHeight="1" x14ac:dyDescent="0.25">
      <c r="A105" s="1437"/>
      <c r="B105" s="1433" t="s">
        <v>345</v>
      </c>
      <c r="C105" s="1433"/>
      <c r="D105" s="1433"/>
      <c r="E105" s="1433"/>
      <c r="F105" s="1426" t="s">
        <v>342</v>
      </c>
      <c r="G105" s="1426" t="s">
        <v>343</v>
      </c>
      <c r="H105" s="1434"/>
      <c r="I105" s="1433" t="str">
        <f>B105</f>
        <v>Current Leakage</v>
      </c>
      <c r="J105" s="1433"/>
      <c r="K105" s="1433"/>
      <c r="L105" s="1433"/>
      <c r="M105" s="1426" t="s">
        <v>342</v>
      </c>
      <c r="N105" s="1426" t="s">
        <v>343</v>
      </c>
      <c r="O105" s="1434"/>
      <c r="P105" s="1433" t="str">
        <f>B105</f>
        <v>Current Leakage</v>
      </c>
      <c r="Q105" s="1433"/>
      <c r="R105" s="1433"/>
      <c r="S105" s="1433"/>
      <c r="T105" s="1426" t="s">
        <v>342</v>
      </c>
      <c r="U105" s="1426" t="s">
        <v>343</v>
      </c>
    </row>
    <row r="106" spans="1:21" ht="14" x14ac:dyDescent="0.25">
      <c r="A106" s="1437"/>
      <c r="B106" s="983" t="s">
        <v>346</v>
      </c>
      <c r="C106" s="984">
        <f>C98</f>
        <v>2021</v>
      </c>
      <c r="D106" s="984" t="str">
        <f>D98</f>
        <v>-</v>
      </c>
      <c r="E106" s="984">
        <f>E98</f>
        <v>2016</v>
      </c>
      <c r="F106" s="1426"/>
      <c r="G106" s="1426"/>
      <c r="H106" s="1434"/>
      <c r="I106" s="983" t="s">
        <v>346</v>
      </c>
      <c r="J106" s="984" t="str">
        <f>J98</f>
        <v>-</v>
      </c>
      <c r="K106" s="984" t="str">
        <f>K98</f>
        <v>-</v>
      </c>
      <c r="L106" s="984">
        <f>L98</f>
        <v>2016</v>
      </c>
      <c r="M106" s="1426"/>
      <c r="N106" s="1426"/>
      <c r="O106" s="1434"/>
      <c r="P106" s="983" t="s">
        <v>346</v>
      </c>
      <c r="Q106" s="984" t="str">
        <f>Q98</f>
        <v>-</v>
      </c>
      <c r="R106" s="984" t="str">
        <f>R98</f>
        <v>-</v>
      </c>
      <c r="S106" s="984">
        <f>S98</f>
        <v>2016</v>
      </c>
      <c r="T106" s="1426"/>
      <c r="U106" s="1426"/>
    </row>
    <row r="107" spans="1:21" ht="13" x14ac:dyDescent="0.25">
      <c r="A107" s="1437"/>
      <c r="B107" s="213">
        <v>0</v>
      </c>
      <c r="C107" s="213">
        <v>9.9999999999999995E-7</v>
      </c>
      <c r="D107" s="1003" t="s">
        <v>364</v>
      </c>
      <c r="E107" s="920"/>
      <c r="F107" s="987">
        <f>0.5*(MAX(C107:E107)-MIN(C107:E107))</f>
        <v>0</v>
      </c>
      <c r="G107" s="1003" t="s">
        <v>364</v>
      </c>
      <c r="H107" s="1434"/>
      <c r="I107" s="213">
        <v>0</v>
      </c>
      <c r="J107" s="213">
        <v>9.9999999999999995E-7</v>
      </c>
      <c r="K107" s="1003" t="s">
        <v>364</v>
      </c>
      <c r="L107" s="920"/>
      <c r="M107" s="987">
        <f>0.5*(MAX(J107:L107)-MIN(J107:L107))</f>
        <v>0</v>
      </c>
      <c r="N107" s="1003" t="s">
        <v>364</v>
      </c>
      <c r="O107" s="1434"/>
      <c r="P107" s="213">
        <v>0</v>
      </c>
      <c r="Q107" s="213">
        <v>9.9999999999999995E-7</v>
      </c>
      <c r="R107" s="1003" t="s">
        <v>364</v>
      </c>
      <c r="S107" s="920"/>
      <c r="T107" s="987">
        <f>0.5*(MAX(Q107:S107)-MIN(Q107:S107))</f>
        <v>0</v>
      </c>
      <c r="U107" s="1003" t="s">
        <v>364</v>
      </c>
    </row>
    <row r="108" spans="1:21" ht="13" x14ac:dyDescent="0.25">
      <c r="A108" s="1437"/>
      <c r="B108" s="213">
        <v>50</v>
      </c>
      <c r="C108" s="213">
        <v>0.4</v>
      </c>
      <c r="D108" s="988" t="s">
        <v>364</v>
      </c>
      <c r="E108" s="920"/>
      <c r="F108" s="987">
        <f t="shared" ref="F108:F112" si="59">0.5*(MAX(C108:E108)-MIN(C108:E108))</f>
        <v>0</v>
      </c>
      <c r="G108" s="1003" t="s">
        <v>364</v>
      </c>
      <c r="H108" s="1434"/>
      <c r="I108" s="213">
        <v>50</v>
      </c>
      <c r="J108" s="213">
        <v>9.9999999999999995E-7</v>
      </c>
      <c r="K108" s="988" t="s">
        <v>364</v>
      </c>
      <c r="L108" s="920"/>
      <c r="M108" s="987">
        <f t="shared" ref="M108:M112" si="60">0.5*(MAX(J108:L108)-MIN(J108:L108))</f>
        <v>0</v>
      </c>
      <c r="N108" s="988" t="s">
        <v>364</v>
      </c>
      <c r="O108" s="1434"/>
      <c r="P108" s="213">
        <v>50</v>
      </c>
      <c r="Q108" s="213">
        <v>9.9999999999999995E-7</v>
      </c>
      <c r="R108" s="988" t="s">
        <v>364</v>
      </c>
      <c r="S108" s="920"/>
      <c r="T108" s="987">
        <f t="shared" ref="T108:T112" si="61">0.5*(MAX(Q108:S108)-MIN(Q108:S108))</f>
        <v>0</v>
      </c>
      <c r="U108" s="988" t="s">
        <v>364</v>
      </c>
    </row>
    <row r="109" spans="1:21" ht="13" x14ac:dyDescent="0.25">
      <c r="A109" s="1437"/>
      <c r="B109" s="213">
        <v>100</v>
      </c>
      <c r="C109" s="213">
        <v>0.4</v>
      </c>
      <c r="D109" s="988" t="s">
        <v>364</v>
      </c>
      <c r="E109" s="920"/>
      <c r="F109" s="987">
        <f t="shared" si="59"/>
        <v>0</v>
      </c>
      <c r="G109" s="1003" t="s">
        <v>364</v>
      </c>
      <c r="H109" s="1434"/>
      <c r="I109" s="213">
        <v>100</v>
      </c>
      <c r="J109" s="228">
        <v>9.9999999999999995E-7</v>
      </c>
      <c r="K109" s="988" t="s">
        <v>364</v>
      </c>
      <c r="L109" s="920"/>
      <c r="M109" s="987">
        <f t="shared" si="60"/>
        <v>0</v>
      </c>
      <c r="N109" s="988" t="s">
        <v>364</v>
      </c>
      <c r="O109" s="1434"/>
      <c r="P109" s="213">
        <v>100</v>
      </c>
      <c r="Q109" s="213">
        <v>9.9999999999999995E-7</v>
      </c>
      <c r="R109" s="988" t="s">
        <v>364</v>
      </c>
      <c r="S109" s="920"/>
      <c r="T109" s="987">
        <f t="shared" si="61"/>
        <v>0</v>
      </c>
      <c r="U109" s="988" t="s">
        <v>364</v>
      </c>
    </row>
    <row r="110" spans="1:21" ht="13" x14ac:dyDescent="0.25">
      <c r="A110" s="1437"/>
      <c r="B110" s="213">
        <v>200</v>
      </c>
      <c r="C110" s="213">
        <v>0.4</v>
      </c>
      <c r="D110" s="988" t="s">
        <v>364</v>
      </c>
      <c r="E110" s="920"/>
      <c r="F110" s="987">
        <f t="shared" si="59"/>
        <v>0</v>
      </c>
      <c r="G110" s="1003" t="s">
        <v>364</v>
      </c>
      <c r="H110" s="1434"/>
      <c r="I110" s="213">
        <v>200</v>
      </c>
      <c r="J110" s="213">
        <v>9.9999999999999995E-7</v>
      </c>
      <c r="K110" s="988" t="s">
        <v>364</v>
      </c>
      <c r="L110" s="920"/>
      <c r="M110" s="987">
        <f t="shared" si="60"/>
        <v>0</v>
      </c>
      <c r="N110" s="988" t="s">
        <v>364</v>
      </c>
      <c r="O110" s="1434"/>
      <c r="P110" s="213">
        <v>200</v>
      </c>
      <c r="Q110" s="213">
        <v>9.9999999999999995E-7</v>
      </c>
      <c r="R110" s="988" t="s">
        <v>364</v>
      </c>
      <c r="S110" s="920"/>
      <c r="T110" s="987">
        <f t="shared" si="61"/>
        <v>0</v>
      </c>
      <c r="U110" s="988" t="s">
        <v>364</v>
      </c>
    </row>
    <row r="111" spans="1:21" ht="13" x14ac:dyDescent="0.25">
      <c r="A111" s="1437"/>
      <c r="B111" s="213">
        <v>500</v>
      </c>
      <c r="C111" s="213">
        <v>1.5</v>
      </c>
      <c r="D111" s="988" t="s">
        <v>364</v>
      </c>
      <c r="E111" s="920"/>
      <c r="F111" s="987">
        <f t="shared" si="59"/>
        <v>0</v>
      </c>
      <c r="G111" s="1003" t="s">
        <v>364</v>
      </c>
      <c r="H111" s="1434"/>
      <c r="I111" s="213">
        <v>500</v>
      </c>
      <c r="J111" s="213">
        <v>9.9999999999999995E-7</v>
      </c>
      <c r="K111" s="988" t="s">
        <v>364</v>
      </c>
      <c r="L111" s="920"/>
      <c r="M111" s="987">
        <f t="shared" si="60"/>
        <v>0</v>
      </c>
      <c r="N111" s="988" t="s">
        <v>364</v>
      </c>
      <c r="O111" s="1434"/>
      <c r="P111" s="213">
        <v>500</v>
      </c>
      <c r="Q111" s="213">
        <v>9.9999999999999995E-7</v>
      </c>
      <c r="R111" s="988" t="s">
        <v>364</v>
      </c>
      <c r="S111" s="920"/>
      <c r="T111" s="987">
        <f t="shared" si="61"/>
        <v>0</v>
      </c>
      <c r="U111" s="988" t="s">
        <v>364</v>
      </c>
    </row>
    <row r="112" spans="1:21" ht="13" x14ac:dyDescent="0.25">
      <c r="A112" s="1437"/>
      <c r="B112" s="213">
        <v>1000</v>
      </c>
      <c r="C112" s="213">
        <v>2</v>
      </c>
      <c r="D112" s="988" t="s">
        <v>364</v>
      </c>
      <c r="E112" s="920"/>
      <c r="F112" s="987">
        <f t="shared" si="59"/>
        <v>0</v>
      </c>
      <c r="G112" s="1003" t="s">
        <v>364</v>
      </c>
      <c r="H112" s="1434"/>
      <c r="I112" s="213">
        <v>1000</v>
      </c>
      <c r="J112" s="213">
        <v>9.9999999999999995E-7</v>
      </c>
      <c r="K112" s="988" t="s">
        <v>364</v>
      </c>
      <c r="L112" s="920"/>
      <c r="M112" s="987">
        <f t="shared" si="60"/>
        <v>0</v>
      </c>
      <c r="N112" s="988" t="s">
        <v>364</v>
      </c>
      <c r="O112" s="1434"/>
      <c r="P112" s="213">
        <v>1000</v>
      </c>
      <c r="Q112" s="213">
        <v>9.9999999999999995E-7</v>
      </c>
      <c r="R112" s="988" t="s">
        <v>364</v>
      </c>
      <c r="S112" s="920"/>
      <c r="T112" s="987">
        <f t="shared" si="61"/>
        <v>0</v>
      </c>
      <c r="U112" s="988" t="s">
        <v>364</v>
      </c>
    </row>
    <row r="113" spans="1:21" ht="13" x14ac:dyDescent="0.25">
      <c r="A113" s="1437"/>
      <c r="B113" s="1433" t="s">
        <v>347</v>
      </c>
      <c r="C113" s="1433"/>
      <c r="D113" s="1433"/>
      <c r="E113" s="1433"/>
      <c r="F113" s="1426" t="s">
        <v>342</v>
      </c>
      <c r="G113" s="1426" t="s">
        <v>343</v>
      </c>
      <c r="H113" s="1434"/>
      <c r="I113" s="1433" t="s">
        <v>347</v>
      </c>
      <c r="J113" s="1433"/>
      <c r="K113" s="1433"/>
      <c r="L113" s="1433"/>
      <c r="M113" s="1426" t="s">
        <v>342</v>
      </c>
      <c r="N113" s="1426" t="s">
        <v>343</v>
      </c>
      <c r="O113" s="1434"/>
      <c r="P113" s="1433" t="str">
        <f>B113</f>
        <v>Main-PE</v>
      </c>
      <c r="Q113" s="1433"/>
      <c r="R113" s="1433"/>
      <c r="S113" s="1433"/>
      <c r="T113" s="1426" t="s">
        <v>342</v>
      </c>
      <c r="U113" s="1426" t="s">
        <v>343</v>
      </c>
    </row>
    <row r="114" spans="1:21" ht="14.5" x14ac:dyDescent="0.25">
      <c r="A114" s="1437"/>
      <c r="B114" s="983" t="s">
        <v>348</v>
      </c>
      <c r="C114" s="984">
        <f>C98</f>
        <v>2021</v>
      </c>
      <c r="D114" s="984" t="str">
        <f>D98</f>
        <v>-</v>
      </c>
      <c r="E114" s="984">
        <f>E98</f>
        <v>2016</v>
      </c>
      <c r="F114" s="1426"/>
      <c r="G114" s="1426"/>
      <c r="H114" s="1434"/>
      <c r="I114" s="983" t="s">
        <v>348</v>
      </c>
      <c r="J114" s="984" t="str">
        <f>J98</f>
        <v>-</v>
      </c>
      <c r="K114" s="984" t="str">
        <f>K98</f>
        <v>-</v>
      </c>
      <c r="L114" s="984">
        <f>L98</f>
        <v>2016</v>
      </c>
      <c r="M114" s="1426"/>
      <c r="N114" s="1426"/>
      <c r="O114" s="1434"/>
      <c r="P114" s="983" t="s">
        <v>348</v>
      </c>
      <c r="Q114" s="984" t="str">
        <f>Q98</f>
        <v>-</v>
      </c>
      <c r="R114" s="984" t="str">
        <f>R98</f>
        <v>-</v>
      </c>
      <c r="S114" s="984">
        <f>S98</f>
        <v>2016</v>
      </c>
      <c r="T114" s="1426"/>
      <c r="U114" s="1426"/>
    </row>
    <row r="115" spans="1:21" x14ac:dyDescent="0.25">
      <c r="A115" s="1437"/>
      <c r="B115" s="213">
        <v>10</v>
      </c>
      <c r="C115" s="213">
        <v>9.9999999999999995E-7</v>
      </c>
      <c r="D115" s="988" t="s">
        <v>364</v>
      </c>
      <c r="E115" s="920"/>
      <c r="F115" s="987">
        <f>0.5*(MAX(C115:E115)-MIN(C115:E115))</f>
        <v>0</v>
      </c>
      <c r="G115" s="628" t="s">
        <v>364</v>
      </c>
      <c r="H115" s="1434"/>
      <c r="I115" s="213">
        <v>10</v>
      </c>
      <c r="J115" s="213">
        <v>9.9999999999999995E-7</v>
      </c>
      <c r="K115" s="988" t="s">
        <v>364</v>
      </c>
      <c r="L115" s="920"/>
      <c r="M115" s="987">
        <f>0.5*(MAX(J115:L115)-MIN(J115:L115))</f>
        <v>0</v>
      </c>
      <c r="N115" s="988" t="s">
        <v>364</v>
      </c>
      <c r="O115" s="1434"/>
      <c r="P115" s="213">
        <v>10</v>
      </c>
      <c r="Q115" s="213">
        <v>9.9999999999999995E-7</v>
      </c>
      <c r="R115" s="988" t="s">
        <v>364</v>
      </c>
      <c r="S115" s="920"/>
      <c r="T115" s="987">
        <f>0.5*(MAX(Q115:S115)-MIN(Q115:S115))</f>
        <v>0</v>
      </c>
      <c r="U115" s="988" t="s">
        <v>364</v>
      </c>
    </row>
    <row r="116" spans="1:21" x14ac:dyDescent="0.25">
      <c r="A116" s="1437"/>
      <c r="B116" s="213">
        <v>20</v>
      </c>
      <c r="C116" s="213">
        <v>0.1</v>
      </c>
      <c r="D116" s="988" t="s">
        <v>364</v>
      </c>
      <c r="E116" s="920"/>
      <c r="F116" s="987">
        <f t="shared" ref="F116:F118" si="62">0.5*(MAX(C116:E116)-MIN(C116:E116))</f>
        <v>0</v>
      </c>
      <c r="G116" s="628" t="s">
        <v>364</v>
      </c>
      <c r="H116" s="1434"/>
      <c r="I116" s="213">
        <v>20</v>
      </c>
      <c r="J116" s="213">
        <v>9.9999999999999995E-7</v>
      </c>
      <c r="K116" s="988" t="s">
        <v>364</v>
      </c>
      <c r="L116" s="920"/>
      <c r="M116" s="987">
        <f t="shared" ref="M116:M118" si="63">0.5*(MAX(J116:L116)-MIN(J116:L116))</f>
        <v>0</v>
      </c>
      <c r="N116" s="988" t="s">
        <v>364</v>
      </c>
      <c r="O116" s="1434"/>
      <c r="P116" s="213">
        <v>20</v>
      </c>
      <c r="Q116" s="213">
        <v>9.9999999999999995E-7</v>
      </c>
      <c r="R116" s="988" t="s">
        <v>364</v>
      </c>
      <c r="S116" s="920"/>
      <c r="T116" s="987">
        <f t="shared" ref="T116:T118" si="64">0.5*(MAX(Q116:S116)-MIN(Q116:S116))</f>
        <v>0</v>
      </c>
      <c r="U116" s="988" t="s">
        <v>364</v>
      </c>
    </row>
    <row r="117" spans="1:21" x14ac:dyDescent="0.25">
      <c r="A117" s="1437"/>
      <c r="B117" s="213">
        <v>50</v>
      </c>
      <c r="C117" s="213">
        <v>0.4</v>
      </c>
      <c r="D117" s="628" t="s">
        <v>364</v>
      </c>
      <c r="E117" s="920"/>
      <c r="F117" s="987">
        <f t="shared" si="62"/>
        <v>0</v>
      </c>
      <c r="G117" s="628" t="s">
        <v>364</v>
      </c>
      <c r="H117" s="1434"/>
      <c r="I117" s="213">
        <v>50</v>
      </c>
      <c r="J117" s="213">
        <v>9.9999999999999995E-7</v>
      </c>
      <c r="K117" s="628" t="s">
        <v>364</v>
      </c>
      <c r="L117" s="920"/>
      <c r="M117" s="987">
        <f t="shared" si="63"/>
        <v>0</v>
      </c>
      <c r="N117" s="628" t="s">
        <v>364</v>
      </c>
      <c r="O117" s="1434"/>
      <c r="P117" s="213">
        <v>50</v>
      </c>
      <c r="Q117" s="213">
        <v>9.9999999999999995E-7</v>
      </c>
      <c r="R117" s="628" t="s">
        <v>364</v>
      </c>
      <c r="S117" s="920"/>
      <c r="T117" s="987">
        <f t="shared" si="64"/>
        <v>0</v>
      </c>
      <c r="U117" s="628" t="s">
        <v>364</v>
      </c>
    </row>
    <row r="118" spans="1:21" x14ac:dyDescent="0.25">
      <c r="A118" s="1437"/>
      <c r="B118" s="213">
        <v>100</v>
      </c>
      <c r="C118" s="213">
        <v>1.4</v>
      </c>
      <c r="D118" s="628" t="s">
        <v>364</v>
      </c>
      <c r="E118" s="920"/>
      <c r="F118" s="987">
        <f t="shared" si="62"/>
        <v>0</v>
      </c>
      <c r="G118" s="628" t="s">
        <v>364</v>
      </c>
      <c r="H118" s="1434"/>
      <c r="I118" s="213">
        <v>100</v>
      </c>
      <c r="J118" s="213">
        <v>9.9999999999999995E-7</v>
      </c>
      <c r="K118" s="628" t="s">
        <v>364</v>
      </c>
      <c r="L118" s="920"/>
      <c r="M118" s="987">
        <f t="shared" si="63"/>
        <v>0</v>
      </c>
      <c r="N118" s="628" t="s">
        <v>364</v>
      </c>
      <c r="O118" s="1434"/>
      <c r="P118" s="213">
        <v>100</v>
      </c>
      <c r="Q118" s="213">
        <v>9.9999999999999995E-7</v>
      </c>
      <c r="R118" s="628" t="s">
        <v>364</v>
      </c>
      <c r="S118" s="920"/>
      <c r="T118" s="987">
        <f t="shared" si="64"/>
        <v>0</v>
      </c>
      <c r="U118" s="628" t="s">
        <v>364</v>
      </c>
    </row>
    <row r="119" spans="1:21" ht="13" customHeight="1" x14ac:dyDescent="0.25">
      <c r="A119" s="1437"/>
      <c r="B119" s="1433" t="s">
        <v>349</v>
      </c>
      <c r="C119" s="1433"/>
      <c r="D119" s="1433"/>
      <c r="E119" s="1433"/>
      <c r="F119" s="1426" t="s">
        <v>342</v>
      </c>
      <c r="G119" s="1426" t="s">
        <v>343</v>
      </c>
      <c r="H119" s="1434"/>
      <c r="I119" s="1433" t="s">
        <v>349</v>
      </c>
      <c r="J119" s="1433"/>
      <c r="K119" s="1433"/>
      <c r="L119" s="1433"/>
      <c r="M119" s="1426" t="s">
        <v>342</v>
      </c>
      <c r="N119" s="1426" t="s">
        <v>343</v>
      </c>
      <c r="O119" s="1434"/>
      <c r="P119" s="1433" t="str">
        <f>B119</f>
        <v>Resistance</v>
      </c>
      <c r="Q119" s="1433"/>
      <c r="R119" s="1433"/>
      <c r="S119" s="1433"/>
      <c r="T119" s="1426" t="s">
        <v>342</v>
      </c>
      <c r="U119" s="1426" t="s">
        <v>343</v>
      </c>
    </row>
    <row r="120" spans="1:21" ht="14.5" x14ac:dyDescent="0.25">
      <c r="A120" s="1437"/>
      <c r="B120" s="983" t="s">
        <v>350</v>
      </c>
      <c r="C120" s="984">
        <f>C98</f>
        <v>2021</v>
      </c>
      <c r="D120" s="984" t="str">
        <f>D98</f>
        <v>-</v>
      </c>
      <c r="E120" s="984">
        <f>E98</f>
        <v>2016</v>
      </c>
      <c r="F120" s="1426"/>
      <c r="G120" s="1426"/>
      <c r="H120" s="1434"/>
      <c r="I120" s="983" t="s">
        <v>350</v>
      </c>
      <c r="J120" s="984" t="str">
        <f>J98</f>
        <v>-</v>
      </c>
      <c r="K120" s="984" t="str">
        <f>K98</f>
        <v>-</v>
      </c>
      <c r="L120" s="984">
        <f>L98</f>
        <v>2016</v>
      </c>
      <c r="M120" s="1426"/>
      <c r="N120" s="1426"/>
      <c r="O120" s="1434"/>
      <c r="P120" s="983" t="s">
        <v>350</v>
      </c>
      <c r="Q120" s="984" t="str">
        <f>Q98</f>
        <v>-</v>
      </c>
      <c r="R120" s="984" t="str">
        <f>R98</f>
        <v>-</v>
      </c>
      <c r="S120" s="984">
        <f>S98</f>
        <v>2016</v>
      </c>
      <c r="T120" s="1426"/>
      <c r="U120" s="1426"/>
    </row>
    <row r="121" spans="1:21" x14ac:dyDescent="0.25">
      <c r="A121" s="1437"/>
      <c r="B121" s="213">
        <v>0</v>
      </c>
      <c r="C121" s="213">
        <v>9.9999999999999995E-7</v>
      </c>
      <c r="D121" s="628" t="s">
        <v>364</v>
      </c>
      <c r="E121" s="920"/>
      <c r="F121" s="987">
        <f>0.5*(MAX(C121:E121)-MIN(C121:E121))</f>
        <v>0</v>
      </c>
      <c r="G121" s="628" t="s">
        <v>364</v>
      </c>
      <c r="H121" s="1434"/>
      <c r="I121" s="213">
        <v>0.01</v>
      </c>
      <c r="J121" s="228">
        <v>9.9999999999999995E-7</v>
      </c>
      <c r="K121" s="628" t="s">
        <v>364</v>
      </c>
      <c r="L121" s="920"/>
      <c r="M121" s="987">
        <f>0.5*(MAX(J121:L121)-MIN(J121:L121))</f>
        <v>0</v>
      </c>
      <c r="N121" s="628" t="s">
        <v>364</v>
      </c>
      <c r="O121" s="1434"/>
      <c r="P121" s="213">
        <v>0.01</v>
      </c>
      <c r="Q121" s="228">
        <v>9.9999999999999995E-7</v>
      </c>
      <c r="R121" s="628" t="s">
        <v>364</v>
      </c>
      <c r="S121" s="920"/>
      <c r="T121" s="987">
        <f>0.5*(MAX(Q121:S121)-MIN(Q121:S121))</f>
        <v>0</v>
      </c>
      <c r="U121" s="628" t="s">
        <v>364</v>
      </c>
    </row>
    <row r="122" spans="1:21" x14ac:dyDescent="0.25">
      <c r="A122" s="1437"/>
      <c r="B122" s="213">
        <v>0.1</v>
      </c>
      <c r="C122" s="213">
        <v>-2E-3</v>
      </c>
      <c r="D122" s="988" t="s">
        <v>364</v>
      </c>
      <c r="E122" s="920"/>
      <c r="F122" s="987">
        <f t="shared" ref="F122:F124" si="65">0.5*(MAX(C122:E122)-MIN(C122:E122))</f>
        <v>0</v>
      </c>
      <c r="G122" s="628" t="s">
        <v>364</v>
      </c>
      <c r="H122" s="1434"/>
      <c r="I122" s="213">
        <v>0.1</v>
      </c>
      <c r="J122" s="213">
        <v>9.9999999999999995E-7</v>
      </c>
      <c r="K122" s="988" t="s">
        <v>364</v>
      </c>
      <c r="L122" s="920"/>
      <c r="M122" s="987">
        <f t="shared" ref="M122:M124" si="66">0.5*(MAX(J122:L122)-MIN(J122:L122))</f>
        <v>0</v>
      </c>
      <c r="N122" s="988" t="s">
        <v>364</v>
      </c>
      <c r="O122" s="1434"/>
      <c r="P122" s="213">
        <v>0.1</v>
      </c>
      <c r="Q122" s="228">
        <v>9.9999999999999995E-7</v>
      </c>
      <c r="R122" s="988" t="s">
        <v>364</v>
      </c>
      <c r="S122" s="920"/>
      <c r="T122" s="987">
        <f t="shared" ref="T122:T124" si="67">0.5*(MAX(Q122:S122)-MIN(Q122:S122))</f>
        <v>0</v>
      </c>
      <c r="U122" s="988" t="s">
        <v>364</v>
      </c>
    </row>
    <row r="123" spans="1:21" x14ac:dyDescent="0.25">
      <c r="A123" s="1437"/>
      <c r="B123" s="213">
        <v>1</v>
      </c>
      <c r="C123" s="213">
        <v>-8.0000000000000002E-3</v>
      </c>
      <c r="D123" s="988" t="s">
        <v>364</v>
      </c>
      <c r="E123" s="920"/>
      <c r="F123" s="987">
        <f t="shared" si="65"/>
        <v>0</v>
      </c>
      <c r="G123" s="628" t="s">
        <v>364</v>
      </c>
      <c r="H123" s="1434"/>
      <c r="I123" s="213">
        <v>1</v>
      </c>
      <c r="J123" s="213">
        <v>9.9999999999999995E-7</v>
      </c>
      <c r="K123" s="988" t="s">
        <v>364</v>
      </c>
      <c r="L123" s="920"/>
      <c r="M123" s="987">
        <f t="shared" si="66"/>
        <v>0</v>
      </c>
      <c r="N123" s="988" t="s">
        <v>364</v>
      </c>
      <c r="O123" s="1434"/>
      <c r="P123" s="213">
        <v>1</v>
      </c>
      <c r="Q123" s="228">
        <v>9.9999999999999995E-7</v>
      </c>
      <c r="R123" s="988" t="s">
        <v>364</v>
      </c>
      <c r="S123" s="920"/>
      <c r="T123" s="987">
        <f t="shared" si="67"/>
        <v>0</v>
      </c>
      <c r="U123" s="988" t="s">
        <v>364</v>
      </c>
    </row>
    <row r="124" spans="1:21" x14ac:dyDescent="0.25">
      <c r="A124" s="1437"/>
      <c r="B124" s="213">
        <v>2</v>
      </c>
      <c r="C124" s="213">
        <v>-7.0000000000000001E-3</v>
      </c>
      <c r="D124" s="988" t="s">
        <v>364</v>
      </c>
      <c r="E124" s="920"/>
      <c r="F124" s="987">
        <f t="shared" si="65"/>
        <v>0</v>
      </c>
      <c r="G124" s="628" t="s">
        <v>364</v>
      </c>
      <c r="H124" s="1434"/>
      <c r="I124" s="213">
        <v>2</v>
      </c>
      <c r="J124" s="213">
        <v>9.9999999999999995E-7</v>
      </c>
      <c r="K124" s="988" t="s">
        <v>364</v>
      </c>
      <c r="L124" s="920"/>
      <c r="M124" s="987">
        <f t="shared" si="66"/>
        <v>0</v>
      </c>
      <c r="N124" s="988" t="s">
        <v>364</v>
      </c>
      <c r="O124" s="1434"/>
      <c r="P124" s="213">
        <v>2</v>
      </c>
      <c r="Q124" s="228">
        <v>9.9999999999999995E-7</v>
      </c>
      <c r="R124" s="988" t="s">
        <v>364</v>
      </c>
      <c r="S124" s="920"/>
      <c r="T124" s="987">
        <f t="shared" si="67"/>
        <v>0</v>
      </c>
      <c r="U124" s="988" t="s">
        <v>364</v>
      </c>
    </row>
    <row r="125" spans="1:21" ht="15.5" x14ac:dyDescent="0.25">
      <c r="A125" s="1427"/>
      <c r="B125" s="1428"/>
      <c r="C125" s="1428"/>
      <c r="D125" s="1428"/>
      <c r="E125" s="1428"/>
      <c r="F125" s="1428"/>
      <c r="G125" s="1428"/>
      <c r="H125" s="1428"/>
      <c r="I125" s="1428"/>
      <c r="J125" s="1428"/>
      <c r="K125" s="1428"/>
      <c r="L125" s="1428"/>
      <c r="M125" s="1428"/>
      <c r="N125" s="1428"/>
      <c r="O125" s="1428"/>
      <c r="P125" s="1428"/>
      <c r="Q125" s="1428"/>
      <c r="R125" s="1428"/>
      <c r="S125" s="1428"/>
      <c r="T125" s="1428"/>
      <c r="U125" s="1428"/>
    </row>
    <row r="126" spans="1:21" ht="15.5" x14ac:dyDescent="0.25">
      <c r="A126" s="1427"/>
      <c r="B126" s="1428"/>
      <c r="C126" s="1428"/>
      <c r="D126" s="1428"/>
      <c r="E126" s="1428"/>
      <c r="F126" s="1428"/>
      <c r="G126" s="1428"/>
      <c r="H126" s="1428"/>
      <c r="I126" s="1428"/>
      <c r="J126" s="1428"/>
      <c r="K126" s="1428"/>
      <c r="L126" s="1428"/>
      <c r="M126" s="1428"/>
      <c r="N126" s="1428"/>
      <c r="O126" s="1428"/>
      <c r="P126" s="1428"/>
      <c r="Q126" s="1428"/>
      <c r="R126" s="1428"/>
      <c r="S126" s="1428"/>
      <c r="T126" s="1428"/>
      <c r="U126" s="1428"/>
    </row>
    <row r="127" spans="1:21" x14ac:dyDescent="0.25">
      <c r="A127" s="1004"/>
      <c r="B127" s="1005"/>
      <c r="C127" s="1005"/>
      <c r="D127" s="822"/>
      <c r="E127" s="822"/>
      <c r="F127" s="822"/>
      <c r="G127" s="822"/>
      <c r="H127" s="822"/>
      <c r="I127" s="822"/>
      <c r="J127" s="822"/>
      <c r="K127" s="822"/>
      <c r="L127" s="822"/>
      <c r="M127" s="822"/>
      <c r="N127" s="822"/>
      <c r="O127" s="822"/>
      <c r="P127" s="822"/>
      <c r="Q127" s="822"/>
    </row>
    <row r="128" spans="1:21" ht="14" x14ac:dyDescent="0.3">
      <c r="A128" s="1422" t="s">
        <v>365</v>
      </c>
      <c r="B128" s="1423"/>
      <c r="C128" s="1424" t="s">
        <v>340</v>
      </c>
      <c r="D128" s="1424"/>
      <c r="E128" s="1424"/>
      <c r="F128" s="1424"/>
      <c r="G128" s="1424"/>
      <c r="H128" s="1424"/>
      <c r="J128" s="1422" t="str">
        <f>A128</f>
        <v>No. Urut</v>
      </c>
      <c r="K128" s="1423"/>
      <c r="L128" s="1429" t="s">
        <v>340</v>
      </c>
      <c r="M128" s="1430"/>
      <c r="N128" s="1430"/>
      <c r="O128" s="1431"/>
      <c r="P128" s="1006"/>
      <c r="Q128" s="1006"/>
    </row>
    <row r="129" spans="1:17" ht="13" customHeight="1" x14ac:dyDescent="0.25">
      <c r="A129" s="1422"/>
      <c r="B129" s="1423"/>
      <c r="C129" s="1432" t="str">
        <f>B4</f>
        <v>Setting VAC</v>
      </c>
      <c r="D129" s="1432"/>
      <c r="E129" s="1432"/>
      <c r="F129" s="1432"/>
      <c r="G129" s="1007" t="s">
        <v>342</v>
      </c>
      <c r="H129" s="1007" t="s">
        <v>343</v>
      </c>
      <c r="J129" s="1422"/>
      <c r="K129" s="1423"/>
      <c r="L129" s="1425" t="str">
        <f>B12</f>
        <v>Current Leakage</v>
      </c>
      <c r="M129" s="1425"/>
      <c r="N129" s="1425"/>
      <c r="O129" s="1425"/>
      <c r="P129" s="1007" t="s">
        <v>342</v>
      </c>
      <c r="Q129" s="1007" t="s">
        <v>343</v>
      </c>
    </row>
    <row r="130" spans="1:17" ht="14" x14ac:dyDescent="0.25">
      <c r="A130" s="1422"/>
      <c r="B130" s="1423"/>
      <c r="C130" s="1008" t="s">
        <v>344</v>
      </c>
      <c r="D130" s="1007"/>
      <c r="E130" s="1007"/>
      <c r="F130" s="920"/>
      <c r="G130" s="1007"/>
      <c r="H130" s="1007"/>
      <c r="J130" s="1422"/>
      <c r="K130" s="1423"/>
      <c r="L130" s="1008" t="s">
        <v>346</v>
      </c>
      <c r="M130" s="1007"/>
      <c r="N130" s="1007"/>
      <c r="O130" s="920"/>
      <c r="P130" s="1007"/>
      <c r="Q130" s="1007"/>
    </row>
    <row r="131" spans="1:17" ht="14" x14ac:dyDescent="0.25">
      <c r="A131" s="1421" t="s">
        <v>87</v>
      </c>
      <c r="B131" s="1009">
        <v>1</v>
      </c>
      <c r="C131" s="1009">
        <f t="shared" ref="C131:H131" si="68">B6</f>
        <v>150</v>
      </c>
      <c r="D131" s="1009">
        <f t="shared" si="68"/>
        <v>0.35</v>
      </c>
      <c r="E131" s="1009">
        <f t="shared" si="68"/>
        <v>0.31</v>
      </c>
      <c r="F131" s="1009">
        <f t="shared" si="68"/>
        <v>0.76</v>
      </c>
      <c r="G131" s="1009">
        <f t="shared" si="68"/>
        <v>0.22500000000000001</v>
      </c>
      <c r="H131" s="1009">
        <f t="shared" si="68"/>
        <v>1.8</v>
      </c>
      <c r="I131" s="1009"/>
      <c r="J131" s="1009" t="s">
        <v>87</v>
      </c>
      <c r="K131" s="1009">
        <v>1</v>
      </c>
      <c r="L131" s="1009">
        <f t="shared" ref="L131:Q131" si="69">B14</f>
        <v>0</v>
      </c>
      <c r="M131" s="1009">
        <f t="shared" si="69"/>
        <v>0</v>
      </c>
      <c r="N131" s="1009">
        <f t="shared" si="69"/>
        <v>9.9999999999999995E-7</v>
      </c>
      <c r="O131" s="1009">
        <f t="shared" si="69"/>
        <v>9.9999999999999995E-7</v>
      </c>
      <c r="P131" s="1009">
        <f t="shared" si="69"/>
        <v>4.9999999999999998E-7</v>
      </c>
      <c r="Q131" s="1009">
        <f t="shared" si="69"/>
        <v>0</v>
      </c>
    </row>
    <row r="132" spans="1:17" ht="14" x14ac:dyDescent="0.25">
      <c r="A132" s="1421"/>
      <c r="B132" s="1009">
        <v>2</v>
      </c>
      <c r="C132" s="1009">
        <f t="shared" ref="C132:H132" si="70">I6</f>
        <v>150</v>
      </c>
      <c r="D132" s="1009">
        <f t="shared" si="70"/>
        <v>0.22</v>
      </c>
      <c r="E132" s="1009">
        <f t="shared" si="70"/>
        <v>0.15</v>
      </c>
      <c r="F132" s="1009">
        <f t="shared" si="70"/>
        <v>0.23</v>
      </c>
      <c r="G132" s="1009">
        <f t="shared" si="70"/>
        <v>4.0000000000000008E-2</v>
      </c>
      <c r="H132" s="1009">
        <f t="shared" si="70"/>
        <v>1.8</v>
      </c>
      <c r="I132" s="1009"/>
      <c r="J132" s="1009"/>
      <c r="K132" s="1009">
        <v>2</v>
      </c>
      <c r="L132" s="1009">
        <f t="shared" ref="L132:Q132" si="71">I14</f>
        <v>0</v>
      </c>
      <c r="M132" s="1009">
        <f t="shared" si="71"/>
        <v>0</v>
      </c>
      <c r="N132" s="1009">
        <f t="shared" si="71"/>
        <v>9.9999999999999995E-7</v>
      </c>
      <c r="O132" s="1009">
        <f t="shared" si="71"/>
        <v>9.9999999999999995E-7</v>
      </c>
      <c r="P132" s="1009">
        <f t="shared" si="71"/>
        <v>0</v>
      </c>
      <c r="Q132" s="1009">
        <f t="shared" si="71"/>
        <v>0</v>
      </c>
    </row>
    <row r="133" spans="1:17" ht="14" x14ac:dyDescent="0.25">
      <c r="A133" s="1421"/>
      <c r="B133" s="1010">
        <v>3</v>
      </c>
      <c r="C133" s="1009">
        <f t="shared" ref="C133:H133" si="72">P6</f>
        <v>150</v>
      </c>
      <c r="D133" s="1009">
        <f t="shared" si="72"/>
        <v>-1.43</v>
      </c>
      <c r="E133" s="1009">
        <f t="shared" si="72"/>
        <v>-1.6</v>
      </c>
      <c r="F133" s="1009">
        <f t="shared" si="72"/>
        <v>-7.0000000000000007E-2</v>
      </c>
      <c r="G133" s="1009">
        <f t="shared" si="72"/>
        <v>0.76500000000000001</v>
      </c>
      <c r="H133" s="1009">
        <f t="shared" si="72"/>
        <v>1.8</v>
      </c>
      <c r="I133" s="1009"/>
      <c r="J133" s="1009"/>
      <c r="K133" s="1009">
        <v>3</v>
      </c>
      <c r="L133" s="1009">
        <f t="shared" ref="L133:Q133" si="73">P14</f>
        <v>9.9999999999999995E-7</v>
      </c>
      <c r="M133" s="1009">
        <f t="shared" si="73"/>
        <v>9.9999999999999995E-7</v>
      </c>
      <c r="N133" s="1009">
        <f t="shared" si="73"/>
        <v>9.9999999999999995E-7</v>
      </c>
      <c r="O133" s="1009">
        <f t="shared" si="73"/>
        <v>9.9999999999999995E-7</v>
      </c>
      <c r="P133" s="1009">
        <f t="shared" si="73"/>
        <v>0</v>
      </c>
      <c r="Q133" s="1009">
        <f t="shared" si="73"/>
        <v>5.8999999999999999E-9</v>
      </c>
    </row>
    <row r="134" spans="1:17" ht="14" x14ac:dyDescent="0.25">
      <c r="A134" s="1421"/>
      <c r="B134" s="1010">
        <v>4</v>
      </c>
      <c r="C134" s="1009">
        <f t="shared" ref="C134:H134" si="74">B37</f>
        <v>150</v>
      </c>
      <c r="D134" s="1009">
        <f t="shared" si="74"/>
        <v>0.08</v>
      </c>
      <c r="E134" s="1009">
        <f t="shared" si="74"/>
        <v>-0.05</v>
      </c>
      <c r="F134" s="1009">
        <f t="shared" si="74"/>
        <v>0.11</v>
      </c>
      <c r="G134" s="1009">
        <f t="shared" si="74"/>
        <v>0.08</v>
      </c>
      <c r="H134" s="1009">
        <f t="shared" si="74"/>
        <v>1.8</v>
      </c>
      <c r="I134" s="1009"/>
      <c r="J134" s="1009"/>
      <c r="K134" s="1009">
        <v>4</v>
      </c>
      <c r="L134" s="1009">
        <f t="shared" ref="L134:Q134" si="75">B45</f>
        <v>0</v>
      </c>
      <c r="M134" s="1009">
        <f t="shared" si="75"/>
        <v>0</v>
      </c>
      <c r="N134" s="1009">
        <f t="shared" si="75"/>
        <v>9.9999999999999995E-7</v>
      </c>
      <c r="O134" s="1009">
        <f t="shared" si="75"/>
        <v>9.9999999999999995E-7</v>
      </c>
      <c r="P134" s="1009">
        <f t="shared" si="75"/>
        <v>0</v>
      </c>
      <c r="Q134" s="1009">
        <f t="shared" si="75"/>
        <v>0</v>
      </c>
    </row>
    <row r="135" spans="1:17" ht="14" x14ac:dyDescent="0.25">
      <c r="A135" s="1421"/>
      <c r="B135" s="1011">
        <v>5</v>
      </c>
      <c r="C135" s="1009">
        <f t="shared" ref="C135:H135" si="76">I37</f>
        <v>150</v>
      </c>
      <c r="D135" s="1009">
        <f t="shared" si="76"/>
        <v>0.02</v>
      </c>
      <c r="E135" s="1009">
        <f t="shared" si="76"/>
        <v>0.25</v>
      </c>
      <c r="F135" s="1009">
        <f t="shared" si="76"/>
        <v>0.02</v>
      </c>
      <c r="G135" s="1009">
        <f t="shared" si="76"/>
        <v>0.115</v>
      </c>
      <c r="H135" s="1009">
        <f t="shared" si="76"/>
        <v>1.8</v>
      </c>
      <c r="I135" s="1009"/>
      <c r="J135" s="1009"/>
      <c r="K135" s="1009">
        <v>5</v>
      </c>
      <c r="L135" s="1009">
        <f t="shared" ref="L135:Q135" si="77">I45</f>
        <v>0</v>
      </c>
      <c r="M135" s="1009">
        <f t="shared" si="77"/>
        <v>0</v>
      </c>
      <c r="N135" s="1009">
        <f t="shared" si="77"/>
        <v>9.9999999999999995E-7</v>
      </c>
      <c r="O135" s="1009">
        <f t="shared" si="77"/>
        <v>9.9999999999999995E-7</v>
      </c>
      <c r="P135" s="1009">
        <f t="shared" si="77"/>
        <v>4.9999999999999998E-7</v>
      </c>
      <c r="Q135" s="1009">
        <f t="shared" si="77"/>
        <v>0</v>
      </c>
    </row>
    <row r="136" spans="1:17" ht="14" x14ac:dyDescent="0.25">
      <c r="A136" s="1421"/>
      <c r="B136" s="1011">
        <v>6</v>
      </c>
      <c r="C136" s="1009">
        <f t="shared" ref="C136:H136" si="78">P37</f>
        <v>150</v>
      </c>
      <c r="D136" s="1009">
        <f t="shared" si="78"/>
        <v>0.14000000000000001</v>
      </c>
      <c r="E136" s="1009">
        <f t="shared" si="78"/>
        <v>0.15</v>
      </c>
      <c r="F136" s="1009">
        <f t="shared" si="78"/>
        <v>-0.15</v>
      </c>
      <c r="G136" s="1009">
        <f t="shared" si="78"/>
        <v>0.15</v>
      </c>
      <c r="H136" s="1009">
        <f t="shared" si="78"/>
        <v>1.8</v>
      </c>
      <c r="I136" s="1009"/>
      <c r="J136" s="1009"/>
      <c r="K136" s="1009">
        <v>6</v>
      </c>
      <c r="L136" s="1009">
        <f t="shared" ref="L136:Q136" si="79">P45</f>
        <v>0</v>
      </c>
      <c r="M136" s="1009">
        <f t="shared" si="79"/>
        <v>0</v>
      </c>
      <c r="N136" s="1009">
        <f t="shared" si="79"/>
        <v>0</v>
      </c>
      <c r="O136" s="1009">
        <f t="shared" si="79"/>
        <v>9.9999999999999995E-7</v>
      </c>
      <c r="P136" s="1009">
        <f t="shared" si="79"/>
        <v>4.9999999999999998E-7</v>
      </c>
      <c r="Q136" s="1009">
        <f t="shared" si="79"/>
        <v>0</v>
      </c>
    </row>
    <row r="137" spans="1:17" ht="14" x14ac:dyDescent="0.25">
      <c r="A137" s="1421"/>
      <c r="B137" s="1011">
        <v>7</v>
      </c>
      <c r="C137" s="1009">
        <f t="shared" ref="C137:H137" si="80">B68</f>
        <v>150</v>
      </c>
      <c r="D137" s="1009">
        <f t="shared" si="80"/>
        <v>0.14000000000000001</v>
      </c>
      <c r="E137" s="1009">
        <f t="shared" si="80"/>
        <v>0.36</v>
      </c>
      <c r="F137" s="1009">
        <f t="shared" si="80"/>
        <v>0.21</v>
      </c>
      <c r="G137" s="1009">
        <f t="shared" si="80"/>
        <v>7.4999999999999997E-2</v>
      </c>
      <c r="H137" s="1009">
        <f t="shared" si="80"/>
        <v>1.8</v>
      </c>
      <c r="I137" s="1009"/>
      <c r="J137" s="1009"/>
      <c r="K137" s="1009">
        <v>7</v>
      </c>
      <c r="L137" s="1009">
        <f t="shared" ref="L137:Q137" si="81">B76</f>
        <v>0</v>
      </c>
      <c r="M137" s="1009">
        <f t="shared" si="81"/>
        <v>0</v>
      </c>
      <c r="N137" s="1009">
        <f t="shared" si="81"/>
        <v>0</v>
      </c>
      <c r="O137" s="1009">
        <f t="shared" si="81"/>
        <v>9.9999999999999995E-7</v>
      </c>
      <c r="P137" s="1009">
        <f t="shared" si="81"/>
        <v>4.9999999999999998E-7</v>
      </c>
      <c r="Q137" s="1009">
        <f t="shared" si="81"/>
        <v>0</v>
      </c>
    </row>
    <row r="138" spans="1:17" ht="14" x14ac:dyDescent="0.25">
      <c r="A138" s="1421"/>
      <c r="B138" s="1011">
        <v>8</v>
      </c>
      <c r="C138" s="1009">
        <f t="shared" ref="C138:H138" si="82">I68</f>
        <v>150</v>
      </c>
      <c r="D138" s="1009">
        <f t="shared" si="82"/>
        <v>-0.17</v>
      </c>
      <c r="E138" s="1009">
        <f t="shared" si="82"/>
        <v>-0.24</v>
      </c>
      <c r="F138" s="1009">
        <f t="shared" si="82"/>
        <v>0</v>
      </c>
      <c r="G138" s="1009">
        <f t="shared" si="82"/>
        <v>3.4999999999999989E-2</v>
      </c>
      <c r="H138" s="1009">
        <f t="shared" si="82"/>
        <v>1.8</v>
      </c>
      <c r="I138" s="1009"/>
      <c r="J138" s="1009"/>
      <c r="K138" s="1009">
        <v>8</v>
      </c>
      <c r="L138" s="1009">
        <f t="shared" ref="L138:Q138" si="83">I76</f>
        <v>0</v>
      </c>
      <c r="M138" s="1009">
        <f t="shared" si="83"/>
        <v>9.9999999999999995E-7</v>
      </c>
      <c r="N138" s="1009">
        <f t="shared" si="83"/>
        <v>9.9999999999999995E-7</v>
      </c>
      <c r="O138" s="1009">
        <f t="shared" si="83"/>
        <v>0</v>
      </c>
      <c r="P138" s="1009">
        <f t="shared" si="83"/>
        <v>0</v>
      </c>
      <c r="Q138" s="1009">
        <f t="shared" si="83"/>
        <v>0</v>
      </c>
    </row>
    <row r="139" spans="1:17" ht="14" x14ac:dyDescent="0.25">
      <c r="A139" s="1421"/>
      <c r="B139" s="1011">
        <v>9</v>
      </c>
      <c r="C139" s="1009">
        <f t="shared" ref="C139:G139" si="84">P68</f>
        <v>150</v>
      </c>
      <c r="D139" s="1009">
        <f t="shared" si="84"/>
        <v>-0.08</v>
      </c>
      <c r="E139" s="1009">
        <f t="shared" si="84"/>
        <v>-0.17</v>
      </c>
      <c r="F139" s="1009">
        <f t="shared" si="84"/>
        <v>0</v>
      </c>
      <c r="G139" s="1009">
        <f t="shared" si="84"/>
        <v>4.5000000000000005E-2</v>
      </c>
      <c r="H139" s="1009">
        <f>U68</f>
        <v>1.8</v>
      </c>
      <c r="I139" s="1009"/>
      <c r="J139" s="1009"/>
      <c r="K139" s="1009">
        <v>9</v>
      </c>
      <c r="L139" s="1009">
        <f t="shared" ref="L139:Q139" si="85">P76</f>
        <v>0</v>
      </c>
      <c r="M139" s="1009">
        <f t="shared" si="85"/>
        <v>0</v>
      </c>
      <c r="N139" s="1009">
        <f t="shared" si="85"/>
        <v>9.9999999999999995E-7</v>
      </c>
      <c r="O139" s="1009">
        <f t="shared" si="85"/>
        <v>0</v>
      </c>
      <c r="P139" s="1009">
        <f t="shared" si="85"/>
        <v>4.9999999999999998E-7</v>
      </c>
      <c r="Q139" s="1009">
        <f t="shared" si="85"/>
        <v>0.12</v>
      </c>
    </row>
    <row r="140" spans="1:17" ht="14" x14ac:dyDescent="0.25">
      <c r="A140" s="1421"/>
      <c r="B140" s="1011">
        <v>10</v>
      </c>
      <c r="C140" s="1009">
        <f>B99</f>
        <v>150</v>
      </c>
      <c r="D140" s="1009">
        <f t="shared" ref="D140:G140" si="86">C99</f>
        <v>-0.05</v>
      </c>
      <c r="E140" s="1009" t="str">
        <f t="shared" si="86"/>
        <v>-</v>
      </c>
      <c r="F140" s="1009">
        <f t="shared" si="86"/>
        <v>0</v>
      </c>
      <c r="G140" s="1009">
        <f t="shared" si="86"/>
        <v>0</v>
      </c>
      <c r="H140" s="1009" t="str">
        <f>G99</f>
        <v>-</v>
      </c>
      <c r="I140" s="1009"/>
      <c r="J140" s="1009"/>
      <c r="K140" s="1009">
        <v>10</v>
      </c>
      <c r="L140" s="1009">
        <f t="shared" ref="L140:Q140" si="87">B107</f>
        <v>0</v>
      </c>
      <c r="M140" s="1009">
        <f t="shared" si="87"/>
        <v>9.9999999999999995E-7</v>
      </c>
      <c r="N140" s="1009" t="str">
        <f t="shared" si="87"/>
        <v>-</v>
      </c>
      <c r="O140" s="1009">
        <f t="shared" si="87"/>
        <v>0</v>
      </c>
      <c r="P140" s="1009">
        <f t="shared" si="87"/>
        <v>0</v>
      </c>
      <c r="Q140" s="1009" t="str">
        <f t="shared" si="87"/>
        <v>-</v>
      </c>
    </row>
    <row r="141" spans="1:17" ht="14" x14ac:dyDescent="0.25">
      <c r="A141" s="1421"/>
      <c r="B141" s="1011">
        <v>11</v>
      </c>
      <c r="C141" s="1009">
        <f>I99</f>
        <v>150</v>
      </c>
      <c r="D141" s="1009">
        <f t="shared" ref="D141:G141" si="88">J99</f>
        <v>9.9999999999999995E-7</v>
      </c>
      <c r="E141" s="1009" t="str">
        <f t="shared" si="88"/>
        <v>-</v>
      </c>
      <c r="F141" s="1009">
        <f t="shared" si="88"/>
        <v>0</v>
      </c>
      <c r="G141" s="1009">
        <f t="shared" si="88"/>
        <v>0</v>
      </c>
      <c r="H141" s="1009" t="str">
        <f>N99</f>
        <v>-</v>
      </c>
      <c r="I141" s="1009"/>
      <c r="J141" s="1009"/>
      <c r="K141" s="1009">
        <v>11</v>
      </c>
      <c r="L141" s="1009">
        <f t="shared" ref="L141:Q141" si="89">I107</f>
        <v>0</v>
      </c>
      <c r="M141" s="1009">
        <f t="shared" si="89"/>
        <v>9.9999999999999995E-7</v>
      </c>
      <c r="N141" s="1009" t="str">
        <f t="shared" si="89"/>
        <v>-</v>
      </c>
      <c r="O141" s="1009">
        <f t="shared" si="89"/>
        <v>0</v>
      </c>
      <c r="P141" s="1009">
        <f t="shared" si="89"/>
        <v>0</v>
      </c>
      <c r="Q141" s="1009" t="str">
        <f t="shared" si="89"/>
        <v>-</v>
      </c>
    </row>
    <row r="142" spans="1:17" ht="14" x14ac:dyDescent="0.25">
      <c r="A142" s="1421"/>
      <c r="B142" s="1011">
        <v>12</v>
      </c>
      <c r="C142" s="1009">
        <f>P99</f>
        <v>150</v>
      </c>
      <c r="D142" s="1009">
        <f t="shared" ref="D142:G142" si="90">Q99</f>
        <v>9.9999999999999995E-7</v>
      </c>
      <c r="E142" s="1009" t="str">
        <f t="shared" si="90"/>
        <v>-</v>
      </c>
      <c r="F142" s="1009">
        <f t="shared" si="90"/>
        <v>0</v>
      </c>
      <c r="G142" s="1009">
        <f t="shared" si="90"/>
        <v>0</v>
      </c>
      <c r="H142" s="1009" t="str">
        <f>U99</f>
        <v>-</v>
      </c>
      <c r="I142" s="1009"/>
      <c r="J142" s="1009"/>
      <c r="K142" s="1009">
        <v>12</v>
      </c>
      <c r="L142" s="1009">
        <f t="shared" ref="L142:Q142" si="91">P107</f>
        <v>0</v>
      </c>
      <c r="M142" s="1009">
        <f t="shared" si="91"/>
        <v>9.9999999999999995E-7</v>
      </c>
      <c r="N142" s="1009" t="str">
        <f t="shared" si="91"/>
        <v>-</v>
      </c>
      <c r="O142" s="1009">
        <f t="shared" si="91"/>
        <v>0</v>
      </c>
      <c r="P142" s="1009">
        <f t="shared" si="91"/>
        <v>0</v>
      </c>
      <c r="Q142" s="1009" t="str">
        <f t="shared" si="91"/>
        <v>-</v>
      </c>
    </row>
    <row r="143" spans="1:17" s="717" customFormat="1" ht="14" x14ac:dyDescent="0.25">
      <c r="A143" s="102"/>
      <c r="B143" s="102"/>
      <c r="C143" s="1009"/>
      <c r="D143" s="1009"/>
      <c r="E143" s="1009"/>
      <c r="F143" s="1009"/>
      <c r="G143" s="1009"/>
      <c r="H143" s="1009"/>
      <c r="I143" s="1009"/>
      <c r="J143" s="1009"/>
      <c r="K143" s="1009"/>
      <c r="L143" s="1009"/>
      <c r="M143" s="1009"/>
      <c r="N143" s="1009"/>
      <c r="O143" s="1009"/>
      <c r="P143" s="1009"/>
      <c r="Q143" s="1009"/>
    </row>
    <row r="144" spans="1:17" ht="14" x14ac:dyDescent="0.25">
      <c r="A144" s="1421" t="s">
        <v>88</v>
      </c>
      <c r="B144" s="1009">
        <v>1</v>
      </c>
      <c r="C144" s="1009">
        <f t="shared" ref="C144:H144" si="92">B7</f>
        <v>180</v>
      </c>
      <c r="D144" s="1009">
        <f t="shared" si="92"/>
        <v>-0.1</v>
      </c>
      <c r="E144" s="1009">
        <f t="shared" si="92"/>
        <v>0.1</v>
      </c>
      <c r="F144" s="1009">
        <f t="shared" si="92"/>
        <v>-0.03</v>
      </c>
      <c r="G144" s="1009">
        <f t="shared" si="92"/>
        <v>0.1</v>
      </c>
      <c r="H144" s="1009">
        <f t="shared" si="92"/>
        <v>2.16</v>
      </c>
      <c r="I144" s="1009"/>
      <c r="J144" s="1009" t="s">
        <v>88</v>
      </c>
      <c r="K144" s="1009">
        <v>1</v>
      </c>
      <c r="L144" s="1009">
        <f t="shared" ref="L144:Q144" si="93">B15</f>
        <v>50</v>
      </c>
      <c r="M144" s="1009">
        <f t="shared" si="93"/>
        <v>4</v>
      </c>
      <c r="N144" s="1009">
        <f t="shared" si="93"/>
        <v>0.1</v>
      </c>
      <c r="O144" s="1009">
        <f t="shared" si="93"/>
        <v>-0.06</v>
      </c>
      <c r="P144" s="1009">
        <f t="shared" si="93"/>
        <v>2.0299999999999998</v>
      </c>
      <c r="Q144" s="1009">
        <f t="shared" si="93"/>
        <v>0.29499999999999998</v>
      </c>
    </row>
    <row r="145" spans="1:17" ht="14" x14ac:dyDescent="0.25">
      <c r="A145" s="1421"/>
      <c r="B145" s="1009">
        <v>2</v>
      </c>
      <c r="C145" s="1009">
        <f t="shared" ref="C145:H145" si="94">I7</f>
        <v>180</v>
      </c>
      <c r="D145" s="1009">
        <f t="shared" si="94"/>
        <v>0.1</v>
      </c>
      <c r="E145" s="1009">
        <f t="shared" si="94"/>
        <v>0.12</v>
      </c>
      <c r="F145" s="1009">
        <f t="shared" si="94"/>
        <v>-0.06</v>
      </c>
      <c r="G145" s="1009">
        <f t="shared" si="94"/>
        <v>0.09</v>
      </c>
      <c r="H145" s="1009">
        <f t="shared" si="94"/>
        <v>2.16</v>
      </c>
      <c r="I145" s="1009"/>
      <c r="J145" s="1009"/>
      <c r="K145" s="1009">
        <v>2</v>
      </c>
      <c r="L145" s="1009">
        <f t="shared" ref="L145:Q145" si="95">I15</f>
        <v>50</v>
      </c>
      <c r="M145" s="1009">
        <f t="shared" si="95"/>
        <v>1</v>
      </c>
      <c r="N145" s="1009">
        <f t="shared" si="95"/>
        <v>-0.08</v>
      </c>
      <c r="O145" s="1009">
        <f t="shared" si="95"/>
        <v>0.1</v>
      </c>
      <c r="P145" s="1009">
        <f t="shared" si="95"/>
        <v>0.09</v>
      </c>
      <c r="Q145" s="1009">
        <f t="shared" si="95"/>
        <v>0.29499999999999998</v>
      </c>
    </row>
    <row r="146" spans="1:17" ht="14" x14ac:dyDescent="0.25">
      <c r="A146" s="1421"/>
      <c r="B146" s="1010">
        <v>3</v>
      </c>
      <c r="C146" s="1009">
        <f t="shared" ref="C146:H146" si="96">P7</f>
        <v>180</v>
      </c>
      <c r="D146" s="1009">
        <f t="shared" si="96"/>
        <v>-1.81</v>
      </c>
      <c r="E146" s="1009">
        <f t="shared" si="96"/>
        <v>-1.9</v>
      </c>
      <c r="F146" s="1009">
        <f t="shared" si="96"/>
        <v>-0.13</v>
      </c>
      <c r="G146" s="1009">
        <f t="shared" si="96"/>
        <v>0.88500000000000001</v>
      </c>
      <c r="H146" s="1009">
        <f t="shared" si="96"/>
        <v>2.16</v>
      </c>
      <c r="I146" s="1009"/>
      <c r="J146" s="1009"/>
      <c r="K146" s="1009">
        <v>3</v>
      </c>
      <c r="L146" s="1009">
        <f t="shared" ref="L146:Q146" si="97">P15</f>
        <v>50</v>
      </c>
      <c r="M146" s="1009">
        <f t="shared" si="97"/>
        <v>9.1</v>
      </c>
      <c r="N146" s="1009">
        <f t="shared" si="97"/>
        <v>-0.62</v>
      </c>
      <c r="O146" s="1009">
        <f t="shared" si="97"/>
        <v>2</v>
      </c>
      <c r="P146" s="1009">
        <f t="shared" si="97"/>
        <v>4.8599999999999994</v>
      </c>
      <c r="Q146" s="1009">
        <f t="shared" si="97"/>
        <v>0.29499999999999998</v>
      </c>
    </row>
    <row r="147" spans="1:17" ht="14" x14ac:dyDescent="0.25">
      <c r="A147" s="1421"/>
      <c r="B147" s="1010">
        <v>4</v>
      </c>
      <c r="C147" s="1009">
        <f t="shared" ref="C147:H147" si="98">B38</f>
        <v>180</v>
      </c>
      <c r="D147" s="1009">
        <f t="shared" si="98"/>
        <v>0.11</v>
      </c>
      <c r="E147" s="1009">
        <f t="shared" si="98"/>
        <v>-0.04</v>
      </c>
      <c r="F147" s="1009">
        <f t="shared" si="98"/>
        <v>0.03</v>
      </c>
      <c r="G147" s="1009">
        <f t="shared" si="98"/>
        <v>3.5000000000000003E-2</v>
      </c>
      <c r="H147" s="1009">
        <f t="shared" si="98"/>
        <v>2.16</v>
      </c>
      <c r="I147" s="1009"/>
      <c r="J147" s="1009"/>
      <c r="K147" s="1009">
        <v>4</v>
      </c>
      <c r="L147" s="1009">
        <f t="shared" ref="L147:Q147" si="99">B46</f>
        <v>50</v>
      </c>
      <c r="M147" s="1009">
        <f t="shared" si="99"/>
        <v>2.2999999999999998</v>
      </c>
      <c r="N147" s="1009">
        <f t="shared" si="99"/>
        <v>-0.3</v>
      </c>
      <c r="O147" s="1009">
        <f t="shared" si="99"/>
        <v>-0.28999999999999998</v>
      </c>
      <c r="P147" s="1009">
        <f t="shared" si="99"/>
        <v>5.0000000000000044E-3</v>
      </c>
      <c r="Q147" s="1009">
        <f t="shared" si="99"/>
        <v>0.29499999999999998</v>
      </c>
    </row>
    <row r="148" spans="1:17" ht="14" x14ac:dyDescent="0.25">
      <c r="A148" s="1421"/>
      <c r="B148" s="1011">
        <v>5</v>
      </c>
      <c r="C148" s="1009">
        <f t="shared" ref="C148:H148" si="100">I38</f>
        <v>180</v>
      </c>
      <c r="D148" s="1009">
        <f t="shared" si="100"/>
        <v>-0.08</v>
      </c>
      <c r="E148" s="1009">
        <f t="shared" si="100"/>
        <v>0.09</v>
      </c>
      <c r="F148" s="1009">
        <f t="shared" si="100"/>
        <v>0.1</v>
      </c>
      <c r="G148" s="1009">
        <f t="shared" si="100"/>
        <v>0.09</v>
      </c>
      <c r="H148" s="1009">
        <f t="shared" si="100"/>
        <v>2.16</v>
      </c>
      <c r="I148" s="1009"/>
      <c r="J148" s="1009"/>
      <c r="K148" s="1009">
        <v>5</v>
      </c>
      <c r="L148" s="1009">
        <f t="shared" ref="L148:Q148" si="101">I46</f>
        <v>50</v>
      </c>
      <c r="M148" s="1009">
        <f t="shared" si="101"/>
        <v>4.0999999999999996</v>
      </c>
      <c r="N148" s="1009">
        <f t="shared" si="101"/>
        <v>0.3</v>
      </c>
      <c r="O148" s="1009">
        <f t="shared" si="101"/>
        <v>-0.33</v>
      </c>
      <c r="P148" s="1009">
        <f t="shared" si="101"/>
        <v>2.2149999999999999</v>
      </c>
      <c r="Q148" s="1009">
        <f t="shared" si="101"/>
        <v>0.29499999999999998</v>
      </c>
    </row>
    <row r="149" spans="1:17" ht="14" x14ac:dyDescent="0.25">
      <c r="A149" s="1421"/>
      <c r="B149" s="1011">
        <v>6</v>
      </c>
      <c r="C149" s="1009">
        <f t="shared" ref="C149:H149" si="102">P38</f>
        <v>180</v>
      </c>
      <c r="D149" s="1009">
        <f t="shared" si="102"/>
        <v>0.17</v>
      </c>
      <c r="E149" s="1009">
        <f t="shared" si="102"/>
        <v>0.17</v>
      </c>
      <c r="F149" s="1009">
        <f t="shared" si="102"/>
        <v>-0.11</v>
      </c>
      <c r="G149" s="1009">
        <f t="shared" si="102"/>
        <v>0.14000000000000001</v>
      </c>
      <c r="H149" s="1009">
        <f t="shared" si="102"/>
        <v>2.16</v>
      </c>
      <c r="I149" s="1009"/>
      <c r="J149" s="1009"/>
      <c r="K149" s="1009">
        <v>6</v>
      </c>
      <c r="L149" s="1009">
        <f t="shared" ref="L149:Q149" si="103">P46</f>
        <v>50</v>
      </c>
      <c r="M149" s="1009">
        <f t="shared" si="103"/>
        <v>4.5</v>
      </c>
      <c r="N149" s="1009">
        <f t="shared" si="103"/>
        <v>19.100000000000001</v>
      </c>
      <c r="O149" s="1009">
        <f t="shared" si="103"/>
        <v>0.02</v>
      </c>
      <c r="P149" s="1009">
        <f t="shared" si="103"/>
        <v>9.5400000000000009</v>
      </c>
      <c r="Q149" s="1009">
        <f t="shared" si="103"/>
        <v>0.29499999999999998</v>
      </c>
    </row>
    <row r="150" spans="1:17" ht="14" x14ac:dyDescent="0.25">
      <c r="A150" s="1421"/>
      <c r="B150" s="1011">
        <v>7</v>
      </c>
      <c r="C150" s="1009">
        <f t="shared" ref="C150:H150" si="104">B69</f>
        <v>180</v>
      </c>
      <c r="D150" s="1009">
        <f t="shared" si="104"/>
        <v>0.34</v>
      </c>
      <c r="E150" s="1009">
        <f t="shared" si="104"/>
        <v>0.46</v>
      </c>
      <c r="F150" s="1009">
        <f t="shared" si="104"/>
        <v>0.33</v>
      </c>
      <c r="G150" s="1009">
        <f t="shared" si="104"/>
        <v>6.5000000000000002E-2</v>
      </c>
      <c r="H150" s="1009">
        <f t="shared" si="104"/>
        <v>2.16</v>
      </c>
      <c r="I150" s="1009"/>
      <c r="J150" s="1009"/>
      <c r="K150" s="1009">
        <v>7</v>
      </c>
      <c r="L150" s="1009">
        <f t="shared" ref="L150:Q150" si="105">B77</f>
        <v>50</v>
      </c>
      <c r="M150" s="1009">
        <f t="shared" si="105"/>
        <v>5</v>
      </c>
      <c r="N150" s="1009">
        <f t="shared" si="105"/>
        <v>1.9</v>
      </c>
      <c r="O150" s="1009">
        <f t="shared" si="105"/>
        <v>1.7</v>
      </c>
      <c r="P150" s="1009">
        <f t="shared" si="105"/>
        <v>9.9999999999999978E-2</v>
      </c>
      <c r="Q150" s="1009">
        <f t="shared" si="105"/>
        <v>0.29499999999999998</v>
      </c>
    </row>
    <row r="151" spans="1:17" ht="14" x14ac:dyDescent="0.25">
      <c r="A151" s="1421"/>
      <c r="B151" s="1011">
        <v>8</v>
      </c>
      <c r="C151" s="1009">
        <f t="shared" ref="C151:H151" si="106">I69</f>
        <v>180</v>
      </c>
      <c r="D151" s="1009">
        <f t="shared" si="106"/>
        <v>-0.39</v>
      </c>
      <c r="E151" s="1009">
        <f t="shared" si="106"/>
        <v>-0.14000000000000001</v>
      </c>
      <c r="F151" s="1009">
        <f t="shared" si="106"/>
        <v>0</v>
      </c>
      <c r="G151" s="1009">
        <f t="shared" si="106"/>
        <v>0.125</v>
      </c>
      <c r="H151" s="1009">
        <f t="shared" si="106"/>
        <v>2.16</v>
      </c>
      <c r="I151" s="1009"/>
      <c r="J151" s="1009"/>
      <c r="K151" s="1009">
        <v>8</v>
      </c>
      <c r="L151" s="1009">
        <f t="shared" ref="L151:Q151" si="107">I77</f>
        <v>20</v>
      </c>
      <c r="M151" s="1009">
        <f t="shared" si="107"/>
        <v>6.6</v>
      </c>
      <c r="N151" s="1009">
        <f t="shared" si="107"/>
        <v>0.9</v>
      </c>
      <c r="O151" s="1009">
        <f t="shared" si="107"/>
        <v>0</v>
      </c>
      <c r="P151" s="1009">
        <f t="shared" si="107"/>
        <v>2.8499999999999996</v>
      </c>
      <c r="Q151" s="1009">
        <f t="shared" si="107"/>
        <v>0.11799999999999999</v>
      </c>
    </row>
    <row r="152" spans="1:17" ht="14" x14ac:dyDescent="0.25">
      <c r="A152" s="1421"/>
      <c r="B152" s="1011">
        <v>9</v>
      </c>
      <c r="C152" s="1009">
        <f t="shared" ref="C152:H152" si="108">P69</f>
        <v>180</v>
      </c>
      <c r="D152" s="1009">
        <f t="shared" si="108"/>
        <v>-0.2</v>
      </c>
      <c r="E152" s="1009">
        <f t="shared" si="108"/>
        <v>-0.22</v>
      </c>
      <c r="F152" s="1009">
        <f t="shared" si="108"/>
        <v>0</v>
      </c>
      <c r="G152" s="1009">
        <f t="shared" si="108"/>
        <v>9.999999999999995E-3</v>
      </c>
      <c r="H152" s="1009">
        <f t="shared" si="108"/>
        <v>2.16</v>
      </c>
      <c r="I152" s="1009"/>
      <c r="J152" s="1009"/>
      <c r="K152" s="1009">
        <v>9</v>
      </c>
      <c r="L152" s="1009">
        <f t="shared" ref="L152:Q152" si="109">P77</f>
        <v>20</v>
      </c>
      <c r="M152" s="1009">
        <f t="shared" si="109"/>
        <v>4.9000000000000004</v>
      </c>
      <c r="N152" s="1009">
        <f t="shared" si="109"/>
        <v>0.8</v>
      </c>
      <c r="O152" s="1009">
        <f t="shared" si="109"/>
        <v>0</v>
      </c>
      <c r="P152" s="1009">
        <f t="shared" si="109"/>
        <v>2.0500000000000003</v>
      </c>
      <c r="Q152" s="1009">
        <f t="shared" si="109"/>
        <v>0.11799999999999999</v>
      </c>
    </row>
    <row r="153" spans="1:17" ht="14" x14ac:dyDescent="0.25">
      <c r="A153" s="1421"/>
      <c r="B153" s="1011">
        <v>10</v>
      </c>
      <c r="C153" s="1009">
        <f>B100</f>
        <v>180</v>
      </c>
      <c r="D153" s="1009">
        <f t="shared" ref="D153:G153" si="110">C100</f>
        <v>-0.04</v>
      </c>
      <c r="E153" s="1009" t="str">
        <f t="shared" si="110"/>
        <v>-</v>
      </c>
      <c r="F153" s="1009">
        <f t="shared" si="110"/>
        <v>0</v>
      </c>
      <c r="G153" s="1009">
        <f t="shared" si="110"/>
        <v>0</v>
      </c>
      <c r="H153" s="1009" t="str">
        <f>G100</f>
        <v>-</v>
      </c>
      <c r="I153" s="1009"/>
      <c r="J153" s="1009"/>
      <c r="K153" s="1009">
        <v>10</v>
      </c>
      <c r="L153" s="1009">
        <f t="shared" ref="L153:Q153" si="111">B108</f>
        <v>50</v>
      </c>
      <c r="M153" s="1009">
        <f t="shared" si="111"/>
        <v>0.4</v>
      </c>
      <c r="N153" s="1009" t="str">
        <f t="shared" si="111"/>
        <v>-</v>
      </c>
      <c r="O153" s="1009">
        <f t="shared" si="111"/>
        <v>0</v>
      </c>
      <c r="P153" s="1009">
        <f t="shared" si="111"/>
        <v>0</v>
      </c>
      <c r="Q153" s="1009" t="str">
        <f t="shared" si="111"/>
        <v>-</v>
      </c>
    </row>
    <row r="154" spans="1:17" ht="14" x14ac:dyDescent="0.25">
      <c r="A154" s="1421"/>
      <c r="B154" s="1011">
        <v>11</v>
      </c>
      <c r="C154" s="1009">
        <f>I100</f>
        <v>180</v>
      </c>
      <c r="D154" s="1009">
        <f t="shared" ref="D154:G154" si="112">J100</f>
        <v>9.9999999999999995E-7</v>
      </c>
      <c r="E154" s="1009" t="str">
        <f t="shared" si="112"/>
        <v>-</v>
      </c>
      <c r="F154" s="1009">
        <f t="shared" si="112"/>
        <v>0</v>
      </c>
      <c r="G154" s="1009">
        <f t="shared" si="112"/>
        <v>0</v>
      </c>
      <c r="H154" s="1009" t="str">
        <f>N100</f>
        <v>-</v>
      </c>
      <c r="I154" s="1009"/>
      <c r="J154" s="1009"/>
      <c r="K154" s="1009">
        <v>11</v>
      </c>
      <c r="L154" s="1009">
        <f t="shared" ref="L154:Q154" si="113">I108</f>
        <v>50</v>
      </c>
      <c r="M154" s="1009">
        <f t="shared" si="113"/>
        <v>9.9999999999999995E-7</v>
      </c>
      <c r="N154" s="1009" t="str">
        <f t="shared" si="113"/>
        <v>-</v>
      </c>
      <c r="O154" s="1009">
        <f t="shared" si="113"/>
        <v>0</v>
      </c>
      <c r="P154" s="1009">
        <f t="shared" si="113"/>
        <v>0</v>
      </c>
      <c r="Q154" s="1009" t="str">
        <f t="shared" si="113"/>
        <v>-</v>
      </c>
    </row>
    <row r="155" spans="1:17" ht="14" x14ac:dyDescent="0.25">
      <c r="A155" s="1421"/>
      <c r="B155" s="1011">
        <v>12</v>
      </c>
      <c r="C155" s="1009">
        <f>P100</f>
        <v>180</v>
      </c>
      <c r="D155" s="1009">
        <f t="shared" ref="D155:G155" si="114">Q100</f>
        <v>9.9999999999999995E-7</v>
      </c>
      <c r="E155" s="1009" t="str">
        <f t="shared" si="114"/>
        <v>-</v>
      </c>
      <c r="F155" s="1009">
        <f t="shared" si="114"/>
        <v>0</v>
      </c>
      <c r="G155" s="1009">
        <f t="shared" si="114"/>
        <v>0</v>
      </c>
      <c r="H155" s="1009" t="str">
        <f>U100</f>
        <v>-</v>
      </c>
      <c r="I155" s="1009"/>
      <c r="J155" s="1009"/>
      <c r="K155" s="1009">
        <v>12</v>
      </c>
      <c r="L155" s="1009">
        <f t="shared" ref="L155:Q155" si="115">P108</f>
        <v>50</v>
      </c>
      <c r="M155" s="1009">
        <f t="shared" si="115"/>
        <v>9.9999999999999995E-7</v>
      </c>
      <c r="N155" s="1009" t="str">
        <f t="shared" si="115"/>
        <v>-</v>
      </c>
      <c r="O155" s="1009">
        <f t="shared" si="115"/>
        <v>0</v>
      </c>
      <c r="P155" s="1009">
        <f t="shared" si="115"/>
        <v>0</v>
      </c>
      <c r="Q155" s="1009" t="str">
        <f t="shared" si="115"/>
        <v>-</v>
      </c>
    </row>
    <row r="156" spans="1:17" s="717" customFormat="1" ht="14" x14ac:dyDescent="0.25">
      <c r="A156" s="102"/>
      <c r="B156" s="102"/>
      <c r="C156" s="1009"/>
      <c r="D156" s="1009"/>
      <c r="E156" s="1009"/>
      <c r="F156" s="1009"/>
      <c r="G156" s="1009"/>
      <c r="H156" s="1009"/>
      <c r="I156" s="1009"/>
      <c r="J156" s="1009"/>
      <c r="K156" s="1009"/>
      <c r="L156" s="1009"/>
      <c r="M156" s="1009"/>
      <c r="N156" s="1009"/>
      <c r="O156" s="1009"/>
      <c r="P156" s="1009"/>
      <c r="Q156" s="1009"/>
    </row>
    <row r="157" spans="1:17" ht="14" x14ac:dyDescent="0.25">
      <c r="A157" s="1421" t="s">
        <v>89</v>
      </c>
      <c r="B157" s="1009">
        <v>1</v>
      </c>
      <c r="C157" s="1009">
        <f t="shared" ref="C157:H157" si="116">B8</f>
        <v>200</v>
      </c>
      <c r="D157" s="1009">
        <f t="shared" si="116"/>
        <v>-0.17</v>
      </c>
      <c r="E157" s="1009">
        <f t="shared" si="116"/>
        <v>-0.04</v>
      </c>
      <c r="F157" s="1009">
        <f t="shared" si="116"/>
        <v>-0.16</v>
      </c>
      <c r="G157" s="1009">
        <f t="shared" si="116"/>
        <v>6.5000000000000002E-2</v>
      </c>
      <c r="H157" s="1009">
        <f t="shared" si="116"/>
        <v>2.4</v>
      </c>
      <c r="I157" s="1009"/>
      <c r="J157" s="1009" t="s">
        <v>89</v>
      </c>
      <c r="K157" s="1009">
        <v>1</v>
      </c>
      <c r="L157" s="1009">
        <f t="shared" ref="L157:Q157" si="117">B16</f>
        <v>100</v>
      </c>
      <c r="M157" s="1009">
        <f t="shared" si="117"/>
        <v>3.6</v>
      </c>
      <c r="N157" s="1009">
        <f t="shared" si="117"/>
        <v>0.2</v>
      </c>
      <c r="O157" s="1009">
        <f t="shared" si="117"/>
        <v>-0.06</v>
      </c>
      <c r="P157" s="1009">
        <f t="shared" si="117"/>
        <v>1.83</v>
      </c>
      <c r="Q157" s="1009">
        <f t="shared" si="117"/>
        <v>0.59</v>
      </c>
    </row>
    <row r="158" spans="1:17" ht="14" x14ac:dyDescent="0.25">
      <c r="A158" s="1421"/>
      <c r="B158" s="1009">
        <v>2</v>
      </c>
      <c r="C158" s="1009">
        <f t="shared" ref="C158:H158" si="118">I8</f>
        <v>200</v>
      </c>
      <c r="D158" s="1009">
        <f t="shared" si="118"/>
        <v>0.09</v>
      </c>
      <c r="E158" s="1009">
        <f t="shared" si="118"/>
        <v>0.06</v>
      </c>
      <c r="F158" s="1009">
        <f t="shared" si="118"/>
        <v>-0.18</v>
      </c>
      <c r="G158" s="1009">
        <f t="shared" si="118"/>
        <v>0.12</v>
      </c>
      <c r="H158" s="1009">
        <f t="shared" si="118"/>
        <v>2.4</v>
      </c>
      <c r="I158" s="1009"/>
      <c r="J158" s="1009"/>
      <c r="K158" s="1009">
        <v>2</v>
      </c>
      <c r="L158" s="1009">
        <f t="shared" ref="L158:Q158" si="119">I16</f>
        <v>100</v>
      </c>
      <c r="M158" s="1009">
        <f t="shared" si="119"/>
        <v>-0.9</v>
      </c>
      <c r="N158" s="1009">
        <f t="shared" si="119"/>
        <v>-7.0000000000000007E-2</v>
      </c>
      <c r="O158" s="1009">
        <f t="shared" si="119"/>
        <v>2.2000000000000002</v>
      </c>
      <c r="P158" s="1009">
        <f t="shared" si="119"/>
        <v>1.135</v>
      </c>
      <c r="Q158" s="1009">
        <f t="shared" si="119"/>
        <v>0.59</v>
      </c>
    </row>
    <row r="159" spans="1:17" ht="14" x14ac:dyDescent="0.25">
      <c r="A159" s="1421"/>
      <c r="B159" s="1010">
        <v>3</v>
      </c>
      <c r="C159" s="1009">
        <f t="shared" ref="C159:H159" si="120">P8</f>
        <v>200</v>
      </c>
      <c r="D159" s="1009">
        <f t="shared" si="120"/>
        <v>-2.0499999999999998</v>
      </c>
      <c r="E159" s="1009">
        <f t="shared" si="120"/>
        <v>-2.14</v>
      </c>
      <c r="F159" s="1009">
        <f t="shared" si="120"/>
        <v>-0.26</v>
      </c>
      <c r="G159" s="1009">
        <f t="shared" si="120"/>
        <v>0.94000000000000006</v>
      </c>
      <c r="H159" s="1009">
        <f t="shared" si="120"/>
        <v>2.4</v>
      </c>
      <c r="I159" s="1009"/>
      <c r="J159" s="1009"/>
      <c r="K159" s="1009">
        <v>3</v>
      </c>
      <c r="L159" s="1009">
        <f t="shared" ref="L159:Q159" si="121">P16</f>
        <v>100</v>
      </c>
      <c r="M159" s="1009">
        <f t="shared" si="121"/>
        <v>6</v>
      </c>
      <c r="N159" s="1009">
        <f t="shared" si="121"/>
        <v>-0.22</v>
      </c>
      <c r="O159" s="1009">
        <f t="shared" si="121"/>
        <v>2</v>
      </c>
      <c r="P159" s="1009">
        <f t="shared" si="121"/>
        <v>3.11</v>
      </c>
      <c r="Q159" s="1009">
        <f t="shared" si="121"/>
        <v>0.59</v>
      </c>
    </row>
    <row r="160" spans="1:17" ht="14" x14ac:dyDescent="0.25">
      <c r="A160" s="1421"/>
      <c r="B160" s="1010">
        <v>4</v>
      </c>
      <c r="C160" s="1009">
        <f t="shared" ref="C160:H160" si="122">B39</f>
        <v>200</v>
      </c>
      <c r="D160" s="1009">
        <f t="shared" si="122"/>
        <v>0.11</v>
      </c>
      <c r="E160" s="1009">
        <f t="shared" si="122"/>
        <v>-0.67</v>
      </c>
      <c r="F160" s="1009">
        <f t="shared" si="122"/>
        <v>0.05</v>
      </c>
      <c r="G160" s="1009">
        <f t="shared" si="122"/>
        <v>0.36000000000000004</v>
      </c>
      <c r="H160" s="1009">
        <f t="shared" si="122"/>
        <v>2.4</v>
      </c>
      <c r="I160" s="1009"/>
      <c r="J160" s="1009"/>
      <c r="K160" s="1009">
        <v>4</v>
      </c>
      <c r="L160" s="1009">
        <f t="shared" ref="L160:Q160" si="123">B47</f>
        <v>100</v>
      </c>
      <c r="M160" s="1009">
        <f t="shared" si="123"/>
        <v>4.0999999999999996</v>
      </c>
      <c r="N160" s="1009">
        <f t="shared" si="123"/>
        <v>-0.4</v>
      </c>
      <c r="O160" s="1009">
        <f t="shared" si="123"/>
        <v>-0.35</v>
      </c>
      <c r="P160" s="1009">
        <f t="shared" si="123"/>
        <v>2.5000000000000022E-2</v>
      </c>
      <c r="Q160" s="1009">
        <f t="shared" si="123"/>
        <v>0.59</v>
      </c>
    </row>
    <row r="161" spans="1:17" ht="14" x14ac:dyDescent="0.25">
      <c r="A161" s="1421"/>
      <c r="B161" s="1011">
        <v>5</v>
      </c>
      <c r="C161" s="1009">
        <f t="shared" ref="C161:H161" si="124">I39</f>
        <v>200</v>
      </c>
      <c r="D161" s="1009">
        <f t="shared" si="124"/>
        <v>-0.12</v>
      </c>
      <c r="E161" s="1009">
        <f t="shared" si="124"/>
        <v>0.18</v>
      </c>
      <c r="F161" s="1009">
        <f t="shared" si="124"/>
        <v>-0.03</v>
      </c>
      <c r="G161" s="1009">
        <f t="shared" si="124"/>
        <v>0.15</v>
      </c>
      <c r="H161" s="1009">
        <f t="shared" si="124"/>
        <v>2.4</v>
      </c>
      <c r="I161" s="1009"/>
      <c r="J161" s="1009"/>
      <c r="K161" s="1009">
        <v>5</v>
      </c>
      <c r="L161" s="1009">
        <f t="shared" ref="L161:Q161" si="125">I47</f>
        <v>100</v>
      </c>
      <c r="M161" s="1009">
        <f t="shared" si="125"/>
        <v>5</v>
      </c>
      <c r="N161" s="1009">
        <f t="shared" si="125"/>
        <v>-0.1</v>
      </c>
      <c r="O161" s="1009">
        <f t="shared" si="125"/>
        <v>-0.42</v>
      </c>
      <c r="P161" s="1009">
        <f t="shared" si="125"/>
        <v>2.71</v>
      </c>
      <c r="Q161" s="1009">
        <f t="shared" si="125"/>
        <v>0.59</v>
      </c>
    </row>
    <row r="162" spans="1:17" ht="14" x14ac:dyDescent="0.25">
      <c r="A162" s="1421"/>
      <c r="B162" s="1011">
        <v>6</v>
      </c>
      <c r="C162" s="1009">
        <f t="shared" ref="C162:H162" si="126">P39</f>
        <v>200</v>
      </c>
      <c r="D162" s="1009">
        <f t="shared" si="126"/>
        <v>0.08</v>
      </c>
      <c r="E162" s="1009">
        <f t="shared" si="126"/>
        <v>0.1</v>
      </c>
      <c r="F162" s="1009">
        <f t="shared" si="126"/>
        <v>-0.1</v>
      </c>
      <c r="G162" s="1009">
        <f t="shared" si="126"/>
        <v>0.1</v>
      </c>
      <c r="H162" s="1009">
        <f t="shared" si="126"/>
        <v>2.4</v>
      </c>
      <c r="I162" s="1009"/>
      <c r="J162" s="1009"/>
      <c r="K162" s="1009">
        <v>6</v>
      </c>
      <c r="L162" s="1009">
        <f t="shared" ref="L162:Q162" si="127">P47</f>
        <v>100</v>
      </c>
      <c r="M162" s="1009">
        <f t="shared" si="127"/>
        <v>6.2</v>
      </c>
      <c r="N162" s="1009">
        <f t="shared" si="127"/>
        <v>18.399999999999999</v>
      </c>
      <c r="O162" s="1009">
        <f t="shared" si="127"/>
        <v>0.22</v>
      </c>
      <c r="P162" s="1009">
        <f t="shared" si="127"/>
        <v>9.09</v>
      </c>
      <c r="Q162" s="1009">
        <f t="shared" si="127"/>
        <v>0.59</v>
      </c>
    </row>
    <row r="163" spans="1:17" ht="14" x14ac:dyDescent="0.25">
      <c r="A163" s="1421"/>
      <c r="B163" s="1011">
        <v>7</v>
      </c>
      <c r="C163" s="1009">
        <f t="shared" ref="C163:H163" si="128">B70</f>
        <v>200</v>
      </c>
      <c r="D163" s="1009">
        <f t="shared" si="128"/>
        <v>0.42</v>
      </c>
      <c r="E163" s="1009">
        <f t="shared" si="128"/>
        <v>0.52</v>
      </c>
      <c r="F163" s="1009">
        <f t="shared" si="128"/>
        <v>0.34</v>
      </c>
      <c r="G163" s="1009">
        <f t="shared" si="128"/>
        <v>0.09</v>
      </c>
      <c r="H163" s="1009">
        <f t="shared" si="128"/>
        <v>2.4</v>
      </c>
      <c r="I163" s="1009"/>
      <c r="J163" s="1009"/>
      <c r="K163" s="1009">
        <v>7</v>
      </c>
      <c r="L163" s="1009">
        <f t="shared" ref="L163:Q163" si="129">B78</f>
        <v>100</v>
      </c>
      <c r="M163" s="1009">
        <f t="shared" si="129"/>
        <v>6.2</v>
      </c>
      <c r="N163" s="1009">
        <f t="shared" si="129"/>
        <v>1.7</v>
      </c>
      <c r="O163" s="1009">
        <f t="shared" si="129"/>
        <v>1.7</v>
      </c>
      <c r="P163" s="1009">
        <f t="shared" si="129"/>
        <v>0</v>
      </c>
      <c r="Q163" s="1009">
        <f t="shared" si="129"/>
        <v>0.59</v>
      </c>
    </row>
    <row r="164" spans="1:17" ht="14" x14ac:dyDescent="0.25">
      <c r="A164" s="1421"/>
      <c r="B164" s="1011">
        <v>8</v>
      </c>
      <c r="C164" s="1009">
        <f t="shared" ref="C164:H164" si="130">I70</f>
        <v>200</v>
      </c>
      <c r="D164" s="1009">
        <f t="shared" si="130"/>
        <v>-0.23</v>
      </c>
      <c r="E164" s="1009">
        <f t="shared" si="130"/>
        <v>-0.33</v>
      </c>
      <c r="F164" s="1009">
        <f t="shared" si="130"/>
        <v>0</v>
      </c>
      <c r="G164" s="1009">
        <f t="shared" si="130"/>
        <v>0.05</v>
      </c>
      <c r="H164" s="1009">
        <f t="shared" si="130"/>
        <v>2.4</v>
      </c>
      <c r="I164" s="1009"/>
      <c r="J164" s="1009"/>
      <c r="K164" s="1009">
        <v>8</v>
      </c>
      <c r="L164" s="1009">
        <f t="shared" ref="L164:Q164" si="131">I78</f>
        <v>50</v>
      </c>
      <c r="M164" s="1009">
        <f t="shared" si="131"/>
        <v>5</v>
      </c>
      <c r="N164" s="1009">
        <f t="shared" si="131"/>
        <v>2.1</v>
      </c>
      <c r="O164" s="1009">
        <f t="shared" si="131"/>
        <v>0</v>
      </c>
      <c r="P164" s="1009">
        <f t="shared" si="131"/>
        <v>1.45</v>
      </c>
      <c r="Q164" s="1009">
        <f t="shared" si="131"/>
        <v>0.29499999999999998</v>
      </c>
    </row>
    <row r="165" spans="1:17" ht="14" x14ac:dyDescent="0.25">
      <c r="A165" s="1421"/>
      <c r="B165" s="1011">
        <v>9</v>
      </c>
      <c r="C165" s="1009">
        <f t="shared" ref="C165:H165" si="132">P70</f>
        <v>200</v>
      </c>
      <c r="D165" s="1009">
        <f t="shared" si="132"/>
        <v>-0.25</v>
      </c>
      <c r="E165" s="1009">
        <f t="shared" si="132"/>
        <v>-0.33</v>
      </c>
      <c r="F165" s="1009">
        <f t="shared" si="132"/>
        <v>0</v>
      </c>
      <c r="G165" s="1009">
        <f t="shared" si="132"/>
        <v>4.0000000000000008E-2</v>
      </c>
      <c r="H165" s="1009">
        <f t="shared" si="132"/>
        <v>2.4</v>
      </c>
      <c r="I165" s="1009"/>
      <c r="J165" s="1009"/>
      <c r="K165" s="1009">
        <v>9</v>
      </c>
      <c r="L165" s="1009">
        <f t="shared" ref="L165:Q165" si="133">P78</f>
        <v>50</v>
      </c>
      <c r="M165" s="1009">
        <f t="shared" si="133"/>
        <v>9.1999999999999993</v>
      </c>
      <c r="N165" s="1009">
        <f t="shared" si="133"/>
        <v>1.7</v>
      </c>
      <c r="O165" s="1009">
        <f t="shared" si="133"/>
        <v>0</v>
      </c>
      <c r="P165" s="1009">
        <f t="shared" si="133"/>
        <v>3.7499999999999996</v>
      </c>
      <c r="Q165" s="1009">
        <f t="shared" si="133"/>
        <v>0.29499999999999998</v>
      </c>
    </row>
    <row r="166" spans="1:17" ht="14" x14ac:dyDescent="0.25">
      <c r="A166" s="1421"/>
      <c r="B166" s="1011">
        <v>10</v>
      </c>
      <c r="C166" s="1009">
        <f>B101</f>
        <v>200</v>
      </c>
      <c r="D166" s="1009">
        <f t="shared" ref="D166:G166" si="134">C101</f>
        <v>-0.67</v>
      </c>
      <c r="E166" s="1009" t="str">
        <f t="shared" si="134"/>
        <v>-</v>
      </c>
      <c r="F166" s="1009">
        <f t="shared" si="134"/>
        <v>0</v>
      </c>
      <c r="G166" s="1009">
        <f t="shared" si="134"/>
        <v>0</v>
      </c>
      <c r="H166" s="1009" t="str">
        <f>G101</f>
        <v>-</v>
      </c>
      <c r="I166" s="1009"/>
      <c r="J166" s="1009"/>
      <c r="K166" s="1009">
        <v>10</v>
      </c>
      <c r="L166" s="1009">
        <f t="shared" ref="L166:Q166" si="135">B109</f>
        <v>100</v>
      </c>
      <c r="M166" s="1009">
        <f t="shared" si="135"/>
        <v>0.4</v>
      </c>
      <c r="N166" s="1009" t="str">
        <f t="shared" si="135"/>
        <v>-</v>
      </c>
      <c r="O166" s="1009">
        <f t="shared" si="135"/>
        <v>0</v>
      </c>
      <c r="P166" s="1009">
        <f t="shared" si="135"/>
        <v>0</v>
      </c>
      <c r="Q166" s="1009" t="str">
        <f t="shared" si="135"/>
        <v>-</v>
      </c>
    </row>
    <row r="167" spans="1:17" ht="14" x14ac:dyDescent="0.25">
      <c r="A167" s="1421"/>
      <c r="B167" s="1011">
        <v>11</v>
      </c>
      <c r="C167" s="1009">
        <f>I101</f>
        <v>200</v>
      </c>
      <c r="D167" s="1009">
        <f t="shared" ref="D167:G167" si="136">J101</f>
        <v>9.9999999999999995E-7</v>
      </c>
      <c r="E167" s="1009" t="str">
        <f t="shared" si="136"/>
        <v>-</v>
      </c>
      <c r="F167" s="1009">
        <f t="shared" si="136"/>
        <v>0</v>
      </c>
      <c r="G167" s="1009">
        <f t="shared" si="136"/>
        <v>0</v>
      </c>
      <c r="H167" s="1009" t="str">
        <f>N101</f>
        <v>-</v>
      </c>
      <c r="I167" s="1009"/>
      <c r="J167" s="1009"/>
      <c r="K167" s="1009">
        <v>11</v>
      </c>
      <c r="L167" s="1009">
        <f t="shared" ref="L167:Q167" si="137">I109</f>
        <v>100</v>
      </c>
      <c r="M167" s="1009">
        <f t="shared" si="137"/>
        <v>9.9999999999999995E-7</v>
      </c>
      <c r="N167" s="1009" t="str">
        <f t="shared" si="137"/>
        <v>-</v>
      </c>
      <c r="O167" s="1009">
        <f t="shared" si="137"/>
        <v>0</v>
      </c>
      <c r="P167" s="1009">
        <f t="shared" si="137"/>
        <v>0</v>
      </c>
      <c r="Q167" s="1009" t="str">
        <f t="shared" si="137"/>
        <v>-</v>
      </c>
    </row>
    <row r="168" spans="1:17" ht="14" x14ac:dyDescent="0.25">
      <c r="A168" s="1421"/>
      <c r="B168" s="1011">
        <v>12</v>
      </c>
      <c r="C168" s="1009">
        <f>P101</f>
        <v>200</v>
      </c>
      <c r="D168" s="1009">
        <f t="shared" ref="D168:G168" si="138">Q101</f>
        <v>9.9999999999999995E-7</v>
      </c>
      <c r="E168" s="1009" t="str">
        <f t="shared" si="138"/>
        <v>-</v>
      </c>
      <c r="F168" s="1009">
        <f t="shared" si="138"/>
        <v>0</v>
      </c>
      <c r="G168" s="1009">
        <f t="shared" si="138"/>
        <v>0</v>
      </c>
      <c r="H168" s="1009" t="str">
        <f>U101</f>
        <v>-</v>
      </c>
      <c r="I168" s="1009"/>
      <c r="J168" s="1009"/>
      <c r="K168" s="1009">
        <v>12</v>
      </c>
      <c r="L168" s="1009">
        <f t="shared" ref="L168:Q168" si="139">P109</f>
        <v>100</v>
      </c>
      <c r="M168" s="1009">
        <f t="shared" si="139"/>
        <v>9.9999999999999995E-7</v>
      </c>
      <c r="N168" s="1009" t="str">
        <f t="shared" si="139"/>
        <v>-</v>
      </c>
      <c r="O168" s="1009">
        <f t="shared" si="139"/>
        <v>0</v>
      </c>
      <c r="P168" s="1009">
        <f t="shared" si="139"/>
        <v>0</v>
      </c>
      <c r="Q168" s="1009" t="str">
        <f t="shared" si="139"/>
        <v>-</v>
      </c>
    </row>
    <row r="169" spans="1:17" s="717" customFormat="1" ht="14" x14ac:dyDescent="0.25">
      <c r="A169" s="102"/>
      <c r="B169" s="102"/>
      <c r="C169" s="1009"/>
      <c r="D169" s="1009"/>
      <c r="E169" s="1009"/>
      <c r="F169" s="1009"/>
      <c r="G169" s="1009"/>
      <c r="H169" s="1009"/>
      <c r="I169" s="1009"/>
      <c r="J169" s="1009"/>
      <c r="K169" s="1009"/>
      <c r="L169" s="1009"/>
      <c r="M169" s="1009"/>
      <c r="N169" s="1009"/>
      <c r="O169" s="1009"/>
      <c r="P169" s="1009"/>
      <c r="Q169" s="1009"/>
    </row>
    <row r="170" spans="1:17" ht="14" x14ac:dyDescent="0.25">
      <c r="A170" s="1421" t="s">
        <v>90</v>
      </c>
      <c r="B170" s="1009">
        <v>1</v>
      </c>
      <c r="C170" s="1009">
        <f t="shared" ref="C170:H170" si="140">B9</f>
        <v>220</v>
      </c>
      <c r="D170" s="1009">
        <f t="shared" si="140"/>
        <v>-0.27</v>
      </c>
      <c r="E170" s="1009">
        <f t="shared" si="140"/>
        <v>-0.28000000000000003</v>
      </c>
      <c r="F170" s="1009">
        <f t="shared" si="140"/>
        <v>-0.18</v>
      </c>
      <c r="G170" s="1009">
        <f t="shared" si="140"/>
        <v>5.0000000000000017E-2</v>
      </c>
      <c r="H170" s="1009">
        <f t="shared" si="140"/>
        <v>2.64</v>
      </c>
      <c r="I170" s="1009"/>
      <c r="J170" s="1009" t="s">
        <v>90</v>
      </c>
      <c r="K170" s="1009">
        <v>1</v>
      </c>
      <c r="L170" s="1009">
        <f t="shared" ref="L170:Q170" si="141">B17</f>
        <v>200</v>
      </c>
      <c r="M170" s="1009">
        <f t="shared" si="141"/>
        <v>2.2000000000000002</v>
      </c>
      <c r="N170" s="1009">
        <f t="shared" si="141"/>
        <v>0.4</v>
      </c>
      <c r="O170" s="1009">
        <f t="shared" si="141"/>
        <v>9.9999999999999995E-7</v>
      </c>
      <c r="P170" s="1009">
        <f t="shared" si="141"/>
        <v>1.0999995</v>
      </c>
      <c r="Q170" s="1009">
        <f t="shared" si="141"/>
        <v>1.18</v>
      </c>
    </row>
    <row r="171" spans="1:17" ht="14" x14ac:dyDescent="0.25">
      <c r="A171" s="1421"/>
      <c r="B171" s="1009">
        <v>2</v>
      </c>
      <c r="C171" s="1009">
        <f t="shared" ref="C171:H171" si="142">I9</f>
        <v>220</v>
      </c>
      <c r="D171" s="1009">
        <f t="shared" si="142"/>
        <v>0.53</v>
      </c>
      <c r="E171" s="1009">
        <f t="shared" si="142"/>
        <v>0.05</v>
      </c>
      <c r="F171" s="1009">
        <f t="shared" si="142"/>
        <v>-0.03</v>
      </c>
      <c r="G171" s="1009">
        <f t="shared" si="142"/>
        <v>0.04</v>
      </c>
      <c r="H171" s="1009">
        <f t="shared" si="142"/>
        <v>2.64</v>
      </c>
      <c r="I171" s="1009"/>
      <c r="J171" s="1009"/>
      <c r="K171" s="1009">
        <v>2</v>
      </c>
      <c r="L171" s="1009">
        <f t="shared" ref="L171:Q171" si="143">I17</f>
        <v>200</v>
      </c>
      <c r="M171" s="1009">
        <f t="shared" si="143"/>
        <v>-6.4</v>
      </c>
      <c r="N171" s="1009">
        <f t="shared" si="143"/>
        <v>-0.1</v>
      </c>
      <c r="O171" s="1009">
        <f t="shared" si="143"/>
        <v>3.3</v>
      </c>
      <c r="P171" s="1009">
        <f t="shared" si="143"/>
        <v>1.7</v>
      </c>
      <c r="Q171" s="1009">
        <f t="shared" si="143"/>
        <v>1.18</v>
      </c>
    </row>
    <row r="172" spans="1:17" ht="14" x14ac:dyDescent="0.25">
      <c r="A172" s="1421"/>
      <c r="B172" s="1010">
        <v>3</v>
      </c>
      <c r="C172" s="1009">
        <f t="shared" ref="C172:H172" si="144">P9</f>
        <v>220</v>
      </c>
      <c r="D172" s="1009">
        <f t="shared" si="144"/>
        <v>-2.29</v>
      </c>
      <c r="E172" s="1009">
        <f t="shared" si="144"/>
        <v>-3.44</v>
      </c>
      <c r="F172" s="1009">
        <f t="shared" si="144"/>
        <v>-0.28999999999999998</v>
      </c>
      <c r="G172" s="1009">
        <f t="shared" si="144"/>
        <v>1.575</v>
      </c>
      <c r="H172" s="1009">
        <f t="shared" si="144"/>
        <v>2.64</v>
      </c>
      <c r="I172" s="1009"/>
      <c r="J172" s="1009"/>
      <c r="K172" s="1009">
        <v>3</v>
      </c>
      <c r="L172" s="1009">
        <f t="shared" ref="L172:Q172" si="145">P17</f>
        <v>200</v>
      </c>
      <c r="M172" s="1009">
        <f t="shared" si="145"/>
        <v>-3.6</v>
      </c>
      <c r="N172" s="1009">
        <f t="shared" si="145"/>
        <v>-0.1</v>
      </c>
      <c r="O172" s="1009">
        <f t="shared" si="145"/>
        <v>3.6</v>
      </c>
      <c r="P172" s="1009">
        <f t="shared" si="145"/>
        <v>3.6</v>
      </c>
      <c r="Q172" s="1009">
        <f t="shared" si="145"/>
        <v>1.18</v>
      </c>
    </row>
    <row r="173" spans="1:17" ht="14" x14ac:dyDescent="0.25">
      <c r="A173" s="1421"/>
      <c r="B173" s="1010">
        <v>4</v>
      </c>
      <c r="C173" s="1009">
        <f t="shared" ref="C173:H173" si="146">B40</f>
        <v>220</v>
      </c>
      <c r="D173" s="1009">
        <f t="shared" si="146"/>
        <v>0.13</v>
      </c>
      <c r="E173" s="1009">
        <f t="shared" si="146"/>
        <v>9.9999999999999995E-7</v>
      </c>
      <c r="F173" s="1009">
        <f t="shared" si="146"/>
        <v>0.1</v>
      </c>
      <c r="G173" s="1009">
        <f t="shared" si="146"/>
        <v>4.9999500000000002E-2</v>
      </c>
      <c r="H173" s="1009">
        <f t="shared" si="146"/>
        <v>2.64</v>
      </c>
      <c r="I173" s="1009"/>
      <c r="J173" s="1009"/>
      <c r="K173" s="1009">
        <v>4</v>
      </c>
      <c r="L173" s="1009">
        <f t="shared" ref="L173:Q173" si="147">B48</f>
        <v>200</v>
      </c>
      <c r="M173" s="1009">
        <f t="shared" si="147"/>
        <v>5</v>
      </c>
      <c r="N173" s="1009">
        <f t="shared" si="147"/>
        <v>0.3</v>
      </c>
      <c r="O173" s="1009">
        <f t="shared" si="147"/>
        <v>0.8</v>
      </c>
      <c r="P173" s="1009">
        <f t="shared" si="147"/>
        <v>0.25</v>
      </c>
      <c r="Q173" s="1009">
        <f t="shared" si="147"/>
        <v>1.18</v>
      </c>
    </row>
    <row r="174" spans="1:17" ht="14" x14ac:dyDescent="0.25">
      <c r="A174" s="1421"/>
      <c r="B174" s="1011">
        <v>5</v>
      </c>
      <c r="C174" s="1009">
        <f t="shared" ref="C174:H174" si="148">I40</f>
        <v>220</v>
      </c>
      <c r="D174" s="1009">
        <f t="shared" si="148"/>
        <v>-0.17</v>
      </c>
      <c r="E174" s="1009">
        <f t="shared" si="148"/>
        <v>0.56000000000000005</v>
      </c>
      <c r="F174" s="1009">
        <f t="shared" si="148"/>
        <v>0.38</v>
      </c>
      <c r="G174" s="1009">
        <f t="shared" si="148"/>
        <v>0.36500000000000005</v>
      </c>
      <c r="H174" s="1009">
        <f t="shared" si="148"/>
        <v>2.64</v>
      </c>
      <c r="I174" s="1009"/>
      <c r="J174" s="1009"/>
      <c r="K174" s="1009">
        <v>5</v>
      </c>
      <c r="L174" s="1009">
        <f t="shared" ref="L174:Q174" si="149">I48</f>
        <v>200</v>
      </c>
      <c r="M174" s="1009">
        <f t="shared" si="149"/>
        <v>7.7</v>
      </c>
      <c r="N174" s="1009">
        <f t="shared" si="149"/>
        <v>1.3</v>
      </c>
      <c r="O174" s="1009">
        <f t="shared" si="149"/>
        <v>1.3</v>
      </c>
      <c r="P174" s="1009">
        <f t="shared" si="149"/>
        <v>3.2</v>
      </c>
      <c r="Q174" s="1009">
        <f t="shared" si="149"/>
        <v>1.18</v>
      </c>
    </row>
    <row r="175" spans="1:17" ht="14" x14ac:dyDescent="0.25">
      <c r="A175" s="1421"/>
      <c r="B175" s="1011">
        <v>6</v>
      </c>
      <c r="C175" s="1009">
        <f t="shared" ref="C175:H175" si="150">P40</f>
        <v>220</v>
      </c>
      <c r="D175" s="1009">
        <f t="shared" si="150"/>
        <v>0.06</v>
      </c>
      <c r="E175" s="1009">
        <f t="shared" si="150"/>
        <v>7.0000000000000007E-2</v>
      </c>
      <c r="F175" s="1009">
        <f t="shared" si="150"/>
        <v>-0.13</v>
      </c>
      <c r="G175" s="1009">
        <f t="shared" si="150"/>
        <v>0.1</v>
      </c>
      <c r="H175" s="1009">
        <f t="shared" si="150"/>
        <v>2.64</v>
      </c>
      <c r="I175" s="1009"/>
      <c r="J175" s="1009"/>
      <c r="K175" s="1009">
        <v>6</v>
      </c>
      <c r="L175" s="1009">
        <f t="shared" ref="L175:Q175" si="151">P48</f>
        <v>200</v>
      </c>
      <c r="M175" s="1009">
        <f t="shared" si="151"/>
        <v>9.4</v>
      </c>
      <c r="N175" s="1009">
        <f t="shared" si="151"/>
        <v>14.4</v>
      </c>
      <c r="O175" s="1009">
        <f t="shared" si="151"/>
        <v>0.8</v>
      </c>
      <c r="P175" s="1009">
        <f t="shared" si="151"/>
        <v>6.8</v>
      </c>
      <c r="Q175" s="1009">
        <f t="shared" si="151"/>
        <v>1.18</v>
      </c>
    </row>
    <row r="176" spans="1:17" ht="14" x14ac:dyDescent="0.25">
      <c r="A176" s="1421"/>
      <c r="B176" s="1011">
        <v>7</v>
      </c>
      <c r="C176" s="1009">
        <f t="shared" ref="C176:H176" si="152">B71</f>
        <v>220</v>
      </c>
      <c r="D176" s="1009">
        <f t="shared" si="152"/>
        <v>0.32</v>
      </c>
      <c r="E176" s="1009">
        <f t="shared" si="152"/>
        <v>0.57999999999999996</v>
      </c>
      <c r="F176" s="1009">
        <f t="shared" si="152"/>
        <v>0.37</v>
      </c>
      <c r="G176" s="1009">
        <f t="shared" si="152"/>
        <v>0.10499999999999998</v>
      </c>
      <c r="H176" s="1009">
        <f t="shared" si="152"/>
        <v>2.64</v>
      </c>
      <c r="I176" s="1009"/>
      <c r="J176" s="1009"/>
      <c r="K176" s="1009">
        <v>7</v>
      </c>
      <c r="L176" s="1009">
        <f t="shared" ref="L176:Q176" si="153">B79</f>
        <v>200</v>
      </c>
      <c r="M176" s="1009">
        <f t="shared" si="153"/>
        <v>8.6</v>
      </c>
      <c r="N176" s="1009">
        <f t="shared" si="153"/>
        <v>1.5</v>
      </c>
      <c r="O176" s="1009">
        <f t="shared" si="153"/>
        <v>0.4</v>
      </c>
      <c r="P176" s="1009">
        <f t="shared" si="153"/>
        <v>0.55000000000000004</v>
      </c>
      <c r="Q176" s="1009">
        <f t="shared" si="153"/>
        <v>1.18</v>
      </c>
    </row>
    <row r="177" spans="1:17" ht="14" x14ac:dyDescent="0.25">
      <c r="A177" s="1421"/>
      <c r="B177" s="1011">
        <v>8</v>
      </c>
      <c r="C177" s="1009">
        <f t="shared" ref="C177:H177" si="154">I71</f>
        <v>220</v>
      </c>
      <c r="D177" s="1009">
        <f t="shared" si="154"/>
        <v>-0.16</v>
      </c>
      <c r="E177" s="1009">
        <f t="shared" si="154"/>
        <v>-0.45</v>
      </c>
      <c r="F177" s="1009">
        <f t="shared" si="154"/>
        <v>0</v>
      </c>
      <c r="G177" s="1009">
        <f t="shared" si="154"/>
        <v>0.14500000000000002</v>
      </c>
      <c r="H177" s="1009">
        <f t="shared" si="154"/>
        <v>2.64</v>
      </c>
      <c r="I177" s="1009"/>
      <c r="J177" s="1009"/>
      <c r="K177" s="1009">
        <v>8</v>
      </c>
      <c r="L177" s="1009">
        <f t="shared" ref="L177:Q177" si="155">I79</f>
        <v>200</v>
      </c>
      <c r="M177" s="1009">
        <f t="shared" si="155"/>
        <v>-8.1999999999999993</v>
      </c>
      <c r="N177" s="1009">
        <f t="shared" si="155"/>
        <v>3.7</v>
      </c>
      <c r="O177" s="1009">
        <f t="shared" si="155"/>
        <v>0</v>
      </c>
      <c r="P177" s="1009">
        <f t="shared" si="155"/>
        <v>5.9499999999999993</v>
      </c>
      <c r="Q177" s="1009">
        <f t="shared" si="155"/>
        <v>1.18</v>
      </c>
    </row>
    <row r="178" spans="1:17" ht="14" x14ac:dyDescent="0.25">
      <c r="A178" s="1421"/>
      <c r="B178" s="1011">
        <v>9</v>
      </c>
      <c r="C178" s="1009">
        <f t="shared" ref="C178:H178" si="156">P71</f>
        <v>220</v>
      </c>
      <c r="D178" s="1009">
        <f t="shared" si="156"/>
        <v>-0.28999999999999998</v>
      </c>
      <c r="E178" s="1009">
        <f t="shared" si="156"/>
        <v>-0.39</v>
      </c>
      <c r="F178" s="1009">
        <f t="shared" si="156"/>
        <v>0</v>
      </c>
      <c r="G178" s="1009">
        <f t="shared" si="156"/>
        <v>5.0000000000000017E-2</v>
      </c>
      <c r="H178" s="1009">
        <f t="shared" si="156"/>
        <v>2.64</v>
      </c>
      <c r="I178" s="1009"/>
      <c r="J178" s="1009"/>
      <c r="K178" s="1009">
        <v>9</v>
      </c>
      <c r="L178" s="1009">
        <f t="shared" ref="L178:Q178" si="157">P79</f>
        <v>200</v>
      </c>
      <c r="M178" s="1009">
        <f t="shared" si="157"/>
        <v>-0.2</v>
      </c>
      <c r="N178" s="1009">
        <f t="shared" si="157"/>
        <v>3.4</v>
      </c>
      <c r="O178" s="1009">
        <f t="shared" si="157"/>
        <v>0</v>
      </c>
      <c r="P178" s="1009">
        <f t="shared" si="157"/>
        <v>1.8</v>
      </c>
      <c r="Q178" s="1009">
        <f t="shared" si="157"/>
        <v>1.18</v>
      </c>
    </row>
    <row r="179" spans="1:17" ht="14" x14ac:dyDescent="0.25">
      <c r="A179" s="1421"/>
      <c r="B179" s="1011">
        <v>10</v>
      </c>
      <c r="C179" s="1009">
        <f>B102</f>
        <v>220</v>
      </c>
      <c r="D179" s="1009">
        <f t="shared" ref="D179:G179" si="158">C102</f>
        <v>9.9999999999999995E-7</v>
      </c>
      <c r="E179" s="1009" t="str">
        <f t="shared" si="158"/>
        <v>-</v>
      </c>
      <c r="F179" s="1009">
        <f t="shared" si="158"/>
        <v>0</v>
      </c>
      <c r="G179" s="1009">
        <f t="shared" si="158"/>
        <v>0</v>
      </c>
      <c r="H179" s="1009" t="str">
        <f>G102</f>
        <v>-</v>
      </c>
      <c r="I179" s="1009"/>
      <c r="J179" s="1009"/>
      <c r="K179" s="1009">
        <v>10</v>
      </c>
      <c r="L179" s="1009">
        <f t="shared" ref="L179:Q179" si="159">B110</f>
        <v>200</v>
      </c>
      <c r="M179" s="1009">
        <f t="shared" si="159"/>
        <v>0.4</v>
      </c>
      <c r="N179" s="1009" t="str">
        <f t="shared" si="159"/>
        <v>-</v>
      </c>
      <c r="O179" s="1009">
        <f t="shared" si="159"/>
        <v>0</v>
      </c>
      <c r="P179" s="1009">
        <f t="shared" si="159"/>
        <v>0</v>
      </c>
      <c r="Q179" s="1009" t="str">
        <f t="shared" si="159"/>
        <v>-</v>
      </c>
    </row>
    <row r="180" spans="1:17" ht="14" x14ac:dyDescent="0.25">
      <c r="A180" s="1421"/>
      <c r="B180" s="1011">
        <v>11</v>
      </c>
      <c r="C180" s="1009">
        <f>I102</f>
        <v>220</v>
      </c>
      <c r="D180" s="1009">
        <f t="shared" ref="D180:G180" si="160">J102</f>
        <v>9.9999999999999995E-7</v>
      </c>
      <c r="E180" s="1009" t="str">
        <f t="shared" si="160"/>
        <v>-</v>
      </c>
      <c r="F180" s="1009">
        <f t="shared" si="160"/>
        <v>0</v>
      </c>
      <c r="G180" s="1009">
        <f t="shared" si="160"/>
        <v>0</v>
      </c>
      <c r="H180" s="1009" t="str">
        <f>N102</f>
        <v>-</v>
      </c>
      <c r="I180" s="1009"/>
      <c r="J180" s="1009"/>
      <c r="K180" s="1009">
        <v>11</v>
      </c>
      <c r="L180" s="1009">
        <f t="shared" ref="L180:Q180" si="161">I110</f>
        <v>200</v>
      </c>
      <c r="M180" s="1009">
        <f t="shared" si="161"/>
        <v>9.9999999999999995E-7</v>
      </c>
      <c r="N180" s="1009" t="str">
        <f t="shared" si="161"/>
        <v>-</v>
      </c>
      <c r="O180" s="1009">
        <f t="shared" si="161"/>
        <v>0</v>
      </c>
      <c r="P180" s="1009">
        <f t="shared" si="161"/>
        <v>0</v>
      </c>
      <c r="Q180" s="1009" t="str">
        <f t="shared" si="161"/>
        <v>-</v>
      </c>
    </row>
    <row r="181" spans="1:17" ht="14" x14ac:dyDescent="0.25">
      <c r="A181" s="1421"/>
      <c r="B181" s="1011">
        <v>12</v>
      </c>
      <c r="C181" s="1009">
        <f>P102</f>
        <v>220</v>
      </c>
      <c r="D181" s="1009">
        <f t="shared" ref="D181:G181" si="162">Q102</f>
        <v>9.9999999999999995E-7</v>
      </c>
      <c r="E181" s="1009" t="str">
        <f t="shared" si="162"/>
        <v>-</v>
      </c>
      <c r="F181" s="1009">
        <f t="shared" si="162"/>
        <v>0</v>
      </c>
      <c r="G181" s="1009">
        <f t="shared" si="162"/>
        <v>0</v>
      </c>
      <c r="H181" s="1009" t="str">
        <f>U102</f>
        <v>-</v>
      </c>
      <c r="I181" s="1009"/>
      <c r="J181" s="1009"/>
      <c r="K181" s="1009">
        <v>12</v>
      </c>
      <c r="L181" s="1009">
        <f t="shared" ref="L181:Q181" si="163">P110</f>
        <v>200</v>
      </c>
      <c r="M181" s="1009">
        <f t="shared" si="163"/>
        <v>9.9999999999999995E-7</v>
      </c>
      <c r="N181" s="1009" t="str">
        <f t="shared" si="163"/>
        <v>-</v>
      </c>
      <c r="O181" s="1009">
        <f t="shared" si="163"/>
        <v>0</v>
      </c>
      <c r="P181" s="1009">
        <f t="shared" si="163"/>
        <v>0</v>
      </c>
      <c r="Q181" s="1009" t="str">
        <f t="shared" si="163"/>
        <v>-</v>
      </c>
    </row>
    <row r="182" spans="1:17" s="717" customFormat="1" ht="14" x14ac:dyDescent="0.25">
      <c r="A182" s="102"/>
      <c r="B182" s="102"/>
      <c r="C182" s="1009"/>
      <c r="D182" s="1009"/>
      <c r="E182" s="1009"/>
      <c r="F182" s="1009"/>
      <c r="G182" s="1009"/>
      <c r="H182" s="1009"/>
      <c r="I182" s="1009"/>
      <c r="J182" s="1009"/>
      <c r="K182" s="1009"/>
      <c r="L182" s="1009"/>
      <c r="M182" s="1009"/>
      <c r="N182" s="1009"/>
      <c r="O182" s="1009"/>
      <c r="P182" s="1009"/>
      <c r="Q182" s="1009"/>
    </row>
    <row r="183" spans="1:17" ht="14" x14ac:dyDescent="0.25">
      <c r="A183" s="1421" t="s">
        <v>91</v>
      </c>
      <c r="B183" s="1009">
        <v>1</v>
      </c>
      <c r="C183" s="1009">
        <f t="shared" ref="C183:H183" si="164">B10</f>
        <v>230</v>
      </c>
      <c r="D183" s="1009">
        <f t="shared" si="164"/>
        <v>0.64</v>
      </c>
      <c r="E183" s="1009">
        <f t="shared" si="164"/>
        <v>-0.2</v>
      </c>
      <c r="F183" s="1009">
        <f t="shared" si="164"/>
        <v>-0.26</v>
      </c>
      <c r="G183" s="1009">
        <f t="shared" si="164"/>
        <v>0.45</v>
      </c>
      <c r="H183" s="1009">
        <f t="shared" si="164"/>
        <v>2.7600000000000002</v>
      </c>
      <c r="I183" s="1009"/>
      <c r="J183" s="1009" t="s">
        <v>91</v>
      </c>
      <c r="K183" s="1009">
        <v>1</v>
      </c>
      <c r="L183" s="1009">
        <f t="shared" ref="L183:Q183" si="165">B18</f>
        <v>500</v>
      </c>
      <c r="M183" s="1009">
        <f t="shared" si="165"/>
        <v>-2</v>
      </c>
      <c r="N183" s="1009">
        <f t="shared" si="165"/>
        <v>3.8</v>
      </c>
      <c r="O183" s="1009">
        <f t="shared" si="165"/>
        <v>-0.9</v>
      </c>
      <c r="P183" s="1009">
        <f t="shared" si="165"/>
        <v>2.9</v>
      </c>
      <c r="Q183" s="1009">
        <f t="shared" si="165"/>
        <v>2.9499999999999997</v>
      </c>
    </row>
    <row r="184" spans="1:17" ht="14" x14ac:dyDescent="0.25">
      <c r="A184" s="1421"/>
      <c r="B184" s="1009">
        <v>2</v>
      </c>
      <c r="C184" s="1009">
        <f t="shared" ref="C184:H184" si="166">I10</f>
        <v>230</v>
      </c>
      <c r="D184" s="1009">
        <f t="shared" si="166"/>
        <v>1.08</v>
      </c>
      <c r="E184" s="1009">
        <f t="shared" si="166"/>
        <v>9.9999999999999995E-7</v>
      </c>
      <c r="F184" s="1009">
        <f t="shared" si="166"/>
        <v>0.05</v>
      </c>
      <c r="G184" s="1009">
        <f t="shared" si="166"/>
        <v>2.4999500000000001E-2</v>
      </c>
      <c r="H184" s="1009">
        <f t="shared" si="166"/>
        <v>2.7600000000000002</v>
      </c>
      <c r="I184" s="1009"/>
      <c r="J184" s="1009"/>
      <c r="K184" s="1009">
        <v>2</v>
      </c>
      <c r="L184" s="1009">
        <f t="shared" ref="L184:Q184" si="167">I18</f>
        <v>500</v>
      </c>
      <c r="M184" s="1009">
        <f t="shared" si="167"/>
        <v>-21.7</v>
      </c>
      <c r="N184" s="1009">
        <f t="shared" si="167"/>
        <v>0.8</v>
      </c>
      <c r="O184" s="1009">
        <f t="shared" si="167"/>
        <v>2</v>
      </c>
      <c r="P184" s="1009">
        <f t="shared" si="167"/>
        <v>0.6</v>
      </c>
      <c r="Q184" s="1009">
        <f t="shared" si="167"/>
        <v>2.9499999999999997</v>
      </c>
    </row>
    <row r="185" spans="1:17" ht="14" x14ac:dyDescent="0.25">
      <c r="A185" s="1421"/>
      <c r="B185" s="1010">
        <v>3</v>
      </c>
      <c r="C185" s="1009">
        <f t="shared" ref="C185:H185" si="168">P10</f>
        <v>230</v>
      </c>
      <c r="D185" s="1009">
        <f t="shared" si="168"/>
        <v>-11.79</v>
      </c>
      <c r="E185" s="1009">
        <f t="shared" si="168"/>
        <v>-2.52</v>
      </c>
      <c r="F185" s="1009">
        <f t="shared" si="168"/>
        <v>-0.23</v>
      </c>
      <c r="G185" s="1009">
        <f t="shared" si="168"/>
        <v>5.7799999999999994</v>
      </c>
      <c r="H185" s="1009">
        <f t="shared" si="168"/>
        <v>2.7600000000000002</v>
      </c>
      <c r="I185" s="1009"/>
      <c r="J185" s="1009"/>
      <c r="K185" s="1009">
        <v>3</v>
      </c>
      <c r="L185" s="1009">
        <f t="shared" ref="L185:Q185" si="169">P18</f>
        <v>500</v>
      </c>
      <c r="M185" s="1009">
        <f t="shared" si="169"/>
        <v>-18.8</v>
      </c>
      <c r="N185" s="1009">
        <f t="shared" si="169"/>
        <v>-1.1000000000000001</v>
      </c>
      <c r="O185" s="1009">
        <f t="shared" si="169"/>
        <v>2.9</v>
      </c>
      <c r="P185" s="1009">
        <f t="shared" si="169"/>
        <v>10.85</v>
      </c>
      <c r="Q185" s="1009">
        <f t="shared" si="169"/>
        <v>2.9499999999999997</v>
      </c>
    </row>
    <row r="186" spans="1:17" ht="14" x14ac:dyDescent="0.25">
      <c r="A186" s="1421"/>
      <c r="B186" s="1010">
        <v>4</v>
      </c>
      <c r="C186" s="1009">
        <f t="shared" ref="C186:H186" si="170">B41</f>
        <v>230</v>
      </c>
      <c r="D186" s="1009">
        <f t="shared" si="170"/>
        <v>0.11</v>
      </c>
      <c r="E186" s="1009">
        <f t="shared" si="170"/>
        <v>-0.11</v>
      </c>
      <c r="F186" s="1009">
        <f t="shared" si="170"/>
        <v>1.1100000000000001</v>
      </c>
      <c r="G186" s="1009">
        <f t="shared" si="170"/>
        <v>0.6100000000000001</v>
      </c>
      <c r="H186" s="1009">
        <f t="shared" si="170"/>
        <v>2.7600000000000002</v>
      </c>
      <c r="I186" s="1009"/>
      <c r="J186" s="1009"/>
      <c r="K186" s="1009">
        <v>4</v>
      </c>
      <c r="L186" s="1009">
        <f t="shared" ref="L186:Q186" si="171">B49</f>
        <v>500</v>
      </c>
      <c r="M186" s="1009">
        <f t="shared" si="171"/>
        <v>3.5</v>
      </c>
      <c r="N186" s="1009">
        <f t="shared" si="171"/>
        <v>0.2</v>
      </c>
      <c r="O186" s="1009">
        <f t="shared" si="171"/>
        <v>1.2</v>
      </c>
      <c r="P186" s="1009">
        <f t="shared" si="171"/>
        <v>0.5</v>
      </c>
      <c r="Q186" s="1009">
        <f t="shared" si="171"/>
        <v>2.9499999999999997</v>
      </c>
    </row>
    <row r="187" spans="1:17" ht="14" x14ac:dyDescent="0.25">
      <c r="A187" s="1421"/>
      <c r="B187" s="1011">
        <v>5</v>
      </c>
      <c r="C187" s="1009">
        <f t="shared" ref="C187:H187" si="172">I41</f>
        <v>230</v>
      </c>
      <c r="D187" s="1009">
        <f t="shared" si="172"/>
        <v>-0.14000000000000001</v>
      </c>
      <c r="E187" s="1009">
        <f t="shared" si="172"/>
        <v>0.73</v>
      </c>
      <c r="F187" s="1009">
        <f t="shared" si="172"/>
        <v>-0.16</v>
      </c>
      <c r="G187" s="1009">
        <f t="shared" si="172"/>
        <v>0.44500000000000001</v>
      </c>
      <c r="H187" s="1009">
        <f t="shared" si="172"/>
        <v>2.7600000000000002</v>
      </c>
      <c r="I187" s="1009"/>
      <c r="J187" s="1009"/>
      <c r="K187" s="1009">
        <v>5</v>
      </c>
      <c r="L187" s="1009">
        <f t="shared" ref="L187:Q187" si="173">I49</f>
        <v>500</v>
      </c>
      <c r="M187" s="1009">
        <f t="shared" si="173"/>
        <v>5.7</v>
      </c>
      <c r="N187" s="1009">
        <f t="shared" si="173"/>
        <v>0.7</v>
      </c>
      <c r="O187" s="1009">
        <f t="shared" si="173"/>
        <v>0.7</v>
      </c>
      <c r="P187" s="1009">
        <f t="shared" si="173"/>
        <v>2.5</v>
      </c>
      <c r="Q187" s="1009">
        <f t="shared" si="173"/>
        <v>2.9499999999999997</v>
      </c>
    </row>
    <row r="188" spans="1:17" ht="14" x14ac:dyDescent="0.25">
      <c r="A188" s="1421"/>
      <c r="B188" s="1011">
        <v>6</v>
      </c>
      <c r="C188" s="1009">
        <f t="shared" ref="C188:H188" si="174">P41</f>
        <v>230</v>
      </c>
      <c r="D188" s="1009">
        <f t="shared" si="174"/>
        <v>0.04</v>
      </c>
      <c r="E188" s="1009">
        <f t="shared" si="174"/>
        <v>0.08</v>
      </c>
      <c r="F188" s="1009">
        <f t="shared" si="174"/>
        <v>-0.15</v>
      </c>
      <c r="G188" s="1009">
        <f t="shared" si="174"/>
        <v>0.11499999999999999</v>
      </c>
      <c r="H188" s="1009">
        <f t="shared" si="174"/>
        <v>2.7600000000000002</v>
      </c>
      <c r="I188" s="1009"/>
      <c r="J188" s="1009"/>
      <c r="K188" s="1009">
        <v>6</v>
      </c>
      <c r="L188" s="1009">
        <f t="shared" ref="L188:Q188" si="175">P49</f>
        <v>500</v>
      </c>
      <c r="M188" s="1009">
        <f t="shared" si="175"/>
        <v>10.8</v>
      </c>
      <c r="N188" s="1009">
        <f t="shared" si="175"/>
        <v>6.2</v>
      </c>
      <c r="O188" s="1009">
        <f t="shared" si="175"/>
        <v>1.1000000000000001</v>
      </c>
      <c r="P188" s="1009">
        <f t="shared" si="175"/>
        <v>2.5499999999999998</v>
      </c>
      <c r="Q188" s="1009">
        <f t="shared" si="175"/>
        <v>2.9499999999999997</v>
      </c>
    </row>
    <row r="189" spans="1:17" ht="14" x14ac:dyDescent="0.25">
      <c r="A189" s="1421"/>
      <c r="B189" s="1011">
        <v>7</v>
      </c>
      <c r="C189" s="1009">
        <f t="shared" ref="C189:H189" si="176">B72</f>
        <v>230</v>
      </c>
      <c r="D189" s="1009">
        <f t="shared" si="176"/>
        <v>0.38</v>
      </c>
      <c r="E189" s="1009">
        <f t="shared" si="176"/>
        <v>0.47</v>
      </c>
      <c r="F189" s="1009">
        <f t="shared" si="176"/>
        <v>0.47</v>
      </c>
      <c r="G189" s="1009">
        <f t="shared" si="176"/>
        <v>0</v>
      </c>
      <c r="H189" s="1009">
        <f t="shared" si="176"/>
        <v>2.7600000000000002</v>
      </c>
      <c r="I189" s="1009"/>
      <c r="J189" s="1009"/>
      <c r="K189" s="1009">
        <v>7</v>
      </c>
      <c r="L189" s="1009">
        <f t="shared" ref="L189:Q189" si="177">B80</f>
        <v>500</v>
      </c>
      <c r="M189" s="1009">
        <f t="shared" si="177"/>
        <v>9.3000000000000007</v>
      </c>
      <c r="N189" s="1009">
        <f t="shared" si="177"/>
        <v>0.9</v>
      </c>
      <c r="O189" s="1009">
        <f t="shared" si="177"/>
        <v>3</v>
      </c>
      <c r="P189" s="1009">
        <f t="shared" si="177"/>
        <v>1.05</v>
      </c>
      <c r="Q189" s="1009">
        <f t="shared" si="177"/>
        <v>2.9499999999999997</v>
      </c>
    </row>
    <row r="190" spans="1:17" ht="14" x14ac:dyDescent="0.25">
      <c r="A190" s="1421"/>
      <c r="B190" s="1011">
        <v>8</v>
      </c>
      <c r="C190" s="1009">
        <f t="shared" ref="C190:H190" si="178">I72</f>
        <v>230</v>
      </c>
      <c r="D190" s="1009">
        <f t="shared" si="178"/>
        <v>-0.15</v>
      </c>
      <c r="E190" s="1009">
        <f t="shared" si="178"/>
        <v>-0.54</v>
      </c>
      <c r="F190" s="1009">
        <f t="shared" si="178"/>
        <v>0</v>
      </c>
      <c r="G190" s="1009">
        <f t="shared" si="178"/>
        <v>0.19500000000000001</v>
      </c>
      <c r="H190" s="1009">
        <f t="shared" si="178"/>
        <v>2.7600000000000002</v>
      </c>
      <c r="I190" s="1009"/>
      <c r="J190" s="1009"/>
      <c r="K190" s="1009">
        <v>8</v>
      </c>
      <c r="L190" s="1009">
        <f t="shared" ref="L190:Q190" si="179">I80</f>
        <v>500</v>
      </c>
      <c r="M190" s="1009">
        <f t="shared" si="179"/>
        <v>-31.8</v>
      </c>
      <c r="N190" s="1009">
        <f t="shared" si="179"/>
        <v>8.3000000000000007</v>
      </c>
      <c r="O190" s="1009">
        <f t="shared" si="179"/>
        <v>0</v>
      </c>
      <c r="P190" s="1009">
        <f t="shared" si="179"/>
        <v>20.05</v>
      </c>
      <c r="Q190" s="1009">
        <f t="shared" si="179"/>
        <v>2.9499999999999997</v>
      </c>
    </row>
    <row r="191" spans="1:17" ht="14" x14ac:dyDescent="0.25">
      <c r="A191" s="1421"/>
      <c r="B191" s="1011">
        <v>9</v>
      </c>
      <c r="C191" s="1009">
        <f t="shared" ref="C191:H191" si="180">P72</f>
        <v>230</v>
      </c>
      <c r="D191" s="1009">
        <f t="shared" si="180"/>
        <v>-0.34</v>
      </c>
      <c r="E191" s="1009">
        <f t="shared" si="180"/>
        <v>-0.39</v>
      </c>
      <c r="F191" s="1009">
        <f t="shared" si="180"/>
        <v>0</v>
      </c>
      <c r="G191" s="1009">
        <f t="shared" si="180"/>
        <v>2.4999999999999994E-2</v>
      </c>
      <c r="H191" s="1009">
        <f t="shared" si="180"/>
        <v>2.7600000000000002</v>
      </c>
      <c r="I191" s="1009"/>
      <c r="J191" s="1009"/>
      <c r="K191" s="1009">
        <v>9</v>
      </c>
      <c r="L191" s="1009">
        <f t="shared" ref="L191:Q191" si="181">P80</f>
        <v>500</v>
      </c>
      <c r="M191" s="1009">
        <f t="shared" si="181"/>
        <v>-25.1</v>
      </c>
      <c r="N191" s="1009">
        <f t="shared" si="181"/>
        <v>7.2</v>
      </c>
      <c r="O191" s="1009">
        <f t="shared" si="181"/>
        <v>0</v>
      </c>
      <c r="P191" s="1009">
        <f t="shared" si="181"/>
        <v>16.150000000000002</v>
      </c>
      <c r="Q191" s="1009">
        <f t="shared" si="181"/>
        <v>2.9499999999999997</v>
      </c>
    </row>
    <row r="192" spans="1:17" ht="14" x14ac:dyDescent="0.25">
      <c r="A192" s="1421"/>
      <c r="B192" s="1011">
        <v>10</v>
      </c>
      <c r="C192" s="1009">
        <f>B103</f>
        <v>230</v>
      </c>
      <c r="D192" s="1009">
        <f t="shared" ref="D192:G192" si="182">C103</f>
        <v>-0.11</v>
      </c>
      <c r="E192" s="1009" t="str">
        <f t="shared" si="182"/>
        <v>-</v>
      </c>
      <c r="F192" s="1009">
        <f t="shared" si="182"/>
        <v>0</v>
      </c>
      <c r="G192" s="1009">
        <f t="shared" si="182"/>
        <v>0</v>
      </c>
      <c r="H192" s="1009" t="str">
        <f>G103</f>
        <v>-</v>
      </c>
      <c r="I192" s="1009"/>
      <c r="J192" s="1009"/>
      <c r="K192" s="1009">
        <v>10</v>
      </c>
      <c r="L192" s="1009">
        <f t="shared" ref="L192:Q192" si="183">B111</f>
        <v>500</v>
      </c>
      <c r="M192" s="1009">
        <f t="shared" si="183"/>
        <v>1.5</v>
      </c>
      <c r="N192" s="1009" t="str">
        <f t="shared" si="183"/>
        <v>-</v>
      </c>
      <c r="O192" s="1009">
        <f t="shared" si="183"/>
        <v>0</v>
      </c>
      <c r="P192" s="1009">
        <f t="shared" si="183"/>
        <v>0</v>
      </c>
      <c r="Q192" s="1009" t="str">
        <f t="shared" si="183"/>
        <v>-</v>
      </c>
    </row>
    <row r="193" spans="1:17" ht="14" x14ac:dyDescent="0.25">
      <c r="A193" s="1421"/>
      <c r="B193" s="1011">
        <v>11</v>
      </c>
      <c r="C193" s="1009">
        <f>I103</f>
        <v>230</v>
      </c>
      <c r="D193" s="1009">
        <f t="shared" ref="D193:G193" si="184">J103</f>
        <v>9.9999999999999995E-7</v>
      </c>
      <c r="E193" s="1009" t="str">
        <f t="shared" si="184"/>
        <v>-</v>
      </c>
      <c r="F193" s="1009">
        <f t="shared" si="184"/>
        <v>0</v>
      </c>
      <c r="G193" s="1009">
        <f t="shared" si="184"/>
        <v>0</v>
      </c>
      <c r="H193" s="1009" t="str">
        <f>N103</f>
        <v>-</v>
      </c>
      <c r="I193" s="1009"/>
      <c r="J193" s="1009"/>
      <c r="K193" s="1009">
        <v>11</v>
      </c>
      <c r="L193" s="1009">
        <f t="shared" ref="L193:Q193" si="185">I111</f>
        <v>500</v>
      </c>
      <c r="M193" s="1009">
        <f t="shared" si="185"/>
        <v>9.9999999999999995E-7</v>
      </c>
      <c r="N193" s="1009" t="str">
        <f t="shared" si="185"/>
        <v>-</v>
      </c>
      <c r="O193" s="1009">
        <f t="shared" si="185"/>
        <v>0</v>
      </c>
      <c r="P193" s="1009">
        <f t="shared" si="185"/>
        <v>0</v>
      </c>
      <c r="Q193" s="1009" t="str">
        <f t="shared" si="185"/>
        <v>-</v>
      </c>
    </row>
    <row r="194" spans="1:17" ht="14" x14ac:dyDescent="0.25">
      <c r="A194" s="1421"/>
      <c r="B194" s="1011">
        <v>12</v>
      </c>
      <c r="C194" s="1009">
        <f>P103</f>
        <v>230</v>
      </c>
      <c r="D194" s="1009">
        <f t="shared" ref="D194:G194" si="186">Q103</f>
        <v>9.9999999999999995E-7</v>
      </c>
      <c r="E194" s="1009" t="str">
        <f t="shared" si="186"/>
        <v>-</v>
      </c>
      <c r="F194" s="1009">
        <f t="shared" si="186"/>
        <v>0</v>
      </c>
      <c r="G194" s="1009">
        <f t="shared" si="186"/>
        <v>0</v>
      </c>
      <c r="H194" s="1009" t="str">
        <f>U103</f>
        <v>-</v>
      </c>
      <c r="I194" s="1009"/>
      <c r="J194" s="1009"/>
      <c r="K194" s="1009">
        <v>12</v>
      </c>
      <c r="L194" s="1009">
        <f t="shared" ref="L194:Q194" si="187">P111</f>
        <v>500</v>
      </c>
      <c r="M194" s="1009">
        <f t="shared" si="187"/>
        <v>9.9999999999999995E-7</v>
      </c>
      <c r="N194" s="1009" t="str">
        <f t="shared" si="187"/>
        <v>-</v>
      </c>
      <c r="O194" s="1009">
        <f t="shared" si="187"/>
        <v>0</v>
      </c>
      <c r="P194" s="1009">
        <f t="shared" si="187"/>
        <v>0</v>
      </c>
      <c r="Q194" s="1009" t="str">
        <f t="shared" si="187"/>
        <v>-</v>
      </c>
    </row>
    <row r="195" spans="1:17" s="717" customFormat="1" ht="14" x14ac:dyDescent="0.25">
      <c r="A195" s="102"/>
      <c r="B195" s="102"/>
      <c r="C195" s="1009"/>
      <c r="D195" s="1009"/>
      <c r="E195" s="1009"/>
      <c r="F195" s="1009"/>
      <c r="G195" s="1009"/>
      <c r="H195" s="1009"/>
      <c r="I195" s="1009"/>
      <c r="J195" s="1009"/>
      <c r="K195" s="1009"/>
      <c r="L195" s="1009"/>
      <c r="M195" s="1009"/>
      <c r="N195" s="1009"/>
      <c r="O195" s="1009"/>
      <c r="P195" s="1009"/>
      <c r="Q195" s="1009"/>
    </row>
    <row r="196" spans="1:17" ht="14" x14ac:dyDescent="0.25">
      <c r="A196" s="1421" t="s">
        <v>92</v>
      </c>
      <c r="B196" s="1009">
        <v>1</v>
      </c>
      <c r="C196" s="1009">
        <f t="shared" ref="C196:H196" si="188">B11</f>
        <v>250</v>
      </c>
      <c r="D196" s="1009">
        <f t="shared" si="188"/>
        <v>-0.36</v>
      </c>
      <c r="E196" s="1009">
        <f t="shared" si="188"/>
        <v>-0.32</v>
      </c>
      <c r="F196" s="1009">
        <f t="shared" si="188"/>
        <v>9.9999999999999995E-7</v>
      </c>
      <c r="G196" s="1009">
        <f t="shared" si="188"/>
        <v>0.18000049999999998</v>
      </c>
      <c r="H196" s="1009">
        <f t="shared" si="188"/>
        <v>3</v>
      </c>
      <c r="I196" s="1009"/>
      <c r="J196" s="1009" t="s">
        <v>92</v>
      </c>
      <c r="K196" s="1009">
        <v>1</v>
      </c>
      <c r="L196" s="1009">
        <f t="shared" ref="L196:Q196" si="189">B19</f>
        <v>1000</v>
      </c>
      <c r="M196" s="1009">
        <f t="shared" si="189"/>
        <v>-26</v>
      </c>
      <c r="N196" s="1009">
        <f t="shared" si="189"/>
        <v>9.9999999999999995E-7</v>
      </c>
      <c r="O196" s="1009">
        <f t="shared" si="189"/>
        <v>9.9999999999999995E-7</v>
      </c>
      <c r="P196" s="1009">
        <f t="shared" si="189"/>
        <v>13.000000500000001</v>
      </c>
      <c r="Q196" s="1009">
        <f t="shared" si="189"/>
        <v>5.8999999999999995</v>
      </c>
    </row>
    <row r="197" spans="1:17" ht="14" x14ac:dyDescent="0.25">
      <c r="A197" s="1421"/>
      <c r="B197" s="1009">
        <v>2</v>
      </c>
      <c r="C197" s="1009">
        <f t="shared" ref="C197:H197" si="190">I11</f>
        <v>250</v>
      </c>
      <c r="D197" s="1009">
        <f t="shared" si="190"/>
        <v>-0.01</v>
      </c>
      <c r="E197" s="1009">
        <f t="shared" si="190"/>
        <v>9.9999999999999995E-7</v>
      </c>
      <c r="F197" s="1009">
        <f t="shared" si="190"/>
        <v>9.9999999999999995E-7</v>
      </c>
      <c r="G197" s="1009">
        <f t="shared" si="190"/>
        <v>0</v>
      </c>
      <c r="H197" s="1009">
        <f t="shared" si="190"/>
        <v>2.76</v>
      </c>
      <c r="I197" s="1009"/>
      <c r="J197" s="1009"/>
      <c r="K197" s="1009">
        <v>2</v>
      </c>
      <c r="L197" s="1009">
        <f t="shared" ref="L197:Q197" si="191">I19</f>
        <v>1000</v>
      </c>
      <c r="M197" s="1009">
        <f t="shared" si="191"/>
        <v>-6.7000000000000004E-2</v>
      </c>
      <c r="N197" s="1009">
        <f t="shared" si="191"/>
        <v>9.9999999999999995E-7</v>
      </c>
      <c r="O197" s="1009">
        <f t="shared" si="191"/>
        <v>9.9999999999999995E-7</v>
      </c>
      <c r="P197" s="1009">
        <f t="shared" si="191"/>
        <v>0</v>
      </c>
      <c r="Q197" s="1009">
        <f t="shared" si="191"/>
        <v>5.8999999999999995</v>
      </c>
    </row>
    <row r="198" spans="1:17" ht="14" x14ac:dyDescent="0.25">
      <c r="A198" s="1421"/>
      <c r="B198" s="1010">
        <v>3</v>
      </c>
      <c r="C198" s="1009">
        <f t="shared" ref="C198:H198" si="192">P11</f>
        <v>250</v>
      </c>
      <c r="D198" s="1009">
        <f t="shared" si="192"/>
        <v>9.9999999999999995E-7</v>
      </c>
      <c r="E198" s="1009">
        <f t="shared" si="192"/>
        <v>9.9999999999999995E-7</v>
      </c>
      <c r="F198" s="1009">
        <f t="shared" si="192"/>
        <v>9.9999999999999995E-7</v>
      </c>
      <c r="G198" s="1009">
        <f t="shared" si="192"/>
        <v>0</v>
      </c>
      <c r="H198" s="1009">
        <f t="shared" si="192"/>
        <v>3</v>
      </c>
      <c r="I198" s="1009"/>
      <c r="J198" s="1009"/>
      <c r="K198" s="1009">
        <v>3</v>
      </c>
      <c r="L198" s="1009">
        <f t="shared" ref="L198:Q198" si="193">P19</f>
        <v>1000</v>
      </c>
      <c r="M198" s="1009">
        <f t="shared" si="193"/>
        <v>-47</v>
      </c>
      <c r="N198" s="1009">
        <f t="shared" si="193"/>
        <v>3</v>
      </c>
      <c r="O198" s="1009">
        <f t="shared" si="193"/>
        <v>3</v>
      </c>
      <c r="P198" s="1009">
        <f t="shared" si="193"/>
        <v>25</v>
      </c>
      <c r="Q198" s="1009">
        <f t="shared" si="193"/>
        <v>5.8999999999999995</v>
      </c>
    </row>
    <row r="199" spans="1:17" ht="14" x14ac:dyDescent="0.25">
      <c r="A199" s="1421"/>
      <c r="B199" s="1010">
        <v>4</v>
      </c>
      <c r="C199" s="1009">
        <f t="shared" ref="C199:H199" si="194">B42</f>
        <v>250</v>
      </c>
      <c r="D199" s="1009">
        <f t="shared" si="194"/>
        <v>0</v>
      </c>
      <c r="E199" s="1009">
        <f t="shared" si="194"/>
        <v>9.9999999999999995E-7</v>
      </c>
      <c r="F199" s="1009">
        <f t="shared" si="194"/>
        <v>9.9999999999999995E-7</v>
      </c>
      <c r="G199" s="1009">
        <f t="shared" si="194"/>
        <v>0</v>
      </c>
      <c r="H199" s="1009">
        <f t="shared" si="194"/>
        <v>3</v>
      </c>
      <c r="I199" s="1009"/>
      <c r="J199" s="1009"/>
      <c r="K199" s="1009">
        <v>4</v>
      </c>
      <c r="L199" s="1009">
        <f t="shared" ref="L199:Q199" si="195">B50</f>
        <v>1000</v>
      </c>
      <c r="M199" s="1009">
        <f t="shared" si="195"/>
        <v>-1</v>
      </c>
      <c r="N199" s="1009">
        <f t="shared" si="195"/>
        <v>2</v>
      </c>
      <c r="O199" s="1009">
        <f t="shared" si="195"/>
        <v>2</v>
      </c>
      <c r="P199" s="1009">
        <f t="shared" si="195"/>
        <v>0</v>
      </c>
      <c r="Q199" s="1009">
        <f t="shared" si="195"/>
        <v>5.8999999999999995</v>
      </c>
    </row>
    <row r="200" spans="1:17" ht="14" x14ac:dyDescent="0.25">
      <c r="A200" s="1421"/>
      <c r="B200" s="1011">
        <v>5</v>
      </c>
      <c r="C200" s="1009">
        <f t="shared" ref="C200:H200" si="196">I42</f>
        <v>240</v>
      </c>
      <c r="D200" s="1009">
        <f t="shared" si="196"/>
        <v>-0.31</v>
      </c>
      <c r="E200" s="1009">
        <f t="shared" si="196"/>
        <v>9.9999999999999995E-7</v>
      </c>
      <c r="F200" s="1009">
        <f t="shared" si="196"/>
        <v>9.9999999999999995E-7</v>
      </c>
      <c r="G200" s="1009">
        <f t="shared" si="196"/>
        <v>0.15500049999999999</v>
      </c>
      <c r="H200" s="1009">
        <f t="shared" si="196"/>
        <v>2.88</v>
      </c>
      <c r="I200" s="1009"/>
      <c r="J200" s="1009"/>
      <c r="K200" s="1009">
        <v>5</v>
      </c>
      <c r="L200" s="1009">
        <f t="shared" ref="L200:Q200" si="197">I50</f>
        <v>1000</v>
      </c>
      <c r="M200" s="1009">
        <f t="shared" si="197"/>
        <v>-88</v>
      </c>
      <c r="N200" s="1009">
        <f t="shared" si="197"/>
        <v>9.9999999999999995E-7</v>
      </c>
      <c r="O200" s="1009">
        <f t="shared" si="197"/>
        <v>9.9999999999999995E-7</v>
      </c>
      <c r="P200" s="1009">
        <f t="shared" si="197"/>
        <v>44.000000499999999</v>
      </c>
      <c r="Q200" s="1009">
        <f t="shared" si="197"/>
        <v>5.8999999999999995</v>
      </c>
    </row>
    <row r="201" spans="1:17" ht="14" x14ac:dyDescent="0.25">
      <c r="A201" s="1421"/>
      <c r="B201" s="1011">
        <v>6</v>
      </c>
      <c r="C201" s="1009">
        <f t="shared" ref="C201:H201" si="198">P42</f>
        <v>250</v>
      </c>
      <c r="D201" s="1009">
        <f t="shared" si="198"/>
        <v>0</v>
      </c>
      <c r="E201" s="1009">
        <f t="shared" si="198"/>
        <v>0</v>
      </c>
      <c r="F201" s="1009">
        <f t="shared" si="198"/>
        <v>9.9999999999999995E-7</v>
      </c>
      <c r="G201" s="1009">
        <f t="shared" si="198"/>
        <v>4.9999999999999998E-7</v>
      </c>
      <c r="H201" s="1009">
        <f t="shared" si="198"/>
        <v>0</v>
      </c>
      <c r="I201" s="1009"/>
      <c r="J201" s="1009"/>
      <c r="K201" s="1009">
        <v>6</v>
      </c>
      <c r="L201" s="1009">
        <f t="shared" ref="L201:Q201" si="199">P50</f>
        <v>1000</v>
      </c>
      <c r="M201" s="1009">
        <f t="shared" si="199"/>
        <v>-88</v>
      </c>
      <c r="N201" s="1009">
        <f t="shared" si="199"/>
        <v>0</v>
      </c>
      <c r="O201" s="1009">
        <f t="shared" si="199"/>
        <v>9.9999999999999995E-7</v>
      </c>
      <c r="P201" s="1009">
        <f t="shared" si="199"/>
        <v>4.9999999999999998E-7</v>
      </c>
      <c r="Q201" s="1009">
        <f t="shared" si="199"/>
        <v>5.8999999999999995</v>
      </c>
    </row>
    <row r="202" spans="1:17" ht="14" x14ac:dyDescent="0.25">
      <c r="A202" s="1421"/>
      <c r="B202" s="1011">
        <v>7</v>
      </c>
      <c r="C202" s="1009">
        <f t="shared" ref="C202:H202" si="200">B73</f>
        <v>240</v>
      </c>
      <c r="D202" s="1009">
        <f t="shared" si="200"/>
        <v>0.44</v>
      </c>
      <c r="E202" s="1009">
        <f t="shared" si="200"/>
        <v>0</v>
      </c>
      <c r="F202" s="1009">
        <f t="shared" si="200"/>
        <v>0.38</v>
      </c>
      <c r="G202" s="1009">
        <f t="shared" si="200"/>
        <v>0.19</v>
      </c>
      <c r="H202" s="1009">
        <f t="shared" si="200"/>
        <v>2.88</v>
      </c>
      <c r="I202" s="1009"/>
      <c r="J202" s="1009"/>
      <c r="K202" s="1009">
        <v>7</v>
      </c>
      <c r="L202" s="1009">
        <f t="shared" ref="L202:Q202" si="201">B81</f>
        <v>1000</v>
      </c>
      <c r="M202" s="1009">
        <f>C81</f>
        <v>-88</v>
      </c>
      <c r="N202" s="1009">
        <f t="shared" ref="N202:P202" si="202">D81</f>
        <v>0</v>
      </c>
      <c r="O202" s="1009">
        <f t="shared" si="202"/>
        <v>9.9999999999999995E-7</v>
      </c>
      <c r="P202" s="1009">
        <f t="shared" si="202"/>
        <v>4.9999999999999998E-7</v>
      </c>
      <c r="Q202" s="1009">
        <f t="shared" si="201"/>
        <v>5.8999999999999995</v>
      </c>
    </row>
    <row r="203" spans="1:17" ht="14" x14ac:dyDescent="0.25">
      <c r="A203" s="1421"/>
      <c r="B203" s="1011">
        <v>8</v>
      </c>
      <c r="C203" s="1009">
        <f t="shared" ref="C203:H203" si="203">I73</f>
        <v>250</v>
      </c>
      <c r="D203" s="1009">
        <f t="shared" si="203"/>
        <v>9.9999999999999995E-7</v>
      </c>
      <c r="E203" s="1009">
        <f t="shared" si="203"/>
        <v>-0.49</v>
      </c>
      <c r="F203" s="1009">
        <f t="shared" si="203"/>
        <v>0</v>
      </c>
      <c r="G203" s="1009">
        <f t="shared" si="203"/>
        <v>0.24500049999999998</v>
      </c>
      <c r="H203" s="1009">
        <f t="shared" si="203"/>
        <v>3</v>
      </c>
      <c r="I203" s="1009"/>
      <c r="J203" s="1009"/>
      <c r="K203" s="1009">
        <v>8</v>
      </c>
      <c r="L203" s="1009">
        <f t="shared" ref="L203:Q203" si="204">I81</f>
        <v>1000</v>
      </c>
      <c r="M203" s="1009">
        <f>J81</f>
        <v>-74</v>
      </c>
      <c r="N203" s="1009">
        <f t="shared" ref="N203:P203" si="205">K81</f>
        <v>9.9999999999999995E-7</v>
      </c>
      <c r="O203" s="1009">
        <f t="shared" si="205"/>
        <v>0</v>
      </c>
      <c r="P203" s="1009">
        <f t="shared" si="205"/>
        <v>37.000000499999999</v>
      </c>
      <c r="Q203" s="1009">
        <f t="shared" si="204"/>
        <v>5.8999999999999995</v>
      </c>
    </row>
    <row r="204" spans="1:17" ht="14" x14ac:dyDescent="0.25">
      <c r="A204" s="1421"/>
      <c r="B204" s="1011">
        <v>9</v>
      </c>
      <c r="C204" s="1009">
        <f t="shared" ref="C204:H204" si="206">P73</f>
        <v>250</v>
      </c>
      <c r="D204" s="1009">
        <f t="shared" si="206"/>
        <v>0</v>
      </c>
      <c r="E204" s="1009">
        <f t="shared" si="206"/>
        <v>-0.39</v>
      </c>
      <c r="F204" s="1009">
        <f t="shared" si="206"/>
        <v>0</v>
      </c>
      <c r="G204" s="1009">
        <f t="shared" si="206"/>
        <v>0.19500000000000001</v>
      </c>
      <c r="H204" s="1009">
        <f t="shared" si="206"/>
        <v>3</v>
      </c>
      <c r="I204" s="1009"/>
      <c r="J204" s="1009"/>
      <c r="K204" s="1009">
        <v>9</v>
      </c>
      <c r="L204" s="1009">
        <f t="shared" ref="L204:Q204" si="207">P81</f>
        <v>1000</v>
      </c>
      <c r="M204" s="1009">
        <f t="shared" si="207"/>
        <v>-6.6000000000000003E-2</v>
      </c>
      <c r="N204" s="1009">
        <f t="shared" si="207"/>
        <v>9.9999999999999995E-7</v>
      </c>
      <c r="O204" s="1009">
        <f t="shared" si="207"/>
        <v>0</v>
      </c>
      <c r="P204" s="1009">
        <f t="shared" si="207"/>
        <v>3.3000500000000002E-2</v>
      </c>
      <c r="Q204" s="1009">
        <f t="shared" si="207"/>
        <v>2.99</v>
      </c>
    </row>
    <row r="205" spans="1:17" ht="14" x14ac:dyDescent="0.25">
      <c r="A205" s="1421"/>
      <c r="B205" s="1011">
        <v>10</v>
      </c>
      <c r="C205" s="1009">
        <f>B104</f>
        <v>250</v>
      </c>
      <c r="D205" s="1009">
        <f t="shared" ref="D205:G205" si="208">C104</f>
        <v>-0.11</v>
      </c>
      <c r="E205" s="1009" t="str">
        <f t="shared" si="208"/>
        <v>-</v>
      </c>
      <c r="F205" s="1009">
        <f t="shared" si="208"/>
        <v>0</v>
      </c>
      <c r="G205" s="1009">
        <f t="shared" si="208"/>
        <v>0</v>
      </c>
      <c r="H205" s="1009" t="str">
        <f>G104</f>
        <v>-</v>
      </c>
      <c r="I205" s="1009"/>
      <c r="J205" s="1009"/>
      <c r="K205" s="1009">
        <v>10</v>
      </c>
      <c r="L205" s="1009">
        <f t="shared" ref="L205:Q205" si="209">B112</f>
        <v>1000</v>
      </c>
      <c r="M205" s="1009">
        <f t="shared" si="209"/>
        <v>2</v>
      </c>
      <c r="N205" s="1009" t="str">
        <f t="shared" si="209"/>
        <v>-</v>
      </c>
      <c r="O205" s="1009">
        <f t="shared" si="209"/>
        <v>0</v>
      </c>
      <c r="P205" s="1009">
        <f t="shared" si="209"/>
        <v>0</v>
      </c>
      <c r="Q205" s="1009" t="str">
        <f t="shared" si="209"/>
        <v>-</v>
      </c>
    </row>
    <row r="206" spans="1:17" ht="14" x14ac:dyDescent="0.25">
      <c r="A206" s="1421"/>
      <c r="B206" s="1011">
        <v>11</v>
      </c>
      <c r="C206" s="1009">
        <f>I104</f>
        <v>250</v>
      </c>
      <c r="D206" s="1009">
        <f t="shared" ref="D206:G206" si="210">J104</f>
        <v>9.9999999999999995E-7</v>
      </c>
      <c r="E206" s="1009" t="str">
        <f t="shared" si="210"/>
        <v>-</v>
      </c>
      <c r="F206" s="1009">
        <f t="shared" si="210"/>
        <v>0</v>
      </c>
      <c r="G206" s="1009">
        <f t="shared" si="210"/>
        <v>0</v>
      </c>
      <c r="H206" s="1009" t="str">
        <f>N104</f>
        <v>-</v>
      </c>
      <c r="I206" s="1009"/>
      <c r="J206" s="1009"/>
      <c r="K206" s="1009">
        <v>11</v>
      </c>
      <c r="L206" s="1009">
        <f t="shared" ref="L206:Q206" si="211">I112</f>
        <v>1000</v>
      </c>
      <c r="M206" s="1009">
        <f t="shared" si="211"/>
        <v>9.9999999999999995E-7</v>
      </c>
      <c r="N206" s="1009" t="str">
        <f t="shared" si="211"/>
        <v>-</v>
      </c>
      <c r="O206" s="1009">
        <f t="shared" si="211"/>
        <v>0</v>
      </c>
      <c r="P206" s="1009">
        <f t="shared" si="211"/>
        <v>0</v>
      </c>
      <c r="Q206" s="1009" t="str">
        <f t="shared" si="211"/>
        <v>-</v>
      </c>
    </row>
    <row r="207" spans="1:17" ht="14" x14ac:dyDescent="0.25">
      <c r="A207" s="1421"/>
      <c r="B207" s="1011">
        <v>12</v>
      </c>
      <c r="C207" s="1009">
        <f>P104</f>
        <v>250</v>
      </c>
      <c r="D207" s="1009">
        <f t="shared" ref="D207:G207" si="212">Q104</f>
        <v>9.9999999999999995E-7</v>
      </c>
      <c r="E207" s="1009" t="str">
        <f t="shared" si="212"/>
        <v>-</v>
      </c>
      <c r="F207" s="1009">
        <f t="shared" si="212"/>
        <v>0</v>
      </c>
      <c r="G207" s="1009">
        <f t="shared" si="212"/>
        <v>0</v>
      </c>
      <c r="H207" s="1009" t="str">
        <f>U104</f>
        <v>-</v>
      </c>
      <c r="I207" s="1009"/>
      <c r="J207" s="1009"/>
      <c r="K207" s="1009">
        <v>12</v>
      </c>
      <c r="L207" s="1009">
        <f t="shared" ref="L207:Q207" si="213">P112</f>
        <v>1000</v>
      </c>
      <c r="M207" s="1009">
        <f t="shared" si="213"/>
        <v>9.9999999999999995E-7</v>
      </c>
      <c r="N207" s="1009" t="str">
        <f t="shared" si="213"/>
        <v>-</v>
      </c>
      <c r="O207" s="1009">
        <f t="shared" si="213"/>
        <v>0</v>
      </c>
      <c r="P207" s="1009">
        <f t="shared" si="213"/>
        <v>0</v>
      </c>
      <c r="Q207" s="1009" t="str">
        <f t="shared" si="213"/>
        <v>-</v>
      </c>
    </row>
    <row r="208" spans="1:17" x14ac:dyDescent="0.25">
      <c r="A208" s="1013"/>
      <c r="B208" s="228"/>
      <c r="C208" s="228"/>
      <c r="D208" s="1013"/>
      <c r="E208" s="1013"/>
      <c r="F208" s="1013"/>
      <c r="G208" s="1013"/>
      <c r="H208" s="1013"/>
      <c r="J208" s="1013"/>
      <c r="K208" s="1013"/>
      <c r="L208" s="1013"/>
      <c r="M208" s="1013"/>
      <c r="N208" s="1013"/>
      <c r="O208" s="1013"/>
      <c r="P208" s="1013"/>
      <c r="Q208" s="920"/>
    </row>
    <row r="209" spans="1:17" ht="14" x14ac:dyDescent="0.3">
      <c r="A209" s="1422" t="s">
        <v>365</v>
      </c>
      <c r="B209" s="1423"/>
      <c r="C209" s="1424" t="s">
        <v>340</v>
      </c>
      <c r="D209" s="1424"/>
      <c r="E209" s="1424"/>
      <c r="F209" s="1424"/>
      <c r="G209" s="1424"/>
      <c r="H209" s="1424"/>
      <c r="J209" s="1422" t="s">
        <v>365</v>
      </c>
      <c r="K209" s="1423"/>
      <c r="L209" s="1420" t="s">
        <v>340</v>
      </c>
      <c r="M209" s="1420"/>
      <c r="N209" s="1420"/>
      <c r="O209" s="1420"/>
      <c r="P209" s="1420"/>
      <c r="Q209" s="1420"/>
    </row>
    <row r="210" spans="1:17" ht="13" customHeight="1" x14ac:dyDescent="0.25">
      <c r="A210" s="1422"/>
      <c r="B210" s="1423"/>
      <c r="C210" s="1396" t="str">
        <f>B20</f>
        <v>Main-PE</v>
      </c>
      <c r="D210" s="1396"/>
      <c r="E210" s="1396"/>
      <c r="F210" s="1396"/>
      <c r="G210" s="1014" t="s">
        <v>342</v>
      </c>
      <c r="H210" s="1014" t="s">
        <v>343</v>
      </c>
      <c r="J210" s="1422"/>
      <c r="K210" s="1423"/>
      <c r="L210" s="1396" t="str">
        <f>B26</f>
        <v>Resistance</v>
      </c>
      <c r="M210" s="1396"/>
      <c r="N210" s="1396"/>
      <c r="O210" s="1396"/>
      <c r="P210" s="1014" t="s">
        <v>342</v>
      </c>
      <c r="Q210" s="1014" t="s">
        <v>343</v>
      </c>
    </row>
    <row r="211" spans="1:17" ht="14.5" x14ac:dyDescent="0.25">
      <c r="A211" s="1422"/>
      <c r="B211" s="1423"/>
      <c r="C211" s="1015" t="s">
        <v>348</v>
      </c>
      <c r="D211" s="1014"/>
      <c r="E211" s="1014"/>
      <c r="F211" s="920"/>
      <c r="G211" s="1014"/>
      <c r="H211" s="1014"/>
      <c r="J211" s="1422"/>
      <c r="K211" s="1423"/>
      <c r="L211" s="1015" t="s">
        <v>350</v>
      </c>
      <c r="M211" s="1014"/>
      <c r="N211" s="1014"/>
      <c r="O211" s="920"/>
      <c r="P211" s="1014"/>
      <c r="Q211" s="1014"/>
    </row>
    <row r="212" spans="1:17" x14ac:dyDescent="0.25">
      <c r="A212" s="1407" t="s">
        <v>87</v>
      </c>
      <c r="B212" s="1011">
        <v>1</v>
      </c>
      <c r="C212" s="1012">
        <f t="shared" ref="C212:H212" si="214">B22</f>
        <v>10</v>
      </c>
      <c r="D212" s="1012">
        <f t="shared" si="214"/>
        <v>0</v>
      </c>
      <c r="E212" s="1012">
        <f t="shared" si="214"/>
        <v>-1E-3</v>
      </c>
      <c r="F212" s="1012">
        <f t="shared" si="214"/>
        <v>9.9999999999999995E-7</v>
      </c>
      <c r="G212" s="1012">
        <f t="shared" si="214"/>
        <v>5.0049999999999997E-4</v>
      </c>
      <c r="H212" s="1012">
        <f t="shared" si="214"/>
        <v>0.17</v>
      </c>
      <c r="I212" s="1012"/>
      <c r="J212" s="1012" t="s">
        <v>87</v>
      </c>
      <c r="K212" s="1012">
        <v>1</v>
      </c>
      <c r="L212" s="1012">
        <f t="shared" ref="L212:Q212" si="215">B28</f>
        <v>0</v>
      </c>
      <c r="M212" s="1012">
        <f t="shared" si="215"/>
        <v>-2E-3</v>
      </c>
      <c r="N212" s="1012">
        <f t="shared" si="215"/>
        <v>9.9999999999999995E-7</v>
      </c>
      <c r="O212" s="1012">
        <f t="shared" si="215"/>
        <v>9.9999999999999995E-7</v>
      </c>
      <c r="P212" s="1012">
        <f t="shared" si="215"/>
        <v>1.0005000000000001E-3</v>
      </c>
      <c r="Q212" s="1012">
        <f t="shared" si="215"/>
        <v>2.4000000000000001E-5</v>
      </c>
    </row>
    <row r="213" spans="1:17" x14ac:dyDescent="0.25">
      <c r="A213" s="1407"/>
      <c r="B213" s="1011">
        <v>2</v>
      </c>
      <c r="C213" s="1012">
        <f t="shared" ref="C213:H213" si="216">I22</f>
        <v>10</v>
      </c>
      <c r="D213" s="1012">
        <f t="shared" si="216"/>
        <v>0</v>
      </c>
      <c r="E213" s="1012">
        <f t="shared" si="216"/>
        <v>0.1</v>
      </c>
      <c r="F213" s="1012">
        <f t="shared" si="216"/>
        <v>9.9999999999999995E-7</v>
      </c>
      <c r="G213" s="1012">
        <f t="shared" si="216"/>
        <v>4.9999500000000002E-2</v>
      </c>
      <c r="H213" s="1012">
        <f t="shared" si="216"/>
        <v>0.17</v>
      </c>
      <c r="I213" s="1012"/>
      <c r="J213" s="1012"/>
      <c r="K213" s="1012">
        <v>2</v>
      </c>
      <c r="L213" s="1012">
        <f t="shared" ref="L213:Q213" si="217">I28</f>
        <v>0.01</v>
      </c>
      <c r="M213" s="1012">
        <f t="shared" si="217"/>
        <v>0</v>
      </c>
      <c r="N213" s="1012">
        <f t="shared" si="217"/>
        <v>9.9999999999999995E-7</v>
      </c>
      <c r="O213" s="1012">
        <f t="shared" si="217"/>
        <v>9.9999999999999995E-7</v>
      </c>
      <c r="P213" s="1012">
        <f t="shared" si="217"/>
        <v>0</v>
      </c>
      <c r="Q213" s="1012">
        <f t="shared" si="217"/>
        <v>1.2E-4</v>
      </c>
    </row>
    <row r="214" spans="1:17" x14ac:dyDescent="0.25">
      <c r="A214" s="1407"/>
      <c r="B214" s="1011">
        <v>3</v>
      </c>
      <c r="C214" s="1012">
        <f t="shared" ref="C214:H214" si="218">P22</f>
        <v>5</v>
      </c>
      <c r="D214" s="1012">
        <f t="shared" si="218"/>
        <v>9.9999999999999995E-7</v>
      </c>
      <c r="E214" s="1012">
        <f t="shared" si="218"/>
        <v>9.9999999999999995E-7</v>
      </c>
      <c r="F214" s="1012">
        <f t="shared" si="218"/>
        <v>9.9999999999999995E-7</v>
      </c>
      <c r="G214" s="1012">
        <f t="shared" si="218"/>
        <v>0</v>
      </c>
      <c r="H214" s="1012">
        <f t="shared" si="218"/>
        <v>8.5000000000000006E-2</v>
      </c>
      <c r="I214" s="1012"/>
      <c r="J214" s="1012"/>
      <c r="K214" s="1012">
        <v>3</v>
      </c>
      <c r="L214" s="1012">
        <f t="shared" ref="L214:Q214" si="219">P28</f>
        <v>0</v>
      </c>
      <c r="M214" s="1012">
        <f t="shared" si="219"/>
        <v>-1E-3</v>
      </c>
      <c r="N214" s="1012">
        <f t="shared" si="219"/>
        <v>9.9999999999999995E-7</v>
      </c>
      <c r="O214" s="1012">
        <f t="shared" si="219"/>
        <v>9.9999999999999995E-7</v>
      </c>
      <c r="P214" s="1012">
        <f t="shared" si="219"/>
        <v>5.0049999999999997E-4</v>
      </c>
      <c r="Q214" s="1012">
        <f t="shared" si="219"/>
        <v>0</v>
      </c>
    </row>
    <row r="215" spans="1:17" x14ac:dyDescent="0.25">
      <c r="A215" s="1407"/>
      <c r="B215" s="1011">
        <v>4</v>
      </c>
      <c r="C215" s="1012">
        <f t="shared" ref="C215:H215" si="220">B53</f>
        <v>10</v>
      </c>
      <c r="D215" s="1012">
        <f t="shared" si="220"/>
        <v>0</v>
      </c>
      <c r="E215" s="1012">
        <f t="shared" si="220"/>
        <v>9.9999999999999995E-7</v>
      </c>
      <c r="F215" s="1012">
        <f t="shared" si="220"/>
        <v>0.1</v>
      </c>
      <c r="G215" s="1012">
        <f t="shared" si="220"/>
        <v>4.9999500000000002E-2</v>
      </c>
      <c r="H215" s="1012">
        <f t="shared" si="220"/>
        <v>0.17</v>
      </c>
      <c r="I215" s="1012"/>
      <c r="J215" s="1012"/>
      <c r="K215" s="1012">
        <v>4</v>
      </c>
      <c r="L215" s="1012">
        <f t="shared" ref="L215:Q215" si="221">B59</f>
        <v>0.01</v>
      </c>
      <c r="M215" s="1012">
        <f t="shared" si="221"/>
        <v>0</v>
      </c>
      <c r="N215" s="1012">
        <f t="shared" si="221"/>
        <v>9.9999999999999995E-7</v>
      </c>
      <c r="O215" s="1012">
        <f t="shared" si="221"/>
        <v>9.9999999999999995E-7</v>
      </c>
      <c r="P215" s="1012">
        <f t="shared" si="221"/>
        <v>0</v>
      </c>
      <c r="Q215" s="1012">
        <f t="shared" si="221"/>
        <v>1.2E-4</v>
      </c>
    </row>
    <row r="216" spans="1:17" x14ac:dyDescent="0.25">
      <c r="A216" s="1407"/>
      <c r="B216" s="1011">
        <v>5</v>
      </c>
      <c r="C216" s="1012">
        <f t="shared" ref="C216:H216" si="222">I53</f>
        <v>10</v>
      </c>
      <c r="D216" s="1012">
        <f t="shared" si="222"/>
        <v>0</v>
      </c>
      <c r="E216" s="1012">
        <f t="shared" si="222"/>
        <v>9.9999999999999995E-7</v>
      </c>
      <c r="F216" s="1012">
        <f t="shared" si="222"/>
        <v>0.1</v>
      </c>
      <c r="G216" s="1012">
        <f t="shared" si="222"/>
        <v>0.05</v>
      </c>
      <c r="H216" s="1012">
        <f t="shared" si="222"/>
        <v>0.17</v>
      </c>
      <c r="I216" s="1012"/>
      <c r="J216" s="1012"/>
      <c r="K216" s="1012">
        <v>5</v>
      </c>
      <c r="L216" s="1012">
        <f t="shared" ref="L216:Q216" si="223">I59</f>
        <v>0.01</v>
      </c>
      <c r="M216" s="1012">
        <f t="shared" si="223"/>
        <v>0</v>
      </c>
      <c r="N216" s="1012">
        <f t="shared" si="223"/>
        <v>9.9999999999999995E-7</v>
      </c>
      <c r="O216" s="1012">
        <f t="shared" si="223"/>
        <v>9.9999999999999995E-7</v>
      </c>
      <c r="P216" s="1012">
        <f t="shared" si="223"/>
        <v>4.9999999999999998E-7</v>
      </c>
      <c r="Q216" s="1012">
        <f t="shared" si="223"/>
        <v>1.2E-4</v>
      </c>
    </row>
    <row r="217" spans="1:17" x14ac:dyDescent="0.25">
      <c r="A217" s="1407"/>
      <c r="B217" s="1011">
        <v>6</v>
      </c>
      <c r="C217" s="1012">
        <f t="shared" ref="C217:H217" si="224">P53</f>
        <v>10</v>
      </c>
      <c r="D217" s="1012">
        <f t="shared" si="224"/>
        <v>0</v>
      </c>
      <c r="E217" s="1012">
        <f t="shared" si="224"/>
        <v>0.1</v>
      </c>
      <c r="F217" s="1012">
        <f t="shared" si="224"/>
        <v>0.1</v>
      </c>
      <c r="G217" s="1012">
        <f t="shared" si="224"/>
        <v>0</v>
      </c>
      <c r="H217" s="1012">
        <f t="shared" si="224"/>
        <v>0.17</v>
      </c>
      <c r="I217" s="1012"/>
      <c r="J217" s="1012"/>
      <c r="K217" s="1012">
        <v>6</v>
      </c>
      <c r="L217" s="1012">
        <f t="shared" ref="L217:Q217" si="225">P59</f>
        <v>0.01</v>
      </c>
      <c r="M217" s="1012">
        <f t="shared" si="225"/>
        <v>0</v>
      </c>
      <c r="N217" s="1012">
        <f t="shared" si="225"/>
        <v>0</v>
      </c>
      <c r="O217" s="1012">
        <f t="shared" si="225"/>
        <v>9.9999999999999995E-7</v>
      </c>
      <c r="P217" s="1012">
        <f t="shared" si="225"/>
        <v>4.9999999999999998E-7</v>
      </c>
      <c r="Q217" s="1012">
        <f t="shared" si="225"/>
        <v>1.2E-4</v>
      </c>
    </row>
    <row r="218" spans="1:17" x14ac:dyDescent="0.25">
      <c r="A218" s="1407"/>
      <c r="B218" s="1011">
        <v>7</v>
      </c>
      <c r="C218" s="1012">
        <f t="shared" ref="C218:H218" si="226">B84</f>
        <v>10</v>
      </c>
      <c r="D218" s="1012">
        <f t="shared" si="226"/>
        <v>0</v>
      </c>
      <c r="E218" s="1012">
        <f t="shared" si="226"/>
        <v>0</v>
      </c>
      <c r="F218" s="1012">
        <f t="shared" si="226"/>
        <v>9.9999999999999995E-7</v>
      </c>
      <c r="G218" s="1012">
        <f t="shared" si="226"/>
        <v>4.9999999999999998E-7</v>
      </c>
      <c r="H218" s="1012">
        <f t="shared" si="226"/>
        <v>0.17</v>
      </c>
      <c r="I218" s="1012"/>
      <c r="J218" s="1012"/>
      <c r="K218" s="1012">
        <v>7</v>
      </c>
      <c r="L218" s="1012">
        <f t="shared" ref="L218:Q218" si="227">B90</f>
        <v>0.01</v>
      </c>
      <c r="M218" s="1012">
        <f t="shared" si="227"/>
        <v>0</v>
      </c>
      <c r="N218" s="1012">
        <f t="shared" si="227"/>
        <v>0</v>
      </c>
      <c r="O218" s="1012">
        <f t="shared" si="227"/>
        <v>9.9999999999999995E-7</v>
      </c>
      <c r="P218" s="1012">
        <f t="shared" si="227"/>
        <v>4.9999999999999998E-7</v>
      </c>
      <c r="Q218" s="1012">
        <f t="shared" si="227"/>
        <v>1.2E-4</v>
      </c>
    </row>
    <row r="219" spans="1:17" x14ac:dyDescent="0.25">
      <c r="A219" s="1407"/>
      <c r="B219" s="1011">
        <v>8</v>
      </c>
      <c r="C219" s="1012">
        <f t="shared" ref="C219:H219" si="228">I84</f>
        <v>10</v>
      </c>
      <c r="D219" s="1012">
        <f t="shared" si="228"/>
        <v>9.9999999999999995E-7</v>
      </c>
      <c r="E219" s="1012">
        <f t="shared" si="228"/>
        <v>9.9999999999999995E-7</v>
      </c>
      <c r="F219" s="1012">
        <f t="shared" si="228"/>
        <v>0</v>
      </c>
      <c r="G219" s="1012">
        <f t="shared" si="228"/>
        <v>0</v>
      </c>
      <c r="H219" s="1012">
        <f t="shared" si="228"/>
        <v>0.17</v>
      </c>
      <c r="I219" s="1012"/>
      <c r="J219" s="1012"/>
      <c r="K219" s="1012">
        <v>8</v>
      </c>
      <c r="L219" s="1012">
        <f t="shared" ref="L219:Q219" si="229">I90</f>
        <v>0.1</v>
      </c>
      <c r="M219" s="1012">
        <f t="shared" si="229"/>
        <v>-1E-3</v>
      </c>
      <c r="N219" s="1012">
        <f t="shared" si="229"/>
        <v>-1E-3</v>
      </c>
      <c r="O219" s="1012">
        <f t="shared" si="229"/>
        <v>0</v>
      </c>
      <c r="P219" s="1012">
        <f t="shared" si="229"/>
        <v>0</v>
      </c>
      <c r="Q219" s="1012">
        <f t="shared" si="229"/>
        <v>1.2000000000000001E-3</v>
      </c>
    </row>
    <row r="220" spans="1:17" x14ac:dyDescent="0.25">
      <c r="A220" s="1407"/>
      <c r="B220" s="1011">
        <v>9</v>
      </c>
      <c r="C220" s="1012">
        <f t="shared" ref="C220:H220" si="230">P84</f>
        <v>10</v>
      </c>
      <c r="D220" s="1012">
        <f t="shared" si="230"/>
        <v>0</v>
      </c>
      <c r="E220" s="1012">
        <f t="shared" si="230"/>
        <v>9.9999999999999995E-7</v>
      </c>
      <c r="F220" s="1012">
        <f t="shared" si="230"/>
        <v>0</v>
      </c>
      <c r="G220" s="1012">
        <f t="shared" si="230"/>
        <v>4.9999999999999998E-7</v>
      </c>
      <c r="H220" s="1012">
        <f t="shared" si="230"/>
        <v>0</v>
      </c>
      <c r="I220" s="1012"/>
      <c r="J220" s="1012"/>
      <c r="K220" s="1012">
        <v>9</v>
      </c>
      <c r="L220" s="1012">
        <f t="shared" ref="L220:Q220" si="231">P90</f>
        <v>1E-3</v>
      </c>
      <c r="M220" s="1012">
        <f t="shared" si="231"/>
        <v>0</v>
      </c>
      <c r="N220" s="1012">
        <f t="shared" si="231"/>
        <v>-1E-3</v>
      </c>
      <c r="O220" s="1012">
        <f t="shared" si="231"/>
        <v>0</v>
      </c>
      <c r="P220" s="1012">
        <f t="shared" si="231"/>
        <v>5.0000000000000001E-4</v>
      </c>
      <c r="Q220" s="1012">
        <f t="shared" si="231"/>
        <v>1.2E-5</v>
      </c>
    </row>
    <row r="221" spans="1:17" x14ac:dyDescent="0.25">
      <c r="A221" s="1407"/>
      <c r="B221" s="1011">
        <v>10</v>
      </c>
      <c r="C221" s="1012">
        <f>B115</f>
        <v>10</v>
      </c>
      <c r="D221" s="1012">
        <f t="shared" ref="D221:G221" si="232">C115</f>
        <v>9.9999999999999995E-7</v>
      </c>
      <c r="E221" s="1012" t="str">
        <f t="shared" si="232"/>
        <v>-</v>
      </c>
      <c r="F221" s="1012">
        <f t="shared" si="232"/>
        <v>0</v>
      </c>
      <c r="G221" s="1012">
        <f t="shared" si="232"/>
        <v>0</v>
      </c>
      <c r="H221" s="1012" t="str">
        <f>G115</f>
        <v>-</v>
      </c>
      <c r="I221" s="1012"/>
      <c r="J221" s="1012"/>
      <c r="K221" s="1012">
        <v>10</v>
      </c>
      <c r="L221" s="1012">
        <f t="shared" ref="L221:Q221" si="233">B121</f>
        <v>0</v>
      </c>
      <c r="M221" s="1012">
        <f t="shared" si="233"/>
        <v>9.9999999999999995E-7</v>
      </c>
      <c r="N221" s="1012" t="str">
        <f t="shared" si="233"/>
        <v>-</v>
      </c>
      <c r="O221" s="1012">
        <f t="shared" si="233"/>
        <v>0</v>
      </c>
      <c r="P221" s="1012">
        <f t="shared" si="233"/>
        <v>0</v>
      </c>
      <c r="Q221" s="1012" t="str">
        <f t="shared" si="233"/>
        <v>-</v>
      </c>
    </row>
    <row r="222" spans="1:17" x14ac:dyDescent="0.25">
      <c r="A222" s="1407"/>
      <c r="B222" s="1011">
        <v>11</v>
      </c>
      <c r="C222" s="1012">
        <f>I115</f>
        <v>10</v>
      </c>
      <c r="D222" s="1012">
        <f t="shared" ref="D222:G222" si="234">J115</f>
        <v>9.9999999999999995E-7</v>
      </c>
      <c r="E222" s="1012" t="str">
        <f t="shared" si="234"/>
        <v>-</v>
      </c>
      <c r="F222" s="1012">
        <f t="shared" si="234"/>
        <v>0</v>
      </c>
      <c r="G222" s="1012">
        <f t="shared" si="234"/>
        <v>0</v>
      </c>
      <c r="H222" s="1012" t="str">
        <f>N115</f>
        <v>-</v>
      </c>
      <c r="I222" s="1012"/>
      <c r="J222" s="1012"/>
      <c r="K222" s="1012">
        <v>11</v>
      </c>
      <c r="L222" s="1012">
        <f t="shared" ref="L222:Q222" si="235">I121</f>
        <v>0.01</v>
      </c>
      <c r="M222" s="1012">
        <f t="shared" si="235"/>
        <v>9.9999999999999995E-7</v>
      </c>
      <c r="N222" s="1012" t="str">
        <f t="shared" si="235"/>
        <v>-</v>
      </c>
      <c r="O222" s="1012">
        <f t="shared" si="235"/>
        <v>0</v>
      </c>
      <c r="P222" s="1012">
        <f t="shared" si="235"/>
        <v>0</v>
      </c>
      <c r="Q222" s="1012" t="str">
        <f t="shared" si="235"/>
        <v>-</v>
      </c>
    </row>
    <row r="223" spans="1:17" x14ac:dyDescent="0.25">
      <c r="A223" s="1407"/>
      <c r="B223" s="1011">
        <v>12</v>
      </c>
      <c r="C223" s="1012">
        <f>P115</f>
        <v>10</v>
      </c>
      <c r="D223" s="1012">
        <f t="shared" ref="D223:G223" si="236">Q115</f>
        <v>9.9999999999999995E-7</v>
      </c>
      <c r="E223" s="1012" t="str">
        <f t="shared" si="236"/>
        <v>-</v>
      </c>
      <c r="F223" s="1012">
        <f t="shared" si="236"/>
        <v>0</v>
      </c>
      <c r="G223" s="1012">
        <f t="shared" si="236"/>
        <v>0</v>
      </c>
      <c r="H223" s="1012" t="str">
        <f>U115</f>
        <v>-</v>
      </c>
      <c r="I223" s="1012"/>
      <c r="J223" s="1012"/>
      <c r="K223" s="1012">
        <v>12</v>
      </c>
      <c r="L223" s="1012">
        <f t="shared" ref="L223:Q223" si="237">P121</f>
        <v>0.01</v>
      </c>
      <c r="M223" s="1012">
        <f t="shared" si="237"/>
        <v>9.9999999999999995E-7</v>
      </c>
      <c r="N223" s="1012" t="str">
        <f t="shared" si="237"/>
        <v>-</v>
      </c>
      <c r="O223" s="1012">
        <f t="shared" si="237"/>
        <v>0</v>
      </c>
      <c r="P223" s="1012">
        <f t="shared" si="237"/>
        <v>0</v>
      </c>
      <c r="Q223" s="1012" t="str">
        <f t="shared" si="237"/>
        <v>-</v>
      </c>
    </row>
    <row r="224" spans="1:17" s="717" customFormat="1" x14ac:dyDescent="0.25">
      <c r="A224" s="1016"/>
      <c r="B224" s="102"/>
      <c r="C224" s="1012"/>
      <c r="D224" s="1012"/>
      <c r="E224" s="1012"/>
      <c r="F224" s="1012"/>
      <c r="G224" s="1012"/>
      <c r="H224" s="1012"/>
      <c r="I224" s="1012"/>
      <c r="J224" s="1012"/>
      <c r="K224" s="1012"/>
      <c r="L224" s="1012"/>
      <c r="M224" s="1012"/>
      <c r="N224" s="1012"/>
      <c r="O224" s="1012"/>
      <c r="P224" s="1012"/>
      <c r="Q224" s="1012"/>
    </row>
    <row r="225" spans="1:17" x14ac:dyDescent="0.25">
      <c r="A225" s="1407" t="s">
        <v>88</v>
      </c>
      <c r="B225" s="1011">
        <v>1</v>
      </c>
      <c r="C225" s="1012">
        <f t="shared" ref="C225:H225" si="238">B23</f>
        <v>20</v>
      </c>
      <c r="D225" s="1012">
        <f t="shared" si="238"/>
        <v>0.1</v>
      </c>
      <c r="E225" s="1012">
        <f t="shared" si="238"/>
        <v>9.9999999999999995E-7</v>
      </c>
      <c r="F225" s="1012">
        <f t="shared" si="238"/>
        <v>9.9999999999999995E-7</v>
      </c>
      <c r="G225" s="1012">
        <f t="shared" si="238"/>
        <v>4.9999500000000002E-2</v>
      </c>
      <c r="H225" s="1012">
        <f t="shared" si="238"/>
        <v>0.33829999999999999</v>
      </c>
      <c r="I225" s="1012"/>
      <c r="J225" s="1012" t="s">
        <v>88</v>
      </c>
      <c r="K225" s="1012">
        <v>1</v>
      </c>
      <c r="L225" s="1012">
        <f t="shared" ref="L225:Q225" si="239">B29</f>
        <v>0.1</v>
      </c>
      <c r="M225" s="1012">
        <f t="shared" si="239"/>
        <v>1E-3</v>
      </c>
      <c r="N225" s="1012">
        <f t="shared" si="239"/>
        <v>-1E-3</v>
      </c>
      <c r="O225" s="1012">
        <f t="shared" si="239"/>
        <v>2E-3</v>
      </c>
      <c r="P225" s="1012">
        <f t="shared" si="239"/>
        <v>1.5E-3</v>
      </c>
      <c r="Q225" s="1012">
        <f t="shared" si="239"/>
        <v>1.188E-3</v>
      </c>
    </row>
    <row r="226" spans="1:17" x14ac:dyDescent="0.25">
      <c r="A226" s="1407"/>
      <c r="B226" s="1011">
        <v>2</v>
      </c>
      <c r="C226" s="1012">
        <f t="shared" ref="C226:H226" si="240">I23</f>
        <v>20</v>
      </c>
      <c r="D226" s="1012">
        <f t="shared" si="240"/>
        <v>0.1</v>
      </c>
      <c r="E226" s="1012">
        <f t="shared" si="240"/>
        <v>0.2</v>
      </c>
      <c r="F226" s="1012">
        <f t="shared" si="240"/>
        <v>0.1</v>
      </c>
      <c r="G226" s="1012">
        <f t="shared" si="240"/>
        <v>0.05</v>
      </c>
      <c r="H226" s="1012">
        <f t="shared" si="240"/>
        <v>0.33829999999999999</v>
      </c>
      <c r="I226" s="1012"/>
      <c r="J226" s="1012"/>
      <c r="K226" s="1012">
        <v>2</v>
      </c>
      <c r="L226" s="1012">
        <f t="shared" ref="L226:Q226" si="241">I29</f>
        <v>0.1</v>
      </c>
      <c r="M226" s="1012">
        <f t="shared" si="241"/>
        <v>5.0000000000000001E-3</v>
      </c>
      <c r="N226" s="1012">
        <f t="shared" si="241"/>
        <v>6.0000000000000001E-3</v>
      </c>
      <c r="O226" s="1012">
        <f t="shared" si="241"/>
        <v>5.0000000000000001E-3</v>
      </c>
      <c r="P226" s="1012">
        <f t="shared" si="241"/>
        <v>5.0000000000000001E-4</v>
      </c>
      <c r="Q226" s="1012">
        <f t="shared" si="241"/>
        <v>1.14E-3</v>
      </c>
    </row>
    <row r="227" spans="1:17" x14ac:dyDescent="0.25">
      <c r="A227" s="1407"/>
      <c r="B227" s="1011">
        <v>3</v>
      </c>
      <c r="C227" s="1012">
        <f t="shared" ref="C227:H227" si="242">P23</f>
        <v>10</v>
      </c>
      <c r="D227" s="1012">
        <f t="shared" si="242"/>
        <v>9.9999999999999995E-7</v>
      </c>
      <c r="E227" s="1012">
        <f t="shared" si="242"/>
        <v>9.9999999999999995E-7</v>
      </c>
      <c r="F227" s="1012">
        <f t="shared" si="242"/>
        <v>9.9999999999999995E-7</v>
      </c>
      <c r="G227" s="1012">
        <f t="shared" si="242"/>
        <v>0</v>
      </c>
      <c r="H227" s="1012">
        <f t="shared" si="242"/>
        <v>0.17</v>
      </c>
      <c r="I227" s="1012"/>
      <c r="J227" s="1012"/>
      <c r="K227" s="1012">
        <v>3</v>
      </c>
      <c r="L227" s="1012">
        <f t="shared" ref="L227:Q227" si="243">P29</f>
        <v>0.5</v>
      </c>
      <c r="M227" s="1012">
        <f t="shared" si="243"/>
        <v>-2E-3</v>
      </c>
      <c r="N227" s="1012">
        <f t="shared" si="243"/>
        <v>-1E-3</v>
      </c>
      <c r="O227" s="1012">
        <f t="shared" si="243"/>
        <v>9.9999999999999995E-7</v>
      </c>
      <c r="P227" s="1012">
        <f t="shared" si="243"/>
        <v>1.0005000000000001E-3</v>
      </c>
      <c r="Q227" s="1012">
        <f t="shared" si="243"/>
        <v>6.0000000000000001E-3</v>
      </c>
    </row>
    <row r="228" spans="1:17" x14ac:dyDescent="0.25">
      <c r="A228" s="1407"/>
      <c r="B228" s="1011">
        <v>4</v>
      </c>
      <c r="C228" s="1012">
        <f t="shared" ref="C228:H228" si="244">B54</f>
        <v>20</v>
      </c>
      <c r="D228" s="1012">
        <f t="shared" si="244"/>
        <v>0.1</v>
      </c>
      <c r="E228" s="1012">
        <f t="shared" si="244"/>
        <v>0.1</v>
      </c>
      <c r="F228" s="1012">
        <f t="shared" si="244"/>
        <v>0.2</v>
      </c>
      <c r="G228" s="1012">
        <f t="shared" si="244"/>
        <v>0.05</v>
      </c>
      <c r="H228" s="1012">
        <f t="shared" si="244"/>
        <v>0.33829999999999999</v>
      </c>
      <c r="I228" s="1012"/>
      <c r="J228" s="1012"/>
      <c r="K228" s="1012">
        <v>4</v>
      </c>
      <c r="L228" s="1012">
        <f t="shared" ref="L228:Q228" si="245">B60</f>
        <v>0.1</v>
      </c>
      <c r="M228" s="1012">
        <f t="shared" si="245"/>
        <v>0</v>
      </c>
      <c r="N228" s="1012">
        <f t="shared" si="245"/>
        <v>-2E-3</v>
      </c>
      <c r="O228" s="1012">
        <f t="shared" si="245"/>
        <v>9.9999999999999995E-7</v>
      </c>
      <c r="P228" s="1012">
        <f t="shared" si="245"/>
        <v>1.0005000000000001E-3</v>
      </c>
      <c r="Q228" s="1012">
        <f t="shared" si="245"/>
        <v>1.2000000000000001E-3</v>
      </c>
    </row>
    <row r="229" spans="1:17" x14ac:dyDescent="0.25">
      <c r="A229" s="1407"/>
      <c r="B229" s="1011">
        <v>5</v>
      </c>
      <c r="C229" s="1012">
        <f t="shared" ref="C229:H229" si="246">I54</f>
        <v>20</v>
      </c>
      <c r="D229" s="1012">
        <f t="shared" si="246"/>
        <v>0.1</v>
      </c>
      <c r="E229" s="1012">
        <f t="shared" si="246"/>
        <v>0.1</v>
      </c>
      <c r="F229" s="1012">
        <f t="shared" si="246"/>
        <v>0.1</v>
      </c>
      <c r="G229" s="1012">
        <f t="shared" si="246"/>
        <v>0</v>
      </c>
      <c r="H229" s="1012">
        <f t="shared" si="246"/>
        <v>0.33829999999999999</v>
      </c>
      <c r="I229" s="1012"/>
      <c r="J229" s="1012"/>
      <c r="K229" s="1012">
        <v>5</v>
      </c>
      <c r="L229" s="1012">
        <f t="shared" ref="L229:Q229" si="247">I60</f>
        <v>0.1</v>
      </c>
      <c r="M229" s="1012">
        <f t="shared" si="247"/>
        <v>-6.0000000000000001E-3</v>
      </c>
      <c r="N229" s="1012">
        <f t="shared" si="247"/>
        <v>5.0000000000000001E-3</v>
      </c>
      <c r="O229" s="1012">
        <f t="shared" si="247"/>
        <v>2E-3</v>
      </c>
      <c r="P229" s="1012">
        <f t="shared" si="247"/>
        <v>5.4999999999999997E-3</v>
      </c>
      <c r="Q229" s="1012">
        <f t="shared" si="247"/>
        <v>1.2720000000000001E-3</v>
      </c>
    </row>
    <row r="230" spans="1:17" x14ac:dyDescent="0.25">
      <c r="A230" s="1407"/>
      <c r="B230" s="1011">
        <v>6</v>
      </c>
      <c r="C230" s="1012">
        <f t="shared" ref="C230:H230" si="248">P54</f>
        <v>20</v>
      </c>
      <c r="D230" s="1012">
        <f t="shared" si="248"/>
        <v>0.1</v>
      </c>
      <c r="E230" s="1012">
        <f t="shared" si="248"/>
        <v>0.1</v>
      </c>
      <c r="F230" s="1012">
        <f t="shared" si="248"/>
        <v>0.1</v>
      </c>
      <c r="G230" s="1012">
        <f t="shared" si="248"/>
        <v>0</v>
      </c>
      <c r="H230" s="1012">
        <f t="shared" si="248"/>
        <v>0.33829999999999999</v>
      </c>
      <c r="I230" s="1012"/>
      <c r="J230" s="1012"/>
      <c r="K230" s="1012">
        <v>6</v>
      </c>
      <c r="L230" s="1012">
        <f t="shared" ref="L230:Q230" si="249">P60</f>
        <v>0.1</v>
      </c>
      <c r="M230" s="1012">
        <f t="shared" si="249"/>
        <v>0</v>
      </c>
      <c r="N230" s="1012">
        <f t="shared" si="249"/>
        <v>-3.0000000000000001E-3</v>
      </c>
      <c r="O230" s="1012">
        <f t="shared" si="249"/>
        <v>-2E-3</v>
      </c>
      <c r="P230" s="1012">
        <f t="shared" si="249"/>
        <v>5.0000000000000001E-4</v>
      </c>
      <c r="Q230" s="1012">
        <f t="shared" si="249"/>
        <v>1.2000000000000001E-3</v>
      </c>
    </row>
    <row r="231" spans="1:17" x14ac:dyDescent="0.25">
      <c r="A231" s="1407"/>
      <c r="B231" s="1011">
        <v>7</v>
      </c>
      <c r="C231" s="1012">
        <f t="shared" ref="C231:H231" si="250">B85</f>
        <v>20</v>
      </c>
      <c r="D231" s="1012">
        <f t="shared" si="250"/>
        <v>0.1</v>
      </c>
      <c r="E231" s="1012">
        <f t="shared" si="250"/>
        <v>0.1</v>
      </c>
      <c r="F231" s="1012">
        <f t="shared" si="250"/>
        <v>9.9999999999999995E-7</v>
      </c>
      <c r="G231" s="1012">
        <f t="shared" si="250"/>
        <v>4.9999500000000002E-2</v>
      </c>
      <c r="H231" s="1012">
        <f t="shared" si="250"/>
        <v>0.33829999999999999</v>
      </c>
      <c r="I231" s="1012"/>
      <c r="J231" s="1012"/>
      <c r="K231" s="1012">
        <v>7</v>
      </c>
      <c r="L231" s="1012">
        <f t="shared" ref="L231:Q231" si="251">B91</f>
        <v>0.5</v>
      </c>
      <c r="M231" s="1012">
        <f t="shared" si="251"/>
        <v>8.0000000000000002E-3</v>
      </c>
      <c r="N231" s="1012">
        <f t="shared" si="251"/>
        <v>3.0000000000000001E-3</v>
      </c>
      <c r="O231" s="1012">
        <f t="shared" si="251"/>
        <v>9.9999999999999995E-7</v>
      </c>
      <c r="P231" s="1012">
        <f t="shared" si="251"/>
        <v>1.4995E-3</v>
      </c>
      <c r="Q231" s="1012">
        <f t="shared" si="251"/>
        <v>5.9040000000000004E-3</v>
      </c>
    </row>
    <row r="232" spans="1:17" x14ac:dyDescent="0.25">
      <c r="A232" s="1407"/>
      <c r="B232" s="1011">
        <v>8</v>
      </c>
      <c r="C232" s="1012">
        <f t="shared" ref="C232:H232" si="252">I85</f>
        <v>20</v>
      </c>
      <c r="D232" s="1012">
        <f t="shared" si="252"/>
        <v>9.9999999999999995E-7</v>
      </c>
      <c r="E232" s="1012">
        <f t="shared" si="252"/>
        <v>9.9999999999999995E-7</v>
      </c>
      <c r="F232" s="1012">
        <f t="shared" si="252"/>
        <v>0</v>
      </c>
      <c r="G232" s="1012">
        <f t="shared" si="252"/>
        <v>0</v>
      </c>
      <c r="H232" s="1012">
        <f t="shared" si="252"/>
        <v>0.34</v>
      </c>
      <c r="I232" s="1012"/>
      <c r="J232" s="1012"/>
      <c r="K232" s="1012">
        <v>8</v>
      </c>
      <c r="L232" s="1012">
        <f t="shared" ref="L232:Q232" si="253">I91</f>
        <v>0.5</v>
      </c>
      <c r="M232" s="1012">
        <f t="shared" si="253"/>
        <v>4.0000000000000001E-3</v>
      </c>
      <c r="N232" s="1012">
        <f t="shared" si="253"/>
        <v>-3.0000000000000001E-3</v>
      </c>
      <c r="O232" s="1012">
        <f t="shared" si="253"/>
        <v>0</v>
      </c>
      <c r="P232" s="1012">
        <f t="shared" si="253"/>
        <v>3.5000000000000001E-3</v>
      </c>
      <c r="Q232" s="1012">
        <f t="shared" si="253"/>
        <v>6.0000000000000001E-3</v>
      </c>
    </row>
    <row r="233" spans="1:17" x14ac:dyDescent="0.25">
      <c r="A233" s="1407"/>
      <c r="B233" s="1011">
        <v>9</v>
      </c>
      <c r="C233" s="1012">
        <f t="shared" ref="C233:H233" si="254">P85</f>
        <v>20</v>
      </c>
      <c r="D233" s="1012">
        <f t="shared" si="254"/>
        <v>0</v>
      </c>
      <c r="E233" s="1012">
        <f t="shared" si="254"/>
        <v>9.9999999999999995E-7</v>
      </c>
      <c r="F233" s="1012">
        <f t="shared" si="254"/>
        <v>0</v>
      </c>
      <c r="G233" s="1012">
        <f t="shared" si="254"/>
        <v>4.9999999999999998E-7</v>
      </c>
      <c r="H233" s="1012">
        <f t="shared" si="254"/>
        <v>0</v>
      </c>
      <c r="I233" s="1012"/>
      <c r="J233" s="1012"/>
      <c r="K233" s="1012">
        <v>9</v>
      </c>
      <c r="L233" s="1012">
        <f t="shared" ref="L233:Q233" si="255">P91</f>
        <v>0.10199999999999999</v>
      </c>
      <c r="M233" s="1012">
        <f t="shared" si="255"/>
        <v>1E-3</v>
      </c>
      <c r="N233" s="1012">
        <f t="shared" si="255"/>
        <v>-2E-3</v>
      </c>
      <c r="O233" s="1012">
        <f t="shared" si="255"/>
        <v>0</v>
      </c>
      <c r="P233" s="1012">
        <f t="shared" si="255"/>
        <v>1.5E-3</v>
      </c>
      <c r="Q233" s="1012">
        <f t="shared" si="255"/>
        <v>1.224E-3</v>
      </c>
    </row>
    <row r="234" spans="1:17" x14ac:dyDescent="0.25">
      <c r="A234" s="1407"/>
      <c r="B234" s="1011">
        <v>10</v>
      </c>
      <c r="C234" s="1012">
        <f>B116</f>
        <v>20</v>
      </c>
      <c r="D234" s="1012">
        <f t="shared" ref="D234:G234" si="256">C116</f>
        <v>0.1</v>
      </c>
      <c r="E234" s="1012" t="str">
        <f t="shared" si="256"/>
        <v>-</v>
      </c>
      <c r="F234" s="1012">
        <f t="shared" si="256"/>
        <v>0</v>
      </c>
      <c r="G234" s="1012">
        <f t="shared" si="256"/>
        <v>0</v>
      </c>
      <c r="H234" s="1012" t="str">
        <f>G116</f>
        <v>-</v>
      </c>
      <c r="I234" s="1012"/>
      <c r="J234" s="1012"/>
      <c r="K234" s="1012">
        <v>10</v>
      </c>
      <c r="L234" s="1012">
        <f t="shared" ref="L234:Q234" si="257">B122</f>
        <v>0.1</v>
      </c>
      <c r="M234" s="1012">
        <f t="shared" si="257"/>
        <v>-2E-3</v>
      </c>
      <c r="N234" s="1012" t="str">
        <f t="shared" si="257"/>
        <v>-</v>
      </c>
      <c r="O234" s="1012">
        <f t="shared" si="257"/>
        <v>0</v>
      </c>
      <c r="P234" s="1012">
        <f t="shared" si="257"/>
        <v>0</v>
      </c>
      <c r="Q234" s="1012" t="str">
        <f t="shared" si="257"/>
        <v>-</v>
      </c>
    </row>
    <row r="235" spans="1:17" x14ac:dyDescent="0.25">
      <c r="A235" s="1407"/>
      <c r="B235" s="1011">
        <v>11</v>
      </c>
      <c r="C235" s="1012">
        <f>I116</f>
        <v>20</v>
      </c>
      <c r="D235" s="1012">
        <f t="shared" ref="D235:G235" si="258">J116</f>
        <v>9.9999999999999995E-7</v>
      </c>
      <c r="E235" s="1012" t="str">
        <f t="shared" si="258"/>
        <v>-</v>
      </c>
      <c r="F235" s="1012">
        <f t="shared" si="258"/>
        <v>0</v>
      </c>
      <c r="G235" s="1012">
        <f t="shared" si="258"/>
        <v>0</v>
      </c>
      <c r="H235" s="1012" t="str">
        <f>N116</f>
        <v>-</v>
      </c>
      <c r="I235" s="1012"/>
      <c r="J235" s="1012"/>
      <c r="K235" s="1012">
        <v>11</v>
      </c>
      <c r="L235" s="1012">
        <f t="shared" ref="L235:Q235" si="259">I122</f>
        <v>0.1</v>
      </c>
      <c r="M235" s="1012">
        <f t="shared" si="259"/>
        <v>9.9999999999999995E-7</v>
      </c>
      <c r="N235" s="1012" t="str">
        <f t="shared" si="259"/>
        <v>-</v>
      </c>
      <c r="O235" s="1012">
        <f t="shared" si="259"/>
        <v>0</v>
      </c>
      <c r="P235" s="1012">
        <f t="shared" si="259"/>
        <v>0</v>
      </c>
      <c r="Q235" s="1012" t="str">
        <f t="shared" si="259"/>
        <v>-</v>
      </c>
    </row>
    <row r="236" spans="1:17" x14ac:dyDescent="0.25">
      <c r="A236" s="1407"/>
      <c r="B236" s="1011">
        <v>12</v>
      </c>
      <c r="C236" s="1012">
        <f>P116</f>
        <v>20</v>
      </c>
      <c r="D236" s="1012">
        <f t="shared" ref="D236:G236" si="260">Q116</f>
        <v>9.9999999999999995E-7</v>
      </c>
      <c r="E236" s="1012" t="str">
        <f t="shared" si="260"/>
        <v>-</v>
      </c>
      <c r="F236" s="1012">
        <f t="shared" si="260"/>
        <v>0</v>
      </c>
      <c r="G236" s="1012">
        <f t="shared" si="260"/>
        <v>0</v>
      </c>
      <c r="H236" s="1012" t="str">
        <f>U116</f>
        <v>-</v>
      </c>
      <c r="I236" s="1012"/>
      <c r="J236" s="1012"/>
      <c r="K236" s="1012">
        <v>12</v>
      </c>
      <c r="L236" s="1012">
        <f t="shared" ref="L236:Q236" si="261">P122</f>
        <v>0.1</v>
      </c>
      <c r="M236" s="1012">
        <f t="shared" si="261"/>
        <v>9.9999999999999995E-7</v>
      </c>
      <c r="N236" s="1012" t="str">
        <f t="shared" si="261"/>
        <v>-</v>
      </c>
      <c r="O236" s="1012">
        <f t="shared" si="261"/>
        <v>0</v>
      </c>
      <c r="P236" s="1012">
        <f t="shared" si="261"/>
        <v>0</v>
      </c>
      <c r="Q236" s="1012" t="str">
        <f t="shared" si="261"/>
        <v>-</v>
      </c>
    </row>
    <row r="237" spans="1:17" s="717" customFormat="1" x14ac:dyDescent="0.25">
      <c r="A237" s="1016"/>
      <c r="B237" s="102"/>
      <c r="C237" s="1012"/>
      <c r="D237" s="1012"/>
      <c r="E237" s="1012"/>
      <c r="F237" s="1012"/>
      <c r="G237" s="1012"/>
      <c r="H237" s="1012"/>
      <c r="I237" s="1012"/>
      <c r="J237" s="1012"/>
      <c r="K237" s="1012"/>
      <c r="L237" s="1012"/>
      <c r="M237" s="1012"/>
      <c r="N237" s="1012"/>
      <c r="O237" s="1012"/>
      <c r="P237" s="1012"/>
      <c r="Q237" s="1012"/>
    </row>
    <row r="238" spans="1:17" x14ac:dyDescent="0.25">
      <c r="A238" s="1407" t="s">
        <v>89</v>
      </c>
      <c r="B238" s="1011">
        <v>1</v>
      </c>
      <c r="C238" s="1012">
        <f t="shared" ref="C238:H238" si="262">B24</f>
        <v>50</v>
      </c>
      <c r="D238" s="1012">
        <f t="shared" si="262"/>
        <v>0.3</v>
      </c>
      <c r="E238" s="1012">
        <f t="shared" si="262"/>
        <v>9.9999999999999995E-7</v>
      </c>
      <c r="F238" s="1012">
        <f t="shared" si="262"/>
        <v>9.9999999999999995E-7</v>
      </c>
      <c r="G238" s="1012">
        <f t="shared" si="262"/>
        <v>0.14999950000000001</v>
      </c>
      <c r="H238" s="1012">
        <f t="shared" si="262"/>
        <v>0.8449000000000001</v>
      </c>
      <c r="I238" s="1012"/>
      <c r="J238" s="1012" t="s">
        <v>89</v>
      </c>
      <c r="K238" s="1012">
        <v>1</v>
      </c>
      <c r="L238" s="1012">
        <f t="shared" ref="L238:Q238" si="263">B30</f>
        <v>1</v>
      </c>
      <c r="M238" s="1012">
        <f t="shared" si="263"/>
        <v>4.0000000000000001E-3</v>
      </c>
      <c r="N238" s="1012">
        <f t="shared" si="263"/>
        <v>4.0000000000000001E-3</v>
      </c>
      <c r="O238" s="1012">
        <f t="shared" si="263"/>
        <v>1.2E-2</v>
      </c>
      <c r="P238" s="1012">
        <f t="shared" si="263"/>
        <v>4.0000000000000001E-3</v>
      </c>
      <c r="Q238" s="1012">
        <f t="shared" si="263"/>
        <v>1.1952000000000001E-2</v>
      </c>
    </row>
    <row r="239" spans="1:17" x14ac:dyDescent="0.25">
      <c r="A239" s="1407"/>
      <c r="B239" s="1011">
        <v>2</v>
      </c>
      <c r="C239" s="1012">
        <f t="shared" ref="C239:H239" si="264">I24</f>
        <v>50</v>
      </c>
      <c r="D239" s="1012">
        <f t="shared" si="264"/>
        <v>0.2</v>
      </c>
      <c r="E239" s="1012">
        <f t="shared" si="264"/>
        <v>0.3</v>
      </c>
      <c r="F239" s="1012">
        <f t="shared" si="264"/>
        <v>0.1</v>
      </c>
      <c r="G239" s="1012">
        <f t="shared" si="264"/>
        <v>9.9999999999999992E-2</v>
      </c>
      <c r="H239" s="1012">
        <f t="shared" si="264"/>
        <v>0.84660000000000002</v>
      </c>
      <c r="I239" s="1012"/>
      <c r="J239" s="1012"/>
      <c r="K239" s="1012">
        <v>2</v>
      </c>
      <c r="L239" s="1012">
        <f t="shared" ref="L239:Q239" si="265">I30</f>
        <v>1</v>
      </c>
      <c r="M239" s="1012">
        <f t="shared" si="265"/>
        <v>5.8000000000000003E-2</v>
      </c>
      <c r="N239" s="1012">
        <f t="shared" si="265"/>
        <v>4.4999999999999998E-2</v>
      </c>
      <c r="O239" s="1012">
        <f t="shared" si="265"/>
        <v>5.5E-2</v>
      </c>
      <c r="P239" s="1012">
        <f t="shared" si="265"/>
        <v>5.000000000000001E-3</v>
      </c>
      <c r="Q239" s="1012">
        <f t="shared" si="265"/>
        <v>1.1304E-2</v>
      </c>
    </row>
    <row r="240" spans="1:17" x14ac:dyDescent="0.25">
      <c r="A240" s="1407"/>
      <c r="B240" s="1011">
        <v>3</v>
      </c>
      <c r="C240" s="1012">
        <f t="shared" ref="C240:H240" si="266">P24</f>
        <v>20</v>
      </c>
      <c r="D240" s="1012">
        <f t="shared" si="266"/>
        <v>9.9999999999999995E-7</v>
      </c>
      <c r="E240" s="1012">
        <f t="shared" si="266"/>
        <v>0.4</v>
      </c>
      <c r="F240" s="1012">
        <f t="shared" si="266"/>
        <v>0.3</v>
      </c>
      <c r="G240" s="1012">
        <f t="shared" si="266"/>
        <v>0.19999950000000002</v>
      </c>
      <c r="H240" s="1012">
        <f t="shared" si="266"/>
        <v>0.34</v>
      </c>
      <c r="I240" s="1012"/>
      <c r="J240" s="1012"/>
      <c r="K240" s="1012">
        <v>3</v>
      </c>
      <c r="L240" s="1012">
        <f t="shared" ref="L240:Q240" si="267">P30</f>
        <v>1</v>
      </c>
      <c r="M240" s="1012">
        <f t="shared" si="267"/>
        <v>-1.2E-2</v>
      </c>
      <c r="N240" s="1012">
        <f t="shared" si="267"/>
        <v>5.0000000000000001E-3</v>
      </c>
      <c r="O240" s="1012">
        <f t="shared" si="267"/>
        <v>9.9999999999999995E-7</v>
      </c>
      <c r="P240" s="1012">
        <f t="shared" si="267"/>
        <v>8.5000000000000006E-3</v>
      </c>
      <c r="Q240" s="1012">
        <f t="shared" si="267"/>
        <v>1.2E-2</v>
      </c>
    </row>
    <row r="241" spans="1:17" x14ac:dyDescent="0.25">
      <c r="A241" s="1407"/>
      <c r="B241" s="1011">
        <v>4</v>
      </c>
      <c r="C241" s="1012">
        <f t="shared" ref="C241:H241" si="268">B55</f>
        <v>50</v>
      </c>
      <c r="D241" s="1012">
        <f t="shared" si="268"/>
        <v>0.4</v>
      </c>
      <c r="E241" s="1012">
        <f t="shared" si="268"/>
        <v>0.4</v>
      </c>
      <c r="F241" s="1012">
        <f t="shared" si="268"/>
        <v>0.5</v>
      </c>
      <c r="G241" s="1012">
        <f t="shared" si="268"/>
        <v>4.9999999999999989E-2</v>
      </c>
      <c r="H241" s="1012">
        <f t="shared" si="268"/>
        <v>0.84320000000000006</v>
      </c>
      <c r="I241" s="1012"/>
      <c r="J241" s="1012"/>
      <c r="K241" s="1012">
        <v>4</v>
      </c>
      <c r="L241" s="1012">
        <f t="shared" ref="L241:Q241" si="269">B61</f>
        <v>1</v>
      </c>
      <c r="M241" s="1012">
        <f t="shared" si="269"/>
        <v>-2E-3</v>
      </c>
      <c r="N241" s="1012">
        <f t="shared" si="269"/>
        <v>-8.0000000000000002E-3</v>
      </c>
      <c r="O241" s="1012">
        <f t="shared" si="269"/>
        <v>-1E-3</v>
      </c>
      <c r="P241" s="1012">
        <f t="shared" si="269"/>
        <v>3.5000000000000001E-3</v>
      </c>
      <c r="Q241" s="1012">
        <f t="shared" si="269"/>
        <v>1.2024E-2</v>
      </c>
    </row>
    <row r="242" spans="1:17" x14ac:dyDescent="0.25">
      <c r="A242" s="1407"/>
      <c r="B242" s="1011">
        <v>5</v>
      </c>
      <c r="C242" s="1012">
        <f t="shared" ref="C242:H242" si="270">I55</f>
        <v>50</v>
      </c>
      <c r="D242" s="1012">
        <f t="shared" si="270"/>
        <v>0.3</v>
      </c>
      <c r="E242" s="1012">
        <f t="shared" si="270"/>
        <v>0.6</v>
      </c>
      <c r="F242" s="1012">
        <f t="shared" si="270"/>
        <v>0.4</v>
      </c>
      <c r="G242" s="1012">
        <f t="shared" si="270"/>
        <v>0.15</v>
      </c>
      <c r="H242" s="1012">
        <f t="shared" si="270"/>
        <v>0.8449000000000001</v>
      </c>
      <c r="I242" s="1012"/>
      <c r="J242" s="1012"/>
      <c r="K242" s="1012">
        <v>5</v>
      </c>
      <c r="L242" s="1012">
        <f t="shared" ref="L242:Q242" si="271">I61</f>
        <v>1</v>
      </c>
      <c r="M242" s="1012">
        <f t="shared" si="271"/>
        <v>-2E-3</v>
      </c>
      <c r="N242" s="1012">
        <f t="shared" si="271"/>
        <v>1.7999999999999999E-2</v>
      </c>
      <c r="O242" s="1012">
        <f t="shared" si="271"/>
        <v>1.2E-2</v>
      </c>
      <c r="P242" s="1012">
        <f t="shared" si="271"/>
        <v>9.9999999999999985E-3</v>
      </c>
      <c r="Q242" s="1012">
        <f t="shared" si="271"/>
        <v>1.2024E-2</v>
      </c>
    </row>
    <row r="243" spans="1:17" x14ac:dyDescent="0.25">
      <c r="A243" s="1407"/>
      <c r="B243" s="1011">
        <v>6</v>
      </c>
      <c r="C243" s="1012">
        <f t="shared" ref="C243:H243" si="272">P55</f>
        <v>50</v>
      </c>
      <c r="D243" s="1012">
        <f t="shared" si="272"/>
        <v>0.1</v>
      </c>
      <c r="E243" s="1012">
        <f t="shared" si="272"/>
        <v>0.3</v>
      </c>
      <c r="F243" s="1012">
        <f t="shared" si="272"/>
        <v>0.3</v>
      </c>
      <c r="G243" s="1012">
        <f t="shared" si="272"/>
        <v>0</v>
      </c>
      <c r="H243" s="1012">
        <f t="shared" si="272"/>
        <v>0.84830000000000005</v>
      </c>
      <c r="I243" s="1012"/>
      <c r="J243" s="1012"/>
      <c r="K243" s="1012">
        <v>6</v>
      </c>
      <c r="L243" s="1012">
        <f t="shared" ref="L243:Q243" si="273">P61</f>
        <v>1</v>
      </c>
      <c r="M243" s="1012">
        <f t="shared" si="273"/>
        <v>-6.0000000000000001E-3</v>
      </c>
      <c r="N243" s="1012">
        <f t="shared" si="273"/>
        <v>-7.0000000000000001E-3</v>
      </c>
      <c r="O243" s="1012">
        <f t="shared" si="273"/>
        <v>-1E-3</v>
      </c>
      <c r="P243" s="1012">
        <f t="shared" si="273"/>
        <v>3.0000000000000001E-3</v>
      </c>
      <c r="Q243" s="1012">
        <f t="shared" si="273"/>
        <v>1.2072000000000001E-2</v>
      </c>
    </row>
    <row r="244" spans="1:17" x14ac:dyDescent="0.25">
      <c r="A244" s="1407"/>
      <c r="B244" s="1011">
        <v>7</v>
      </c>
      <c r="C244" s="1012">
        <f t="shared" ref="C244:H244" si="274">B86</f>
        <v>50</v>
      </c>
      <c r="D244" s="1012">
        <f t="shared" si="274"/>
        <v>0.3</v>
      </c>
      <c r="E244" s="1012">
        <f t="shared" si="274"/>
        <v>0.5</v>
      </c>
      <c r="F244" s="1012">
        <f t="shared" si="274"/>
        <v>9.9999999999999995E-7</v>
      </c>
      <c r="G244" s="1012">
        <f t="shared" si="274"/>
        <v>0.24999950000000001</v>
      </c>
      <c r="H244" s="1012">
        <f t="shared" si="274"/>
        <v>0.8449000000000001</v>
      </c>
      <c r="I244" s="1012"/>
      <c r="J244" s="1012"/>
      <c r="K244" s="1012">
        <v>7</v>
      </c>
      <c r="L244" s="1012">
        <f t="shared" ref="L244:Q244" si="275">B92</f>
        <v>1</v>
      </c>
      <c r="M244" s="1012">
        <f t="shared" si="275"/>
        <v>-6.0000000000000001E-3</v>
      </c>
      <c r="N244" s="1012">
        <f t="shared" si="275"/>
        <v>2E-3</v>
      </c>
      <c r="O244" s="1012">
        <f t="shared" si="275"/>
        <v>-2E-3</v>
      </c>
      <c r="P244" s="1012">
        <f t="shared" si="275"/>
        <v>2E-3</v>
      </c>
      <c r="Q244" s="1012">
        <f t="shared" si="275"/>
        <v>1.2072000000000001E-2</v>
      </c>
    </row>
    <row r="245" spans="1:17" x14ac:dyDescent="0.25">
      <c r="A245" s="1407"/>
      <c r="B245" s="1011">
        <v>8</v>
      </c>
      <c r="C245" s="1012">
        <f t="shared" ref="C245:H245" si="276">I86</f>
        <v>50</v>
      </c>
      <c r="D245" s="1012">
        <f t="shared" si="276"/>
        <v>0.2</v>
      </c>
      <c r="E245" s="1012">
        <f t="shared" si="276"/>
        <v>9.9999999999999995E-7</v>
      </c>
      <c r="F245" s="1012">
        <f t="shared" si="276"/>
        <v>0</v>
      </c>
      <c r="G245" s="1012">
        <f t="shared" si="276"/>
        <v>9.9999500000000005E-2</v>
      </c>
      <c r="H245" s="1012">
        <f t="shared" si="276"/>
        <v>0.85000000000000009</v>
      </c>
      <c r="I245" s="1012"/>
      <c r="J245" s="1012"/>
      <c r="K245" s="1012">
        <v>8</v>
      </c>
      <c r="L245" s="1012">
        <f t="shared" ref="L245:Q245" si="277">I92</f>
        <v>1</v>
      </c>
      <c r="M245" s="1012">
        <f t="shared" si="277"/>
        <v>5.0000000000000001E-3</v>
      </c>
      <c r="N245" s="1012">
        <f t="shared" si="277"/>
        <v>1E-3</v>
      </c>
      <c r="O245" s="1012">
        <f t="shared" si="277"/>
        <v>0</v>
      </c>
      <c r="P245" s="1012">
        <f t="shared" si="277"/>
        <v>2E-3</v>
      </c>
      <c r="Q245" s="1012">
        <f t="shared" si="277"/>
        <v>1.2E-2</v>
      </c>
    </row>
    <row r="246" spans="1:17" x14ac:dyDescent="0.25">
      <c r="A246" s="1407"/>
      <c r="B246" s="1011">
        <v>9</v>
      </c>
      <c r="C246" s="1012">
        <f t="shared" ref="C246:H246" si="278">P86</f>
        <v>50</v>
      </c>
      <c r="D246" s="1012">
        <f t="shared" si="278"/>
        <v>0.2</v>
      </c>
      <c r="E246" s="1012">
        <f t="shared" si="278"/>
        <v>9.9999999999999995E-7</v>
      </c>
      <c r="F246" s="1012">
        <f t="shared" si="278"/>
        <v>0</v>
      </c>
      <c r="G246" s="1012">
        <f t="shared" si="278"/>
        <v>9.9999500000000005E-2</v>
      </c>
      <c r="H246" s="1012">
        <f t="shared" si="278"/>
        <v>0</v>
      </c>
      <c r="I246" s="1012"/>
      <c r="J246" s="1012"/>
      <c r="K246" s="1012">
        <v>9</v>
      </c>
      <c r="L246" s="1012">
        <f t="shared" ref="L246:Q246" si="279">P92</f>
        <v>0.5</v>
      </c>
      <c r="M246" s="1012">
        <f t="shared" si="279"/>
        <v>4.0000000000000001E-3</v>
      </c>
      <c r="N246" s="1012">
        <f t="shared" si="279"/>
        <v>9.9999999999999995E-7</v>
      </c>
      <c r="O246" s="1012">
        <f t="shared" si="279"/>
        <v>0</v>
      </c>
      <c r="P246" s="1012">
        <f t="shared" si="279"/>
        <v>1.9995E-3</v>
      </c>
      <c r="Q246" s="1012">
        <f t="shared" si="279"/>
        <v>6.0000000000000001E-3</v>
      </c>
    </row>
    <row r="247" spans="1:17" x14ac:dyDescent="0.25">
      <c r="A247" s="1407"/>
      <c r="B247" s="1011">
        <v>10</v>
      </c>
      <c r="C247" s="1012">
        <f>B117</f>
        <v>50</v>
      </c>
      <c r="D247" s="1012">
        <f t="shared" ref="D247:G247" si="280">C117</f>
        <v>0.4</v>
      </c>
      <c r="E247" s="1012" t="str">
        <f t="shared" si="280"/>
        <v>-</v>
      </c>
      <c r="F247" s="1012">
        <f t="shared" si="280"/>
        <v>0</v>
      </c>
      <c r="G247" s="1012">
        <f t="shared" si="280"/>
        <v>0</v>
      </c>
      <c r="H247" s="1012" t="str">
        <f>G117</f>
        <v>-</v>
      </c>
      <c r="I247" s="1012"/>
      <c r="J247" s="1012"/>
      <c r="K247" s="1012">
        <v>10</v>
      </c>
      <c r="L247" s="1012">
        <f t="shared" ref="L247:Q247" si="281">B123</f>
        <v>1</v>
      </c>
      <c r="M247" s="1012">
        <f t="shared" si="281"/>
        <v>-8.0000000000000002E-3</v>
      </c>
      <c r="N247" s="1012" t="str">
        <f t="shared" si="281"/>
        <v>-</v>
      </c>
      <c r="O247" s="1012">
        <f t="shared" si="281"/>
        <v>0</v>
      </c>
      <c r="P247" s="1012">
        <f t="shared" si="281"/>
        <v>0</v>
      </c>
      <c r="Q247" s="1012" t="str">
        <f t="shared" si="281"/>
        <v>-</v>
      </c>
    </row>
    <row r="248" spans="1:17" x14ac:dyDescent="0.25">
      <c r="A248" s="1407"/>
      <c r="B248" s="1011">
        <v>11</v>
      </c>
      <c r="C248" s="1012">
        <f>I117</f>
        <v>50</v>
      </c>
      <c r="D248" s="1012">
        <f t="shared" ref="D248:G248" si="282">J117</f>
        <v>9.9999999999999995E-7</v>
      </c>
      <c r="E248" s="1012" t="str">
        <f t="shared" si="282"/>
        <v>-</v>
      </c>
      <c r="F248" s="1012">
        <f t="shared" si="282"/>
        <v>0</v>
      </c>
      <c r="G248" s="1012">
        <f t="shared" si="282"/>
        <v>0</v>
      </c>
      <c r="H248" s="1012" t="str">
        <f>N117</f>
        <v>-</v>
      </c>
      <c r="I248" s="1012"/>
      <c r="J248" s="1012"/>
      <c r="K248" s="1012">
        <v>11</v>
      </c>
      <c r="L248" s="1012">
        <f t="shared" ref="L248:Q248" si="283">I123</f>
        <v>1</v>
      </c>
      <c r="M248" s="1012">
        <f t="shared" si="283"/>
        <v>9.9999999999999995E-7</v>
      </c>
      <c r="N248" s="1012" t="str">
        <f t="shared" si="283"/>
        <v>-</v>
      </c>
      <c r="O248" s="1012">
        <f t="shared" si="283"/>
        <v>0</v>
      </c>
      <c r="P248" s="1012">
        <f t="shared" si="283"/>
        <v>0</v>
      </c>
      <c r="Q248" s="1012" t="str">
        <f t="shared" si="283"/>
        <v>-</v>
      </c>
    </row>
    <row r="249" spans="1:17" x14ac:dyDescent="0.25">
      <c r="A249" s="1407"/>
      <c r="B249" s="1011">
        <v>12</v>
      </c>
      <c r="C249" s="1012">
        <f>P117</f>
        <v>50</v>
      </c>
      <c r="D249" s="1012">
        <f t="shared" ref="D249:G249" si="284">Q117</f>
        <v>9.9999999999999995E-7</v>
      </c>
      <c r="E249" s="1012" t="str">
        <f t="shared" si="284"/>
        <v>-</v>
      </c>
      <c r="F249" s="1012">
        <f t="shared" si="284"/>
        <v>0</v>
      </c>
      <c r="G249" s="1012">
        <f t="shared" si="284"/>
        <v>0</v>
      </c>
      <c r="H249" s="1012" t="str">
        <f>U117</f>
        <v>-</v>
      </c>
      <c r="I249" s="1012"/>
      <c r="J249" s="1012"/>
      <c r="K249" s="1012">
        <v>12</v>
      </c>
      <c r="L249" s="1012">
        <f t="shared" ref="L249:Q249" si="285">P123</f>
        <v>1</v>
      </c>
      <c r="M249" s="1012">
        <f t="shared" si="285"/>
        <v>9.9999999999999995E-7</v>
      </c>
      <c r="N249" s="1012" t="str">
        <f t="shared" si="285"/>
        <v>-</v>
      </c>
      <c r="O249" s="1012">
        <f t="shared" si="285"/>
        <v>0</v>
      </c>
      <c r="P249" s="1012">
        <f t="shared" si="285"/>
        <v>0</v>
      </c>
      <c r="Q249" s="1012" t="str">
        <f t="shared" si="285"/>
        <v>-</v>
      </c>
    </row>
    <row r="250" spans="1:17" s="717" customFormat="1" x14ac:dyDescent="0.25">
      <c r="A250" s="1016"/>
      <c r="B250" s="102"/>
      <c r="C250" s="1012"/>
      <c r="D250" s="1012"/>
      <c r="E250" s="1012"/>
      <c r="F250" s="1012"/>
      <c r="G250" s="1012"/>
      <c r="H250" s="1012"/>
      <c r="I250" s="1012"/>
      <c r="J250" s="1012"/>
      <c r="K250" s="1012"/>
      <c r="L250" s="1012"/>
      <c r="M250" s="1012"/>
      <c r="N250" s="1012"/>
      <c r="O250" s="1012"/>
      <c r="P250" s="1012"/>
      <c r="Q250" s="1012"/>
    </row>
    <row r="251" spans="1:17" x14ac:dyDescent="0.25">
      <c r="A251" s="1407" t="s">
        <v>90</v>
      </c>
      <c r="B251" s="1011">
        <v>1</v>
      </c>
      <c r="C251" s="1012">
        <f t="shared" ref="C251:H251" si="286">B25</f>
        <v>100</v>
      </c>
      <c r="D251" s="1012">
        <f t="shared" si="286"/>
        <v>0.4</v>
      </c>
      <c r="E251" s="1012">
        <f t="shared" si="286"/>
        <v>9.9999999999999995E-7</v>
      </c>
      <c r="F251" s="1012">
        <f t="shared" si="286"/>
        <v>9.9999999999999995E-7</v>
      </c>
      <c r="G251" s="1012">
        <f t="shared" si="286"/>
        <v>0.19999950000000002</v>
      </c>
      <c r="H251" s="1012">
        <f t="shared" si="286"/>
        <v>1.6932</v>
      </c>
      <c r="I251" s="1012"/>
      <c r="J251" s="1012" t="s">
        <v>90</v>
      </c>
      <c r="K251" s="1012">
        <v>1</v>
      </c>
      <c r="L251" s="1012">
        <f t="shared" ref="L251:Q251" si="287">B31</f>
        <v>2</v>
      </c>
      <c r="M251" s="1012">
        <f t="shared" si="287"/>
        <v>1.2E-2</v>
      </c>
      <c r="N251" s="1012">
        <f t="shared" si="287"/>
        <v>7.0000000000000001E-3</v>
      </c>
      <c r="O251" s="1012">
        <f t="shared" si="287"/>
        <v>9.9999999999999995E-7</v>
      </c>
      <c r="P251" s="1012">
        <f t="shared" si="287"/>
        <v>5.9995000000000005E-3</v>
      </c>
      <c r="Q251" s="1012">
        <f t="shared" si="287"/>
        <v>2.3855999999999999E-2</v>
      </c>
    </row>
    <row r="252" spans="1:17" x14ac:dyDescent="0.25">
      <c r="A252" s="1407"/>
      <c r="B252" s="1011">
        <v>2</v>
      </c>
      <c r="C252" s="1012">
        <f t="shared" ref="C252:H252" si="288">I25</f>
        <v>100</v>
      </c>
      <c r="D252" s="1012">
        <f t="shared" si="288"/>
        <v>0.2</v>
      </c>
      <c r="E252" s="1012">
        <f t="shared" si="288"/>
        <v>0.3</v>
      </c>
      <c r="F252" s="1012">
        <f t="shared" si="288"/>
        <v>9.9999999999999995E-7</v>
      </c>
      <c r="G252" s="1012">
        <f t="shared" si="288"/>
        <v>0.14999950000000001</v>
      </c>
      <c r="H252" s="1012">
        <f t="shared" si="288"/>
        <v>1.6966000000000001</v>
      </c>
      <c r="I252" s="1012"/>
      <c r="J252" s="1012"/>
      <c r="K252" s="1012">
        <v>2</v>
      </c>
      <c r="L252" s="1012">
        <f t="shared" ref="L252:Q252" si="289">I31</f>
        <v>2</v>
      </c>
      <c r="M252" s="1012">
        <f t="shared" si="289"/>
        <v>0.113</v>
      </c>
      <c r="N252" s="1012">
        <f t="shared" si="289"/>
        <v>9.9999999999999995E-7</v>
      </c>
      <c r="O252" s="1012">
        <f t="shared" si="289"/>
        <v>9.9999999999999995E-7</v>
      </c>
      <c r="P252" s="1012">
        <f t="shared" si="289"/>
        <v>0</v>
      </c>
      <c r="Q252" s="1012">
        <f t="shared" si="289"/>
        <v>2.2644000000000001E-2</v>
      </c>
    </row>
    <row r="253" spans="1:17" x14ac:dyDescent="0.25">
      <c r="A253" s="1407"/>
      <c r="B253" s="1011">
        <v>3</v>
      </c>
      <c r="C253" s="1012">
        <f t="shared" ref="C253:H253" si="290">P25</f>
        <v>50</v>
      </c>
      <c r="D253" s="1012">
        <f t="shared" si="290"/>
        <v>0.1</v>
      </c>
      <c r="E253" s="1012">
        <f t="shared" si="290"/>
        <v>1.1000000000000001</v>
      </c>
      <c r="F253" s="1012">
        <f t="shared" si="290"/>
        <v>0.6</v>
      </c>
      <c r="G253" s="1012">
        <f t="shared" si="290"/>
        <v>0.5</v>
      </c>
      <c r="H253" s="1012">
        <f t="shared" si="290"/>
        <v>0.85000000000000009</v>
      </c>
      <c r="I253" s="1012"/>
      <c r="J253" s="1012"/>
      <c r="K253" s="1012">
        <v>3</v>
      </c>
      <c r="L253" s="1012">
        <f t="shared" ref="L253:Q253" si="291">P31</f>
        <v>2</v>
      </c>
      <c r="M253" s="1012">
        <f t="shared" si="291"/>
        <v>-8.0000000000000002E-3</v>
      </c>
      <c r="N253" s="1012">
        <f t="shared" si="291"/>
        <v>1.4E-2</v>
      </c>
      <c r="O253" s="1012">
        <f t="shared" si="291"/>
        <v>9.9999999999999995E-7</v>
      </c>
      <c r="P253" s="1012">
        <f t="shared" si="291"/>
        <v>1.0999999999999999E-2</v>
      </c>
      <c r="Q253" s="1012">
        <f t="shared" si="291"/>
        <v>2.4E-2</v>
      </c>
    </row>
    <row r="254" spans="1:17" x14ac:dyDescent="0.25">
      <c r="A254" s="1407"/>
      <c r="B254" s="1011">
        <v>4</v>
      </c>
      <c r="C254" s="1012">
        <f t="shared" ref="C254:H254" si="292">B56</f>
        <v>100</v>
      </c>
      <c r="D254" s="1012">
        <f t="shared" si="292"/>
        <v>0.8</v>
      </c>
      <c r="E254" s="1012">
        <f t="shared" si="292"/>
        <v>1.4</v>
      </c>
      <c r="F254" s="1012">
        <f t="shared" si="292"/>
        <v>1</v>
      </c>
      <c r="G254" s="1012">
        <f t="shared" si="292"/>
        <v>0.19999999999999996</v>
      </c>
      <c r="H254" s="1012">
        <f t="shared" si="292"/>
        <v>1.6864000000000001</v>
      </c>
      <c r="I254" s="1012"/>
      <c r="J254" s="1012"/>
      <c r="K254" s="1012">
        <v>4</v>
      </c>
      <c r="L254" s="1012">
        <f t="shared" ref="L254:Q254" si="293">B62</f>
        <v>2</v>
      </c>
      <c r="M254" s="1012">
        <f t="shared" si="293"/>
        <v>-6.0000000000000001E-3</v>
      </c>
      <c r="N254" s="1012">
        <f t="shared" si="293"/>
        <v>-7.0000000000000001E-3</v>
      </c>
      <c r="O254" s="1012">
        <f t="shared" si="293"/>
        <v>9.9999999999999995E-7</v>
      </c>
      <c r="P254" s="1012">
        <f t="shared" si="293"/>
        <v>3.5005000000000001E-3</v>
      </c>
      <c r="Q254" s="1012">
        <f t="shared" si="293"/>
        <v>2.4071999999999996E-2</v>
      </c>
    </row>
    <row r="255" spans="1:17" x14ac:dyDescent="0.25">
      <c r="A255" s="1407"/>
      <c r="B255" s="1011">
        <v>5</v>
      </c>
      <c r="C255" s="1012">
        <f t="shared" ref="C255:H255" si="294">I56</f>
        <v>100</v>
      </c>
      <c r="D255" s="1012">
        <f t="shared" si="294"/>
        <v>0.4</v>
      </c>
      <c r="E255" s="1012">
        <f t="shared" si="294"/>
        <v>1.5</v>
      </c>
      <c r="F255" s="1012">
        <f t="shared" si="294"/>
        <v>0.8</v>
      </c>
      <c r="G255" s="1012">
        <f t="shared" si="294"/>
        <v>0.55000000000000004</v>
      </c>
      <c r="H255" s="1012">
        <f t="shared" si="294"/>
        <v>1.6932</v>
      </c>
      <c r="I255" s="1012"/>
      <c r="J255" s="1012"/>
      <c r="K255" s="1012">
        <v>5</v>
      </c>
      <c r="L255" s="1012">
        <f t="shared" ref="L255:Q255" si="295">I62</f>
        <v>2</v>
      </c>
      <c r="M255" s="1012">
        <f t="shared" si="295"/>
        <v>-4.0000000000000001E-3</v>
      </c>
      <c r="N255" s="1012">
        <f t="shared" si="295"/>
        <v>0.113</v>
      </c>
      <c r="O255" s="1012">
        <f t="shared" si="295"/>
        <v>9.9999999999999995E-7</v>
      </c>
      <c r="P255" s="1012">
        <f t="shared" si="295"/>
        <v>5.8500000000000003E-2</v>
      </c>
      <c r="Q255" s="1012">
        <f t="shared" si="295"/>
        <v>2.4048E-2</v>
      </c>
    </row>
    <row r="256" spans="1:17" x14ac:dyDescent="0.25">
      <c r="A256" s="1407"/>
      <c r="B256" s="1011">
        <v>6</v>
      </c>
      <c r="C256" s="1012">
        <f t="shared" ref="C256:H256" si="296">P56</f>
        <v>100</v>
      </c>
      <c r="D256" s="1012">
        <f t="shared" si="296"/>
        <v>2</v>
      </c>
      <c r="E256" s="1012">
        <f t="shared" si="296"/>
        <v>0.6</v>
      </c>
      <c r="F256" s="1012">
        <f t="shared" si="296"/>
        <v>0.6</v>
      </c>
      <c r="G256" s="1012">
        <f t="shared" si="296"/>
        <v>0</v>
      </c>
      <c r="H256" s="1012">
        <f t="shared" si="296"/>
        <v>1.6660000000000001</v>
      </c>
      <c r="I256" s="1012"/>
      <c r="J256" s="1012"/>
      <c r="K256" s="1012">
        <v>6</v>
      </c>
      <c r="L256" s="1012">
        <f t="shared" ref="L256:Q256" si="297">P62</f>
        <v>2</v>
      </c>
      <c r="M256" s="1012">
        <f t="shared" si="297"/>
        <v>-7.0000000000000001E-3</v>
      </c>
      <c r="N256" s="1012">
        <f t="shared" si="297"/>
        <v>-7.0000000000000001E-3</v>
      </c>
      <c r="O256" s="1012">
        <f t="shared" si="297"/>
        <v>9.9999999999999995E-7</v>
      </c>
      <c r="P256" s="1012">
        <f t="shared" si="297"/>
        <v>3.5005000000000001E-3</v>
      </c>
      <c r="Q256" s="1012">
        <f t="shared" si="297"/>
        <v>2.4084000000000001E-2</v>
      </c>
    </row>
    <row r="257" spans="1:20" x14ac:dyDescent="0.25">
      <c r="A257" s="1407"/>
      <c r="B257" s="1011">
        <v>7</v>
      </c>
      <c r="C257" s="1012">
        <f t="shared" ref="C257:H257" si="298">B87</f>
        <v>100</v>
      </c>
      <c r="D257" s="1012">
        <f t="shared" si="298"/>
        <v>0.8</v>
      </c>
      <c r="E257" s="1012">
        <f t="shared" si="298"/>
        <v>0.9</v>
      </c>
      <c r="F257" s="1012">
        <f t="shared" si="298"/>
        <v>9.9999999999999995E-7</v>
      </c>
      <c r="G257" s="1012">
        <f t="shared" si="298"/>
        <v>0.4499995</v>
      </c>
      <c r="H257" s="1012">
        <f t="shared" si="298"/>
        <v>1.6864000000000001</v>
      </c>
      <c r="I257" s="1012"/>
      <c r="J257" s="1012"/>
      <c r="K257" s="1012">
        <v>7</v>
      </c>
      <c r="L257" s="1012">
        <f t="shared" ref="L257:Q257" si="299">B93</f>
        <v>2</v>
      </c>
      <c r="M257" s="1012">
        <f t="shared" si="299"/>
        <v>-8.0000000000000002E-3</v>
      </c>
      <c r="N257" s="1012">
        <f t="shared" si="299"/>
        <v>-1E-3</v>
      </c>
      <c r="O257" s="1012">
        <f t="shared" si="299"/>
        <v>9.9999999999999995E-7</v>
      </c>
      <c r="P257" s="1012">
        <f t="shared" si="299"/>
        <v>5.0049999999999997E-4</v>
      </c>
      <c r="Q257" s="1012">
        <f t="shared" si="299"/>
        <v>2.4095999999999999E-2</v>
      </c>
    </row>
    <row r="258" spans="1:20" x14ac:dyDescent="0.25">
      <c r="A258" s="1407"/>
      <c r="B258" s="1011">
        <v>8</v>
      </c>
      <c r="C258" s="1012">
        <f t="shared" ref="C258:H258" si="300">I87</f>
        <v>100</v>
      </c>
      <c r="D258" s="1012">
        <f t="shared" si="300"/>
        <v>0.4</v>
      </c>
      <c r="E258" s="1012">
        <f t="shared" si="300"/>
        <v>9.9999999999999995E-7</v>
      </c>
      <c r="F258" s="1012">
        <f t="shared" si="300"/>
        <v>0</v>
      </c>
      <c r="G258" s="1012">
        <f t="shared" si="300"/>
        <v>0.19999950000000002</v>
      </c>
      <c r="H258" s="1012">
        <f t="shared" si="300"/>
        <v>1.7000000000000002</v>
      </c>
      <c r="I258" s="1012"/>
      <c r="J258" s="1012"/>
      <c r="K258" s="1012">
        <v>8</v>
      </c>
      <c r="L258" s="1012">
        <f t="shared" ref="L258:Q258" si="301">I93</f>
        <v>2</v>
      </c>
      <c r="M258" s="1012">
        <f t="shared" si="301"/>
        <v>5.0000000000000001E-3</v>
      </c>
      <c r="N258" s="1012">
        <f t="shared" si="301"/>
        <v>-1E-3</v>
      </c>
      <c r="O258" s="1012">
        <f t="shared" si="301"/>
        <v>0</v>
      </c>
      <c r="P258" s="1012">
        <f t="shared" si="301"/>
        <v>3.0000000000000001E-3</v>
      </c>
      <c r="Q258" s="1012">
        <f t="shared" si="301"/>
        <v>2.4E-2</v>
      </c>
    </row>
    <row r="259" spans="1:20" x14ac:dyDescent="0.25">
      <c r="A259" s="1407"/>
      <c r="B259" s="1011">
        <v>9</v>
      </c>
      <c r="C259" s="1012">
        <f t="shared" ref="C259:H259" si="302">P87</f>
        <v>100</v>
      </c>
      <c r="D259" s="1012">
        <f t="shared" si="302"/>
        <v>0.6</v>
      </c>
      <c r="E259" s="1012">
        <f t="shared" si="302"/>
        <v>9.9999999999999995E-7</v>
      </c>
      <c r="F259" s="1012">
        <f t="shared" si="302"/>
        <v>0</v>
      </c>
      <c r="G259" s="1012">
        <f t="shared" si="302"/>
        <v>0.29999949999999997</v>
      </c>
      <c r="H259" s="1012">
        <f t="shared" si="302"/>
        <v>0</v>
      </c>
      <c r="I259" s="1012"/>
      <c r="J259" s="1012"/>
      <c r="K259" s="1012">
        <v>9</v>
      </c>
      <c r="L259" s="1012">
        <f t="shared" ref="L259:Q259" si="303">P93</f>
        <v>1</v>
      </c>
      <c r="M259" s="1012">
        <f t="shared" si="303"/>
        <v>0</v>
      </c>
      <c r="N259" s="1012">
        <f t="shared" si="303"/>
        <v>-1E-3</v>
      </c>
      <c r="O259" s="1012">
        <f t="shared" si="303"/>
        <v>0</v>
      </c>
      <c r="P259" s="1012">
        <f t="shared" si="303"/>
        <v>5.0000000000000001E-4</v>
      </c>
      <c r="Q259" s="1012">
        <f t="shared" si="303"/>
        <v>1.2E-2</v>
      </c>
    </row>
    <row r="260" spans="1:20" x14ac:dyDescent="0.25">
      <c r="A260" s="1407"/>
      <c r="B260" s="1011">
        <v>10</v>
      </c>
      <c r="C260" s="1012">
        <f>B118</f>
        <v>100</v>
      </c>
      <c r="D260" s="1012">
        <f t="shared" ref="D260:G260" si="304">C118</f>
        <v>1.4</v>
      </c>
      <c r="E260" s="1012" t="str">
        <f t="shared" si="304"/>
        <v>-</v>
      </c>
      <c r="F260" s="1012">
        <f t="shared" si="304"/>
        <v>0</v>
      </c>
      <c r="G260" s="1012">
        <f t="shared" si="304"/>
        <v>0</v>
      </c>
      <c r="H260" s="1012" t="str">
        <f>G118</f>
        <v>-</v>
      </c>
      <c r="I260" s="1012"/>
      <c r="J260" s="1012"/>
      <c r="K260" s="1012">
        <v>10</v>
      </c>
      <c r="L260" s="1012">
        <f t="shared" ref="L260:Q260" si="305">B124</f>
        <v>2</v>
      </c>
      <c r="M260" s="1012">
        <f t="shared" si="305"/>
        <v>-7.0000000000000001E-3</v>
      </c>
      <c r="N260" s="1012" t="str">
        <f t="shared" si="305"/>
        <v>-</v>
      </c>
      <c r="O260" s="1012">
        <f t="shared" si="305"/>
        <v>0</v>
      </c>
      <c r="P260" s="1012">
        <f t="shared" si="305"/>
        <v>0</v>
      </c>
      <c r="Q260" s="1012" t="str">
        <f t="shared" si="305"/>
        <v>-</v>
      </c>
    </row>
    <row r="261" spans="1:20" x14ac:dyDescent="0.25">
      <c r="A261" s="1407"/>
      <c r="B261" s="1011">
        <v>11</v>
      </c>
      <c r="C261" s="1012">
        <f>I118</f>
        <v>100</v>
      </c>
      <c r="D261" s="1012">
        <f t="shared" ref="D261:G261" si="306">J118</f>
        <v>9.9999999999999995E-7</v>
      </c>
      <c r="E261" s="1012" t="str">
        <f t="shared" si="306"/>
        <v>-</v>
      </c>
      <c r="F261" s="1012">
        <f t="shared" si="306"/>
        <v>0</v>
      </c>
      <c r="G261" s="1012">
        <f t="shared" si="306"/>
        <v>0</v>
      </c>
      <c r="H261" s="1012" t="str">
        <f>N118</f>
        <v>-</v>
      </c>
      <c r="I261" s="1012"/>
      <c r="J261" s="1012"/>
      <c r="K261" s="1012">
        <v>11</v>
      </c>
      <c r="L261" s="1012">
        <f t="shared" ref="L261:Q261" si="307">I124</f>
        <v>2</v>
      </c>
      <c r="M261" s="1012">
        <f t="shared" si="307"/>
        <v>9.9999999999999995E-7</v>
      </c>
      <c r="N261" s="1012" t="str">
        <f t="shared" si="307"/>
        <v>-</v>
      </c>
      <c r="O261" s="1012">
        <f t="shared" si="307"/>
        <v>0</v>
      </c>
      <c r="P261" s="1012">
        <f t="shared" si="307"/>
        <v>0</v>
      </c>
      <c r="Q261" s="1012" t="str">
        <f t="shared" si="307"/>
        <v>-</v>
      </c>
    </row>
    <row r="262" spans="1:20" x14ac:dyDescent="0.25">
      <c r="A262" s="1407"/>
      <c r="B262" s="1011">
        <v>12</v>
      </c>
      <c r="C262" s="1012">
        <f>P118</f>
        <v>100</v>
      </c>
      <c r="D262" s="1012">
        <f t="shared" ref="D262:G262" si="308">Q118</f>
        <v>9.9999999999999995E-7</v>
      </c>
      <c r="E262" s="1012" t="str">
        <f t="shared" si="308"/>
        <v>-</v>
      </c>
      <c r="F262" s="1012">
        <f t="shared" si="308"/>
        <v>0</v>
      </c>
      <c r="G262" s="1012">
        <f t="shared" si="308"/>
        <v>0</v>
      </c>
      <c r="H262" s="1012" t="str">
        <f>U118</f>
        <v>-</v>
      </c>
      <c r="I262" s="1012"/>
      <c r="J262" s="1012"/>
      <c r="K262" s="1012">
        <v>12</v>
      </c>
      <c r="L262" s="1012">
        <f t="shared" ref="L262:Q262" si="309">P124</f>
        <v>2</v>
      </c>
      <c r="M262" s="1012">
        <f t="shared" si="309"/>
        <v>9.9999999999999995E-7</v>
      </c>
      <c r="N262" s="1012" t="str">
        <f t="shared" si="309"/>
        <v>-</v>
      </c>
      <c r="O262" s="1012">
        <f t="shared" si="309"/>
        <v>0</v>
      </c>
      <c r="P262" s="1012">
        <f t="shared" si="309"/>
        <v>0</v>
      </c>
      <c r="Q262" s="1012" t="str">
        <f t="shared" si="309"/>
        <v>-</v>
      </c>
    </row>
    <row r="263" spans="1:20" s="717" customFormat="1" x14ac:dyDescent="0.25">
      <c r="A263" s="1017"/>
      <c r="B263" s="110"/>
      <c r="C263" s="107"/>
      <c r="D263" s="107"/>
      <c r="E263" s="107"/>
      <c r="F263" s="107"/>
      <c r="G263" s="107"/>
      <c r="H263" s="712"/>
      <c r="I263" s="1017"/>
      <c r="J263" s="110"/>
      <c r="K263" s="110"/>
      <c r="L263" s="110"/>
      <c r="M263" s="110"/>
      <c r="N263" s="110"/>
      <c r="O263" s="110"/>
      <c r="P263" s="712"/>
      <c r="Q263" s="712"/>
    </row>
    <row r="264" spans="1:20" ht="13" thickBot="1" x14ac:dyDescent="0.3">
      <c r="A264" s="1004"/>
      <c r="B264" s="1005"/>
      <c r="C264" s="1005"/>
      <c r="D264" s="822"/>
      <c r="E264" s="822"/>
      <c r="F264" s="822"/>
      <c r="G264" s="822"/>
      <c r="H264" s="822"/>
      <c r="P264" s="822"/>
      <c r="Q264" s="822"/>
    </row>
    <row r="265" spans="1:20" ht="43.5" customHeight="1" x14ac:dyDescent="0.25">
      <c r="A265" s="1018">
        <f>A311</f>
        <v>9</v>
      </c>
      <c r="B265" s="1408" t="str">
        <f>A298</f>
        <v>Electrical Safety Analyzer, Merek : Fluke, Model : ESA 615, SN : 4670010</v>
      </c>
      <c r="C265" s="1408"/>
      <c r="D265" s="1408"/>
      <c r="E265" s="1408"/>
      <c r="F265" s="1408"/>
      <c r="H265" s="865" t="s">
        <v>366</v>
      </c>
      <c r="I265" s="865" t="s">
        <v>367</v>
      </c>
      <c r="J265" s="865" t="s">
        <v>368</v>
      </c>
      <c r="K265" s="865" t="s">
        <v>369</v>
      </c>
      <c r="L265" s="1144"/>
      <c r="M265" s="1409" t="s">
        <v>299</v>
      </c>
      <c r="N265" s="1412" t="s">
        <v>370</v>
      </c>
      <c r="O265" s="1415" t="s">
        <v>371</v>
      </c>
      <c r="Q265" s="137"/>
      <c r="R265" s="137"/>
      <c r="S265" s="137"/>
      <c r="T265" s="137"/>
    </row>
    <row r="266" spans="1:20" ht="14.5" customHeight="1" x14ac:dyDescent="0.25">
      <c r="A266" s="1418" t="s">
        <v>340</v>
      </c>
      <c r="B266" s="1418"/>
      <c r="C266" s="1418"/>
      <c r="D266" s="1418"/>
      <c r="E266" s="1418"/>
      <c r="F266" s="1418"/>
      <c r="H266" s="1145">
        <f>FORECAST(M268,B269:B274,A269:A274)</f>
        <v>-0.19904325699745548</v>
      </c>
      <c r="I266" s="1145" t="str">
        <f>IFERROR(FORECAST(M269,B285:B288,A285:A288),"-")</f>
        <v>-</v>
      </c>
      <c r="J266" s="1145">
        <f>IFERROR(FORECAST(M270,B291:B294,A291:A294),"-")</f>
        <v>1.3452686901474144E-3</v>
      </c>
      <c r="K266" s="1145">
        <f>IFERROR(FORECAST(M271,B277:B282,A277:A282),"-")</f>
        <v>-4.8376119148016015</v>
      </c>
      <c r="L266" s="712"/>
      <c r="M266" s="1410"/>
      <c r="N266" s="1413"/>
      <c r="O266" s="1416"/>
      <c r="Q266" s="137"/>
      <c r="R266" s="137"/>
      <c r="S266" s="137"/>
      <c r="T266" s="137"/>
    </row>
    <row r="267" spans="1:20" ht="13.5" thickBot="1" x14ac:dyDescent="0.3">
      <c r="A267" s="1419" t="str">
        <f>B4</f>
        <v>Setting VAC</v>
      </c>
      <c r="B267" s="1419"/>
      <c r="C267" s="1419"/>
      <c r="D267" s="1419"/>
      <c r="E267" s="1419" t="s">
        <v>342</v>
      </c>
      <c r="F267" s="1419" t="s">
        <v>343</v>
      </c>
      <c r="H267" s="137"/>
      <c r="I267" s="137"/>
      <c r="J267" s="137"/>
      <c r="K267" s="137"/>
      <c r="L267" s="712"/>
      <c r="M267" s="1411"/>
      <c r="N267" s="1414"/>
      <c r="O267" s="1417"/>
      <c r="Q267" s="137"/>
      <c r="R267" s="137"/>
      <c r="S267" s="137"/>
      <c r="T267" s="137"/>
    </row>
    <row r="268" spans="1:20" ht="31.5" x14ac:dyDescent="0.25">
      <c r="A268" s="731" t="s">
        <v>344</v>
      </c>
      <c r="B268" s="1019">
        <f>VLOOKUP(B265,A299:L310,9,FALSE)</f>
        <v>2022</v>
      </c>
      <c r="C268" s="1019">
        <f>VLOOKUP(B265,A299:L310,10,FALSE)</f>
        <v>2020</v>
      </c>
      <c r="D268" s="1019">
        <f>VLOOKUP(B265,A299:L310,11,FALSE)</f>
        <v>2016</v>
      </c>
      <c r="E268" s="1419"/>
      <c r="F268" s="1419"/>
      <c r="H268" s="865" t="s">
        <v>372</v>
      </c>
      <c r="I268" s="865" t="s">
        <v>373</v>
      </c>
      <c r="J268" s="865" t="s">
        <v>563</v>
      </c>
      <c r="K268" s="137"/>
      <c r="L268" s="712"/>
      <c r="M268" s="1020">
        <f>ID!E19</f>
        <v>222</v>
      </c>
      <c r="N268" s="1021">
        <f>M268+H266</f>
        <v>221.80095674300256</v>
      </c>
      <c r="O268" s="1022">
        <f>IF(M268="-","-",IF(M268=M268,N268,))</f>
        <v>221.80095674300256</v>
      </c>
      <c r="Q268" s="137"/>
      <c r="R268" s="137"/>
      <c r="S268" s="137"/>
      <c r="T268" s="137"/>
    </row>
    <row r="269" spans="1:20" ht="15.5" x14ac:dyDescent="0.25">
      <c r="A269" s="465">
        <f>VLOOKUP($A265,$B131:$H142,2,(FALSE))</f>
        <v>150</v>
      </c>
      <c r="B269" s="468">
        <f>VLOOKUP($A$265,$B$131:$H$142,3,(FALSE))</f>
        <v>-0.08</v>
      </c>
      <c r="C269" s="468">
        <f>VLOOKUP($A$265,$B$131:$H$142,4,(FALSE))</f>
        <v>-0.17</v>
      </c>
      <c r="D269" s="468">
        <f>VLOOKUP($A$265,$B$131:$H$142,5,(FALSE))</f>
        <v>0</v>
      </c>
      <c r="E269" s="468">
        <f>VLOOKUP($A$265,$B$131:$H$142,6,(FALSE))</f>
        <v>4.5000000000000005E-2</v>
      </c>
      <c r="F269" s="465">
        <f>VLOOKUP($A$265,$B$131:$H$142,7,(FALSE))</f>
        <v>1.8</v>
      </c>
      <c r="H269" s="1023">
        <f>FORECAST(M272,B277:B282,A277:A282)</f>
        <v>1.3668887014812414</v>
      </c>
      <c r="I269" s="1023">
        <f>FORECAST(N268,F269:F274,A269:A274)</f>
        <v>2.6616114809160307</v>
      </c>
      <c r="J269" s="865">
        <f>FORECAST(M273,B277:B282,A277:A282)</f>
        <v>1.3555042966807223</v>
      </c>
      <c r="K269" s="803"/>
      <c r="L269" s="712"/>
      <c r="M269" s="1024" t="str">
        <f>ID!I28</f>
        <v>OL</v>
      </c>
      <c r="N269" s="1025" t="str">
        <f>IFERROR(M269+I266,"-")</f>
        <v>-</v>
      </c>
      <c r="O269" s="1026" t="str">
        <f>IF(M269="OL","OL",IF(M269="NC","NC",IF(M269="OR","OR",IFERROR(N269,"-"))))</f>
        <v>OL</v>
      </c>
      <c r="Q269" s="822"/>
      <c r="R269" s="1027"/>
    </row>
    <row r="270" spans="1:20" ht="14.5" thickBot="1" x14ac:dyDescent="0.3">
      <c r="A270" s="466">
        <f>VLOOKUP($A$265,$B$144:$H$155,2,(FALSE))</f>
        <v>180</v>
      </c>
      <c r="B270" s="1028">
        <f>VLOOKUP($A$265,$B$144:$H$155,3,(FALSE))</f>
        <v>-0.2</v>
      </c>
      <c r="C270" s="1028">
        <f>VLOOKUP($A$265,$B$144:$H$155,4,(FALSE))</f>
        <v>-0.22</v>
      </c>
      <c r="D270" s="1028">
        <f>VLOOKUP($A$265,$B$144:$H$155,5,(FALSE))</f>
        <v>0</v>
      </c>
      <c r="E270" s="1028">
        <f>VLOOKUP($A$265,$B$144:$H$155,6,(FALSE))</f>
        <v>9.999999999999995E-3</v>
      </c>
      <c r="F270" s="465">
        <f>VLOOKUP($A$265,$B$144:$H$155,7,(FALSE))</f>
        <v>2.16</v>
      </c>
      <c r="H270" s="137"/>
      <c r="I270" s="137"/>
      <c r="J270" s="137"/>
      <c r="K270" s="137"/>
      <c r="L270" s="712"/>
      <c r="M270" s="1024">
        <f>ID!I29</f>
        <v>1</v>
      </c>
      <c r="N270" s="1025">
        <f>IFERROR(M270+J266,"-")</f>
        <v>1.0013452686901474</v>
      </c>
      <c r="O270" s="1026">
        <f>IF(M270="OL","OL",IF(M270="NC","NC",IF(M270="OR","OR",IFERROR(N270,"-"))))</f>
        <v>1.0013452686901474</v>
      </c>
    </row>
    <row r="271" spans="1:20" ht="14" x14ac:dyDescent="0.25">
      <c r="A271" s="466">
        <f>VLOOKUP($A$265,$B$157:$H$168,2,(FALSE))</f>
        <v>200</v>
      </c>
      <c r="B271" s="1028">
        <f>VLOOKUP($A$265,$B$157:$H$168,3,(FALSE))</f>
        <v>-0.25</v>
      </c>
      <c r="C271" s="1028">
        <f>VLOOKUP($A$265,$B$157:$H$168,4,(FALSE))</f>
        <v>-0.33</v>
      </c>
      <c r="D271" s="1028">
        <f>VLOOKUP($A$265,$B$157:$H$168,5,(FALSE))</f>
        <v>0</v>
      </c>
      <c r="E271" s="1028">
        <f>VLOOKUP($A$265,$B$157:$H$168,6,(FALSE))</f>
        <v>4.0000000000000008E-2</v>
      </c>
      <c r="F271" s="465">
        <f>VLOOKUP($A$265,$B$157:$H$168,7,(FALSE))</f>
        <v>2.4</v>
      </c>
      <c r="H271" s="1358" t="s">
        <v>318</v>
      </c>
      <c r="I271" s="1359"/>
      <c r="J271" s="1360"/>
      <c r="K271" s="137"/>
      <c r="L271" s="1029" t="s">
        <v>374</v>
      </c>
      <c r="M271" s="1030">
        <f>ID!I30</f>
        <v>555</v>
      </c>
      <c r="N271" s="635">
        <f>IFERROR(M271+K266,"-")</f>
        <v>550.16238808519836</v>
      </c>
      <c r="O271" s="1031">
        <f>IFERROR(N271,"-")</f>
        <v>550.16238808519836</v>
      </c>
      <c r="P271" s="822"/>
    </row>
    <row r="272" spans="1:20" ht="16" thickBot="1" x14ac:dyDescent="0.3">
      <c r="A272" s="102">
        <f>VLOOKUP($A$265,$B$170:$H$181,2,(FALSE))</f>
        <v>220</v>
      </c>
      <c r="B272" s="531">
        <f>VLOOKUP($A$265,$B$170:$H$181,3,(FALSE))</f>
        <v>-0.28999999999999998</v>
      </c>
      <c r="C272" s="531">
        <f>VLOOKUP($A$265,$B$170:$H$181,4,(FALSE))</f>
        <v>-0.39</v>
      </c>
      <c r="D272" s="531">
        <f>VLOOKUP($A$265,$B$170:$H$181,5,(FALSE))</f>
        <v>0</v>
      </c>
      <c r="E272" s="531">
        <f>VLOOKUP($A$265,$B$170:$H$181,6,(FALSE))</f>
        <v>5.0000000000000017E-2</v>
      </c>
      <c r="F272" s="465">
        <f>VLOOKUP($A$265,$B$170:$H$181,7,(FALSE))</f>
        <v>2.64</v>
      </c>
      <c r="H272" s="975" t="str">
        <f>TEXT(O268,"0.0")</f>
        <v>221.8</v>
      </c>
      <c r="I272" s="465" t="str">
        <f>TEXT(I269,"0.0")</f>
        <v>2.7</v>
      </c>
      <c r="J272" s="976" t="s">
        <v>320</v>
      </c>
      <c r="K272" s="137"/>
      <c r="L272" s="1029" t="s">
        <v>375</v>
      </c>
      <c r="M272" s="1146">
        <f>ID!T29</f>
        <v>10</v>
      </c>
      <c r="N272" s="1032">
        <f>M272+H269</f>
        <v>11.366888701481241</v>
      </c>
      <c r="O272" s="1033">
        <f>IFERROR(N272,"-")</f>
        <v>11.366888701481241</v>
      </c>
    </row>
    <row r="273" spans="1:18" ht="15.75" customHeight="1" thickBot="1" x14ac:dyDescent="0.35">
      <c r="A273" s="102">
        <f>VLOOKUP($A$265,$B$183:$H$194,2,(FALSE))</f>
        <v>230</v>
      </c>
      <c r="B273" s="531">
        <f>VLOOKUP($A$265,$B$183:$H$194,3,(FALSE))</f>
        <v>-0.34</v>
      </c>
      <c r="C273" s="531">
        <f>VLOOKUP($A$265,$B$183:$H$194,4,(FALSE))</f>
        <v>-0.39</v>
      </c>
      <c r="D273" s="531">
        <f>VLOOKUP($A$265,$B$183:$H$194,5,(FALSE))</f>
        <v>0</v>
      </c>
      <c r="E273" s="531">
        <f>VLOOKUP($A$265,$B$183:$H$194,6,(FALSE))</f>
        <v>2.4999999999999994E-2</v>
      </c>
      <c r="F273" s="465">
        <f>VLOOKUP($A$265,$B$183:$H$194,7,(FALSE))</f>
        <v>2.7600000000000002</v>
      </c>
      <c r="H273" s="978" t="s">
        <v>322</v>
      </c>
      <c r="I273" s="979" t="s">
        <v>323</v>
      </c>
      <c r="J273" s="980" t="s">
        <v>324</v>
      </c>
      <c r="K273" s="803"/>
      <c r="L273" s="712"/>
      <c r="M273" s="1147">
        <f>ID!I31</f>
        <v>11</v>
      </c>
      <c r="N273" s="1032">
        <f>M273+J269</f>
        <v>12.355504296680722</v>
      </c>
      <c r="O273" s="1033">
        <f>IFERROR(N273,"-")</f>
        <v>12.355504296680722</v>
      </c>
    </row>
    <row r="274" spans="1:18" ht="17.5" x14ac:dyDescent="0.25">
      <c r="A274" s="102">
        <f>VLOOKUP($A$265,$B$196:$H$207,2,(FALSE))</f>
        <v>250</v>
      </c>
      <c r="B274" s="531">
        <f>VLOOKUP($A$265,$B$196:$H$207,3,(FALSE))</f>
        <v>0</v>
      </c>
      <c r="C274" s="531">
        <f>VLOOKUP($A$265,$B$196:$H$207,4,(FALSE))</f>
        <v>-0.39</v>
      </c>
      <c r="D274" s="531">
        <f>VLOOKUP($A$265,$B$196:$H$207,5,(FALSE))</f>
        <v>0</v>
      </c>
      <c r="E274" s="531">
        <f>VLOOKUP($A$265,$B$196:$H$207,6,(FALSE))</f>
        <v>0.19500000000000001</v>
      </c>
      <c r="F274" s="465">
        <f>VLOOKUP($A$265,$B$196:$H$207,7,(FALSE))</f>
        <v>3</v>
      </c>
      <c r="H274" s="1403" t="str">
        <f>H273&amp;H272&amp;I273&amp;I272&amp;J273&amp;J272</f>
        <v>( 221.8 ± 2.7 ) Volt</v>
      </c>
      <c r="I274" s="1404"/>
      <c r="J274" s="1405"/>
      <c r="K274" s="137"/>
      <c r="L274" s="712"/>
      <c r="M274" s="1034"/>
      <c r="N274" s="1035"/>
      <c r="O274" s="1036"/>
    </row>
    <row r="275" spans="1:18" ht="13" customHeight="1" x14ac:dyDescent="0.25">
      <c r="A275" s="1396" t="str">
        <f>B12</f>
        <v>Current Leakage</v>
      </c>
      <c r="B275" s="1396"/>
      <c r="C275" s="1396"/>
      <c r="D275" s="1396"/>
      <c r="E275" s="726" t="s">
        <v>342</v>
      </c>
      <c r="F275" s="726" t="s">
        <v>343</v>
      </c>
      <c r="H275" s="137"/>
      <c r="I275" s="137"/>
      <c r="J275" s="137"/>
      <c r="K275" s="137"/>
      <c r="L275" s="712"/>
      <c r="M275" s="1034"/>
      <c r="N275" s="1035"/>
      <c r="O275" s="1036"/>
      <c r="Q275" s="822"/>
    </row>
    <row r="276" spans="1:18" ht="14" x14ac:dyDescent="0.25">
      <c r="A276" s="731" t="s">
        <v>346</v>
      </c>
      <c r="B276" s="1019">
        <f>B268</f>
        <v>2022</v>
      </c>
      <c r="C276" s="1019">
        <f>C268</f>
        <v>2020</v>
      </c>
      <c r="D276" s="1019">
        <f>D268</f>
        <v>2016</v>
      </c>
      <c r="E276" s="726"/>
      <c r="F276" s="726"/>
      <c r="H276" s="137"/>
      <c r="I276" s="137"/>
      <c r="J276" s="137"/>
      <c r="K276" s="137"/>
      <c r="L276" s="712"/>
      <c r="M276" s="1034"/>
      <c r="N276" s="1035"/>
      <c r="O276" s="1036"/>
      <c r="Q276" s="822"/>
    </row>
    <row r="277" spans="1:18" ht="15.75" customHeight="1" x14ac:dyDescent="0.25">
      <c r="A277" s="111">
        <f>VLOOKUP($A$265,$K$131:$Q$142,2,(FALSE))</f>
        <v>0</v>
      </c>
      <c r="B277" s="1037">
        <f>VLOOKUP($A$265,$K$131:$Q$142,3,(FALSE))</f>
        <v>0</v>
      </c>
      <c r="C277" s="1037">
        <f>VLOOKUP($A$265,$K$131:$Q$142,4,(FALSE))</f>
        <v>9.9999999999999995E-7</v>
      </c>
      <c r="D277" s="1037">
        <f>VLOOKUP($A$265,$K$131:$Q$142,5,(FALSE))</f>
        <v>0</v>
      </c>
      <c r="E277" s="1037">
        <f>VLOOKUP($A$265,$K$131:$Q$142,6,(FALSE))</f>
        <v>4.9999999999999998E-7</v>
      </c>
      <c r="F277" s="1037">
        <f>VLOOKUP($A$265,$K$131:$Q$142,7,(FALSE))</f>
        <v>0.12</v>
      </c>
      <c r="H277" s="1406"/>
      <c r="I277" s="1406"/>
      <c r="J277" s="1406"/>
      <c r="K277" s="1406"/>
      <c r="L277" s="712"/>
      <c r="M277" s="1038"/>
      <c r="N277" s="1038"/>
      <c r="O277" s="1039"/>
      <c r="Q277" s="822"/>
      <c r="R277" s="822"/>
    </row>
    <row r="278" spans="1:18" x14ac:dyDescent="0.25">
      <c r="A278" s="111">
        <f>VLOOKUP($A$265,$K$144:$Q$155,2,(FALSE))</f>
        <v>20</v>
      </c>
      <c r="B278" s="1037">
        <f>VLOOKUP($A$265,$K$144:$Q$155,3,(FALSE))</f>
        <v>4.9000000000000004</v>
      </c>
      <c r="C278" s="1037">
        <f>VLOOKUP($A$265,$K$144:$Q$155,4,(FALSE))</f>
        <v>0.8</v>
      </c>
      <c r="D278" s="1037">
        <f>VLOOKUP($A$265,$K$144:$Q$155,5,(FALSE))</f>
        <v>0</v>
      </c>
      <c r="E278" s="1037">
        <f>VLOOKUP($A$265,$K$144:$Q$155,6,(FALSE))</f>
        <v>2.0500000000000003</v>
      </c>
      <c r="F278" s="1037">
        <f>VLOOKUP($A$265,$K$144:$Q$155,7,(FALSE))</f>
        <v>0.11799999999999999</v>
      </c>
      <c r="H278" s="137"/>
      <c r="I278" s="137"/>
      <c r="J278" s="137"/>
      <c r="K278" s="137"/>
      <c r="L278" s="712"/>
      <c r="M278" s="1040"/>
      <c r="N278" s="1040"/>
      <c r="O278" s="1036"/>
      <c r="Q278" s="822"/>
      <c r="R278" s="822"/>
    </row>
    <row r="279" spans="1:18" x14ac:dyDescent="0.25">
      <c r="A279" s="111">
        <f>VLOOKUP($A$265,$K$157:$Q$168,2,(FALSE))</f>
        <v>50</v>
      </c>
      <c r="B279" s="1037">
        <f>VLOOKUP($A$265,$K$157:$Q$168,3,(FALSE))</f>
        <v>9.1999999999999993</v>
      </c>
      <c r="C279" s="1037">
        <f>VLOOKUP($A$265,$K$157:$Q$168,4,(FALSE))</f>
        <v>1.7</v>
      </c>
      <c r="D279" s="1037">
        <f>VLOOKUP($A$265,$K$157:$Q$168,5,(FALSE))</f>
        <v>0</v>
      </c>
      <c r="E279" s="1037">
        <f>VLOOKUP($A$265,$K$157:$Q$168,6,(FALSE))</f>
        <v>3.7499999999999996</v>
      </c>
      <c r="F279" s="1037">
        <f>VLOOKUP($A$265,$K$157:$Q$168,7,(FALSE))</f>
        <v>0.29499999999999998</v>
      </c>
      <c r="H279" s="137"/>
      <c r="I279" s="137"/>
      <c r="J279" s="137"/>
      <c r="K279" s="137"/>
      <c r="L279" s="712"/>
      <c r="M279" s="717"/>
      <c r="N279" s="717"/>
      <c r="O279" s="1041"/>
      <c r="Q279" s="822"/>
      <c r="R279" s="822"/>
    </row>
    <row r="280" spans="1:18" x14ac:dyDescent="0.25">
      <c r="A280" s="111">
        <f>VLOOKUP($A$265,$K$170:$Q$181,2,(FALSE))</f>
        <v>200</v>
      </c>
      <c r="B280" s="1037">
        <f>VLOOKUP($A$265,$K$170:$Q$181,3,(FALSE))</f>
        <v>-0.2</v>
      </c>
      <c r="C280" s="1037">
        <f>VLOOKUP($A$265,$K$170:$Q$181,4,(FALSE))</f>
        <v>3.4</v>
      </c>
      <c r="D280" s="1037">
        <f>VLOOKUP($A$265,$K$170:$Q$181,5,(FALSE))</f>
        <v>0</v>
      </c>
      <c r="E280" s="1037">
        <f>VLOOKUP($A$265,$K$170:$Q$181,6,(FALSE))</f>
        <v>1.8</v>
      </c>
      <c r="F280" s="1037">
        <f>VLOOKUP($A$265,$K$170:$Q$181,7,(FALSE))</f>
        <v>1.18</v>
      </c>
      <c r="H280" s="137"/>
      <c r="I280" s="137"/>
      <c r="J280" s="137"/>
      <c r="K280" s="137"/>
      <c r="L280" s="712"/>
      <c r="M280" s="717"/>
      <c r="N280" s="717"/>
      <c r="O280" s="1041"/>
      <c r="Q280" s="822"/>
      <c r="R280" s="822"/>
    </row>
    <row r="281" spans="1:18" ht="16.5" customHeight="1" x14ac:dyDescent="0.3">
      <c r="A281" s="111">
        <f>VLOOKUP($A$265,$K$183:$Q$194,2,(FALSE))</f>
        <v>500</v>
      </c>
      <c r="B281" s="1037">
        <f>VLOOKUP($A$265,$K$183:$Q$194,3,(FALSE))</f>
        <v>-25.1</v>
      </c>
      <c r="C281" s="1037">
        <f>VLOOKUP($A$265,$K$183:$Q$194,4,(FALSE))</f>
        <v>7.2</v>
      </c>
      <c r="D281" s="1037">
        <f>VLOOKUP($A$265,$K$183:$Q$194,5,(FALSE))</f>
        <v>0</v>
      </c>
      <c r="E281" s="1037">
        <f>VLOOKUP($A$265,$K$183:$Q$194,6,(FALSE))</f>
        <v>16.150000000000002</v>
      </c>
      <c r="F281" s="1037">
        <f>VLOOKUP($A$265,$K$183:$Q$194,7,(FALSE))</f>
        <v>2.9499999999999997</v>
      </c>
      <c r="H281" s="1406"/>
      <c r="I281" s="1406"/>
      <c r="J281" s="1406"/>
      <c r="K281" s="1406"/>
      <c r="L281" s="712"/>
      <c r="M281" s="1042"/>
      <c r="N281" s="1042"/>
      <c r="O281" s="1043"/>
      <c r="P281" s="263"/>
      <c r="Q281" s="822"/>
      <c r="R281" s="822"/>
    </row>
    <row r="282" spans="1:18" x14ac:dyDescent="0.25">
      <c r="A282" s="111">
        <f>VLOOKUP($A$265,$K$196:$Q$207,2,(FALSE))</f>
        <v>1000</v>
      </c>
      <c r="B282" s="1037">
        <f>VLOOKUP($A$265,$K$196:$Q$207,3,(FALSE))</f>
        <v>-6.6000000000000003E-2</v>
      </c>
      <c r="C282" s="1037">
        <f>VLOOKUP($A$265,$K$196:$Q$207,4,(FALSE))</f>
        <v>9.9999999999999995E-7</v>
      </c>
      <c r="D282" s="1037">
        <f>VLOOKUP($A$265,$K$196:$Q$207,5,(FALSE))</f>
        <v>0</v>
      </c>
      <c r="E282" s="1037">
        <f>VLOOKUP($A$265,$K$196:$Q$207,6,(FALSE))</f>
        <v>3.3000500000000002E-2</v>
      </c>
      <c r="F282" s="1037">
        <f>VLOOKUP($A$265,$K$196:$Q$207,7,(FALSE))</f>
        <v>2.99</v>
      </c>
      <c r="H282" s="137"/>
      <c r="I282" s="137"/>
      <c r="J282" s="137"/>
      <c r="K282" s="137"/>
      <c r="L282" s="712"/>
      <c r="M282" s="137"/>
      <c r="N282" s="137"/>
      <c r="O282" s="1044"/>
      <c r="P282" s="1045"/>
      <c r="Q282" s="822"/>
      <c r="R282" s="822"/>
    </row>
    <row r="283" spans="1:18" ht="13" x14ac:dyDescent="0.25">
      <c r="A283" s="1396" t="str">
        <f>B20</f>
        <v>Main-PE</v>
      </c>
      <c r="B283" s="1396"/>
      <c r="C283" s="1396"/>
      <c r="D283" s="1396"/>
      <c r="E283" s="726" t="s">
        <v>342</v>
      </c>
      <c r="F283" s="726" t="s">
        <v>343</v>
      </c>
      <c r="H283" s="137"/>
      <c r="I283" s="137"/>
      <c r="J283" s="137"/>
      <c r="K283" s="137"/>
      <c r="L283" s="712"/>
      <c r="M283" s="137"/>
      <c r="N283" s="137"/>
      <c r="O283" s="1044"/>
      <c r="P283" s="1045"/>
      <c r="Q283" s="822"/>
      <c r="R283" s="822"/>
    </row>
    <row r="284" spans="1:18" ht="14.5" x14ac:dyDescent="0.25">
      <c r="A284" s="731" t="s">
        <v>348</v>
      </c>
      <c r="B284" s="1019">
        <f>B276</f>
        <v>2022</v>
      </c>
      <c r="C284" s="1019">
        <f>C276</f>
        <v>2020</v>
      </c>
      <c r="D284" s="1019">
        <f>D276</f>
        <v>2016</v>
      </c>
      <c r="E284" s="726"/>
      <c r="F284" s="726"/>
      <c r="H284" s="137"/>
      <c r="I284" s="137"/>
      <c r="J284" s="137"/>
      <c r="K284" s="137"/>
      <c r="L284" s="712"/>
      <c r="M284" s="137"/>
      <c r="N284" s="137"/>
      <c r="O284" s="1044"/>
      <c r="P284" s="1045"/>
      <c r="Q284" s="822"/>
      <c r="R284" s="822"/>
    </row>
    <row r="285" spans="1:18" ht="15.75" customHeight="1" x14ac:dyDescent="0.25">
      <c r="A285" s="111">
        <f>VLOOKUP($A$265,$B$212:$H$223,2,(FALSE))</f>
        <v>10</v>
      </c>
      <c r="B285" s="1037">
        <f>VLOOKUP($A$265,$B$212:$H$223,3,(FALSE))</f>
        <v>0</v>
      </c>
      <c r="C285" s="1037">
        <f>VLOOKUP($A$265,$B$212:$H$223,4,(FALSE))</f>
        <v>9.9999999999999995E-7</v>
      </c>
      <c r="D285" s="1037">
        <f>VLOOKUP($A$265,$B$212:$H$223,5,(FALSE))</f>
        <v>0</v>
      </c>
      <c r="E285" s="1037">
        <f>VLOOKUP($A$265,$B$212:$H$223,6,(FALSE))</f>
        <v>4.9999999999999998E-7</v>
      </c>
      <c r="F285" s="1037">
        <f>VLOOKUP($A$265,$B$212:$H$223,7,(FALSE))</f>
        <v>0</v>
      </c>
      <c r="H285" s="1395"/>
      <c r="I285" s="1395"/>
      <c r="J285" s="1395"/>
      <c r="K285" s="1395"/>
      <c r="L285" s="717"/>
      <c r="M285" s="717"/>
      <c r="N285" s="717"/>
      <c r="O285" s="1041"/>
      <c r="Q285" s="822"/>
      <c r="R285" s="822"/>
    </row>
    <row r="286" spans="1:18" x14ac:dyDescent="0.25">
      <c r="A286" s="111">
        <f>VLOOKUP($A$265,$B$225:$H$236,2,(FALSE))</f>
        <v>20</v>
      </c>
      <c r="B286" s="1037">
        <f>VLOOKUP($A$265,$B$225:$H$236,3,(FALSE))</f>
        <v>0</v>
      </c>
      <c r="C286" s="1037">
        <f>VLOOKUP($A$265,$B$225:$H$236,4,(FALSE))</f>
        <v>9.9999999999999995E-7</v>
      </c>
      <c r="D286" s="1037">
        <f>VLOOKUP($A$265,$B$225:$H$236,5,(FALSE))</f>
        <v>0</v>
      </c>
      <c r="E286" s="1037">
        <f>VLOOKUP($A$265,$B$225:$H$236,6,(FALSE))</f>
        <v>4.9999999999999998E-7</v>
      </c>
      <c r="F286" s="1037">
        <f>VLOOKUP($A$265,$B$225:$H$236,7,(FALSE))</f>
        <v>0</v>
      </c>
      <c r="H286" s="1046"/>
      <c r="I286" s="1046"/>
      <c r="J286" s="1046"/>
      <c r="K286" s="1046"/>
      <c r="L286" s="717"/>
      <c r="M286" s="717"/>
      <c r="N286" s="717"/>
      <c r="O286" s="1041"/>
      <c r="Q286" s="822"/>
      <c r="R286" s="822"/>
    </row>
    <row r="287" spans="1:18" x14ac:dyDescent="0.25">
      <c r="A287" s="111">
        <f>VLOOKUP($A$265,$B$238:$H$249,2,(FALSE))</f>
        <v>50</v>
      </c>
      <c r="B287" s="1037">
        <f>VLOOKUP($A$265,$B$238:$H$249,3,(FALSE))</f>
        <v>0.2</v>
      </c>
      <c r="C287" s="1037">
        <f>VLOOKUP($A$265,$B$238:$H$249,4,(FALSE))</f>
        <v>9.9999999999999995E-7</v>
      </c>
      <c r="D287" s="1037">
        <f>VLOOKUP($A$265,$B$238:$H$249,5,(FALSE))</f>
        <v>0</v>
      </c>
      <c r="E287" s="1037">
        <f>VLOOKUP($A$265,$B$238:$H$249,6,(FALSE))</f>
        <v>9.9999500000000005E-2</v>
      </c>
      <c r="F287" s="1037">
        <f>VLOOKUP($A$265,$B$238:$H$249,7,(FALSE))</f>
        <v>0</v>
      </c>
      <c r="H287" s="1046"/>
      <c r="I287" s="1046"/>
      <c r="J287" s="1046"/>
      <c r="K287" s="1046"/>
      <c r="L287" s="717"/>
      <c r="M287" s="717"/>
      <c r="N287" s="717"/>
      <c r="O287" s="1041"/>
      <c r="Q287" s="822"/>
      <c r="R287" s="822"/>
    </row>
    <row r="288" spans="1:18" x14ac:dyDescent="0.25">
      <c r="A288" s="111">
        <f>VLOOKUP($A$265,$B$251:$H$262,2,(FALSE))</f>
        <v>100</v>
      </c>
      <c r="B288" s="1037">
        <f>VLOOKUP($A$265,$B$251:$H$262,3,(FALSE))</f>
        <v>0.6</v>
      </c>
      <c r="C288" s="1037">
        <f>VLOOKUP($A$265,$B$251:$H$262,4,(FALSE))</f>
        <v>9.9999999999999995E-7</v>
      </c>
      <c r="D288" s="1037">
        <f>VLOOKUP($A$265,$B$251:$H$262,5,(FALSE))</f>
        <v>0</v>
      </c>
      <c r="E288" s="1037">
        <f>VLOOKUP($A$265,$B$251:$H$262,6,(FALSE))</f>
        <v>0.29999949999999997</v>
      </c>
      <c r="F288" s="1037">
        <f>VLOOKUP($A$265,$B$251:$H$262,7,(FALSE))</f>
        <v>0</v>
      </c>
      <c r="H288" s="1046"/>
      <c r="I288" s="1046"/>
      <c r="J288" s="1046"/>
      <c r="K288" s="1046"/>
      <c r="L288" s="717"/>
      <c r="M288" s="717"/>
      <c r="N288" s="717"/>
      <c r="O288" s="1041"/>
      <c r="Q288" s="822"/>
      <c r="R288" s="822"/>
    </row>
    <row r="289" spans="1:25" ht="15.75" customHeight="1" x14ac:dyDescent="0.25">
      <c r="A289" s="1396" t="str">
        <f>B26</f>
        <v>Resistance</v>
      </c>
      <c r="B289" s="1396"/>
      <c r="C289" s="1396"/>
      <c r="D289" s="1396"/>
      <c r="E289" s="726" t="s">
        <v>342</v>
      </c>
      <c r="F289" s="726" t="s">
        <v>343</v>
      </c>
      <c r="H289" s="1395"/>
      <c r="I289" s="1395"/>
      <c r="J289" s="1395"/>
      <c r="K289" s="1395"/>
      <c r="L289" s="717"/>
      <c r="M289" s="717"/>
      <c r="N289" s="717"/>
      <c r="O289" s="1041"/>
      <c r="Q289" s="822"/>
      <c r="R289" s="822"/>
    </row>
    <row r="290" spans="1:25" ht="14.5" x14ac:dyDescent="0.25">
      <c r="A290" s="731" t="s">
        <v>350</v>
      </c>
      <c r="B290" s="1019">
        <f>B284</f>
        <v>2022</v>
      </c>
      <c r="C290" s="1019">
        <f>C284</f>
        <v>2020</v>
      </c>
      <c r="D290" s="1019">
        <f>D284</f>
        <v>2016</v>
      </c>
      <c r="E290" s="726"/>
      <c r="F290" s="726"/>
      <c r="H290" s="1046"/>
      <c r="I290" s="1046"/>
      <c r="J290" s="1046"/>
      <c r="K290" s="1046"/>
      <c r="L290" s="717"/>
      <c r="M290" s="717"/>
      <c r="N290" s="717"/>
      <c r="O290" s="1041"/>
      <c r="Q290" s="822"/>
      <c r="R290" s="822"/>
    </row>
    <row r="291" spans="1:25" ht="14" x14ac:dyDescent="0.25">
      <c r="A291" s="465">
        <f>VLOOKUP($A$265,$K$212:$Q$223,2,(FALSE))</f>
        <v>1E-3</v>
      </c>
      <c r="B291" s="468">
        <f>VLOOKUP($A$265,$K$212:$Q$223,3,(FALSE))</f>
        <v>0</v>
      </c>
      <c r="C291" s="468">
        <f>VLOOKUP($A$265,$K$212:$Q$223,4,(FALSE))</f>
        <v>-1E-3</v>
      </c>
      <c r="D291" s="468">
        <f>VLOOKUP($A$265,$K$212:$Q$223,5,(FALSE))</f>
        <v>0</v>
      </c>
      <c r="E291" s="468">
        <f>VLOOKUP($A$265,$K$212:$Q$223,6,(FALSE))</f>
        <v>5.0000000000000001E-4</v>
      </c>
      <c r="F291" s="468">
        <f>VLOOKUP($A$265,$K$212:$Q$223,7,(FALSE))</f>
        <v>1.2E-5</v>
      </c>
      <c r="H291" s="1046"/>
      <c r="I291" s="1046"/>
      <c r="J291" s="1046"/>
      <c r="K291" s="1046"/>
      <c r="L291" s="717"/>
      <c r="M291" s="717"/>
      <c r="N291" s="717"/>
      <c r="O291" s="1041"/>
      <c r="Q291" s="822"/>
      <c r="R291" s="822"/>
    </row>
    <row r="292" spans="1:25" ht="14" x14ac:dyDescent="0.25">
      <c r="A292" s="465">
        <f>VLOOKUP($A$265,$K$225:$Q$236,2,(FALSE))</f>
        <v>0.10199999999999999</v>
      </c>
      <c r="B292" s="468">
        <f>VLOOKUP($A$265,$K$225:$Q$236,3,(FALSE))</f>
        <v>1E-3</v>
      </c>
      <c r="C292" s="468">
        <f>VLOOKUP($A$265,$K$225:$Q$236,4,(FALSE))</f>
        <v>-2E-3</v>
      </c>
      <c r="D292" s="468">
        <f>VLOOKUP($A$265,$K$225:$Q$236,5,(FALSE))</f>
        <v>0</v>
      </c>
      <c r="E292" s="468">
        <f>VLOOKUP($A$265,$K$225:$Q$236,6,(FALSE))</f>
        <v>1.5E-3</v>
      </c>
      <c r="F292" s="468">
        <f>VLOOKUP($A$265,$K$225:$Q$236,7,(FALSE))</f>
        <v>1.224E-3</v>
      </c>
      <c r="H292" s="1046"/>
      <c r="I292" s="1046"/>
      <c r="J292" s="1046"/>
      <c r="K292" s="1046"/>
      <c r="L292" s="717"/>
      <c r="M292" s="717"/>
      <c r="N292" s="717"/>
      <c r="O292" s="1041"/>
      <c r="Q292" s="822"/>
      <c r="R292" s="822"/>
    </row>
    <row r="293" spans="1:25" ht="15.75" customHeight="1" x14ac:dyDescent="0.25">
      <c r="A293" s="465">
        <f>VLOOKUP($A$265,$K$238:$Q$249,2,(FALSE))</f>
        <v>0.5</v>
      </c>
      <c r="B293" s="468">
        <f>VLOOKUP($A$265,$K$238:$Q$249,3,(FALSE))</f>
        <v>4.0000000000000001E-3</v>
      </c>
      <c r="C293" s="468">
        <f>VLOOKUP($A$265,$K$238:$Q$249,4,(FALSE))</f>
        <v>9.9999999999999995E-7</v>
      </c>
      <c r="D293" s="468">
        <f>VLOOKUP($A$265,$K$238:$Q$249,5,(FALSE))</f>
        <v>0</v>
      </c>
      <c r="E293" s="468">
        <f>VLOOKUP($A$265,$K$238:$Q$249,6,(FALSE))</f>
        <v>1.9995E-3</v>
      </c>
      <c r="F293" s="468">
        <f>VLOOKUP($A$265,$K$238:$Q$249,7,(FALSE))</f>
        <v>6.0000000000000001E-3</v>
      </c>
      <c r="H293" s="1395"/>
      <c r="I293" s="1395"/>
      <c r="J293" s="1395"/>
      <c r="K293" s="1395"/>
      <c r="L293" s="717"/>
      <c r="M293" s="717"/>
      <c r="N293" s="717"/>
      <c r="O293" s="1041"/>
      <c r="Q293" s="822"/>
      <c r="R293" s="822"/>
    </row>
    <row r="294" spans="1:25" ht="14" x14ac:dyDescent="0.25">
      <c r="A294" s="465">
        <f>VLOOKUP($A$265,$K$251:$Q$262,2,(FALSE))</f>
        <v>1</v>
      </c>
      <c r="B294" s="468">
        <f>VLOOKUP($A$265,$K$251:$Q$262,3,(FALSE))</f>
        <v>0</v>
      </c>
      <c r="C294" s="468">
        <f>VLOOKUP($A$265,$K$251:$Q$262,4,(FALSE))</f>
        <v>-1E-3</v>
      </c>
      <c r="D294" s="468">
        <f>VLOOKUP($A$265,$K$251:$Q$262,5,(FALSE))</f>
        <v>0</v>
      </c>
      <c r="E294" s="468">
        <f>VLOOKUP($A$265,$K$251:$Q$262,6,(FALSE))</f>
        <v>5.0000000000000001E-4</v>
      </c>
      <c r="F294" s="468">
        <f>VLOOKUP($A$265,$K$251:$Q$262,7,(FALSE))</f>
        <v>1.2E-2</v>
      </c>
      <c r="H294" s="1046"/>
      <c r="I294" s="1046"/>
      <c r="J294" s="1046"/>
      <c r="K294" s="1046"/>
      <c r="L294" s="717"/>
      <c r="M294" s="717"/>
      <c r="N294" s="717"/>
      <c r="O294" s="1041"/>
      <c r="Q294" s="822"/>
      <c r="R294" s="822"/>
    </row>
    <row r="297" spans="1:25" ht="13" thickBot="1" x14ac:dyDescent="0.3"/>
    <row r="298" spans="1:25" ht="13.5" thickBot="1" x14ac:dyDescent="0.35">
      <c r="A298" s="1047" t="str">
        <f>ID!B70</f>
        <v>Electrical Safety Analyzer, Merek : Fluke, Model : ESA 615, SN : 4670010</v>
      </c>
      <c r="B298" s="1048"/>
      <c r="C298" s="1048"/>
      <c r="D298" s="1048"/>
      <c r="E298" s="1048"/>
      <c r="F298" s="1048"/>
      <c r="G298" s="1048"/>
      <c r="H298" s="1048"/>
      <c r="I298" s="1048"/>
      <c r="J298" s="1048"/>
      <c r="K298" s="1048"/>
      <c r="L298" s="1049"/>
      <c r="N298" s="1397">
        <f>A311</f>
        <v>9</v>
      </c>
      <c r="O298" s="1398"/>
      <c r="P298" s="1398"/>
      <c r="Q298" s="1398"/>
      <c r="R298" s="1398"/>
      <c r="S298" s="1398"/>
      <c r="T298" s="1398"/>
      <c r="U298" s="1398"/>
      <c r="V298" s="1398"/>
      <c r="W298" s="1398"/>
      <c r="X298" s="1398"/>
      <c r="Y298" s="1399"/>
    </row>
    <row r="299" spans="1:25" ht="13" x14ac:dyDescent="0.3">
      <c r="A299" s="1050" t="s">
        <v>376</v>
      </c>
      <c r="B299" s="1051"/>
      <c r="C299" s="1051"/>
      <c r="D299" s="1052"/>
      <c r="E299" s="1052"/>
      <c r="F299" s="1052"/>
      <c r="G299" s="1052"/>
      <c r="H299" s="1052"/>
      <c r="I299" s="1053">
        <f>C5</f>
        <v>2022</v>
      </c>
      <c r="J299" s="1054">
        <f>D5</f>
        <v>2020</v>
      </c>
      <c r="K299" s="1054">
        <f>E5</f>
        <v>2019</v>
      </c>
      <c r="L299" s="1055">
        <v>1</v>
      </c>
      <c r="N299" s="1056">
        <v>1</v>
      </c>
      <c r="O299" s="1057" t="s">
        <v>377</v>
      </c>
      <c r="P299" s="1058"/>
      <c r="Q299" s="1058"/>
      <c r="R299" s="1058"/>
      <c r="S299" s="1058"/>
      <c r="T299" s="1058"/>
      <c r="U299" s="1058"/>
      <c r="V299" s="1058"/>
      <c r="W299" s="1058"/>
      <c r="X299" s="1058"/>
      <c r="Y299" s="1059"/>
    </row>
    <row r="300" spans="1:25" ht="13" x14ac:dyDescent="0.3">
      <c r="A300" s="1060" t="s">
        <v>378</v>
      </c>
      <c r="B300" s="1061"/>
      <c r="C300" s="1061"/>
      <c r="D300" s="1062"/>
      <c r="E300" s="1062"/>
      <c r="F300" s="1062"/>
      <c r="G300" s="1062"/>
      <c r="H300" s="1062"/>
      <c r="I300" s="1063">
        <f>J5</f>
        <v>2022</v>
      </c>
      <c r="J300" s="1064">
        <f>K5</f>
        <v>2019</v>
      </c>
      <c r="K300" s="1064">
        <f>L5</f>
        <v>2017</v>
      </c>
      <c r="L300" s="1065">
        <v>2</v>
      </c>
      <c r="N300" s="1066">
        <v>2</v>
      </c>
      <c r="O300" s="1067" t="s">
        <v>377</v>
      </c>
      <c r="P300" s="841"/>
      <c r="Q300" s="841"/>
      <c r="R300" s="841"/>
      <c r="S300" s="841"/>
      <c r="T300" s="841"/>
      <c r="U300" s="841"/>
      <c r="V300" s="841"/>
      <c r="W300" s="841"/>
      <c r="X300" s="841"/>
      <c r="Y300" s="842"/>
    </row>
    <row r="301" spans="1:25" ht="13" x14ac:dyDescent="0.3">
      <c r="A301" s="1060" t="s">
        <v>379</v>
      </c>
      <c r="B301" s="1061"/>
      <c r="C301" s="1061"/>
      <c r="D301" s="1062"/>
      <c r="E301" s="1062"/>
      <c r="F301" s="1062"/>
      <c r="G301" s="1062"/>
      <c r="H301" s="1062"/>
      <c r="I301" s="1063">
        <f>Q5</f>
        <v>2022</v>
      </c>
      <c r="J301" s="1064">
        <f>R5</f>
        <v>2021</v>
      </c>
      <c r="K301" s="1064">
        <f>S5</f>
        <v>2018</v>
      </c>
      <c r="L301" s="1065">
        <v>3</v>
      </c>
      <c r="N301" s="1066">
        <v>3</v>
      </c>
      <c r="O301" s="1067" t="s">
        <v>377</v>
      </c>
      <c r="P301" s="841"/>
      <c r="Q301" s="841"/>
      <c r="R301" s="841"/>
      <c r="S301" s="841"/>
      <c r="T301" s="841"/>
      <c r="U301" s="841"/>
      <c r="V301" s="841"/>
      <c r="W301" s="841"/>
      <c r="X301" s="841"/>
      <c r="Y301" s="842"/>
    </row>
    <row r="302" spans="1:25" ht="13" x14ac:dyDescent="0.3">
      <c r="A302" s="1060" t="s">
        <v>380</v>
      </c>
      <c r="B302" s="1061"/>
      <c r="C302" s="1061"/>
      <c r="D302" s="1062"/>
      <c r="E302" s="1062"/>
      <c r="F302" s="1062"/>
      <c r="G302" s="1062"/>
      <c r="H302" s="1062"/>
      <c r="I302" s="1063">
        <f>C36</f>
        <v>2022</v>
      </c>
      <c r="J302" s="1064">
        <f>D36</f>
        <v>2021</v>
      </c>
      <c r="K302" s="1064">
        <f>E36</f>
        <v>2019</v>
      </c>
      <c r="L302" s="1065">
        <v>4</v>
      </c>
      <c r="N302" s="1066">
        <v>4</v>
      </c>
      <c r="O302" s="1067" t="s">
        <v>377</v>
      </c>
      <c r="P302" s="841"/>
      <c r="Q302" s="841"/>
      <c r="R302" s="841"/>
      <c r="S302" s="841"/>
      <c r="T302" s="841"/>
      <c r="U302" s="841"/>
      <c r="V302" s="841"/>
      <c r="W302" s="841"/>
      <c r="X302" s="841"/>
      <c r="Y302" s="842"/>
    </row>
    <row r="303" spans="1:25" ht="13" x14ac:dyDescent="0.3">
      <c r="A303" s="1060" t="s">
        <v>381</v>
      </c>
      <c r="B303" s="1061"/>
      <c r="C303" s="1061"/>
      <c r="D303" s="1062"/>
      <c r="E303" s="1062"/>
      <c r="F303" s="1062"/>
      <c r="G303" s="1062"/>
      <c r="H303" s="1062"/>
      <c r="I303" s="1063">
        <f>J36</f>
        <v>2022</v>
      </c>
      <c r="J303" s="1064">
        <f>K36</f>
        <v>2021</v>
      </c>
      <c r="K303" s="1064">
        <f>L36</f>
        <v>2019</v>
      </c>
      <c r="L303" s="1065">
        <v>5</v>
      </c>
      <c r="N303" s="1066">
        <v>5</v>
      </c>
      <c r="O303" s="1067" t="s">
        <v>377</v>
      </c>
      <c r="P303" s="841"/>
      <c r="Q303" s="841"/>
      <c r="R303" s="841"/>
      <c r="S303" s="841"/>
      <c r="T303" s="841"/>
      <c r="U303" s="841"/>
      <c r="V303" s="841"/>
      <c r="W303" s="841"/>
      <c r="X303" s="841"/>
      <c r="Y303" s="842"/>
    </row>
    <row r="304" spans="1:25" ht="13" x14ac:dyDescent="0.3">
      <c r="A304" s="1060" t="s">
        <v>382</v>
      </c>
      <c r="B304" s="1061"/>
      <c r="C304" s="1061"/>
      <c r="D304" s="1062"/>
      <c r="E304" s="1062"/>
      <c r="F304" s="1062"/>
      <c r="G304" s="1062"/>
      <c r="H304" s="1062"/>
      <c r="I304" s="1063">
        <f>Q36</f>
        <v>2023</v>
      </c>
      <c r="J304" s="1064">
        <f>R36</f>
        <v>2022</v>
      </c>
      <c r="K304" s="1064">
        <f>S36</f>
        <v>2019</v>
      </c>
      <c r="L304" s="1065">
        <v>6</v>
      </c>
      <c r="N304" s="1066">
        <v>6</v>
      </c>
      <c r="O304" s="1067" t="s">
        <v>377</v>
      </c>
      <c r="P304" s="841"/>
      <c r="Q304" s="841"/>
      <c r="R304" s="841"/>
      <c r="S304" s="841"/>
      <c r="T304" s="841"/>
      <c r="U304" s="841"/>
      <c r="V304" s="841"/>
      <c r="W304" s="841"/>
      <c r="X304" s="841"/>
      <c r="Y304" s="842"/>
    </row>
    <row r="305" spans="1:25" ht="13" x14ac:dyDescent="0.3">
      <c r="A305" s="1060" t="s">
        <v>383</v>
      </c>
      <c r="B305" s="1061"/>
      <c r="C305" s="1061"/>
      <c r="D305" s="1062"/>
      <c r="E305" s="1062"/>
      <c r="F305" s="1062"/>
      <c r="G305" s="1062"/>
      <c r="H305" s="1062"/>
      <c r="I305" s="1063">
        <f>C67</f>
        <v>2023</v>
      </c>
      <c r="J305" s="1064">
        <f>D67</f>
        <v>2022</v>
      </c>
      <c r="K305" s="1064">
        <f>E67</f>
        <v>2020</v>
      </c>
      <c r="L305" s="1065">
        <v>7</v>
      </c>
      <c r="N305" s="1066">
        <v>7</v>
      </c>
      <c r="O305" s="1067" t="s">
        <v>377</v>
      </c>
      <c r="P305" s="841"/>
      <c r="Q305" s="841"/>
      <c r="R305" s="841"/>
      <c r="S305" s="841"/>
      <c r="T305" s="841"/>
      <c r="U305" s="841"/>
      <c r="V305" s="841"/>
      <c r="W305" s="841"/>
      <c r="X305" s="841"/>
      <c r="Y305" s="842"/>
    </row>
    <row r="306" spans="1:25" ht="13" x14ac:dyDescent="0.3">
      <c r="A306" s="1060" t="s">
        <v>174</v>
      </c>
      <c r="B306" s="1061"/>
      <c r="C306" s="1061"/>
      <c r="D306" s="1062"/>
      <c r="E306" s="1062"/>
      <c r="F306" s="1062"/>
      <c r="G306" s="1062"/>
      <c r="H306" s="1062"/>
      <c r="I306" s="1068">
        <f>J67</f>
        <v>2022</v>
      </c>
      <c r="J306" s="1064">
        <f>K67</f>
        <v>2020</v>
      </c>
      <c r="K306" s="1064">
        <f>L67</f>
        <v>2016</v>
      </c>
      <c r="L306" s="1065">
        <v>8</v>
      </c>
      <c r="N306" s="1066">
        <v>8</v>
      </c>
      <c r="O306" s="1067" t="s">
        <v>377</v>
      </c>
      <c r="P306" s="841"/>
      <c r="Q306" s="841"/>
      <c r="R306" s="841"/>
      <c r="S306" s="841"/>
      <c r="T306" s="841"/>
      <c r="U306" s="841"/>
      <c r="V306" s="841"/>
      <c r="W306" s="841"/>
      <c r="X306" s="841"/>
      <c r="Y306" s="842"/>
    </row>
    <row r="307" spans="1:25" ht="13" x14ac:dyDescent="0.3">
      <c r="A307" s="1060" t="s">
        <v>384</v>
      </c>
      <c r="B307" s="1061"/>
      <c r="C307" s="1061"/>
      <c r="D307" s="1062"/>
      <c r="E307" s="1062"/>
      <c r="F307" s="1062"/>
      <c r="G307" s="1062"/>
      <c r="H307" s="1062"/>
      <c r="I307" s="1068">
        <f>Q67</f>
        <v>2022</v>
      </c>
      <c r="J307" s="1064">
        <f>R67</f>
        <v>2020</v>
      </c>
      <c r="K307" s="1064">
        <f>S67</f>
        <v>2016</v>
      </c>
      <c r="L307" s="1065">
        <v>9</v>
      </c>
      <c r="N307" s="1066">
        <v>9</v>
      </c>
      <c r="O307" s="1067" t="s">
        <v>377</v>
      </c>
      <c r="P307" s="841"/>
      <c r="Q307" s="841"/>
      <c r="R307" s="841"/>
      <c r="S307" s="841"/>
      <c r="T307" s="841"/>
      <c r="U307" s="841"/>
      <c r="V307" s="841"/>
      <c r="W307" s="841"/>
      <c r="X307" s="841"/>
      <c r="Y307" s="842"/>
    </row>
    <row r="308" spans="1:25" ht="13" x14ac:dyDescent="0.3">
      <c r="A308" s="1060" t="s">
        <v>385</v>
      </c>
      <c r="B308" s="1061"/>
      <c r="C308" s="1061"/>
      <c r="D308" s="1062"/>
      <c r="E308" s="1062"/>
      <c r="F308" s="1062"/>
      <c r="G308" s="1062"/>
      <c r="H308" s="1062"/>
      <c r="I308" s="1068">
        <f>C98</f>
        <v>2021</v>
      </c>
      <c r="J308" s="1064" t="str">
        <f>D98</f>
        <v>-</v>
      </c>
      <c r="K308" s="1064">
        <f>E98</f>
        <v>2016</v>
      </c>
      <c r="L308" s="1065">
        <v>10</v>
      </c>
      <c r="N308" s="1066">
        <v>10</v>
      </c>
      <c r="O308" s="1067" t="s">
        <v>377</v>
      </c>
      <c r="P308" s="831"/>
      <c r="Q308" s="831"/>
      <c r="R308" s="831"/>
      <c r="S308" s="831"/>
      <c r="T308" s="831"/>
      <c r="U308" s="831"/>
      <c r="V308" s="831"/>
      <c r="W308" s="831"/>
      <c r="X308" s="831"/>
      <c r="Y308" s="1069"/>
    </row>
    <row r="309" spans="1:25" ht="13" x14ac:dyDescent="0.3">
      <c r="A309" s="1060" t="s">
        <v>386</v>
      </c>
      <c r="B309" s="1061"/>
      <c r="C309" s="1061"/>
      <c r="D309" s="1062"/>
      <c r="E309" s="1062"/>
      <c r="F309" s="1062"/>
      <c r="G309" s="1062"/>
      <c r="H309" s="1062"/>
      <c r="I309" s="1068" t="str">
        <f>J98</f>
        <v>-</v>
      </c>
      <c r="J309" s="1064" t="str">
        <f>K98</f>
        <v>-</v>
      </c>
      <c r="K309" s="1064">
        <f>L98</f>
        <v>2016</v>
      </c>
      <c r="L309" s="1065">
        <v>11</v>
      </c>
      <c r="N309" s="1066">
        <v>11</v>
      </c>
      <c r="O309" s="1067" t="s">
        <v>377</v>
      </c>
      <c r="P309" s="831"/>
      <c r="Q309" s="831"/>
      <c r="R309" s="831"/>
      <c r="S309" s="831"/>
      <c r="T309" s="831"/>
      <c r="U309" s="831"/>
      <c r="V309" s="831"/>
      <c r="W309" s="831"/>
      <c r="X309" s="831"/>
      <c r="Y309" s="1069"/>
    </row>
    <row r="310" spans="1:25" ht="13" x14ac:dyDescent="0.3">
      <c r="A310" s="1060" t="s">
        <v>387</v>
      </c>
      <c r="B310" s="1061"/>
      <c r="C310" s="1061"/>
      <c r="D310" s="1062"/>
      <c r="E310" s="1062"/>
      <c r="F310" s="1062"/>
      <c r="G310" s="1062"/>
      <c r="H310" s="1062"/>
      <c r="I310" s="1068" t="str">
        <f>Q98</f>
        <v>-</v>
      </c>
      <c r="J310" s="1064" t="str">
        <f>R98</f>
        <v>-</v>
      </c>
      <c r="K310" s="1064">
        <f>S98</f>
        <v>2016</v>
      </c>
      <c r="L310" s="1065">
        <v>12</v>
      </c>
      <c r="N310" s="1066">
        <v>12</v>
      </c>
      <c r="O310" s="1067" t="s">
        <v>377</v>
      </c>
      <c r="P310" s="831"/>
      <c r="Q310" s="831"/>
      <c r="R310" s="831"/>
      <c r="S310" s="831"/>
      <c r="T310" s="831"/>
      <c r="U310" s="831"/>
      <c r="V310" s="831"/>
      <c r="W310" s="831"/>
      <c r="X310" s="831"/>
      <c r="Y310" s="1069"/>
    </row>
    <row r="311" spans="1:25" ht="13.5" thickBot="1" x14ac:dyDescent="0.35">
      <c r="A311" s="1400">
        <f>VLOOKUP(A298,A299:L310,12,(FALSE))</f>
        <v>9</v>
      </c>
      <c r="B311" s="1401"/>
      <c r="C311" s="1401"/>
      <c r="D311" s="1401"/>
      <c r="E311" s="1401"/>
      <c r="F311" s="1401"/>
      <c r="G311" s="1401"/>
      <c r="H311" s="1401"/>
      <c r="I311" s="1401"/>
      <c r="J311" s="1401"/>
      <c r="K311" s="1401"/>
      <c r="L311" s="1402"/>
      <c r="N311" s="1070" t="str">
        <f>VLOOKUP(N298,N299:Y310,2,FALSE)</f>
        <v>Hasil pengukuran keselamatan listrik tertelusur ke Satuan Internasional ( SI ) melalui PT. Kaliman (LK-032-IDN)</v>
      </c>
      <c r="O311" s="1071"/>
      <c r="P311" s="1071"/>
      <c r="Q311" s="1071"/>
      <c r="R311" s="1071"/>
      <c r="S311" s="1071"/>
      <c r="T311" s="1071"/>
      <c r="U311" s="1071"/>
      <c r="V311" s="1071"/>
      <c r="W311" s="1071"/>
      <c r="X311" s="1071"/>
      <c r="Y311" s="1072"/>
    </row>
  </sheetData>
  <mergeCells count="229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A144:A155"/>
    <mergeCell ref="A157:A168"/>
    <mergeCell ref="A170:A181"/>
    <mergeCell ref="A183:A194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L209:Q209"/>
    <mergeCell ref="C210:F210"/>
    <mergeCell ref="L210:O210"/>
    <mergeCell ref="A212:A223"/>
    <mergeCell ref="A225:A236"/>
    <mergeCell ref="A238:A249"/>
    <mergeCell ref="A196:A207"/>
    <mergeCell ref="A209:A211"/>
    <mergeCell ref="B209:B211"/>
    <mergeCell ref="C209:H209"/>
    <mergeCell ref="J209:J211"/>
    <mergeCell ref="K209:K211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159B-78C0-4D42-ABAC-4A7BBC41B298}">
  <dimension ref="A1:AL410"/>
  <sheetViews>
    <sheetView topLeftCell="A385" workbookViewId="0">
      <selection activeCell="A379" sqref="A1:XFD1048576"/>
    </sheetView>
  </sheetViews>
  <sheetFormatPr defaultColWidth="8.7265625" defaultRowHeight="12.5" x14ac:dyDescent="0.25"/>
  <cols>
    <col min="1" max="16384" width="8.7265625" style="713"/>
  </cols>
  <sheetData>
    <row r="1" spans="1:24" ht="18" thickBot="1" x14ac:dyDescent="0.3">
      <c r="A1" s="1491" t="s">
        <v>388</v>
      </c>
      <c r="B1" s="1492"/>
      <c r="C1" s="1492"/>
      <c r="D1" s="1492"/>
      <c r="E1" s="1492"/>
      <c r="F1" s="1492"/>
      <c r="G1" s="1492"/>
      <c r="H1" s="1492"/>
      <c r="I1" s="1492"/>
      <c r="J1" s="1492"/>
      <c r="K1" s="1492"/>
      <c r="L1" s="1492"/>
      <c r="M1" s="1492"/>
      <c r="N1" s="1492"/>
      <c r="O1" s="1492"/>
      <c r="P1" s="1492"/>
      <c r="Q1" s="1492"/>
      <c r="R1" s="1492"/>
      <c r="S1" s="1492"/>
      <c r="T1" s="1492"/>
      <c r="U1" s="1492"/>
    </row>
    <row r="2" spans="1:24" x14ac:dyDescent="0.25">
      <c r="A2" s="1475">
        <v>1</v>
      </c>
      <c r="B2" s="1476" t="s">
        <v>389</v>
      </c>
      <c r="C2" s="1476"/>
      <c r="D2" s="1476"/>
      <c r="E2" s="1476"/>
      <c r="F2" s="1476"/>
      <c r="G2" s="1476"/>
      <c r="I2" s="1476" t="str">
        <f>B2</f>
        <v>KOREKSI KIMO THERMOHYGROMETER 15062873</v>
      </c>
      <c r="J2" s="1476"/>
      <c r="K2" s="1476"/>
      <c r="L2" s="1476"/>
      <c r="M2" s="1476"/>
      <c r="N2" s="1476"/>
      <c r="P2" s="1476" t="str">
        <f>I2</f>
        <v>KOREKSI KIMO THERMOHYGROMETER 15062873</v>
      </c>
      <c r="Q2" s="1476"/>
      <c r="R2" s="1476"/>
      <c r="S2" s="1476"/>
      <c r="T2" s="1476"/>
      <c r="U2" s="1476"/>
      <c r="W2" s="1482" t="s">
        <v>343</v>
      </c>
      <c r="X2" s="1483"/>
    </row>
    <row r="3" spans="1:24" ht="13" x14ac:dyDescent="0.25">
      <c r="A3" s="1475"/>
      <c r="B3" s="1484" t="s">
        <v>390</v>
      </c>
      <c r="C3" s="1484"/>
      <c r="D3" s="1484" t="s">
        <v>391</v>
      </c>
      <c r="E3" s="1484"/>
      <c r="F3" s="1484"/>
      <c r="G3" s="1484" t="s">
        <v>392</v>
      </c>
      <c r="I3" s="1484" t="s">
        <v>393</v>
      </c>
      <c r="J3" s="1484"/>
      <c r="K3" s="1484" t="s">
        <v>391</v>
      </c>
      <c r="L3" s="1484"/>
      <c r="M3" s="1484"/>
      <c r="N3" s="1484" t="s">
        <v>392</v>
      </c>
      <c r="P3" s="1484" t="s">
        <v>394</v>
      </c>
      <c r="Q3" s="1484"/>
      <c r="R3" s="1484" t="s">
        <v>391</v>
      </c>
      <c r="S3" s="1484"/>
      <c r="T3" s="1484"/>
      <c r="U3" s="1484" t="s">
        <v>392</v>
      </c>
      <c r="W3" s="898" t="s">
        <v>390</v>
      </c>
      <c r="X3" s="899">
        <v>0.6</v>
      </c>
    </row>
    <row r="4" spans="1:24" ht="14.5" x14ac:dyDescent="0.25">
      <c r="A4" s="1475"/>
      <c r="B4" s="1474" t="s">
        <v>395</v>
      </c>
      <c r="C4" s="1474"/>
      <c r="D4" s="730">
        <v>2020</v>
      </c>
      <c r="E4" s="730">
        <v>2017</v>
      </c>
      <c r="F4" s="730">
        <v>2016</v>
      </c>
      <c r="G4" s="1484"/>
      <c r="I4" s="1473" t="s">
        <v>396</v>
      </c>
      <c r="J4" s="1474"/>
      <c r="K4" s="730">
        <f>D4</f>
        <v>2020</v>
      </c>
      <c r="L4" s="730">
        <f>E4</f>
        <v>2017</v>
      </c>
      <c r="M4" s="730">
        <v>2016</v>
      </c>
      <c r="N4" s="1484"/>
      <c r="P4" s="1473" t="s">
        <v>397</v>
      </c>
      <c r="Q4" s="1474"/>
      <c r="R4" s="730">
        <f>K4</f>
        <v>2020</v>
      </c>
      <c r="S4" s="730">
        <f>L4</f>
        <v>2017</v>
      </c>
      <c r="T4" s="730">
        <v>2016</v>
      </c>
      <c r="U4" s="1484"/>
      <c r="W4" s="898" t="s">
        <v>396</v>
      </c>
      <c r="X4" s="899">
        <v>3.1</v>
      </c>
    </row>
    <row r="5" spans="1:24" ht="13.5" thickBot="1" x14ac:dyDescent="0.3">
      <c r="A5" s="1475"/>
      <c r="B5" s="900">
        <v>1</v>
      </c>
      <c r="C5" s="104">
        <v>15</v>
      </c>
      <c r="D5" s="100">
        <v>-0.5</v>
      </c>
      <c r="E5" s="100">
        <v>0.3</v>
      </c>
      <c r="F5" s="104">
        <v>0</v>
      </c>
      <c r="G5" s="901">
        <f>0.5*(MAX(D5:F5)-MIN(D5:F5))</f>
        <v>0.4</v>
      </c>
      <c r="I5" s="900">
        <v>1</v>
      </c>
      <c r="J5" s="104">
        <v>35</v>
      </c>
      <c r="K5" s="100">
        <v>-6</v>
      </c>
      <c r="L5" s="100">
        <v>-9.4</v>
      </c>
      <c r="M5" s="902"/>
      <c r="N5" s="901">
        <f>0.5*(MAX(K5:M5)-MIN(K5:M5))</f>
        <v>1.7000000000000002</v>
      </c>
      <c r="P5" s="900">
        <v>1</v>
      </c>
      <c r="Q5" s="104">
        <v>750</v>
      </c>
      <c r="R5" s="99" t="s">
        <v>364</v>
      </c>
      <c r="S5" s="99" t="s">
        <v>364</v>
      </c>
      <c r="T5" s="903"/>
      <c r="U5" s="901">
        <f>0.5*(MAX(R5:T5)-MIN(R5:T5))</f>
        <v>0</v>
      </c>
      <c r="W5" s="904" t="s">
        <v>397</v>
      </c>
      <c r="X5" s="905">
        <v>0</v>
      </c>
    </row>
    <row r="6" spans="1:24" ht="13" x14ac:dyDescent="0.25">
      <c r="A6" s="1475"/>
      <c r="B6" s="900">
        <v>2</v>
      </c>
      <c r="C6" s="104">
        <v>20</v>
      </c>
      <c r="D6" s="100">
        <v>-0.2</v>
      </c>
      <c r="E6" s="100">
        <v>0.2</v>
      </c>
      <c r="F6" s="104">
        <v>0</v>
      </c>
      <c r="G6" s="901">
        <f t="shared" ref="G6:G11" si="0">0.5*(MAX(D6:F6)-MIN(D6:F6))</f>
        <v>0.2</v>
      </c>
      <c r="I6" s="900">
        <v>2</v>
      </c>
      <c r="J6" s="104">
        <v>40</v>
      </c>
      <c r="K6" s="100">
        <v>-6</v>
      </c>
      <c r="L6" s="100">
        <v>-8.6</v>
      </c>
      <c r="M6" s="902"/>
      <c r="N6" s="901">
        <f t="shared" ref="N6:N11" si="1">0.5*(MAX(K6:M6)-MIN(K6:M6))</f>
        <v>1.2999999999999998</v>
      </c>
      <c r="P6" s="900">
        <v>2</v>
      </c>
      <c r="Q6" s="104">
        <v>800</v>
      </c>
      <c r="R6" s="99" t="s">
        <v>364</v>
      </c>
      <c r="S6" s="99" t="s">
        <v>364</v>
      </c>
      <c r="T6" s="903"/>
      <c r="U6" s="901">
        <f t="shared" ref="U6:U11" si="2">0.5*(MAX(R6:T6)-MIN(R6:T6))</f>
        <v>0</v>
      </c>
    </row>
    <row r="7" spans="1:24" ht="13" x14ac:dyDescent="0.25">
      <c r="A7" s="1475"/>
      <c r="B7" s="900">
        <v>3</v>
      </c>
      <c r="C7" s="104">
        <v>25</v>
      </c>
      <c r="D7" s="100">
        <v>9.9999999999999995E-7</v>
      </c>
      <c r="E7" s="100">
        <v>0.1</v>
      </c>
      <c r="F7" s="104">
        <v>0</v>
      </c>
      <c r="G7" s="901">
        <f t="shared" si="0"/>
        <v>0.05</v>
      </c>
      <c r="I7" s="900">
        <v>3</v>
      </c>
      <c r="J7" s="104">
        <v>50</v>
      </c>
      <c r="K7" s="100">
        <v>-5.8</v>
      </c>
      <c r="L7" s="100">
        <v>-7.2</v>
      </c>
      <c r="M7" s="902"/>
      <c r="N7" s="901">
        <f t="shared" si="1"/>
        <v>0.70000000000000018</v>
      </c>
      <c r="P7" s="900">
        <v>3</v>
      </c>
      <c r="Q7" s="104">
        <v>850</v>
      </c>
      <c r="R7" s="99" t="s">
        <v>364</v>
      </c>
      <c r="S7" s="99" t="s">
        <v>364</v>
      </c>
      <c r="T7" s="903"/>
      <c r="U7" s="901">
        <f t="shared" si="2"/>
        <v>0</v>
      </c>
    </row>
    <row r="8" spans="1:24" ht="13" x14ac:dyDescent="0.25">
      <c r="A8" s="1475"/>
      <c r="B8" s="900">
        <v>4</v>
      </c>
      <c r="C8" s="906">
        <v>30</v>
      </c>
      <c r="D8" s="100">
        <v>9.9999999999999995E-7</v>
      </c>
      <c r="E8" s="907">
        <v>-0.2</v>
      </c>
      <c r="F8" s="104">
        <v>0</v>
      </c>
      <c r="G8" s="901">
        <f t="shared" si="0"/>
        <v>0.10000050000000001</v>
      </c>
      <c r="I8" s="900">
        <v>4</v>
      </c>
      <c r="J8" s="906">
        <v>60</v>
      </c>
      <c r="K8" s="907">
        <v>-5.3</v>
      </c>
      <c r="L8" s="907">
        <v>-5.2</v>
      </c>
      <c r="M8" s="902"/>
      <c r="N8" s="901">
        <f t="shared" si="1"/>
        <v>4.9999999999999822E-2</v>
      </c>
      <c r="P8" s="900">
        <v>4</v>
      </c>
      <c r="Q8" s="906">
        <v>900</v>
      </c>
      <c r="R8" s="907" t="s">
        <v>364</v>
      </c>
      <c r="S8" s="907" t="s">
        <v>364</v>
      </c>
      <c r="T8" s="903"/>
      <c r="U8" s="901">
        <f t="shared" si="2"/>
        <v>0</v>
      </c>
    </row>
    <row r="9" spans="1:24" ht="13" x14ac:dyDescent="0.25">
      <c r="A9" s="1475"/>
      <c r="B9" s="900">
        <v>5</v>
      </c>
      <c r="C9" s="906">
        <v>35</v>
      </c>
      <c r="D9" s="907">
        <v>-0.1</v>
      </c>
      <c r="E9" s="907">
        <v>-0.5</v>
      </c>
      <c r="F9" s="104">
        <v>0</v>
      </c>
      <c r="G9" s="901">
        <f t="shared" si="0"/>
        <v>0.25</v>
      </c>
      <c r="I9" s="900">
        <v>5</v>
      </c>
      <c r="J9" s="906">
        <v>70</v>
      </c>
      <c r="K9" s="907">
        <v>-4.4000000000000004</v>
      </c>
      <c r="L9" s="907">
        <v>-2.6</v>
      </c>
      <c r="M9" s="902"/>
      <c r="N9" s="901">
        <f t="shared" si="1"/>
        <v>0.90000000000000013</v>
      </c>
      <c r="P9" s="900">
        <v>5</v>
      </c>
      <c r="Q9" s="906">
        <v>1000</v>
      </c>
      <c r="R9" s="907" t="s">
        <v>364</v>
      </c>
      <c r="S9" s="907" t="s">
        <v>364</v>
      </c>
      <c r="T9" s="903"/>
      <c r="U9" s="901">
        <f t="shared" si="2"/>
        <v>0</v>
      </c>
    </row>
    <row r="10" spans="1:24" ht="13" x14ac:dyDescent="0.25">
      <c r="A10" s="1475"/>
      <c r="B10" s="900">
        <v>6</v>
      </c>
      <c r="C10" s="906">
        <v>37</v>
      </c>
      <c r="D10" s="907">
        <v>-0.2</v>
      </c>
      <c r="E10" s="907">
        <v>-0.6</v>
      </c>
      <c r="F10" s="104">
        <v>0</v>
      </c>
      <c r="G10" s="901">
        <f t="shared" si="0"/>
        <v>0.3</v>
      </c>
      <c r="I10" s="900">
        <v>6</v>
      </c>
      <c r="J10" s="906">
        <v>80</v>
      </c>
      <c r="K10" s="907">
        <v>-3.2</v>
      </c>
      <c r="L10" s="907">
        <v>0.7</v>
      </c>
      <c r="M10" s="902"/>
      <c r="N10" s="901">
        <f t="shared" si="1"/>
        <v>1.9500000000000002</v>
      </c>
      <c r="P10" s="900">
        <v>6</v>
      </c>
      <c r="Q10" s="906">
        <v>1005</v>
      </c>
      <c r="R10" s="907" t="s">
        <v>364</v>
      </c>
      <c r="S10" s="907" t="s">
        <v>364</v>
      </c>
      <c r="T10" s="903"/>
      <c r="U10" s="901">
        <f t="shared" si="2"/>
        <v>0</v>
      </c>
    </row>
    <row r="11" spans="1:24" ht="13.5" thickBot="1" x14ac:dyDescent="0.3">
      <c r="A11" s="1475"/>
      <c r="B11" s="900">
        <v>7</v>
      </c>
      <c r="C11" s="906">
        <v>40</v>
      </c>
      <c r="D11" s="907">
        <v>-0.3</v>
      </c>
      <c r="E11" s="907">
        <v>-0.8</v>
      </c>
      <c r="F11" s="104">
        <v>0</v>
      </c>
      <c r="G11" s="901">
        <f t="shared" si="0"/>
        <v>0.4</v>
      </c>
      <c r="I11" s="900">
        <v>7</v>
      </c>
      <c r="J11" s="906">
        <v>90</v>
      </c>
      <c r="K11" s="907">
        <v>-1.6</v>
      </c>
      <c r="L11" s="907">
        <v>4.5</v>
      </c>
      <c r="M11" s="902"/>
      <c r="N11" s="901">
        <f t="shared" si="1"/>
        <v>3.05</v>
      </c>
      <c r="P11" s="900">
        <v>7</v>
      </c>
      <c r="Q11" s="906">
        <v>1020</v>
      </c>
      <c r="R11" s="907" t="s">
        <v>364</v>
      </c>
      <c r="S11" s="907" t="s">
        <v>364</v>
      </c>
      <c r="T11" s="903"/>
      <c r="U11" s="901">
        <f t="shared" si="2"/>
        <v>0</v>
      </c>
    </row>
    <row r="12" spans="1:24" ht="13.5" thickBot="1" x14ac:dyDescent="0.35">
      <c r="A12" s="908"/>
      <c r="B12" s="908"/>
      <c r="O12" s="909"/>
      <c r="P12" s="740"/>
    </row>
    <row r="13" spans="1:24" x14ac:dyDescent="0.25">
      <c r="A13" s="1475">
        <v>2</v>
      </c>
      <c r="B13" s="1476" t="s">
        <v>398</v>
      </c>
      <c r="C13" s="1476"/>
      <c r="D13" s="1476"/>
      <c r="E13" s="1476"/>
      <c r="F13" s="1476"/>
      <c r="G13" s="1476"/>
      <c r="I13" s="1476" t="str">
        <f>B13</f>
        <v>KOREKSI KIMO THERMOHYGROMETER 15062874</v>
      </c>
      <c r="J13" s="1476"/>
      <c r="K13" s="1476"/>
      <c r="L13" s="1476"/>
      <c r="M13" s="1476"/>
      <c r="N13" s="1476"/>
      <c r="P13" s="1476" t="str">
        <f>I13</f>
        <v>KOREKSI KIMO THERMOHYGROMETER 15062874</v>
      </c>
      <c r="Q13" s="1476"/>
      <c r="R13" s="1476"/>
      <c r="S13" s="1476"/>
      <c r="T13" s="1476"/>
      <c r="U13" s="1476"/>
      <c r="W13" s="1482" t="s">
        <v>343</v>
      </c>
      <c r="X13" s="1483"/>
    </row>
    <row r="14" spans="1:24" ht="13" x14ac:dyDescent="0.25">
      <c r="A14" s="1475"/>
      <c r="B14" s="1484" t="s">
        <v>390</v>
      </c>
      <c r="C14" s="1484"/>
      <c r="D14" s="1484" t="s">
        <v>391</v>
      </c>
      <c r="E14" s="1484"/>
      <c r="F14" s="1484"/>
      <c r="G14" s="1484" t="s">
        <v>392</v>
      </c>
      <c r="I14" s="1484" t="s">
        <v>393</v>
      </c>
      <c r="J14" s="1484"/>
      <c r="K14" s="1484" t="s">
        <v>391</v>
      </c>
      <c r="L14" s="1484"/>
      <c r="M14" s="1484"/>
      <c r="N14" s="1484" t="s">
        <v>392</v>
      </c>
      <c r="P14" s="1484" t="s">
        <v>394</v>
      </c>
      <c r="Q14" s="1484"/>
      <c r="R14" s="1484" t="s">
        <v>391</v>
      </c>
      <c r="S14" s="1484"/>
      <c r="T14" s="1484"/>
      <c r="U14" s="1484" t="s">
        <v>392</v>
      </c>
      <c r="W14" s="898" t="s">
        <v>390</v>
      </c>
      <c r="X14" s="899">
        <v>0.5</v>
      </c>
    </row>
    <row r="15" spans="1:24" ht="14.5" x14ac:dyDescent="0.25">
      <c r="A15" s="1475"/>
      <c r="B15" s="1474" t="s">
        <v>395</v>
      </c>
      <c r="C15" s="1474"/>
      <c r="D15" s="730">
        <v>2023</v>
      </c>
      <c r="E15" s="730">
        <v>2021</v>
      </c>
      <c r="F15" s="730">
        <v>2018</v>
      </c>
      <c r="G15" s="1484"/>
      <c r="I15" s="1473" t="s">
        <v>396</v>
      </c>
      <c r="J15" s="1474"/>
      <c r="K15" s="730">
        <f>D15</f>
        <v>2023</v>
      </c>
      <c r="L15" s="730">
        <f>E15</f>
        <v>2021</v>
      </c>
      <c r="M15" s="730">
        <v>2016</v>
      </c>
      <c r="N15" s="1484"/>
      <c r="P15" s="1473" t="s">
        <v>397</v>
      </c>
      <c r="Q15" s="1474"/>
      <c r="R15" s="730">
        <f>K15</f>
        <v>2023</v>
      </c>
      <c r="S15" s="730">
        <f>L15</f>
        <v>2021</v>
      </c>
      <c r="T15" s="730">
        <v>2016</v>
      </c>
      <c r="U15" s="1484"/>
      <c r="W15" s="898" t="s">
        <v>396</v>
      </c>
      <c r="X15" s="899">
        <v>3.3</v>
      </c>
    </row>
    <row r="16" spans="1:24" ht="13.5" thickBot="1" x14ac:dyDescent="0.3">
      <c r="A16" s="1475"/>
      <c r="B16" s="900">
        <v>1</v>
      </c>
      <c r="C16" s="104">
        <v>15</v>
      </c>
      <c r="D16" s="100">
        <v>0.2</v>
      </c>
      <c r="E16" s="100">
        <v>0.4</v>
      </c>
      <c r="F16" s="100">
        <v>9.9999999999999995E-7</v>
      </c>
      <c r="G16" s="901">
        <f>0.5*(MAX(D16:F16)-MIN(D16:F16))</f>
        <v>0.19999950000000002</v>
      </c>
      <c r="I16" s="900">
        <v>1</v>
      </c>
      <c r="J16" s="104">
        <v>35</v>
      </c>
      <c r="K16" s="100">
        <v>-12.6</v>
      </c>
      <c r="L16" s="100">
        <v>-6.9</v>
      </c>
      <c r="M16" s="100">
        <v>-1.6</v>
      </c>
      <c r="N16" s="901">
        <f>0.5*(MAX(K16:M16)-MIN(K16:M16))</f>
        <v>5.5</v>
      </c>
      <c r="P16" s="900">
        <v>1</v>
      </c>
      <c r="Q16" s="104">
        <v>750</v>
      </c>
      <c r="R16" s="99" t="s">
        <v>364</v>
      </c>
      <c r="S16" s="99" t="s">
        <v>364</v>
      </c>
      <c r="T16" s="903"/>
      <c r="U16" s="901">
        <f>0.5*(MAX(R16:T16)-MIN(R16:T16))</f>
        <v>0</v>
      </c>
      <c r="W16" s="904" t="s">
        <v>397</v>
      </c>
      <c r="X16" s="905">
        <v>0</v>
      </c>
    </row>
    <row r="17" spans="1:24" ht="13" x14ac:dyDescent="0.25">
      <c r="A17" s="1475"/>
      <c r="B17" s="900">
        <v>2</v>
      </c>
      <c r="C17" s="104">
        <v>20</v>
      </c>
      <c r="D17" s="100">
        <v>0.2</v>
      </c>
      <c r="E17" s="100">
        <v>0.7</v>
      </c>
      <c r="F17" s="100">
        <v>-0.1</v>
      </c>
      <c r="G17" s="901">
        <f t="shared" ref="G17:G22" si="3">0.5*(MAX(D17:F17)-MIN(D17:F17))</f>
        <v>0.39999999999999997</v>
      </c>
      <c r="I17" s="900">
        <v>2</v>
      </c>
      <c r="J17" s="104">
        <v>40</v>
      </c>
      <c r="K17" s="100">
        <v>-10.3</v>
      </c>
      <c r="L17" s="100">
        <v>-6.2</v>
      </c>
      <c r="M17" s="100">
        <v>-1.6</v>
      </c>
      <c r="N17" s="901">
        <f t="shared" ref="N17:N22" si="4">0.5*(MAX(K17:M17)-MIN(K17:M17))</f>
        <v>4.3500000000000005</v>
      </c>
      <c r="P17" s="900">
        <v>2</v>
      </c>
      <c r="Q17" s="104">
        <v>800</v>
      </c>
      <c r="R17" s="99" t="s">
        <v>364</v>
      </c>
      <c r="S17" s="99" t="s">
        <v>364</v>
      </c>
      <c r="T17" s="903"/>
      <c r="U17" s="901">
        <f t="shared" ref="U17:U22" si="5">0.5*(MAX(R17:T17)-MIN(R17:T17))</f>
        <v>0</v>
      </c>
    </row>
    <row r="18" spans="1:24" ht="13" x14ac:dyDescent="0.25">
      <c r="A18" s="1475"/>
      <c r="B18" s="900">
        <v>3</v>
      </c>
      <c r="C18" s="104">
        <v>25</v>
      </c>
      <c r="D18" s="100">
        <v>0.3</v>
      </c>
      <c r="E18" s="100">
        <v>0.5</v>
      </c>
      <c r="F18" s="100">
        <v>-0.2</v>
      </c>
      <c r="G18" s="901">
        <f t="shared" si="3"/>
        <v>0.35</v>
      </c>
      <c r="I18" s="900">
        <v>3</v>
      </c>
      <c r="J18" s="104">
        <v>50</v>
      </c>
      <c r="K18" s="100">
        <v>-8</v>
      </c>
      <c r="L18" s="100">
        <v>-5.3</v>
      </c>
      <c r="M18" s="100">
        <v>-1.5</v>
      </c>
      <c r="N18" s="901">
        <f t="shared" si="4"/>
        <v>3.25</v>
      </c>
      <c r="P18" s="900">
        <v>3</v>
      </c>
      <c r="Q18" s="104">
        <v>850</v>
      </c>
      <c r="R18" s="99" t="s">
        <v>364</v>
      </c>
      <c r="S18" s="99" t="s">
        <v>364</v>
      </c>
      <c r="T18" s="903"/>
      <c r="U18" s="901">
        <f t="shared" si="5"/>
        <v>0</v>
      </c>
    </row>
    <row r="19" spans="1:24" ht="13" x14ac:dyDescent="0.25">
      <c r="A19" s="1475"/>
      <c r="B19" s="900">
        <v>4</v>
      </c>
      <c r="C19" s="906">
        <v>30</v>
      </c>
      <c r="D19" s="907">
        <v>0.4</v>
      </c>
      <c r="E19" s="907">
        <v>0.2</v>
      </c>
      <c r="F19" s="907">
        <v>-0.3</v>
      </c>
      <c r="G19" s="901">
        <f t="shared" si="3"/>
        <v>0.35</v>
      </c>
      <c r="I19" s="900">
        <v>4</v>
      </c>
      <c r="J19" s="906">
        <v>60</v>
      </c>
      <c r="K19" s="907">
        <v>-5.7</v>
      </c>
      <c r="L19" s="907">
        <v>-4</v>
      </c>
      <c r="M19" s="907">
        <v>-1.3</v>
      </c>
      <c r="N19" s="901">
        <f t="shared" si="4"/>
        <v>2.2000000000000002</v>
      </c>
      <c r="P19" s="900">
        <v>4</v>
      </c>
      <c r="Q19" s="906">
        <v>900</v>
      </c>
      <c r="R19" s="907" t="s">
        <v>364</v>
      </c>
      <c r="S19" s="907" t="s">
        <v>364</v>
      </c>
      <c r="T19" s="903"/>
      <c r="U19" s="901">
        <f t="shared" si="5"/>
        <v>0</v>
      </c>
    </row>
    <row r="20" spans="1:24" ht="13" x14ac:dyDescent="0.25">
      <c r="A20" s="1475"/>
      <c r="B20" s="900">
        <v>5</v>
      </c>
      <c r="C20" s="906">
        <v>35</v>
      </c>
      <c r="D20" s="907">
        <v>0.5</v>
      </c>
      <c r="E20" s="907">
        <v>-0.1</v>
      </c>
      <c r="F20" s="907">
        <v>-0.3</v>
      </c>
      <c r="G20" s="901">
        <f t="shared" si="3"/>
        <v>0.4</v>
      </c>
      <c r="I20" s="900">
        <v>5</v>
      </c>
      <c r="J20" s="906">
        <v>70</v>
      </c>
      <c r="K20" s="907">
        <v>-3.4</v>
      </c>
      <c r="L20" s="907">
        <v>-2.4</v>
      </c>
      <c r="M20" s="907">
        <v>-1.1000000000000001</v>
      </c>
      <c r="N20" s="901">
        <f t="shared" si="4"/>
        <v>1.1499999999999999</v>
      </c>
      <c r="P20" s="900">
        <v>5</v>
      </c>
      <c r="Q20" s="906">
        <v>1000</v>
      </c>
      <c r="R20" s="907" t="s">
        <v>364</v>
      </c>
      <c r="S20" s="907" t="s">
        <v>364</v>
      </c>
      <c r="T20" s="903"/>
      <c r="U20" s="901">
        <f t="shared" si="5"/>
        <v>0</v>
      </c>
    </row>
    <row r="21" spans="1:24" ht="13" x14ac:dyDescent="0.25">
      <c r="A21" s="1475"/>
      <c r="B21" s="900">
        <v>6</v>
      </c>
      <c r="C21" s="906">
        <v>37</v>
      </c>
      <c r="D21" s="907">
        <v>0.6</v>
      </c>
      <c r="E21" s="907">
        <v>-0.2</v>
      </c>
      <c r="F21" s="907">
        <v>-0.3</v>
      </c>
      <c r="G21" s="901">
        <f t="shared" si="3"/>
        <v>0.44999999999999996</v>
      </c>
      <c r="I21" s="900">
        <v>6</v>
      </c>
      <c r="J21" s="906">
        <v>80</v>
      </c>
      <c r="K21" s="907">
        <v>-1.1000000000000001</v>
      </c>
      <c r="L21" s="907">
        <v>-0.5</v>
      </c>
      <c r="M21" s="907">
        <v>-0.7</v>
      </c>
      <c r="N21" s="901">
        <f t="shared" si="4"/>
        <v>0.30000000000000004</v>
      </c>
      <c r="P21" s="900">
        <v>6</v>
      </c>
      <c r="Q21" s="906">
        <v>1005</v>
      </c>
      <c r="R21" s="907" t="s">
        <v>364</v>
      </c>
      <c r="S21" s="907" t="s">
        <v>364</v>
      </c>
      <c r="T21" s="903"/>
      <c r="U21" s="901">
        <f t="shared" si="5"/>
        <v>0</v>
      </c>
    </row>
    <row r="22" spans="1:24" ht="13.5" thickBot="1" x14ac:dyDescent="0.3">
      <c r="A22" s="1475"/>
      <c r="B22" s="900">
        <v>7</v>
      </c>
      <c r="C22" s="906">
        <v>40</v>
      </c>
      <c r="D22" s="907">
        <v>0.6</v>
      </c>
      <c r="E22" s="907">
        <v>-0.1</v>
      </c>
      <c r="F22" s="907">
        <v>-0.3</v>
      </c>
      <c r="G22" s="901">
        <f t="shared" si="3"/>
        <v>0.44999999999999996</v>
      </c>
      <c r="I22" s="900">
        <v>7</v>
      </c>
      <c r="J22" s="906">
        <v>90</v>
      </c>
      <c r="K22" s="907">
        <v>1.2</v>
      </c>
      <c r="L22" s="907">
        <v>1.7</v>
      </c>
      <c r="M22" s="907">
        <v>-0.3</v>
      </c>
      <c r="N22" s="901">
        <f t="shared" si="4"/>
        <v>1</v>
      </c>
      <c r="P22" s="900">
        <v>7</v>
      </c>
      <c r="Q22" s="906">
        <v>1020</v>
      </c>
      <c r="R22" s="907" t="s">
        <v>364</v>
      </c>
      <c r="S22" s="907" t="s">
        <v>364</v>
      </c>
      <c r="T22" s="903"/>
      <c r="U22" s="901">
        <f t="shared" si="5"/>
        <v>0</v>
      </c>
    </row>
    <row r="23" spans="1:24" ht="13.5" thickBot="1" x14ac:dyDescent="0.35">
      <c r="A23" s="908"/>
      <c r="B23" s="908"/>
      <c r="O23" s="909"/>
      <c r="P23" s="740"/>
    </row>
    <row r="24" spans="1:24" x14ac:dyDescent="0.25">
      <c r="A24" s="1488">
        <v>3</v>
      </c>
      <c r="B24" s="1476" t="s">
        <v>399</v>
      </c>
      <c r="C24" s="1476"/>
      <c r="D24" s="1476"/>
      <c r="E24" s="1476"/>
      <c r="F24" s="1476"/>
      <c r="G24" s="1476"/>
      <c r="I24" s="1476" t="str">
        <f>B24</f>
        <v>KOREKSI KIMO THERMOHYGROMETER 14082463</v>
      </c>
      <c r="J24" s="1476"/>
      <c r="K24" s="1476"/>
      <c r="L24" s="1476"/>
      <c r="M24" s="1476"/>
      <c r="N24" s="1476"/>
      <c r="P24" s="1476" t="str">
        <f>I24</f>
        <v>KOREKSI KIMO THERMOHYGROMETER 14082463</v>
      </c>
      <c r="Q24" s="1476"/>
      <c r="R24" s="1476"/>
      <c r="S24" s="1476"/>
      <c r="T24" s="1476"/>
      <c r="U24" s="1476"/>
      <c r="W24" s="1482" t="s">
        <v>343</v>
      </c>
      <c r="X24" s="1483"/>
    </row>
    <row r="25" spans="1:24" ht="13" x14ac:dyDescent="0.25">
      <c r="A25" s="1489"/>
      <c r="B25" s="1484" t="s">
        <v>390</v>
      </c>
      <c r="C25" s="1484"/>
      <c r="D25" s="1484" t="s">
        <v>391</v>
      </c>
      <c r="E25" s="1484"/>
      <c r="F25" s="1484"/>
      <c r="G25" s="1484" t="s">
        <v>392</v>
      </c>
      <c r="I25" s="1484" t="s">
        <v>393</v>
      </c>
      <c r="J25" s="1484"/>
      <c r="K25" s="1484" t="s">
        <v>391</v>
      </c>
      <c r="L25" s="1484"/>
      <c r="M25" s="1484"/>
      <c r="N25" s="1484" t="s">
        <v>392</v>
      </c>
      <c r="P25" s="1484" t="s">
        <v>394</v>
      </c>
      <c r="Q25" s="1484"/>
      <c r="R25" s="1484" t="s">
        <v>391</v>
      </c>
      <c r="S25" s="1484"/>
      <c r="T25" s="1484"/>
      <c r="U25" s="1484" t="s">
        <v>392</v>
      </c>
      <c r="W25" s="898" t="s">
        <v>390</v>
      </c>
      <c r="X25" s="899">
        <v>0.5</v>
      </c>
    </row>
    <row r="26" spans="1:24" ht="14.5" x14ac:dyDescent="0.25">
      <c r="A26" s="1489"/>
      <c r="B26" s="1474" t="s">
        <v>395</v>
      </c>
      <c r="C26" s="1474"/>
      <c r="D26" s="730">
        <v>2023</v>
      </c>
      <c r="E26" s="730">
        <v>2021</v>
      </c>
      <c r="F26" s="730">
        <v>2018</v>
      </c>
      <c r="G26" s="1484"/>
      <c r="I26" s="1473" t="s">
        <v>396</v>
      </c>
      <c r="J26" s="1474"/>
      <c r="K26" s="730">
        <f>D26</f>
        <v>2023</v>
      </c>
      <c r="L26" s="730">
        <f>E26</f>
        <v>2021</v>
      </c>
      <c r="M26" s="730">
        <v>2016</v>
      </c>
      <c r="N26" s="1484"/>
      <c r="P26" s="1473" t="s">
        <v>397</v>
      </c>
      <c r="Q26" s="1474"/>
      <c r="R26" s="730">
        <f>K26</f>
        <v>2023</v>
      </c>
      <c r="S26" s="730">
        <f>L26</f>
        <v>2021</v>
      </c>
      <c r="T26" s="730">
        <v>2016</v>
      </c>
      <c r="U26" s="1484"/>
      <c r="W26" s="898" t="s">
        <v>396</v>
      </c>
      <c r="X26" s="899">
        <v>2.4</v>
      </c>
    </row>
    <row r="27" spans="1:24" ht="13.5" thickBot="1" x14ac:dyDescent="0.3">
      <c r="A27" s="1489"/>
      <c r="B27" s="900">
        <v>1</v>
      </c>
      <c r="C27" s="104">
        <v>15</v>
      </c>
      <c r="D27" s="100">
        <v>0.2</v>
      </c>
      <c r="E27" s="100">
        <v>0.4</v>
      </c>
      <c r="F27" s="100">
        <v>9.9999999999999995E-7</v>
      </c>
      <c r="G27" s="901">
        <f>0.5*(MAX(D27:F27)-MIN(D27:F27))</f>
        <v>0.19999950000000002</v>
      </c>
      <c r="I27" s="900">
        <v>1</v>
      </c>
      <c r="J27" s="104">
        <v>35</v>
      </c>
      <c r="K27" s="100">
        <v>-11.5</v>
      </c>
      <c r="L27" s="100">
        <v>-7.3</v>
      </c>
      <c r="M27" s="100">
        <v>-5.7</v>
      </c>
      <c r="N27" s="901">
        <f>0.5*(MAX(K27:M27)-MIN(K27:M27))</f>
        <v>2.9</v>
      </c>
      <c r="P27" s="900">
        <v>1</v>
      </c>
      <c r="Q27" s="104">
        <v>750</v>
      </c>
      <c r="R27" s="99" t="s">
        <v>364</v>
      </c>
      <c r="S27" s="99" t="s">
        <v>364</v>
      </c>
      <c r="T27" s="104"/>
      <c r="U27" s="901">
        <f>0.5*(MAX(R27:T27)-MIN(R27:T27))</f>
        <v>0</v>
      </c>
      <c r="W27" s="904" t="s">
        <v>397</v>
      </c>
      <c r="X27" s="905">
        <v>0</v>
      </c>
    </row>
    <row r="28" spans="1:24" ht="13" x14ac:dyDescent="0.25">
      <c r="A28" s="1489"/>
      <c r="B28" s="900">
        <v>2</v>
      </c>
      <c r="C28" s="104">
        <v>20</v>
      </c>
      <c r="D28" s="100">
        <v>0.2</v>
      </c>
      <c r="E28" s="100">
        <v>1</v>
      </c>
      <c r="F28" s="100">
        <v>9.9999999999999995E-7</v>
      </c>
      <c r="G28" s="901">
        <f t="shared" ref="G28:G33" si="6">0.5*(MAX(D28:F28)-MIN(D28:F28))</f>
        <v>0.49999949999999999</v>
      </c>
      <c r="I28" s="900">
        <v>2</v>
      </c>
      <c r="J28" s="104">
        <v>40</v>
      </c>
      <c r="K28" s="100">
        <v>-9.6999999999999993</v>
      </c>
      <c r="L28" s="100">
        <v>-5.9</v>
      </c>
      <c r="M28" s="100">
        <v>-5.3</v>
      </c>
      <c r="N28" s="901">
        <f t="shared" ref="N28:N33" si="7">0.5*(MAX(K28:M28)-MIN(K28:M28))</f>
        <v>2.1999999999999997</v>
      </c>
      <c r="P28" s="900">
        <v>2</v>
      </c>
      <c r="Q28" s="104">
        <v>800</v>
      </c>
      <c r="R28" s="99" t="s">
        <v>364</v>
      </c>
      <c r="S28" s="99" t="s">
        <v>364</v>
      </c>
      <c r="T28" s="104"/>
      <c r="U28" s="901">
        <f t="shared" ref="U28:U33" si="8">0.5*(MAX(R28:T28)-MIN(R28:T28))</f>
        <v>0</v>
      </c>
    </row>
    <row r="29" spans="1:24" ht="13" x14ac:dyDescent="0.25">
      <c r="A29" s="1489"/>
      <c r="B29" s="900">
        <v>3</v>
      </c>
      <c r="C29" s="104">
        <v>25</v>
      </c>
      <c r="D29" s="100">
        <v>0.3</v>
      </c>
      <c r="E29" s="100">
        <v>0.7</v>
      </c>
      <c r="F29" s="100">
        <v>-0.1</v>
      </c>
      <c r="G29" s="901">
        <f t="shared" si="6"/>
        <v>0.39999999999999997</v>
      </c>
      <c r="I29" s="900">
        <v>3</v>
      </c>
      <c r="J29" s="104">
        <v>50</v>
      </c>
      <c r="K29" s="100">
        <v>-7.9</v>
      </c>
      <c r="L29" s="100">
        <v>-4.5</v>
      </c>
      <c r="M29" s="100">
        <v>-4.9000000000000004</v>
      </c>
      <c r="N29" s="901">
        <f t="shared" si="7"/>
        <v>1.7000000000000002</v>
      </c>
      <c r="P29" s="900">
        <v>3</v>
      </c>
      <c r="Q29" s="104">
        <v>850</v>
      </c>
      <c r="R29" s="99" t="s">
        <v>364</v>
      </c>
      <c r="S29" s="99" t="s">
        <v>364</v>
      </c>
      <c r="T29" s="104"/>
      <c r="U29" s="901">
        <f t="shared" si="8"/>
        <v>0</v>
      </c>
    </row>
    <row r="30" spans="1:24" ht="13" x14ac:dyDescent="0.25">
      <c r="A30" s="1489"/>
      <c r="B30" s="900">
        <v>4</v>
      </c>
      <c r="C30" s="906">
        <v>30</v>
      </c>
      <c r="D30" s="100">
        <v>0.3</v>
      </c>
      <c r="E30" s="100">
        <v>9.9999999999999995E-7</v>
      </c>
      <c r="F30" s="907">
        <v>-0.3</v>
      </c>
      <c r="G30" s="901">
        <f t="shared" si="6"/>
        <v>0.3</v>
      </c>
      <c r="I30" s="900">
        <v>4</v>
      </c>
      <c r="J30" s="906">
        <v>60</v>
      </c>
      <c r="K30" s="907">
        <v>-6.2</v>
      </c>
      <c r="L30" s="907">
        <v>-3.2</v>
      </c>
      <c r="M30" s="907">
        <v>-4.3</v>
      </c>
      <c r="N30" s="901">
        <f t="shared" si="7"/>
        <v>1.5</v>
      </c>
      <c r="P30" s="900">
        <v>4</v>
      </c>
      <c r="Q30" s="906">
        <v>900</v>
      </c>
      <c r="R30" s="907" t="s">
        <v>364</v>
      </c>
      <c r="S30" s="907" t="s">
        <v>364</v>
      </c>
      <c r="T30" s="104"/>
      <c r="U30" s="901">
        <f t="shared" si="8"/>
        <v>0</v>
      </c>
    </row>
    <row r="31" spans="1:24" ht="13" x14ac:dyDescent="0.25">
      <c r="A31" s="1489"/>
      <c r="B31" s="900">
        <v>5</v>
      </c>
      <c r="C31" s="906">
        <v>35</v>
      </c>
      <c r="D31" s="100">
        <v>0.3</v>
      </c>
      <c r="E31" s="907">
        <v>-0.3</v>
      </c>
      <c r="F31" s="907">
        <v>-0.5</v>
      </c>
      <c r="G31" s="901">
        <f t="shared" si="6"/>
        <v>0.4</v>
      </c>
      <c r="I31" s="900">
        <v>5</v>
      </c>
      <c r="J31" s="906">
        <v>70</v>
      </c>
      <c r="K31" s="907">
        <v>-4.4000000000000004</v>
      </c>
      <c r="L31" s="907">
        <v>-2</v>
      </c>
      <c r="M31" s="907">
        <v>-3.6</v>
      </c>
      <c r="N31" s="901">
        <f t="shared" si="7"/>
        <v>1.2000000000000002</v>
      </c>
      <c r="P31" s="900">
        <v>5</v>
      </c>
      <c r="Q31" s="906">
        <v>1000</v>
      </c>
      <c r="R31" s="907" t="s">
        <v>364</v>
      </c>
      <c r="S31" s="907" t="s">
        <v>364</v>
      </c>
      <c r="T31" s="104"/>
      <c r="U31" s="901">
        <f t="shared" si="8"/>
        <v>0</v>
      </c>
    </row>
    <row r="32" spans="1:24" ht="13" x14ac:dyDescent="0.25">
      <c r="A32" s="1489"/>
      <c r="B32" s="900">
        <v>6</v>
      </c>
      <c r="C32" s="906">
        <v>37</v>
      </c>
      <c r="D32" s="100">
        <v>0.3</v>
      </c>
      <c r="E32" s="907">
        <v>-0.2</v>
      </c>
      <c r="F32" s="907">
        <v>-0.6</v>
      </c>
      <c r="G32" s="901">
        <f t="shared" si="6"/>
        <v>0.44999999999999996</v>
      </c>
      <c r="I32" s="900">
        <v>6</v>
      </c>
      <c r="J32" s="906">
        <v>80</v>
      </c>
      <c r="K32" s="907">
        <v>-2.7</v>
      </c>
      <c r="L32" s="907">
        <v>-0.8</v>
      </c>
      <c r="M32" s="907">
        <v>-2.9</v>
      </c>
      <c r="N32" s="901">
        <f t="shared" si="7"/>
        <v>1.0499999999999998</v>
      </c>
      <c r="P32" s="900">
        <v>6</v>
      </c>
      <c r="Q32" s="906">
        <v>1005</v>
      </c>
      <c r="R32" s="907" t="s">
        <v>364</v>
      </c>
      <c r="S32" s="907" t="s">
        <v>364</v>
      </c>
      <c r="T32" s="104"/>
      <c r="U32" s="901">
        <f t="shared" si="8"/>
        <v>0</v>
      </c>
    </row>
    <row r="33" spans="1:24" ht="13.5" thickBot="1" x14ac:dyDescent="0.3">
      <c r="A33" s="1490"/>
      <c r="B33" s="900">
        <v>7</v>
      </c>
      <c r="C33" s="906">
        <v>40</v>
      </c>
      <c r="D33" s="100">
        <v>0.3</v>
      </c>
      <c r="E33" s="907">
        <v>0.2</v>
      </c>
      <c r="F33" s="907">
        <v>-0.7</v>
      </c>
      <c r="G33" s="901">
        <f t="shared" si="6"/>
        <v>0.5</v>
      </c>
      <c r="I33" s="900">
        <v>7</v>
      </c>
      <c r="J33" s="906">
        <v>90</v>
      </c>
      <c r="K33" s="907">
        <v>-0.9</v>
      </c>
      <c r="L33" s="907">
        <v>0.3</v>
      </c>
      <c r="M33" s="907">
        <v>-2</v>
      </c>
      <c r="N33" s="901">
        <f t="shared" si="7"/>
        <v>1.1499999999999999</v>
      </c>
      <c r="P33" s="900">
        <v>7</v>
      </c>
      <c r="Q33" s="906">
        <v>1020</v>
      </c>
      <c r="R33" s="907" t="s">
        <v>364</v>
      </c>
      <c r="S33" s="907" t="s">
        <v>364</v>
      </c>
      <c r="T33" s="104"/>
      <c r="U33" s="901">
        <f t="shared" si="8"/>
        <v>0</v>
      </c>
    </row>
    <row r="34" spans="1:24" ht="13.5" thickBot="1" x14ac:dyDescent="0.35">
      <c r="A34" s="908"/>
      <c r="B34" s="908"/>
      <c r="H34" s="863"/>
      <c r="O34" s="909"/>
      <c r="P34" s="740"/>
    </row>
    <row r="35" spans="1:24" x14ac:dyDescent="0.25">
      <c r="A35" s="1488">
        <v>4</v>
      </c>
      <c r="B35" s="1476" t="s">
        <v>400</v>
      </c>
      <c r="C35" s="1476"/>
      <c r="D35" s="1476"/>
      <c r="E35" s="1476"/>
      <c r="F35" s="1476"/>
      <c r="G35" s="1476"/>
      <c r="I35" s="1476" t="str">
        <f>B35</f>
        <v>KOREKSI KIMO THERMOHYGROMETER 15062872</v>
      </c>
      <c r="J35" s="1476"/>
      <c r="K35" s="1476"/>
      <c r="L35" s="1476"/>
      <c r="M35" s="1476"/>
      <c r="N35" s="1476"/>
      <c r="P35" s="1476" t="str">
        <f>I35</f>
        <v>KOREKSI KIMO THERMOHYGROMETER 15062872</v>
      </c>
      <c r="Q35" s="1476"/>
      <c r="R35" s="1476"/>
      <c r="S35" s="1476"/>
      <c r="T35" s="1476"/>
      <c r="U35" s="1476"/>
      <c r="W35" s="1482" t="s">
        <v>343</v>
      </c>
      <c r="X35" s="1483"/>
    </row>
    <row r="36" spans="1:24" ht="13" x14ac:dyDescent="0.25">
      <c r="A36" s="1489"/>
      <c r="B36" s="1484" t="s">
        <v>390</v>
      </c>
      <c r="C36" s="1484"/>
      <c r="D36" s="1484" t="s">
        <v>391</v>
      </c>
      <c r="E36" s="1484"/>
      <c r="F36" s="1484"/>
      <c r="G36" s="1484" t="s">
        <v>392</v>
      </c>
      <c r="I36" s="1484" t="s">
        <v>393</v>
      </c>
      <c r="J36" s="1484"/>
      <c r="K36" s="1484" t="s">
        <v>391</v>
      </c>
      <c r="L36" s="1484"/>
      <c r="M36" s="1484"/>
      <c r="N36" s="1484" t="s">
        <v>392</v>
      </c>
      <c r="P36" s="1484" t="s">
        <v>394</v>
      </c>
      <c r="Q36" s="1484"/>
      <c r="R36" s="1484" t="s">
        <v>391</v>
      </c>
      <c r="S36" s="1484"/>
      <c r="T36" s="1484"/>
      <c r="U36" s="1484" t="s">
        <v>392</v>
      </c>
      <c r="W36" s="898" t="s">
        <v>390</v>
      </c>
      <c r="X36" s="899">
        <v>0.3</v>
      </c>
    </row>
    <row r="37" spans="1:24" ht="14.5" x14ac:dyDescent="0.25">
      <c r="A37" s="1489"/>
      <c r="B37" s="1474" t="s">
        <v>395</v>
      </c>
      <c r="C37" s="1474"/>
      <c r="D37" s="730">
        <v>2019</v>
      </c>
      <c r="E37" s="730">
        <v>2017</v>
      </c>
      <c r="F37" s="730">
        <v>2016</v>
      </c>
      <c r="G37" s="1484"/>
      <c r="I37" s="1473" t="s">
        <v>396</v>
      </c>
      <c r="J37" s="1474"/>
      <c r="K37" s="730">
        <f>D37</f>
        <v>2019</v>
      </c>
      <c r="L37" s="730">
        <f>E37</f>
        <v>2017</v>
      </c>
      <c r="M37" s="730">
        <v>2016</v>
      </c>
      <c r="N37" s="1484"/>
      <c r="P37" s="1473" t="s">
        <v>397</v>
      </c>
      <c r="Q37" s="1474"/>
      <c r="R37" s="730">
        <f>K37</f>
        <v>2019</v>
      </c>
      <c r="S37" s="730">
        <f>L37</f>
        <v>2017</v>
      </c>
      <c r="T37" s="730">
        <v>2016</v>
      </c>
      <c r="U37" s="1484"/>
      <c r="W37" s="898" t="s">
        <v>396</v>
      </c>
      <c r="X37" s="899">
        <v>1.3</v>
      </c>
    </row>
    <row r="38" spans="1:24" ht="13.5" thickBot="1" x14ac:dyDescent="0.3">
      <c r="A38" s="1489"/>
      <c r="B38" s="900">
        <v>1</v>
      </c>
      <c r="C38" s="104">
        <v>15</v>
      </c>
      <c r="D38" s="100">
        <v>-0.2</v>
      </c>
      <c r="E38" s="100">
        <v>-0.1</v>
      </c>
      <c r="F38" s="903"/>
      <c r="G38" s="901">
        <f>0.5*(MAX(D38:F38)-MIN(D38:F38))</f>
        <v>0.05</v>
      </c>
      <c r="I38" s="900">
        <v>1</v>
      </c>
      <c r="J38" s="104">
        <v>35</v>
      </c>
      <c r="K38" s="100">
        <v>-4.5</v>
      </c>
      <c r="L38" s="100">
        <v>-1.7</v>
      </c>
      <c r="M38" s="903"/>
      <c r="N38" s="901">
        <f>0.5*(MAX(K38:M38)-MIN(K38:M38))</f>
        <v>1.4</v>
      </c>
      <c r="P38" s="900">
        <v>1</v>
      </c>
      <c r="Q38" s="104">
        <v>750</v>
      </c>
      <c r="R38" s="99" t="s">
        <v>364</v>
      </c>
      <c r="S38" s="99" t="s">
        <v>364</v>
      </c>
      <c r="T38" s="903"/>
      <c r="U38" s="901">
        <f>0.5*(MAX(R38:T38)-MIN(R38:T38))</f>
        <v>0</v>
      </c>
      <c r="W38" s="904" t="s">
        <v>397</v>
      </c>
      <c r="X38" s="905">
        <v>0</v>
      </c>
    </row>
    <row r="39" spans="1:24" ht="13" x14ac:dyDescent="0.25">
      <c r="A39" s="1489"/>
      <c r="B39" s="900">
        <v>2</v>
      </c>
      <c r="C39" s="104">
        <v>20</v>
      </c>
      <c r="D39" s="100">
        <v>-0.1</v>
      </c>
      <c r="E39" s="100">
        <v>-0.3</v>
      </c>
      <c r="F39" s="903"/>
      <c r="G39" s="901">
        <f t="shared" ref="G39:G44" si="9">0.5*(MAX(D39:F39)-MIN(D39:F39))</f>
        <v>9.9999999999999992E-2</v>
      </c>
      <c r="I39" s="900">
        <v>2</v>
      </c>
      <c r="J39" s="104">
        <v>40</v>
      </c>
      <c r="K39" s="100">
        <v>-4.4000000000000004</v>
      </c>
      <c r="L39" s="100">
        <v>-1.5</v>
      </c>
      <c r="M39" s="903"/>
      <c r="N39" s="901">
        <f t="shared" ref="N39:N44" si="10">0.5*(MAX(K39:L39)-MIN(K39:L39))</f>
        <v>1.4500000000000002</v>
      </c>
      <c r="P39" s="900">
        <v>2</v>
      </c>
      <c r="Q39" s="104">
        <v>800</v>
      </c>
      <c r="R39" s="99" t="s">
        <v>364</v>
      </c>
      <c r="S39" s="99" t="s">
        <v>364</v>
      </c>
      <c r="T39" s="903"/>
      <c r="U39" s="901">
        <f t="shared" ref="U39:U44" si="11">0.5*(MAX(R39:T39)-MIN(R39:T39))</f>
        <v>0</v>
      </c>
    </row>
    <row r="40" spans="1:24" ht="13" x14ac:dyDescent="0.25">
      <c r="A40" s="1489"/>
      <c r="B40" s="900">
        <v>3</v>
      </c>
      <c r="C40" s="104">
        <v>25</v>
      </c>
      <c r="D40" s="100">
        <v>-0.1</v>
      </c>
      <c r="E40" s="100">
        <v>-0.5</v>
      </c>
      <c r="F40" s="903"/>
      <c r="G40" s="901">
        <f t="shared" si="9"/>
        <v>0.2</v>
      </c>
      <c r="I40" s="900">
        <v>3</v>
      </c>
      <c r="J40" s="104">
        <v>50</v>
      </c>
      <c r="K40" s="100">
        <v>-4.3</v>
      </c>
      <c r="L40" s="100">
        <v>-1</v>
      </c>
      <c r="M40" s="903"/>
      <c r="N40" s="901">
        <f t="shared" si="10"/>
        <v>1.65</v>
      </c>
      <c r="P40" s="900">
        <v>3</v>
      </c>
      <c r="Q40" s="104">
        <v>850</v>
      </c>
      <c r="R40" s="99" t="s">
        <v>364</v>
      </c>
      <c r="S40" s="99" t="s">
        <v>364</v>
      </c>
      <c r="T40" s="903"/>
      <c r="U40" s="901">
        <f t="shared" si="11"/>
        <v>0</v>
      </c>
    </row>
    <row r="41" spans="1:24" ht="13" x14ac:dyDescent="0.25">
      <c r="A41" s="1489"/>
      <c r="B41" s="900">
        <v>4</v>
      </c>
      <c r="C41" s="906">
        <v>30</v>
      </c>
      <c r="D41" s="907">
        <v>-0.1</v>
      </c>
      <c r="E41" s="907">
        <v>-0.6</v>
      </c>
      <c r="F41" s="903"/>
      <c r="G41" s="901">
        <f t="shared" si="9"/>
        <v>0.25</v>
      </c>
      <c r="I41" s="900">
        <v>4</v>
      </c>
      <c r="J41" s="906">
        <v>60</v>
      </c>
      <c r="K41" s="907">
        <v>-4.2</v>
      </c>
      <c r="L41" s="907">
        <v>-0.3</v>
      </c>
      <c r="M41" s="903"/>
      <c r="N41" s="901">
        <f t="shared" si="10"/>
        <v>1.9500000000000002</v>
      </c>
      <c r="P41" s="900">
        <v>4</v>
      </c>
      <c r="Q41" s="906">
        <v>900</v>
      </c>
      <c r="R41" s="907" t="s">
        <v>364</v>
      </c>
      <c r="S41" s="907" t="s">
        <v>364</v>
      </c>
      <c r="T41" s="903"/>
      <c r="U41" s="901">
        <f t="shared" si="11"/>
        <v>0</v>
      </c>
    </row>
    <row r="42" spans="1:24" ht="13" x14ac:dyDescent="0.25">
      <c r="A42" s="1489"/>
      <c r="B42" s="900">
        <v>5</v>
      </c>
      <c r="C42" s="906">
        <v>35</v>
      </c>
      <c r="D42" s="907">
        <v>-0.3</v>
      </c>
      <c r="E42" s="907">
        <v>-0.6</v>
      </c>
      <c r="F42" s="903"/>
      <c r="G42" s="901">
        <f t="shared" si="9"/>
        <v>0.15</v>
      </c>
      <c r="I42" s="900">
        <v>5</v>
      </c>
      <c r="J42" s="906">
        <v>70</v>
      </c>
      <c r="K42" s="907">
        <v>-4</v>
      </c>
      <c r="L42" s="907">
        <v>0.7</v>
      </c>
      <c r="M42" s="903"/>
      <c r="N42" s="901">
        <f t="shared" si="10"/>
        <v>2.35</v>
      </c>
      <c r="P42" s="900">
        <v>5</v>
      </c>
      <c r="Q42" s="906">
        <v>1000</v>
      </c>
      <c r="R42" s="907" t="s">
        <v>364</v>
      </c>
      <c r="S42" s="907" t="s">
        <v>364</v>
      </c>
      <c r="T42" s="903"/>
      <c r="U42" s="901">
        <f t="shared" si="11"/>
        <v>0</v>
      </c>
    </row>
    <row r="43" spans="1:24" ht="13" x14ac:dyDescent="0.25">
      <c r="A43" s="1489"/>
      <c r="B43" s="900">
        <v>6</v>
      </c>
      <c r="C43" s="906">
        <v>37</v>
      </c>
      <c r="D43" s="907">
        <v>-0.4</v>
      </c>
      <c r="E43" s="907">
        <v>-0.6</v>
      </c>
      <c r="F43" s="903"/>
      <c r="G43" s="901">
        <f t="shared" si="9"/>
        <v>9.9999999999999978E-2</v>
      </c>
      <c r="I43" s="900">
        <v>6</v>
      </c>
      <c r="J43" s="906">
        <v>80</v>
      </c>
      <c r="K43" s="907">
        <v>-3.8</v>
      </c>
      <c r="L43" s="907">
        <v>1.9</v>
      </c>
      <c r="M43" s="903"/>
      <c r="N43" s="901">
        <f t="shared" si="10"/>
        <v>2.8499999999999996</v>
      </c>
      <c r="P43" s="900">
        <v>6</v>
      </c>
      <c r="Q43" s="906">
        <v>1005</v>
      </c>
      <c r="R43" s="907" t="s">
        <v>364</v>
      </c>
      <c r="S43" s="907" t="s">
        <v>364</v>
      </c>
      <c r="T43" s="903"/>
      <c r="U43" s="901">
        <f t="shared" si="11"/>
        <v>0</v>
      </c>
    </row>
    <row r="44" spans="1:24" ht="13.5" thickBot="1" x14ac:dyDescent="0.3">
      <c r="A44" s="1490"/>
      <c r="B44" s="900">
        <v>7</v>
      </c>
      <c r="C44" s="906">
        <v>40</v>
      </c>
      <c r="D44" s="907">
        <v>-0.5</v>
      </c>
      <c r="E44" s="907">
        <v>-0.6</v>
      </c>
      <c r="F44" s="903"/>
      <c r="G44" s="901">
        <f t="shared" si="9"/>
        <v>4.9999999999999989E-2</v>
      </c>
      <c r="I44" s="900">
        <v>7</v>
      </c>
      <c r="J44" s="906">
        <v>90</v>
      </c>
      <c r="K44" s="907">
        <v>-3.5</v>
      </c>
      <c r="L44" s="907">
        <v>3.3</v>
      </c>
      <c r="M44" s="903"/>
      <c r="N44" s="901">
        <f t="shared" si="10"/>
        <v>3.4</v>
      </c>
      <c r="P44" s="900">
        <v>7</v>
      </c>
      <c r="Q44" s="906">
        <v>1020</v>
      </c>
      <c r="R44" s="907" t="s">
        <v>364</v>
      </c>
      <c r="S44" s="907" t="s">
        <v>364</v>
      </c>
      <c r="T44" s="903"/>
      <c r="U44" s="901">
        <f t="shared" si="11"/>
        <v>0</v>
      </c>
    </row>
    <row r="45" spans="1:24" ht="13.5" thickBot="1" x14ac:dyDescent="0.35">
      <c r="A45" s="908"/>
      <c r="B45" s="908"/>
      <c r="O45" s="909"/>
      <c r="P45" s="740"/>
    </row>
    <row r="46" spans="1:24" x14ac:dyDescent="0.25">
      <c r="A46" s="1488">
        <v>5</v>
      </c>
      <c r="B46" s="1476" t="s">
        <v>401</v>
      </c>
      <c r="C46" s="1476"/>
      <c r="D46" s="1476"/>
      <c r="E46" s="1476"/>
      <c r="F46" s="1476"/>
      <c r="G46" s="1476"/>
      <c r="I46" s="1476" t="str">
        <f>B46</f>
        <v>KOREKSI KIMO THERMOHYGROMETER 15062875</v>
      </c>
      <c r="J46" s="1476"/>
      <c r="K46" s="1476"/>
      <c r="L46" s="1476"/>
      <c r="M46" s="1476"/>
      <c r="N46" s="1476"/>
      <c r="P46" s="1476" t="str">
        <f>I46</f>
        <v>KOREKSI KIMO THERMOHYGROMETER 15062875</v>
      </c>
      <c r="Q46" s="1476"/>
      <c r="R46" s="1476"/>
      <c r="S46" s="1476"/>
      <c r="T46" s="1476"/>
      <c r="U46" s="1476"/>
      <c r="W46" s="1482" t="s">
        <v>343</v>
      </c>
      <c r="X46" s="1483"/>
    </row>
    <row r="47" spans="1:24" ht="13" x14ac:dyDescent="0.25">
      <c r="A47" s="1489"/>
      <c r="B47" s="1484" t="s">
        <v>390</v>
      </c>
      <c r="C47" s="1484"/>
      <c r="D47" s="1484" t="s">
        <v>391</v>
      </c>
      <c r="E47" s="1484"/>
      <c r="F47" s="1484"/>
      <c r="G47" s="1484" t="s">
        <v>392</v>
      </c>
      <c r="I47" s="1484" t="s">
        <v>393</v>
      </c>
      <c r="J47" s="1484"/>
      <c r="K47" s="1484" t="s">
        <v>391</v>
      </c>
      <c r="L47" s="1484"/>
      <c r="M47" s="1484"/>
      <c r="N47" s="1484" t="s">
        <v>392</v>
      </c>
      <c r="P47" s="1484" t="s">
        <v>394</v>
      </c>
      <c r="Q47" s="1484"/>
      <c r="R47" s="1484" t="s">
        <v>391</v>
      </c>
      <c r="S47" s="1484"/>
      <c r="T47" s="1484"/>
      <c r="U47" s="1484" t="s">
        <v>392</v>
      </c>
      <c r="W47" s="898" t="s">
        <v>390</v>
      </c>
      <c r="X47" s="899">
        <v>0.5</v>
      </c>
    </row>
    <row r="48" spans="1:24" ht="14.5" x14ac:dyDescent="0.25">
      <c r="A48" s="1489"/>
      <c r="B48" s="1474" t="s">
        <v>395</v>
      </c>
      <c r="C48" s="1474"/>
      <c r="D48" s="730">
        <v>2023</v>
      </c>
      <c r="E48" s="730">
        <v>2020</v>
      </c>
      <c r="F48" s="730">
        <v>2017</v>
      </c>
      <c r="G48" s="1484"/>
      <c r="I48" s="1473" t="s">
        <v>396</v>
      </c>
      <c r="J48" s="1474"/>
      <c r="K48" s="730">
        <f>D48</f>
        <v>2023</v>
      </c>
      <c r="L48" s="730">
        <f>E48</f>
        <v>2020</v>
      </c>
      <c r="M48" s="730">
        <v>2016</v>
      </c>
      <c r="N48" s="1484"/>
      <c r="P48" s="1473" t="s">
        <v>397</v>
      </c>
      <c r="Q48" s="1474"/>
      <c r="R48" s="730">
        <f>K48</f>
        <v>2023</v>
      </c>
      <c r="S48" s="730">
        <f>L48</f>
        <v>2020</v>
      </c>
      <c r="T48" s="730">
        <v>2016</v>
      </c>
      <c r="U48" s="1484"/>
      <c r="W48" s="898" t="s">
        <v>396</v>
      </c>
      <c r="X48" s="899">
        <v>2.2999999999999998</v>
      </c>
    </row>
    <row r="49" spans="1:24" ht="13.5" thickBot="1" x14ac:dyDescent="0.3">
      <c r="A49" s="1489"/>
      <c r="B49" s="900">
        <v>1</v>
      </c>
      <c r="C49" s="104">
        <v>15</v>
      </c>
      <c r="D49" s="100">
        <v>0.3</v>
      </c>
      <c r="E49" s="100">
        <v>-0.3</v>
      </c>
      <c r="F49" s="100">
        <v>0.3</v>
      </c>
      <c r="G49" s="901">
        <f>0.5*(MAX(D49:F49)-MIN(D49:F49))</f>
        <v>0.3</v>
      </c>
      <c r="I49" s="900">
        <v>1</v>
      </c>
      <c r="J49" s="104">
        <v>35</v>
      </c>
      <c r="K49" s="100">
        <v>-10.5</v>
      </c>
      <c r="L49" s="100">
        <v>-7.7</v>
      </c>
      <c r="M49" s="100">
        <v>-9.6</v>
      </c>
      <c r="N49" s="901">
        <f>0.5*(MAX(K49:M49)-MIN(K49:M49))</f>
        <v>1.4</v>
      </c>
      <c r="P49" s="900">
        <v>1</v>
      </c>
      <c r="Q49" s="104">
        <v>750</v>
      </c>
      <c r="R49" s="99" t="s">
        <v>364</v>
      </c>
      <c r="S49" s="99" t="s">
        <v>364</v>
      </c>
      <c r="T49" s="903"/>
      <c r="U49" s="901">
        <f>0.5*(MAX(R49:T49)-MIN(R49:T49))</f>
        <v>0</v>
      </c>
      <c r="W49" s="904" t="s">
        <v>397</v>
      </c>
      <c r="X49" s="905">
        <v>0</v>
      </c>
    </row>
    <row r="50" spans="1:24" ht="13" x14ac:dyDescent="0.25">
      <c r="A50" s="1489"/>
      <c r="B50" s="900">
        <v>2</v>
      </c>
      <c r="C50" s="104">
        <v>20</v>
      </c>
      <c r="D50" s="100">
        <v>0.4</v>
      </c>
      <c r="E50" s="100">
        <v>0.1</v>
      </c>
      <c r="F50" s="100">
        <v>0.3</v>
      </c>
      <c r="G50" s="901">
        <f t="shared" ref="G50:G55" si="12">0.5*(MAX(D50:F50)-MIN(D50:F50))</f>
        <v>0.15000000000000002</v>
      </c>
      <c r="I50" s="900">
        <v>2</v>
      </c>
      <c r="J50" s="104">
        <v>40</v>
      </c>
      <c r="K50" s="100">
        <v>-9.6</v>
      </c>
      <c r="L50" s="100">
        <v>-7.2</v>
      </c>
      <c r="M50" s="100">
        <v>-8</v>
      </c>
      <c r="N50" s="901">
        <f t="shared" ref="N50:N55" si="13">0.5*(MAX(K50:M50)-MIN(K50:M50))</f>
        <v>1.1999999999999997</v>
      </c>
      <c r="P50" s="900">
        <v>2</v>
      </c>
      <c r="Q50" s="104">
        <v>800</v>
      </c>
      <c r="R50" s="99" t="s">
        <v>364</v>
      </c>
      <c r="S50" s="99" t="s">
        <v>364</v>
      </c>
      <c r="T50" s="903"/>
      <c r="U50" s="901">
        <f t="shared" ref="U50:U55" si="14">0.5*(MAX(R50:T50)-MIN(R50:T50))</f>
        <v>0</v>
      </c>
    </row>
    <row r="51" spans="1:24" ht="13" x14ac:dyDescent="0.25">
      <c r="A51" s="1489"/>
      <c r="B51" s="900">
        <v>3</v>
      </c>
      <c r="C51" s="104">
        <v>25</v>
      </c>
      <c r="D51" s="100">
        <v>0.4</v>
      </c>
      <c r="E51" s="100">
        <v>0.4</v>
      </c>
      <c r="F51" s="100">
        <v>0.2</v>
      </c>
      <c r="G51" s="901">
        <f t="shared" si="12"/>
        <v>0.1</v>
      </c>
      <c r="I51" s="900">
        <v>3</v>
      </c>
      <c r="J51" s="104">
        <v>50</v>
      </c>
      <c r="K51" s="100">
        <v>-8.8000000000000007</v>
      </c>
      <c r="L51" s="100">
        <v>-6.2</v>
      </c>
      <c r="M51" s="100">
        <v>-6.2</v>
      </c>
      <c r="N51" s="901">
        <f t="shared" si="13"/>
        <v>1.3000000000000003</v>
      </c>
      <c r="P51" s="900">
        <v>3</v>
      </c>
      <c r="Q51" s="104">
        <v>850</v>
      </c>
      <c r="R51" s="99" t="s">
        <v>364</v>
      </c>
      <c r="S51" s="99" t="s">
        <v>364</v>
      </c>
      <c r="T51" s="903"/>
      <c r="U51" s="901">
        <f t="shared" si="14"/>
        <v>0</v>
      </c>
    </row>
    <row r="52" spans="1:24" ht="13" x14ac:dyDescent="0.25">
      <c r="A52" s="1489"/>
      <c r="B52" s="900">
        <v>4</v>
      </c>
      <c r="C52" s="906">
        <v>30</v>
      </c>
      <c r="D52" s="100">
        <v>0.4</v>
      </c>
      <c r="E52" s="907">
        <v>0.6</v>
      </c>
      <c r="F52" s="907">
        <v>0.1</v>
      </c>
      <c r="G52" s="901">
        <f t="shared" si="12"/>
        <v>0.25</v>
      </c>
      <c r="I52" s="900">
        <v>4</v>
      </c>
      <c r="J52" s="906">
        <v>60</v>
      </c>
      <c r="K52" s="907">
        <v>-8</v>
      </c>
      <c r="L52" s="907">
        <v>-5.2</v>
      </c>
      <c r="M52" s="907">
        <v>-4.2</v>
      </c>
      <c r="N52" s="901">
        <f t="shared" si="13"/>
        <v>1.9</v>
      </c>
      <c r="P52" s="900">
        <v>4</v>
      </c>
      <c r="Q52" s="906">
        <v>900</v>
      </c>
      <c r="R52" s="907" t="s">
        <v>364</v>
      </c>
      <c r="S52" s="907" t="s">
        <v>364</v>
      </c>
      <c r="T52" s="903"/>
      <c r="U52" s="901">
        <f t="shared" si="14"/>
        <v>0</v>
      </c>
    </row>
    <row r="53" spans="1:24" ht="13" x14ac:dyDescent="0.25">
      <c r="A53" s="1489"/>
      <c r="B53" s="900">
        <v>5</v>
      </c>
      <c r="C53" s="906">
        <v>35</v>
      </c>
      <c r="D53" s="100">
        <v>0.4</v>
      </c>
      <c r="E53" s="907">
        <v>0.7</v>
      </c>
      <c r="F53" s="100">
        <v>9.9999999999999995E-7</v>
      </c>
      <c r="G53" s="901">
        <f t="shared" si="12"/>
        <v>0.34999949999999996</v>
      </c>
      <c r="I53" s="900">
        <v>5</v>
      </c>
      <c r="J53" s="906">
        <v>70</v>
      </c>
      <c r="K53" s="907">
        <v>-7.1</v>
      </c>
      <c r="L53" s="907">
        <v>-4.0999999999999996</v>
      </c>
      <c r="M53" s="907">
        <v>-2.1</v>
      </c>
      <c r="N53" s="901">
        <f t="shared" si="13"/>
        <v>2.5</v>
      </c>
      <c r="P53" s="900">
        <v>5</v>
      </c>
      <c r="Q53" s="906">
        <v>1000</v>
      </c>
      <c r="R53" s="907" t="s">
        <v>364</v>
      </c>
      <c r="S53" s="907" t="s">
        <v>364</v>
      </c>
      <c r="T53" s="903"/>
      <c r="U53" s="901">
        <f t="shared" si="14"/>
        <v>0</v>
      </c>
    </row>
    <row r="54" spans="1:24" ht="13" x14ac:dyDescent="0.25">
      <c r="A54" s="1489"/>
      <c r="B54" s="900">
        <v>6</v>
      </c>
      <c r="C54" s="906">
        <v>37</v>
      </c>
      <c r="D54" s="100">
        <v>0.03</v>
      </c>
      <c r="E54" s="907">
        <v>0.7</v>
      </c>
      <c r="F54" s="100">
        <v>9.9999999999999995E-7</v>
      </c>
      <c r="G54" s="901">
        <f t="shared" si="12"/>
        <v>0.34999949999999996</v>
      </c>
      <c r="I54" s="900">
        <v>6</v>
      </c>
      <c r="J54" s="906">
        <v>80</v>
      </c>
      <c r="K54" s="907">
        <v>-6.3</v>
      </c>
      <c r="L54" s="907">
        <v>-3</v>
      </c>
      <c r="M54" s="907">
        <v>0.2</v>
      </c>
      <c r="N54" s="901">
        <f t="shared" si="13"/>
        <v>3.25</v>
      </c>
      <c r="P54" s="900">
        <v>6</v>
      </c>
      <c r="Q54" s="906">
        <v>1005</v>
      </c>
      <c r="R54" s="907" t="s">
        <v>364</v>
      </c>
      <c r="S54" s="907" t="s">
        <v>364</v>
      </c>
      <c r="T54" s="903"/>
      <c r="U54" s="901">
        <f t="shared" si="14"/>
        <v>0</v>
      </c>
    </row>
    <row r="55" spans="1:24" ht="13.5" thickBot="1" x14ac:dyDescent="0.3">
      <c r="A55" s="1490"/>
      <c r="B55" s="900">
        <v>7</v>
      </c>
      <c r="C55" s="906">
        <v>40</v>
      </c>
      <c r="D55" s="907">
        <v>0.3</v>
      </c>
      <c r="E55" s="907">
        <v>0.7</v>
      </c>
      <c r="F55" s="907">
        <v>-0.1</v>
      </c>
      <c r="G55" s="901">
        <f t="shared" si="12"/>
        <v>0.39999999999999997</v>
      </c>
      <c r="I55" s="900">
        <v>7</v>
      </c>
      <c r="J55" s="906">
        <v>90</v>
      </c>
      <c r="K55" s="907">
        <v>-5.4</v>
      </c>
      <c r="L55" s="907">
        <v>-1.8</v>
      </c>
      <c r="M55" s="907">
        <v>2.7</v>
      </c>
      <c r="N55" s="901">
        <f t="shared" si="13"/>
        <v>4.0500000000000007</v>
      </c>
      <c r="P55" s="900">
        <v>7</v>
      </c>
      <c r="Q55" s="906">
        <v>1020</v>
      </c>
      <c r="R55" s="907" t="s">
        <v>364</v>
      </c>
      <c r="S55" s="907" t="s">
        <v>364</v>
      </c>
      <c r="T55" s="903"/>
      <c r="U55" s="901">
        <f t="shared" si="14"/>
        <v>0</v>
      </c>
    </row>
    <row r="56" spans="1:24" ht="13.5" thickBot="1" x14ac:dyDescent="0.35">
      <c r="A56" s="114"/>
      <c r="B56" s="534"/>
      <c r="C56" s="534"/>
      <c r="D56" s="534"/>
      <c r="E56" s="910"/>
      <c r="F56" s="109"/>
      <c r="G56" s="717"/>
      <c r="H56" s="534"/>
      <c r="I56" s="534"/>
      <c r="J56" s="534"/>
      <c r="K56" s="910"/>
      <c r="L56" s="109"/>
      <c r="O56" s="909"/>
      <c r="P56" s="740"/>
    </row>
    <row r="57" spans="1:24" x14ac:dyDescent="0.25">
      <c r="A57" s="1475">
        <v>6</v>
      </c>
      <c r="B57" s="1476" t="s">
        <v>402</v>
      </c>
      <c r="C57" s="1476"/>
      <c r="D57" s="1476"/>
      <c r="E57" s="1476"/>
      <c r="F57" s="1476"/>
      <c r="G57" s="1476"/>
      <c r="I57" s="1476" t="str">
        <f>B57</f>
        <v>KOREKSI GREISINGER 34903046</v>
      </c>
      <c r="J57" s="1476"/>
      <c r="K57" s="1476"/>
      <c r="L57" s="1476"/>
      <c r="M57" s="1476"/>
      <c r="N57" s="1476"/>
      <c r="P57" s="1476" t="str">
        <f>I57</f>
        <v>KOREKSI GREISINGER 34903046</v>
      </c>
      <c r="Q57" s="1476"/>
      <c r="R57" s="1476"/>
      <c r="S57" s="1476"/>
      <c r="T57" s="1476"/>
      <c r="U57" s="1476"/>
      <c r="W57" s="1482" t="s">
        <v>343</v>
      </c>
      <c r="X57" s="1483"/>
    </row>
    <row r="58" spans="1:24" ht="13" x14ac:dyDescent="0.25">
      <c r="A58" s="1475"/>
      <c r="B58" s="1484" t="s">
        <v>390</v>
      </c>
      <c r="C58" s="1484"/>
      <c r="D58" s="1484" t="s">
        <v>391</v>
      </c>
      <c r="E58" s="1484"/>
      <c r="F58" s="1484"/>
      <c r="G58" s="1484" t="s">
        <v>392</v>
      </c>
      <c r="I58" s="1484" t="s">
        <v>393</v>
      </c>
      <c r="J58" s="1484"/>
      <c r="K58" s="1484" t="s">
        <v>391</v>
      </c>
      <c r="L58" s="1484"/>
      <c r="M58" s="1484"/>
      <c r="N58" s="1484" t="s">
        <v>392</v>
      </c>
      <c r="P58" s="1484" t="s">
        <v>394</v>
      </c>
      <c r="Q58" s="1484"/>
      <c r="R58" s="1485" t="s">
        <v>391</v>
      </c>
      <c r="S58" s="1486"/>
      <c r="T58" s="1487"/>
      <c r="U58" s="1484" t="s">
        <v>392</v>
      </c>
      <c r="W58" s="898" t="s">
        <v>390</v>
      </c>
      <c r="X58" s="899">
        <v>0.8</v>
      </c>
    </row>
    <row r="59" spans="1:24" ht="14.5" x14ac:dyDescent="0.25">
      <c r="A59" s="1475"/>
      <c r="B59" s="1474" t="s">
        <v>395</v>
      </c>
      <c r="C59" s="1474"/>
      <c r="D59" s="730">
        <v>2019</v>
      </c>
      <c r="E59" s="730">
        <v>2018</v>
      </c>
      <c r="F59" s="730">
        <v>2016</v>
      </c>
      <c r="G59" s="1484"/>
      <c r="I59" s="1473" t="s">
        <v>396</v>
      </c>
      <c r="J59" s="1474"/>
      <c r="K59" s="730">
        <f>D59</f>
        <v>2019</v>
      </c>
      <c r="L59" s="730">
        <f>E59</f>
        <v>2018</v>
      </c>
      <c r="M59" s="730">
        <v>2016</v>
      </c>
      <c r="N59" s="1484"/>
      <c r="P59" s="1473" t="s">
        <v>397</v>
      </c>
      <c r="Q59" s="1474"/>
      <c r="R59" s="730">
        <f>K59</f>
        <v>2019</v>
      </c>
      <c r="S59" s="730">
        <f>L59</f>
        <v>2018</v>
      </c>
      <c r="T59" s="730">
        <v>2016</v>
      </c>
      <c r="U59" s="1484"/>
      <c r="W59" s="898" t="s">
        <v>396</v>
      </c>
      <c r="X59" s="899">
        <v>2.6</v>
      </c>
    </row>
    <row r="60" spans="1:24" ht="13.5" thickBot="1" x14ac:dyDescent="0.3">
      <c r="A60" s="1475"/>
      <c r="B60" s="900">
        <v>1</v>
      </c>
      <c r="C60" s="104">
        <v>15</v>
      </c>
      <c r="D60" s="104">
        <v>0.4</v>
      </c>
      <c r="E60" s="104">
        <v>0.4</v>
      </c>
      <c r="F60" s="903"/>
      <c r="G60" s="901">
        <f>0.5*(MAX(D60:F60)-MIN(D60:F60))</f>
        <v>0</v>
      </c>
      <c r="I60" s="900">
        <v>1</v>
      </c>
      <c r="J60" s="104">
        <v>30</v>
      </c>
      <c r="K60" s="104">
        <v>-1.5</v>
      </c>
      <c r="L60" s="104">
        <v>1.7</v>
      </c>
      <c r="M60" s="903"/>
      <c r="N60" s="901">
        <f>0.5*(MAX(K60:M60)-MIN(K60:M60))</f>
        <v>1.6</v>
      </c>
      <c r="P60" s="900">
        <v>1</v>
      </c>
      <c r="Q60" s="104">
        <v>750</v>
      </c>
      <c r="R60" s="104">
        <v>0.9</v>
      </c>
      <c r="S60" s="104">
        <v>2.1</v>
      </c>
      <c r="T60" s="903"/>
      <c r="U60" s="901">
        <f>0.5*(MAX(R60:T60)-MIN(R60:T60))</f>
        <v>0.60000000000000009</v>
      </c>
      <c r="W60" s="904" t="s">
        <v>397</v>
      </c>
      <c r="X60" s="905">
        <v>1.6</v>
      </c>
    </row>
    <row r="61" spans="1:24" ht="13" x14ac:dyDescent="0.25">
      <c r="A61" s="1475"/>
      <c r="B61" s="900">
        <v>2</v>
      </c>
      <c r="C61" s="104">
        <v>20</v>
      </c>
      <c r="D61" s="104">
        <v>0.3</v>
      </c>
      <c r="E61" s="104">
        <v>0.2</v>
      </c>
      <c r="F61" s="903"/>
      <c r="G61" s="901">
        <f t="shared" ref="G61:G66" si="15">0.5*(MAX(D61:F61)-MIN(D61:F61))</f>
        <v>4.9999999999999989E-2</v>
      </c>
      <c r="I61" s="900">
        <v>2</v>
      </c>
      <c r="J61" s="104">
        <v>40</v>
      </c>
      <c r="K61" s="104">
        <v>-3.8</v>
      </c>
      <c r="L61" s="104">
        <v>1.5</v>
      </c>
      <c r="M61" s="903"/>
      <c r="N61" s="901">
        <f t="shared" ref="N61:N66" si="16">0.5*(MAX(K61:M61)-MIN(K61:M61))</f>
        <v>2.65</v>
      </c>
      <c r="P61" s="900">
        <v>2</v>
      </c>
      <c r="Q61" s="104">
        <v>800</v>
      </c>
      <c r="R61" s="104">
        <v>0.9</v>
      </c>
      <c r="S61" s="104">
        <v>1.6</v>
      </c>
      <c r="T61" s="903"/>
      <c r="U61" s="901">
        <f t="shared" ref="U61:U66" si="17">0.5*(MAX(R61:T61)-MIN(R61:T61))</f>
        <v>0.35000000000000003</v>
      </c>
    </row>
    <row r="62" spans="1:24" ht="13" x14ac:dyDescent="0.25">
      <c r="A62" s="1475"/>
      <c r="B62" s="900">
        <v>3</v>
      </c>
      <c r="C62" s="104">
        <v>25</v>
      </c>
      <c r="D62" s="104">
        <v>0.2</v>
      </c>
      <c r="E62" s="104">
        <v>-0.1</v>
      </c>
      <c r="F62" s="903"/>
      <c r="G62" s="901">
        <f t="shared" si="15"/>
        <v>0.15000000000000002</v>
      </c>
      <c r="I62" s="900">
        <v>3</v>
      </c>
      <c r="J62" s="104">
        <v>50</v>
      </c>
      <c r="K62" s="104">
        <v>-5.4</v>
      </c>
      <c r="L62" s="104">
        <v>1.2</v>
      </c>
      <c r="M62" s="903"/>
      <c r="N62" s="901">
        <f t="shared" si="16"/>
        <v>3.3000000000000003</v>
      </c>
      <c r="P62" s="900">
        <v>3</v>
      </c>
      <c r="Q62" s="104">
        <v>850</v>
      </c>
      <c r="R62" s="104">
        <v>0.9</v>
      </c>
      <c r="S62" s="104">
        <v>1.1000000000000001</v>
      </c>
      <c r="T62" s="903"/>
      <c r="U62" s="901">
        <f t="shared" si="17"/>
        <v>0.10000000000000003</v>
      </c>
    </row>
    <row r="63" spans="1:24" ht="13" x14ac:dyDescent="0.25">
      <c r="A63" s="1475"/>
      <c r="B63" s="900">
        <v>4</v>
      </c>
      <c r="C63" s="906">
        <v>30</v>
      </c>
      <c r="D63" s="906">
        <v>0.1</v>
      </c>
      <c r="E63" s="906">
        <v>-0.5</v>
      </c>
      <c r="F63" s="903"/>
      <c r="G63" s="901">
        <f t="shared" si="15"/>
        <v>0.3</v>
      </c>
      <c r="I63" s="900">
        <v>4</v>
      </c>
      <c r="J63" s="906">
        <v>60</v>
      </c>
      <c r="K63" s="906">
        <v>-6.4</v>
      </c>
      <c r="L63" s="906">
        <v>1.1000000000000001</v>
      </c>
      <c r="M63" s="903"/>
      <c r="N63" s="901">
        <f t="shared" si="16"/>
        <v>3.75</v>
      </c>
      <c r="P63" s="900">
        <v>4</v>
      </c>
      <c r="Q63" s="906">
        <v>900</v>
      </c>
      <c r="R63" s="906">
        <v>0.9</v>
      </c>
      <c r="S63" s="906">
        <v>0.7</v>
      </c>
      <c r="T63" s="903"/>
      <c r="U63" s="901">
        <f t="shared" si="17"/>
        <v>0.10000000000000003</v>
      </c>
    </row>
    <row r="64" spans="1:24" ht="13" x14ac:dyDescent="0.25">
      <c r="A64" s="1475"/>
      <c r="B64" s="900">
        <v>5</v>
      </c>
      <c r="C64" s="906">
        <v>35</v>
      </c>
      <c r="D64" s="906">
        <v>0.1</v>
      </c>
      <c r="E64" s="906">
        <v>-0.9</v>
      </c>
      <c r="F64" s="903"/>
      <c r="G64" s="901">
        <f t="shared" si="15"/>
        <v>0.5</v>
      </c>
      <c r="I64" s="900">
        <v>5</v>
      </c>
      <c r="J64" s="906">
        <v>70</v>
      </c>
      <c r="K64" s="906">
        <v>-6.7</v>
      </c>
      <c r="L64" s="906">
        <v>0.9</v>
      </c>
      <c r="M64" s="903"/>
      <c r="N64" s="901">
        <f t="shared" si="16"/>
        <v>3.8000000000000003</v>
      </c>
      <c r="P64" s="900">
        <v>5</v>
      </c>
      <c r="Q64" s="906">
        <v>1000</v>
      </c>
      <c r="R64" s="906">
        <v>0.9</v>
      </c>
      <c r="S64" s="906">
        <v>-0.3</v>
      </c>
      <c r="T64" s="903"/>
      <c r="U64" s="901">
        <f t="shared" si="17"/>
        <v>0.6</v>
      </c>
    </row>
    <row r="65" spans="1:24" ht="13" x14ac:dyDescent="0.25">
      <c r="A65" s="1475"/>
      <c r="B65" s="900">
        <v>6</v>
      </c>
      <c r="C65" s="906">
        <v>37</v>
      </c>
      <c r="D65" s="906">
        <v>0.1</v>
      </c>
      <c r="E65" s="906">
        <v>-1.1000000000000001</v>
      </c>
      <c r="F65" s="903"/>
      <c r="G65" s="901">
        <f t="shared" si="15"/>
        <v>0.60000000000000009</v>
      </c>
      <c r="I65" s="900">
        <v>6</v>
      </c>
      <c r="J65" s="906">
        <v>80</v>
      </c>
      <c r="K65" s="906">
        <v>-6.3</v>
      </c>
      <c r="L65" s="906">
        <v>0.8</v>
      </c>
      <c r="M65" s="903"/>
      <c r="N65" s="901">
        <f t="shared" si="16"/>
        <v>3.55</v>
      </c>
      <c r="P65" s="900">
        <v>6</v>
      </c>
      <c r="Q65" s="906">
        <v>1005</v>
      </c>
      <c r="R65" s="906">
        <v>0.9</v>
      </c>
      <c r="S65" s="906">
        <v>-0.3</v>
      </c>
      <c r="T65" s="903"/>
      <c r="U65" s="901">
        <f t="shared" si="17"/>
        <v>0.6</v>
      </c>
    </row>
    <row r="66" spans="1:24" ht="13" x14ac:dyDescent="0.25">
      <c r="A66" s="1475"/>
      <c r="B66" s="900">
        <v>7</v>
      </c>
      <c r="C66" s="906">
        <v>40</v>
      </c>
      <c r="D66" s="906">
        <v>0.1</v>
      </c>
      <c r="E66" s="906">
        <v>-1.4</v>
      </c>
      <c r="F66" s="903"/>
      <c r="G66" s="901">
        <f t="shared" si="15"/>
        <v>0.75</v>
      </c>
      <c r="I66" s="900">
        <v>7</v>
      </c>
      <c r="J66" s="906">
        <v>90</v>
      </c>
      <c r="K66" s="906">
        <v>-5.2</v>
      </c>
      <c r="L66" s="906">
        <v>0.7</v>
      </c>
      <c r="M66" s="903"/>
      <c r="N66" s="901">
        <f t="shared" si="16"/>
        <v>2.95</v>
      </c>
      <c r="P66" s="900">
        <v>7</v>
      </c>
      <c r="Q66" s="906">
        <v>1020</v>
      </c>
      <c r="R66" s="906">
        <v>0.9</v>
      </c>
      <c r="S66" s="100">
        <v>9.9999999999999995E-7</v>
      </c>
      <c r="T66" s="903"/>
      <c r="U66" s="901">
        <f t="shared" si="17"/>
        <v>0.4499995</v>
      </c>
    </row>
    <row r="67" spans="1:24" ht="13.5" thickBot="1" x14ac:dyDescent="0.35">
      <c r="A67" s="114"/>
      <c r="B67" s="534"/>
      <c r="C67" s="534"/>
      <c r="D67" s="534"/>
      <c r="E67" s="910"/>
      <c r="F67" s="109"/>
      <c r="G67" s="717"/>
      <c r="I67" s="534"/>
      <c r="J67" s="534"/>
      <c r="K67" s="534"/>
      <c r="L67" s="910"/>
      <c r="M67" s="109"/>
      <c r="R67" s="740"/>
    </row>
    <row r="68" spans="1:24" x14ac:dyDescent="0.25">
      <c r="A68" s="1475">
        <v>7</v>
      </c>
      <c r="B68" s="1476" t="s">
        <v>403</v>
      </c>
      <c r="C68" s="1476"/>
      <c r="D68" s="1476"/>
      <c r="E68" s="1476"/>
      <c r="F68" s="1476"/>
      <c r="G68" s="1476"/>
      <c r="I68" s="1476" t="str">
        <f>B68</f>
        <v>KOREKSI GREISINGER 34903053</v>
      </c>
      <c r="J68" s="1476"/>
      <c r="K68" s="1476"/>
      <c r="L68" s="1476"/>
      <c r="M68" s="1476"/>
      <c r="N68" s="1476"/>
      <c r="P68" s="1476" t="str">
        <f>I68</f>
        <v>KOREKSI GREISINGER 34903053</v>
      </c>
      <c r="Q68" s="1476"/>
      <c r="R68" s="1476"/>
      <c r="S68" s="1476"/>
      <c r="T68" s="1476"/>
      <c r="U68" s="1476"/>
      <c r="W68" s="1482" t="s">
        <v>343</v>
      </c>
      <c r="X68" s="1483"/>
    </row>
    <row r="69" spans="1:24" ht="13" x14ac:dyDescent="0.25">
      <c r="A69" s="1475"/>
      <c r="B69" s="1484" t="s">
        <v>390</v>
      </c>
      <c r="C69" s="1484"/>
      <c r="D69" s="1484" t="s">
        <v>391</v>
      </c>
      <c r="E69" s="1484"/>
      <c r="F69" s="1484"/>
      <c r="G69" s="1484" t="s">
        <v>392</v>
      </c>
      <c r="I69" s="1484" t="s">
        <v>393</v>
      </c>
      <c r="J69" s="1484"/>
      <c r="K69" s="1484" t="s">
        <v>391</v>
      </c>
      <c r="L69" s="1484"/>
      <c r="M69" s="1484"/>
      <c r="N69" s="1484" t="s">
        <v>392</v>
      </c>
      <c r="P69" s="1484" t="s">
        <v>394</v>
      </c>
      <c r="Q69" s="1484"/>
      <c r="R69" s="1484" t="s">
        <v>391</v>
      </c>
      <c r="S69" s="1484"/>
      <c r="T69" s="1484"/>
      <c r="U69" s="1484" t="s">
        <v>392</v>
      </c>
      <c r="W69" s="898" t="s">
        <v>390</v>
      </c>
      <c r="X69" s="899">
        <v>0.5</v>
      </c>
    </row>
    <row r="70" spans="1:24" ht="14.5" x14ac:dyDescent="0.25">
      <c r="A70" s="1475"/>
      <c r="B70" s="1474" t="s">
        <v>395</v>
      </c>
      <c r="C70" s="1474"/>
      <c r="D70" s="730">
        <v>2023</v>
      </c>
      <c r="E70" s="730">
        <v>2021</v>
      </c>
      <c r="F70" s="730">
        <v>2018</v>
      </c>
      <c r="G70" s="1484"/>
      <c r="I70" s="1473" t="s">
        <v>396</v>
      </c>
      <c r="J70" s="1474"/>
      <c r="K70" s="730">
        <f>D70</f>
        <v>2023</v>
      </c>
      <c r="L70" s="730">
        <f>E70</f>
        <v>2021</v>
      </c>
      <c r="M70" s="730">
        <v>2016</v>
      </c>
      <c r="N70" s="1484"/>
      <c r="P70" s="1473" t="s">
        <v>397</v>
      </c>
      <c r="Q70" s="1474"/>
      <c r="R70" s="730">
        <f>K70</f>
        <v>2023</v>
      </c>
      <c r="S70" s="730">
        <f>L70</f>
        <v>2021</v>
      </c>
      <c r="T70" s="730">
        <v>2016</v>
      </c>
      <c r="U70" s="1484"/>
      <c r="W70" s="898" t="s">
        <v>396</v>
      </c>
      <c r="X70" s="899">
        <v>2.2999999999999998</v>
      </c>
    </row>
    <row r="71" spans="1:24" ht="13.5" thickBot="1" x14ac:dyDescent="0.3">
      <c r="A71" s="1475"/>
      <c r="B71" s="900">
        <v>1</v>
      </c>
      <c r="C71" s="104">
        <v>15</v>
      </c>
      <c r="D71" s="104">
        <v>0.1</v>
      </c>
      <c r="E71" s="104">
        <v>0.1</v>
      </c>
      <c r="F71" s="104">
        <v>0.3</v>
      </c>
      <c r="G71" s="901">
        <f>0.5*(MAX(D71:F71)-MIN(D71:F71))</f>
        <v>9.9999999999999992E-2</v>
      </c>
      <c r="I71" s="900">
        <v>1</v>
      </c>
      <c r="J71" s="104">
        <v>30</v>
      </c>
      <c r="K71" s="104">
        <v>-1.7</v>
      </c>
      <c r="L71" s="104">
        <v>-1.9</v>
      </c>
      <c r="M71" s="104">
        <v>1.8</v>
      </c>
      <c r="N71" s="901">
        <f>0.5*(MAX(K71:M71)-MIN(K71:M71))</f>
        <v>1.85</v>
      </c>
      <c r="P71" s="900">
        <v>1</v>
      </c>
      <c r="Q71" s="104">
        <v>960</v>
      </c>
      <c r="R71" s="100">
        <v>0.7</v>
      </c>
      <c r="S71" s="916" t="s">
        <v>364</v>
      </c>
      <c r="T71" s="916" t="s">
        <v>364</v>
      </c>
      <c r="U71" s="901">
        <f>0.5*(MAX(R71:T71)-MIN(R71:T71))</f>
        <v>0</v>
      </c>
      <c r="W71" s="904" t="s">
        <v>397</v>
      </c>
      <c r="X71" s="905">
        <v>2</v>
      </c>
    </row>
    <row r="72" spans="1:24" ht="13" x14ac:dyDescent="0.25">
      <c r="A72" s="1475"/>
      <c r="B72" s="900">
        <v>2</v>
      </c>
      <c r="C72" s="104">
        <v>20</v>
      </c>
      <c r="D72" s="100">
        <v>0</v>
      </c>
      <c r="E72" s="100">
        <v>9.9999999999999995E-7</v>
      </c>
      <c r="F72" s="104">
        <v>0.1</v>
      </c>
      <c r="G72" s="901">
        <f t="shared" ref="G72:G77" si="18">0.5*(MAX(D72:F72)-MIN(D72:F72))</f>
        <v>0.05</v>
      </c>
      <c r="I72" s="900">
        <v>2</v>
      </c>
      <c r="J72" s="104">
        <v>40</v>
      </c>
      <c r="K72" s="104">
        <v>-2</v>
      </c>
      <c r="L72" s="104">
        <v>-1.9</v>
      </c>
      <c r="M72" s="104">
        <v>1.2</v>
      </c>
      <c r="N72" s="901">
        <f t="shared" ref="N72:N77" si="19">0.5*(MAX(K72:M72)-MIN(K72:M72))</f>
        <v>1.6</v>
      </c>
      <c r="P72" s="900">
        <v>2</v>
      </c>
      <c r="Q72" s="104">
        <v>970</v>
      </c>
      <c r="R72" s="100">
        <v>0.6</v>
      </c>
      <c r="S72" s="916" t="s">
        <v>364</v>
      </c>
      <c r="T72" s="916" t="s">
        <v>364</v>
      </c>
      <c r="U72" s="901">
        <f t="shared" ref="U72:U77" si="20">0.5*(MAX(R72:T72)-MIN(R72:T72))</f>
        <v>0</v>
      </c>
    </row>
    <row r="73" spans="1:24" ht="13" x14ac:dyDescent="0.25">
      <c r="A73" s="1475"/>
      <c r="B73" s="900">
        <v>3</v>
      </c>
      <c r="C73" s="104">
        <v>25</v>
      </c>
      <c r="D73" s="100">
        <v>-0.1</v>
      </c>
      <c r="E73" s="100">
        <v>9.9999999999999995E-7</v>
      </c>
      <c r="F73" s="104">
        <v>-0.2</v>
      </c>
      <c r="G73" s="901">
        <f t="shared" si="18"/>
        <v>0.10000050000000001</v>
      </c>
      <c r="I73" s="900">
        <v>3</v>
      </c>
      <c r="J73" s="104">
        <v>50</v>
      </c>
      <c r="K73" s="104">
        <v>-2.1</v>
      </c>
      <c r="L73" s="104">
        <v>-1.9</v>
      </c>
      <c r="M73" s="104">
        <v>0.8</v>
      </c>
      <c r="N73" s="901">
        <f t="shared" si="19"/>
        <v>1.4500000000000002</v>
      </c>
      <c r="P73" s="900">
        <v>3</v>
      </c>
      <c r="Q73" s="104">
        <v>980</v>
      </c>
      <c r="R73" s="100">
        <v>0.5</v>
      </c>
      <c r="S73" s="916" t="s">
        <v>364</v>
      </c>
      <c r="T73" s="916" t="s">
        <v>364</v>
      </c>
      <c r="U73" s="901">
        <f t="shared" si="20"/>
        <v>0</v>
      </c>
    </row>
    <row r="74" spans="1:24" ht="13" x14ac:dyDescent="0.25">
      <c r="A74" s="1475"/>
      <c r="B74" s="900">
        <v>4</v>
      </c>
      <c r="C74" s="906">
        <v>30</v>
      </c>
      <c r="D74" s="100">
        <v>-0.2</v>
      </c>
      <c r="E74" s="100">
        <v>9.9999999999999995E-7</v>
      </c>
      <c r="F74" s="906">
        <v>-0.6</v>
      </c>
      <c r="G74" s="901">
        <f t="shared" si="18"/>
        <v>0.3000005</v>
      </c>
      <c r="I74" s="900">
        <v>4</v>
      </c>
      <c r="J74" s="906">
        <v>60</v>
      </c>
      <c r="K74" s="906">
        <v>-2.2000000000000002</v>
      </c>
      <c r="L74" s="906">
        <v>-2.1</v>
      </c>
      <c r="M74" s="906">
        <v>0.7</v>
      </c>
      <c r="N74" s="901">
        <f t="shared" si="19"/>
        <v>1.4500000000000002</v>
      </c>
      <c r="P74" s="900">
        <v>4</v>
      </c>
      <c r="Q74" s="906">
        <v>990</v>
      </c>
      <c r="R74" s="100">
        <v>0.5</v>
      </c>
      <c r="S74" s="916" t="s">
        <v>364</v>
      </c>
      <c r="T74" s="916" t="s">
        <v>364</v>
      </c>
      <c r="U74" s="901">
        <f t="shared" si="20"/>
        <v>0</v>
      </c>
    </row>
    <row r="75" spans="1:24" ht="13" x14ac:dyDescent="0.25">
      <c r="A75" s="1475"/>
      <c r="B75" s="900">
        <v>5</v>
      </c>
      <c r="C75" s="906">
        <v>35</v>
      </c>
      <c r="D75" s="100">
        <v>-0.4</v>
      </c>
      <c r="E75" s="100">
        <v>9.9999999999999995E-7</v>
      </c>
      <c r="F75" s="906">
        <v>-1.1000000000000001</v>
      </c>
      <c r="G75" s="901">
        <f t="shared" si="18"/>
        <v>0.5500005</v>
      </c>
      <c r="I75" s="900">
        <v>5</v>
      </c>
      <c r="J75" s="906">
        <v>70</v>
      </c>
      <c r="K75" s="906">
        <v>-2.1</v>
      </c>
      <c r="L75" s="906">
        <v>-2.2999999999999998</v>
      </c>
      <c r="M75" s="906">
        <v>0.9</v>
      </c>
      <c r="N75" s="901">
        <f t="shared" si="19"/>
        <v>1.5999999999999999</v>
      </c>
      <c r="P75" s="900">
        <v>5</v>
      </c>
      <c r="Q75" s="906">
        <v>1000</v>
      </c>
      <c r="R75" s="906">
        <v>0.4</v>
      </c>
      <c r="S75" s="906">
        <v>-3.9</v>
      </c>
      <c r="T75" s="906">
        <v>-0.4</v>
      </c>
      <c r="U75" s="901">
        <f t="shared" si="20"/>
        <v>2.15</v>
      </c>
    </row>
    <row r="76" spans="1:24" ht="13" x14ac:dyDescent="0.25">
      <c r="A76" s="1475"/>
      <c r="B76" s="900">
        <v>6</v>
      </c>
      <c r="C76" s="906">
        <v>37</v>
      </c>
      <c r="D76" s="100">
        <v>-0.4</v>
      </c>
      <c r="E76" s="100">
        <v>9.9999999999999995E-7</v>
      </c>
      <c r="F76" s="906">
        <v>-1.4</v>
      </c>
      <c r="G76" s="901">
        <f t="shared" si="18"/>
        <v>0.70000049999999991</v>
      </c>
      <c r="I76" s="900">
        <v>6</v>
      </c>
      <c r="J76" s="906">
        <v>80</v>
      </c>
      <c r="K76" s="906">
        <v>-1.9</v>
      </c>
      <c r="L76" s="906">
        <v>-2.6</v>
      </c>
      <c r="M76" s="906">
        <v>1.2</v>
      </c>
      <c r="N76" s="901">
        <f t="shared" si="19"/>
        <v>1.9</v>
      </c>
      <c r="P76" s="900">
        <v>6</v>
      </c>
      <c r="Q76" s="906">
        <v>1005</v>
      </c>
      <c r="R76" s="912" t="s">
        <v>364</v>
      </c>
      <c r="S76" s="906">
        <v>-3.8</v>
      </c>
      <c r="T76" s="906">
        <v>-0.5</v>
      </c>
      <c r="U76" s="901">
        <f t="shared" si="20"/>
        <v>1.65</v>
      </c>
    </row>
    <row r="77" spans="1:24" ht="13.5" thickBot="1" x14ac:dyDescent="0.3">
      <c r="A77" s="1475"/>
      <c r="B77" s="900">
        <v>7</v>
      </c>
      <c r="C77" s="906">
        <v>40</v>
      </c>
      <c r="D77" s="906">
        <v>-0.5</v>
      </c>
      <c r="E77" s="906">
        <v>0.1</v>
      </c>
      <c r="F77" s="906">
        <v>-1.7</v>
      </c>
      <c r="G77" s="901">
        <f t="shared" si="18"/>
        <v>0.9</v>
      </c>
      <c r="I77" s="900">
        <v>7</v>
      </c>
      <c r="J77" s="906">
        <v>90</v>
      </c>
      <c r="K77" s="906">
        <v>-1.6</v>
      </c>
      <c r="L77" s="906">
        <v>-3</v>
      </c>
      <c r="M77" s="906">
        <v>1.8</v>
      </c>
      <c r="N77" s="901">
        <f t="shared" si="19"/>
        <v>2.4</v>
      </c>
      <c r="P77" s="900">
        <v>7</v>
      </c>
      <c r="Q77" s="906">
        <v>1020</v>
      </c>
      <c r="R77" s="906">
        <v>0.3</v>
      </c>
      <c r="S77" s="906">
        <v>-3.8</v>
      </c>
      <c r="T77" s="100">
        <v>9.9999999999999995E-7</v>
      </c>
      <c r="U77" s="901">
        <f t="shared" si="20"/>
        <v>2.0499999999999998</v>
      </c>
    </row>
    <row r="78" spans="1:24" ht="13.5" thickBot="1" x14ac:dyDescent="0.35">
      <c r="A78" s="114"/>
      <c r="B78" s="534"/>
      <c r="C78" s="534"/>
      <c r="D78" s="534"/>
      <c r="E78" s="910"/>
      <c r="F78" s="109"/>
      <c r="G78" s="717"/>
      <c r="H78" s="534"/>
      <c r="I78" s="534"/>
      <c r="J78" s="534"/>
      <c r="K78" s="910"/>
      <c r="L78" s="109"/>
      <c r="O78" s="909"/>
      <c r="P78" s="740"/>
    </row>
    <row r="79" spans="1:24" x14ac:dyDescent="0.25">
      <c r="A79" s="1475">
        <v>8</v>
      </c>
      <c r="B79" s="1476" t="s">
        <v>404</v>
      </c>
      <c r="C79" s="1476"/>
      <c r="D79" s="1476"/>
      <c r="E79" s="1476"/>
      <c r="F79" s="1476"/>
      <c r="G79" s="1476"/>
      <c r="I79" s="1476" t="str">
        <f>B79</f>
        <v>KOREKSI GREISINGER 34903051</v>
      </c>
      <c r="J79" s="1476"/>
      <c r="K79" s="1476"/>
      <c r="L79" s="1476"/>
      <c r="M79" s="1476"/>
      <c r="N79" s="1476"/>
      <c r="P79" s="1476" t="str">
        <f>I79</f>
        <v>KOREKSI GREISINGER 34903051</v>
      </c>
      <c r="Q79" s="1476"/>
      <c r="R79" s="1476"/>
      <c r="S79" s="1476"/>
      <c r="T79" s="1476"/>
      <c r="U79" s="1476"/>
      <c r="W79" s="1482" t="s">
        <v>343</v>
      </c>
      <c r="X79" s="1483"/>
    </row>
    <row r="80" spans="1:24" ht="13" x14ac:dyDescent="0.25">
      <c r="A80" s="1475"/>
      <c r="B80" s="1484" t="s">
        <v>390</v>
      </c>
      <c r="C80" s="1484"/>
      <c r="D80" s="1484" t="s">
        <v>391</v>
      </c>
      <c r="E80" s="1484"/>
      <c r="F80" s="1484"/>
      <c r="G80" s="1484" t="s">
        <v>392</v>
      </c>
      <c r="I80" s="1484" t="s">
        <v>393</v>
      </c>
      <c r="J80" s="1484"/>
      <c r="K80" s="1484" t="s">
        <v>391</v>
      </c>
      <c r="L80" s="1484"/>
      <c r="M80" s="1484"/>
      <c r="N80" s="1484" t="s">
        <v>392</v>
      </c>
      <c r="P80" s="1484" t="s">
        <v>394</v>
      </c>
      <c r="Q80" s="1484"/>
      <c r="R80" s="1484" t="s">
        <v>391</v>
      </c>
      <c r="S80" s="1484"/>
      <c r="T80" s="1484"/>
      <c r="U80" s="1484" t="s">
        <v>392</v>
      </c>
      <c r="W80" s="898" t="s">
        <v>390</v>
      </c>
      <c r="X80" s="899">
        <v>0.3</v>
      </c>
    </row>
    <row r="81" spans="1:24" ht="14.5" x14ac:dyDescent="0.25">
      <c r="A81" s="1475"/>
      <c r="B81" s="1474" t="s">
        <v>395</v>
      </c>
      <c r="C81" s="1474"/>
      <c r="D81" s="730">
        <v>2021</v>
      </c>
      <c r="E81" s="730">
        <v>2019</v>
      </c>
      <c r="F81" s="730">
        <v>2016</v>
      </c>
      <c r="G81" s="1484"/>
      <c r="I81" s="1473" t="s">
        <v>396</v>
      </c>
      <c r="J81" s="1474"/>
      <c r="K81" s="730">
        <f>D81</f>
        <v>2021</v>
      </c>
      <c r="L81" s="730">
        <f>E81</f>
        <v>2019</v>
      </c>
      <c r="M81" s="730">
        <v>2016</v>
      </c>
      <c r="N81" s="1484"/>
      <c r="P81" s="1473" t="s">
        <v>397</v>
      </c>
      <c r="Q81" s="1474"/>
      <c r="R81" s="730">
        <f>K81</f>
        <v>2021</v>
      </c>
      <c r="S81" s="730">
        <f>L81</f>
        <v>2019</v>
      </c>
      <c r="T81" s="730">
        <v>2016</v>
      </c>
      <c r="U81" s="1484"/>
      <c r="W81" s="898" t="s">
        <v>396</v>
      </c>
      <c r="X81" s="899">
        <v>2.5</v>
      </c>
    </row>
    <row r="82" spans="1:24" ht="13.5" thickBot="1" x14ac:dyDescent="0.3">
      <c r="A82" s="1475"/>
      <c r="B82" s="900">
        <v>1</v>
      </c>
      <c r="C82" s="104">
        <v>15</v>
      </c>
      <c r="D82" s="104">
        <v>0.1</v>
      </c>
      <c r="E82" s="100">
        <v>9.9999999999999995E-7</v>
      </c>
      <c r="F82" s="903"/>
      <c r="G82" s="901">
        <f>0.5*(MAX(D82:F82)-MIN(D82:F82))</f>
        <v>4.9999500000000002E-2</v>
      </c>
      <c r="I82" s="900">
        <v>1</v>
      </c>
      <c r="J82" s="104">
        <v>30</v>
      </c>
      <c r="K82" s="104">
        <v>-4</v>
      </c>
      <c r="L82" s="104">
        <v>-1.4</v>
      </c>
      <c r="M82" s="903"/>
      <c r="N82" s="901">
        <f>0.5*(MAX(K82:M82)-MIN(K82:M82))</f>
        <v>1.3</v>
      </c>
      <c r="P82" s="900">
        <v>1</v>
      </c>
      <c r="Q82" s="104">
        <v>750</v>
      </c>
      <c r="R82" s="100">
        <v>9.9999999999999995E-7</v>
      </c>
      <c r="S82" s="100">
        <v>9.9999999999999995E-7</v>
      </c>
      <c r="T82" s="903"/>
      <c r="U82" s="901">
        <f>0.5*(MAX(R82:T82)-MIN(R82:T82))</f>
        <v>0</v>
      </c>
      <c r="W82" s="904" t="s">
        <v>397</v>
      </c>
      <c r="X82" s="905">
        <v>2.1</v>
      </c>
    </row>
    <row r="83" spans="1:24" ht="13" x14ac:dyDescent="0.25">
      <c r="A83" s="1475"/>
      <c r="B83" s="900">
        <v>2</v>
      </c>
      <c r="C83" s="104">
        <v>20</v>
      </c>
      <c r="D83" s="100">
        <v>9.9999999999999995E-7</v>
      </c>
      <c r="E83" s="104">
        <v>-0.2</v>
      </c>
      <c r="F83" s="903"/>
      <c r="G83" s="901">
        <f t="shared" ref="G83:G88" si="21">0.5*(MAX(D83:F83)-MIN(D83:F83))</f>
        <v>0.10000050000000001</v>
      </c>
      <c r="I83" s="900">
        <v>2</v>
      </c>
      <c r="J83" s="104">
        <v>40</v>
      </c>
      <c r="K83" s="104">
        <v>-3.8</v>
      </c>
      <c r="L83" s="104">
        <v>-1.2</v>
      </c>
      <c r="M83" s="903"/>
      <c r="N83" s="901">
        <f t="shared" ref="N83:N88" si="22">0.5*(MAX(K83:M83)-MIN(K83:M83))</f>
        <v>1.2999999999999998</v>
      </c>
      <c r="P83" s="900">
        <v>2</v>
      </c>
      <c r="Q83" s="104">
        <v>800</v>
      </c>
      <c r="R83" s="100">
        <v>9.9999999999999995E-7</v>
      </c>
      <c r="S83" s="100">
        <v>9.9999999999999995E-7</v>
      </c>
      <c r="T83" s="903"/>
      <c r="U83" s="901">
        <f t="shared" ref="U83:U88" si="23">0.5*(MAX(R83:T83)-MIN(R83:T83))</f>
        <v>0</v>
      </c>
    </row>
    <row r="84" spans="1:24" ht="13" x14ac:dyDescent="0.25">
      <c r="A84" s="1475"/>
      <c r="B84" s="900">
        <v>3</v>
      </c>
      <c r="C84" s="104">
        <v>25</v>
      </c>
      <c r="D84" s="104">
        <v>-0.1</v>
      </c>
      <c r="E84" s="104">
        <v>-0.4</v>
      </c>
      <c r="F84" s="903"/>
      <c r="G84" s="901">
        <f t="shared" si="21"/>
        <v>0.15000000000000002</v>
      </c>
      <c r="I84" s="900">
        <v>3</v>
      </c>
      <c r="J84" s="104">
        <v>50</v>
      </c>
      <c r="K84" s="104">
        <v>-3.8</v>
      </c>
      <c r="L84" s="104">
        <v>-1.2</v>
      </c>
      <c r="M84" s="903"/>
      <c r="N84" s="901">
        <f t="shared" si="22"/>
        <v>1.2999999999999998</v>
      </c>
      <c r="P84" s="900">
        <v>3</v>
      </c>
      <c r="Q84" s="104">
        <v>850</v>
      </c>
      <c r="R84" s="100">
        <v>9.9999999999999995E-7</v>
      </c>
      <c r="S84" s="100">
        <v>9.9999999999999995E-7</v>
      </c>
      <c r="T84" s="903"/>
      <c r="U84" s="901">
        <f t="shared" si="23"/>
        <v>0</v>
      </c>
    </row>
    <row r="85" spans="1:24" ht="13" x14ac:dyDescent="0.25">
      <c r="A85" s="1475"/>
      <c r="B85" s="900">
        <v>4</v>
      </c>
      <c r="C85" s="906">
        <v>30</v>
      </c>
      <c r="D85" s="104">
        <v>-0.2</v>
      </c>
      <c r="E85" s="104">
        <v>-0.4</v>
      </c>
      <c r="F85" s="903"/>
      <c r="G85" s="901">
        <f t="shared" si="21"/>
        <v>0.1</v>
      </c>
      <c r="I85" s="900">
        <v>4</v>
      </c>
      <c r="J85" s="906">
        <v>60</v>
      </c>
      <c r="K85" s="906">
        <v>-3.9</v>
      </c>
      <c r="L85" s="906">
        <v>-1.1000000000000001</v>
      </c>
      <c r="M85" s="903"/>
      <c r="N85" s="901">
        <f t="shared" si="22"/>
        <v>1.4</v>
      </c>
      <c r="P85" s="900">
        <v>4</v>
      </c>
      <c r="Q85" s="906">
        <v>900</v>
      </c>
      <c r="R85" s="907">
        <v>-4.4000000000000004</v>
      </c>
      <c r="S85" s="100">
        <v>9.9999999999999995E-7</v>
      </c>
      <c r="T85" s="903"/>
      <c r="U85" s="901">
        <f t="shared" si="23"/>
        <v>2.2000005000000002</v>
      </c>
    </row>
    <row r="86" spans="1:24" ht="13" x14ac:dyDescent="0.25">
      <c r="A86" s="1475"/>
      <c r="B86" s="900">
        <v>5</v>
      </c>
      <c r="C86" s="906">
        <v>35</v>
      </c>
      <c r="D86" s="906">
        <v>-0.1</v>
      </c>
      <c r="E86" s="906">
        <v>-0.5</v>
      </c>
      <c r="F86" s="903"/>
      <c r="G86" s="901">
        <f t="shared" si="21"/>
        <v>0.2</v>
      </c>
      <c r="I86" s="900">
        <v>5</v>
      </c>
      <c r="J86" s="906">
        <v>70</v>
      </c>
      <c r="K86" s="906">
        <v>-4.0999999999999996</v>
      </c>
      <c r="L86" s="906">
        <v>-1.2</v>
      </c>
      <c r="M86" s="903"/>
      <c r="N86" s="901">
        <f t="shared" si="22"/>
        <v>1.4499999999999997</v>
      </c>
      <c r="P86" s="900">
        <v>5</v>
      </c>
      <c r="Q86" s="906">
        <v>1000</v>
      </c>
      <c r="R86" s="907">
        <v>-3.5</v>
      </c>
      <c r="S86" s="907">
        <v>0.2</v>
      </c>
      <c r="T86" s="903"/>
      <c r="U86" s="901">
        <f t="shared" si="23"/>
        <v>1.85</v>
      </c>
    </row>
    <row r="87" spans="1:24" ht="13" x14ac:dyDescent="0.25">
      <c r="A87" s="1475"/>
      <c r="B87" s="900">
        <v>6</v>
      </c>
      <c r="C87" s="906">
        <v>37</v>
      </c>
      <c r="D87" s="906">
        <v>-0.1</v>
      </c>
      <c r="E87" s="906">
        <v>-0.5</v>
      </c>
      <c r="F87" s="903"/>
      <c r="G87" s="901">
        <f t="shared" si="21"/>
        <v>0.2</v>
      </c>
      <c r="I87" s="900">
        <v>6</v>
      </c>
      <c r="J87" s="906">
        <v>80</v>
      </c>
      <c r="K87" s="906">
        <v>-4.5</v>
      </c>
      <c r="L87" s="906">
        <v>-1.2</v>
      </c>
      <c r="M87" s="903"/>
      <c r="N87" s="901">
        <f t="shared" si="22"/>
        <v>1.65</v>
      </c>
      <c r="P87" s="900">
        <v>6</v>
      </c>
      <c r="Q87" s="906">
        <v>1005</v>
      </c>
      <c r="R87" s="907">
        <v>-3.4</v>
      </c>
      <c r="S87" s="907">
        <v>0.2</v>
      </c>
      <c r="T87" s="903"/>
      <c r="U87" s="901">
        <f t="shared" si="23"/>
        <v>1.8</v>
      </c>
    </row>
    <row r="88" spans="1:24" ht="13" x14ac:dyDescent="0.25">
      <c r="A88" s="1475"/>
      <c r="B88" s="900">
        <v>7</v>
      </c>
      <c r="C88" s="906">
        <v>40</v>
      </c>
      <c r="D88" s="100">
        <v>9.9999999999999995E-7</v>
      </c>
      <c r="E88" s="906">
        <v>-0.4</v>
      </c>
      <c r="F88" s="903"/>
      <c r="G88" s="901">
        <f t="shared" si="21"/>
        <v>0.2000005</v>
      </c>
      <c r="I88" s="900">
        <v>7</v>
      </c>
      <c r="J88" s="906">
        <v>90</v>
      </c>
      <c r="K88" s="906">
        <v>-4.9000000000000004</v>
      </c>
      <c r="L88" s="906">
        <v>-1.3</v>
      </c>
      <c r="M88" s="903"/>
      <c r="N88" s="901">
        <f t="shared" si="22"/>
        <v>1.8000000000000003</v>
      </c>
      <c r="P88" s="900">
        <v>7</v>
      </c>
      <c r="Q88" s="906">
        <v>1020</v>
      </c>
      <c r="R88" s="907">
        <v>-3.4</v>
      </c>
      <c r="S88" s="100">
        <v>9.9999999999999995E-7</v>
      </c>
      <c r="T88" s="903"/>
      <c r="U88" s="901">
        <f t="shared" si="23"/>
        <v>1.7000005</v>
      </c>
    </row>
    <row r="89" spans="1:24" ht="13.5" thickBot="1" x14ac:dyDescent="0.35">
      <c r="A89" s="114"/>
      <c r="B89" s="534"/>
      <c r="C89" s="534"/>
      <c r="D89" s="534"/>
      <c r="E89" s="910"/>
      <c r="G89" s="109"/>
      <c r="I89" s="534"/>
      <c r="J89" s="534"/>
      <c r="K89" s="534"/>
      <c r="L89" s="910"/>
      <c r="N89" s="109"/>
      <c r="R89" s="740"/>
    </row>
    <row r="90" spans="1:24" x14ac:dyDescent="0.25">
      <c r="A90" s="1475">
        <v>9</v>
      </c>
      <c r="B90" s="1476" t="s">
        <v>405</v>
      </c>
      <c r="C90" s="1476"/>
      <c r="D90" s="1476"/>
      <c r="E90" s="1476"/>
      <c r="F90" s="1476"/>
      <c r="G90" s="1476"/>
      <c r="I90" s="1476" t="str">
        <f>B90</f>
        <v>KOREKSI GREISINGER 34904091</v>
      </c>
      <c r="J90" s="1476"/>
      <c r="K90" s="1476"/>
      <c r="L90" s="1476"/>
      <c r="M90" s="1476"/>
      <c r="N90" s="1476"/>
      <c r="P90" s="1476" t="str">
        <f>I90</f>
        <v>KOREKSI GREISINGER 34904091</v>
      </c>
      <c r="Q90" s="1476"/>
      <c r="R90" s="1476"/>
      <c r="S90" s="1476"/>
      <c r="T90" s="1476"/>
      <c r="U90" s="1476"/>
      <c r="W90" s="1482" t="s">
        <v>343</v>
      </c>
      <c r="X90" s="1483"/>
    </row>
    <row r="91" spans="1:24" ht="13" x14ac:dyDescent="0.25">
      <c r="A91" s="1475"/>
      <c r="B91" s="1484" t="s">
        <v>390</v>
      </c>
      <c r="C91" s="1484"/>
      <c r="D91" s="1484" t="s">
        <v>391</v>
      </c>
      <c r="E91" s="1484"/>
      <c r="F91" s="1484"/>
      <c r="G91" s="1484" t="s">
        <v>392</v>
      </c>
      <c r="I91" s="1484" t="s">
        <v>393</v>
      </c>
      <c r="J91" s="1484"/>
      <c r="K91" s="1484" t="s">
        <v>391</v>
      </c>
      <c r="L91" s="1484"/>
      <c r="M91" s="1484"/>
      <c r="N91" s="1484" t="s">
        <v>392</v>
      </c>
      <c r="P91" s="1484" t="s">
        <v>394</v>
      </c>
      <c r="Q91" s="1484"/>
      <c r="R91" s="1484" t="s">
        <v>391</v>
      </c>
      <c r="S91" s="1484"/>
      <c r="T91" s="1484"/>
      <c r="U91" s="1484" t="s">
        <v>392</v>
      </c>
      <c r="W91" s="898" t="s">
        <v>390</v>
      </c>
      <c r="X91" s="899">
        <v>0.3</v>
      </c>
    </row>
    <row r="92" spans="1:24" ht="14.5" x14ac:dyDescent="0.25">
      <c r="A92" s="1475"/>
      <c r="B92" s="1474" t="s">
        <v>395</v>
      </c>
      <c r="C92" s="1474"/>
      <c r="D92" s="730">
        <v>2019</v>
      </c>
      <c r="E92" s="737" t="s">
        <v>364</v>
      </c>
      <c r="F92" s="730">
        <v>2016</v>
      </c>
      <c r="G92" s="1484"/>
      <c r="I92" s="1473" t="s">
        <v>396</v>
      </c>
      <c r="J92" s="1474"/>
      <c r="K92" s="911">
        <f>D92</f>
        <v>2019</v>
      </c>
      <c r="L92" s="911" t="str">
        <f>E92</f>
        <v>-</v>
      </c>
      <c r="M92" s="730">
        <v>2016</v>
      </c>
      <c r="N92" s="1484"/>
      <c r="P92" s="1473" t="s">
        <v>397</v>
      </c>
      <c r="Q92" s="1474"/>
      <c r="R92" s="911">
        <f>K92</f>
        <v>2019</v>
      </c>
      <c r="S92" s="911" t="str">
        <f>L92</f>
        <v>-</v>
      </c>
      <c r="T92" s="730">
        <v>2016</v>
      </c>
      <c r="U92" s="1484"/>
      <c r="W92" s="898" t="s">
        <v>396</v>
      </c>
      <c r="X92" s="899">
        <v>2.4</v>
      </c>
    </row>
    <row r="93" spans="1:24" ht="13.5" thickBot="1" x14ac:dyDescent="0.3">
      <c r="A93" s="1475"/>
      <c r="B93" s="900">
        <v>1</v>
      </c>
      <c r="C93" s="104">
        <v>15</v>
      </c>
      <c r="D93" s="100">
        <v>9.9999999999999995E-7</v>
      </c>
      <c r="E93" s="100" t="s">
        <v>364</v>
      </c>
      <c r="F93" s="903"/>
      <c r="G93" s="901">
        <f>0.5*(MAX(D93:F93)-MIN(D93:F93))</f>
        <v>0</v>
      </c>
      <c r="I93" s="900">
        <v>1</v>
      </c>
      <c r="J93" s="104">
        <v>30</v>
      </c>
      <c r="K93" s="100">
        <v>-1.2</v>
      </c>
      <c r="L93" s="100" t="s">
        <v>364</v>
      </c>
      <c r="M93" s="903"/>
      <c r="N93" s="901">
        <f>0.5*(MAX(K93:M93)-MIN(K93:M93))</f>
        <v>0</v>
      </c>
      <c r="P93" s="900">
        <v>1</v>
      </c>
      <c r="Q93" s="104">
        <v>750</v>
      </c>
      <c r="R93" s="100">
        <v>9.9999999999999995E-7</v>
      </c>
      <c r="S93" s="99" t="s">
        <v>364</v>
      </c>
      <c r="T93" s="903"/>
      <c r="U93" s="901">
        <f>0.5*(MAX(R93:T93)-MIN(R93:T93))</f>
        <v>0</v>
      </c>
      <c r="W93" s="904" t="s">
        <v>397</v>
      </c>
      <c r="X93" s="905">
        <v>2.2000000000000002</v>
      </c>
    </row>
    <row r="94" spans="1:24" ht="13" x14ac:dyDescent="0.25">
      <c r="A94" s="1475"/>
      <c r="B94" s="900">
        <v>2</v>
      </c>
      <c r="C94" s="104">
        <v>20</v>
      </c>
      <c r="D94" s="100">
        <v>-0.2</v>
      </c>
      <c r="E94" s="100" t="s">
        <v>364</v>
      </c>
      <c r="F94" s="903"/>
      <c r="G94" s="901">
        <f t="shared" ref="G94:G99" si="24">0.5*(MAX(D94:F94)-MIN(D94:F94))</f>
        <v>0</v>
      </c>
      <c r="I94" s="900">
        <v>2</v>
      </c>
      <c r="J94" s="104">
        <v>40</v>
      </c>
      <c r="K94" s="100">
        <v>-1</v>
      </c>
      <c r="L94" s="100" t="s">
        <v>364</v>
      </c>
      <c r="M94" s="903"/>
      <c r="N94" s="901">
        <f t="shared" ref="N94:N99" si="25">0.5*(MAX(K94:M94)-MIN(K94:M94))</f>
        <v>0</v>
      </c>
      <c r="P94" s="900">
        <v>2</v>
      </c>
      <c r="Q94" s="104">
        <v>800</v>
      </c>
      <c r="R94" s="100">
        <v>9.9999999999999995E-7</v>
      </c>
      <c r="S94" s="99" t="s">
        <v>364</v>
      </c>
      <c r="T94" s="903"/>
      <c r="U94" s="901">
        <f t="shared" ref="U94:U99" si="26">0.5*(MAX(R94:T94)-MIN(R94:T94))</f>
        <v>0</v>
      </c>
    </row>
    <row r="95" spans="1:24" ht="13" x14ac:dyDescent="0.25">
      <c r="A95" s="1475"/>
      <c r="B95" s="900">
        <v>3</v>
      </c>
      <c r="C95" s="104">
        <v>25</v>
      </c>
      <c r="D95" s="100">
        <v>-0.4</v>
      </c>
      <c r="E95" s="100" t="s">
        <v>364</v>
      </c>
      <c r="F95" s="903"/>
      <c r="G95" s="901">
        <f t="shared" si="24"/>
        <v>0</v>
      </c>
      <c r="I95" s="900">
        <v>3</v>
      </c>
      <c r="J95" s="104">
        <v>50</v>
      </c>
      <c r="K95" s="100">
        <v>-0.9</v>
      </c>
      <c r="L95" s="100" t="s">
        <v>364</v>
      </c>
      <c r="M95" s="903"/>
      <c r="N95" s="901">
        <f t="shared" si="25"/>
        <v>0</v>
      </c>
      <c r="P95" s="900">
        <v>3</v>
      </c>
      <c r="Q95" s="104">
        <v>850</v>
      </c>
      <c r="R95" s="100">
        <v>9.9999999999999995E-7</v>
      </c>
      <c r="S95" s="99" t="s">
        <v>364</v>
      </c>
      <c r="T95" s="903"/>
      <c r="U95" s="901">
        <f t="shared" si="26"/>
        <v>0</v>
      </c>
    </row>
    <row r="96" spans="1:24" ht="13" x14ac:dyDescent="0.25">
      <c r="A96" s="1475"/>
      <c r="B96" s="900">
        <v>4</v>
      </c>
      <c r="C96" s="906">
        <v>30</v>
      </c>
      <c r="D96" s="100">
        <v>-0.5</v>
      </c>
      <c r="E96" s="907" t="s">
        <v>364</v>
      </c>
      <c r="F96" s="903"/>
      <c r="G96" s="901">
        <f t="shared" si="24"/>
        <v>0</v>
      </c>
      <c r="I96" s="900">
        <v>4</v>
      </c>
      <c r="J96" s="906">
        <v>60</v>
      </c>
      <c r="K96" s="100">
        <v>-0.8</v>
      </c>
      <c r="L96" s="907" t="s">
        <v>364</v>
      </c>
      <c r="M96" s="903"/>
      <c r="N96" s="901">
        <f t="shared" si="25"/>
        <v>0</v>
      </c>
      <c r="P96" s="900">
        <v>4</v>
      </c>
      <c r="Q96" s="906">
        <v>900</v>
      </c>
      <c r="R96" s="100">
        <v>9.9999999999999995E-7</v>
      </c>
      <c r="S96" s="907" t="s">
        <v>364</v>
      </c>
      <c r="T96" s="903"/>
      <c r="U96" s="901">
        <f t="shared" si="26"/>
        <v>0</v>
      </c>
    </row>
    <row r="97" spans="1:28" ht="13" x14ac:dyDescent="0.25">
      <c r="A97" s="1475"/>
      <c r="B97" s="900">
        <v>5</v>
      </c>
      <c r="C97" s="906">
        <v>35</v>
      </c>
      <c r="D97" s="100">
        <v>-0.5</v>
      </c>
      <c r="E97" s="907" t="s">
        <v>364</v>
      </c>
      <c r="F97" s="903"/>
      <c r="G97" s="901">
        <f t="shared" si="24"/>
        <v>0</v>
      </c>
      <c r="I97" s="900">
        <v>5</v>
      </c>
      <c r="J97" s="906">
        <v>70</v>
      </c>
      <c r="K97" s="100">
        <v>-0.6</v>
      </c>
      <c r="L97" s="907" t="s">
        <v>364</v>
      </c>
      <c r="M97" s="903"/>
      <c r="N97" s="901">
        <f t="shared" si="25"/>
        <v>0</v>
      </c>
      <c r="P97" s="900">
        <v>5</v>
      </c>
      <c r="Q97" s="906">
        <v>1000</v>
      </c>
      <c r="R97" s="907">
        <v>0.2</v>
      </c>
      <c r="S97" s="907" t="s">
        <v>364</v>
      </c>
      <c r="T97" s="903"/>
      <c r="U97" s="901">
        <f t="shared" si="26"/>
        <v>0</v>
      </c>
    </row>
    <row r="98" spans="1:28" ht="13" x14ac:dyDescent="0.25">
      <c r="A98" s="1475"/>
      <c r="B98" s="900">
        <v>6</v>
      </c>
      <c r="C98" s="906">
        <v>37</v>
      </c>
      <c r="D98" s="100">
        <v>-0.5</v>
      </c>
      <c r="E98" s="907" t="s">
        <v>364</v>
      </c>
      <c r="F98" s="903"/>
      <c r="G98" s="901">
        <f t="shared" si="24"/>
        <v>0</v>
      </c>
      <c r="I98" s="900">
        <v>6</v>
      </c>
      <c r="J98" s="906">
        <v>80</v>
      </c>
      <c r="K98" s="100">
        <v>-0.5</v>
      </c>
      <c r="L98" s="907" t="s">
        <v>364</v>
      </c>
      <c r="M98" s="903"/>
      <c r="N98" s="901">
        <f t="shared" si="25"/>
        <v>0</v>
      </c>
      <c r="P98" s="900">
        <v>6</v>
      </c>
      <c r="Q98" s="906">
        <v>1005</v>
      </c>
      <c r="R98" s="907">
        <v>0.2</v>
      </c>
      <c r="S98" s="907" t="s">
        <v>364</v>
      </c>
      <c r="T98" s="903"/>
      <c r="U98" s="901">
        <f t="shared" si="26"/>
        <v>0</v>
      </c>
    </row>
    <row r="99" spans="1:28" ht="13" x14ac:dyDescent="0.25">
      <c r="A99" s="1475"/>
      <c r="B99" s="900">
        <v>7</v>
      </c>
      <c r="C99" s="906">
        <v>40</v>
      </c>
      <c r="D99" s="100">
        <v>-0.4</v>
      </c>
      <c r="E99" s="907" t="s">
        <v>364</v>
      </c>
      <c r="F99" s="903"/>
      <c r="G99" s="901">
        <f t="shared" si="24"/>
        <v>0</v>
      </c>
      <c r="I99" s="900">
        <v>7</v>
      </c>
      <c r="J99" s="906">
        <v>90</v>
      </c>
      <c r="K99" s="100">
        <v>-0.2</v>
      </c>
      <c r="L99" s="907" t="s">
        <v>364</v>
      </c>
      <c r="M99" s="903"/>
      <c r="N99" s="901">
        <f t="shared" si="25"/>
        <v>0</v>
      </c>
      <c r="P99" s="900">
        <v>7</v>
      </c>
      <c r="Q99" s="906">
        <v>1020</v>
      </c>
      <c r="R99" s="100">
        <v>9.9999999999999995E-7</v>
      </c>
      <c r="S99" s="907" t="s">
        <v>364</v>
      </c>
      <c r="T99" s="903"/>
      <c r="U99" s="901">
        <f t="shared" si="26"/>
        <v>0</v>
      </c>
    </row>
    <row r="100" spans="1:28" ht="13.5" thickBot="1" x14ac:dyDescent="0.35">
      <c r="A100" s="114"/>
      <c r="B100" s="534"/>
      <c r="C100" s="534"/>
      <c r="D100" s="534"/>
      <c r="E100" s="910"/>
      <c r="G100" s="109"/>
      <c r="I100" s="534"/>
      <c r="J100" s="534"/>
      <c r="K100" s="534"/>
      <c r="L100" s="910"/>
      <c r="N100" s="109"/>
      <c r="R100" s="740"/>
      <c r="AB100" s="717"/>
    </row>
    <row r="101" spans="1:28" x14ac:dyDescent="0.25">
      <c r="A101" s="1475">
        <v>10</v>
      </c>
      <c r="B101" s="1476" t="s">
        <v>406</v>
      </c>
      <c r="C101" s="1476"/>
      <c r="D101" s="1476"/>
      <c r="E101" s="1476"/>
      <c r="F101" s="1476"/>
      <c r="G101" s="1476"/>
      <c r="I101" s="1476" t="str">
        <f>B101</f>
        <v>KOREKSI Sekonic HE-21.000669</v>
      </c>
      <c r="J101" s="1476"/>
      <c r="K101" s="1476"/>
      <c r="L101" s="1476"/>
      <c r="M101" s="1476"/>
      <c r="N101" s="1476"/>
      <c r="P101" s="1476" t="str">
        <f>I101</f>
        <v>KOREKSI Sekonic HE-21.000669</v>
      </c>
      <c r="Q101" s="1476"/>
      <c r="R101" s="1476"/>
      <c r="S101" s="1476"/>
      <c r="T101" s="1476"/>
      <c r="U101" s="1476"/>
      <c r="W101" s="1482" t="s">
        <v>343</v>
      </c>
      <c r="X101" s="1483"/>
    </row>
    <row r="102" spans="1:28" ht="13" x14ac:dyDescent="0.25">
      <c r="A102" s="1475"/>
      <c r="B102" s="1484" t="s">
        <v>390</v>
      </c>
      <c r="C102" s="1484"/>
      <c r="D102" s="1484" t="s">
        <v>391</v>
      </c>
      <c r="E102" s="1484"/>
      <c r="F102" s="1484"/>
      <c r="G102" s="1484" t="s">
        <v>392</v>
      </c>
      <c r="I102" s="1484" t="s">
        <v>393</v>
      </c>
      <c r="J102" s="1484"/>
      <c r="K102" s="1484" t="s">
        <v>391</v>
      </c>
      <c r="L102" s="1484"/>
      <c r="M102" s="1484"/>
      <c r="N102" s="1484" t="s">
        <v>392</v>
      </c>
      <c r="P102" s="1484" t="s">
        <v>394</v>
      </c>
      <c r="Q102" s="1484"/>
      <c r="R102" s="1484" t="s">
        <v>391</v>
      </c>
      <c r="S102" s="1484"/>
      <c r="T102" s="1484"/>
      <c r="U102" s="1484" t="s">
        <v>392</v>
      </c>
      <c r="W102" s="898" t="s">
        <v>390</v>
      </c>
      <c r="X102" s="899">
        <v>0.3</v>
      </c>
    </row>
    <row r="103" spans="1:28" ht="14.5" x14ac:dyDescent="0.25">
      <c r="A103" s="1475"/>
      <c r="B103" s="1474" t="s">
        <v>395</v>
      </c>
      <c r="C103" s="1474"/>
      <c r="D103" s="730">
        <v>2019</v>
      </c>
      <c r="E103" s="730">
        <v>2016</v>
      </c>
      <c r="F103" s="730">
        <v>2016</v>
      </c>
      <c r="G103" s="1484"/>
      <c r="I103" s="1473" t="s">
        <v>396</v>
      </c>
      <c r="J103" s="1474"/>
      <c r="K103" s="911">
        <f>D103</f>
        <v>2019</v>
      </c>
      <c r="L103" s="911">
        <f>E103</f>
        <v>2016</v>
      </c>
      <c r="M103" s="730">
        <v>2016</v>
      </c>
      <c r="N103" s="1484"/>
      <c r="P103" s="1473" t="s">
        <v>397</v>
      </c>
      <c r="Q103" s="1474"/>
      <c r="R103" s="730">
        <f>K103</f>
        <v>2019</v>
      </c>
      <c r="S103" s="730">
        <f>L103</f>
        <v>2016</v>
      </c>
      <c r="T103" s="730">
        <v>2016</v>
      </c>
      <c r="U103" s="1484"/>
      <c r="W103" s="898" t="s">
        <v>396</v>
      </c>
      <c r="X103" s="899">
        <v>1.5</v>
      </c>
    </row>
    <row r="104" spans="1:28" ht="13.5" thickBot="1" x14ac:dyDescent="0.3">
      <c r="A104" s="1475"/>
      <c r="B104" s="900">
        <v>1</v>
      </c>
      <c r="C104" s="104">
        <v>15</v>
      </c>
      <c r="D104" s="104">
        <v>0.2</v>
      </c>
      <c r="E104" s="104">
        <v>0.2</v>
      </c>
      <c r="F104" s="903"/>
      <c r="G104" s="901">
        <f>0.5*(MAX(D104:F104)-MIN(D104:F104))</f>
        <v>0</v>
      </c>
      <c r="I104" s="900">
        <v>1</v>
      </c>
      <c r="J104" s="100">
        <v>30</v>
      </c>
      <c r="K104" s="104">
        <v>-2.9</v>
      </c>
      <c r="L104" s="104">
        <v>-5.8</v>
      </c>
      <c r="M104" s="903"/>
      <c r="N104" s="901">
        <f>0.5*(MAX(K104:M104)-MIN(K104:M104))</f>
        <v>1.45</v>
      </c>
      <c r="P104" s="900">
        <v>1</v>
      </c>
      <c r="Q104" s="104">
        <v>750</v>
      </c>
      <c r="R104" s="99" t="s">
        <v>364</v>
      </c>
      <c r="S104" s="99" t="s">
        <v>364</v>
      </c>
      <c r="T104" s="903"/>
      <c r="U104" s="901">
        <f>0.5*(MAX(R104:T104)-MIN(R104:T104))</f>
        <v>0</v>
      </c>
      <c r="W104" s="904" t="s">
        <v>397</v>
      </c>
      <c r="X104" s="905">
        <v>0</v>
      </c>
    </row>
    <row r="105" spans="1:28" ht="13" x14ac:dyDescent="0.25">
      <c r="A105" s="1475"/>
      <c r="B105" s="900">
        <v>2</v>
      </c>
      <c r="C105" s="104">
        <v>20</v>
      </c>
      <c r="D105" s="104">
        <v>0.2</v>
      </c>
      <c r="E105" s="104">
        <v>-0.7</v>
      </c>
      <c r="F105" s="903"/>
      <c r="G105" s="901">
        <f t="shared" ref="G105:G110" si="27">0.5*(MAX(D105:F105)-MIN(D105:F105))</f>
        <v>0.44999999999999996</v>
      </c>
      <c r="I105" s="900">
        <v>2</v>
      </c>
      <c r="J105" s="100">
        <v>40</v>
      </c>
      <c r="K105" s="104">
        <v>-3.3</v>
      </c>
      <c r="L105" s="104">
        <v>-6.4</v>
      </c>
      <c r="M105" s="903"/>
      <c r="N105" s="901">
        <f t="shared" ref="N105:N110" si="28">0.5*(MAX(K105:M105)-MIN(K105:M105))</f>
        <v>1.5500000000000003</v>
      </c>
      <c r="P105" s="900">
        <v>2</v>
      </c>
      <c r="Q105" s="104">
        <v>800</v>
      </c>
      <c r="R105" s="99" t="s">
        <v>364</v>
      </c>
      <c r="S105" s="99" t="s">
        <v>364</v>
      </c>
      <c r="T105" s="903"/>
      <c r="U105" s="901">
        <f t="shared" ref="U105:U110" si="29">0.5*(MAX(R105:T105)-MIN(R105:T105))</f>
        <v>0</v>
      </c>
    </row>
    <row r="106" spans="1:28" ht="13" x14ac:dyDescent="0.25">
      <c r="A106" s="1475"/>
      <c r="B106" s="900">
        <v>3</v>
      </c>
      <c r="C106" s="104">
        <v>25</v>
      </c>
      <c r="D106" s="104">
        <v>0.1</v>
      </c>
      <c r="E106" s="104">
        <v>-0.5</v>
      </c>
      <c r="F106" s="903"/>
      <c r="G106" s="901">
        <f t="shared" si="27"/>
        <v>0.3</v>
      </c>
      <c r="I106" s="900">
        <v>3</v>
      </c>
      <c r="J106" s="100">
        <v>50</v>
      </c>
      <c r="K106" s="104">
        <v>-3.1</v>
      </c>
      <c r="L106" s="104">
        <v>-6.1</v>
      </c>
      <c r="M106" s="903"/>
      <c r="N106" s="901">
        <f t="shared" si="28"/>
        <v>1.4999999999999998</v>
      </c>
      <c r="P106" s="900">
        <v>3</v>
      </c>
      <c r="Q106" s="104">
        <v>850</v>
      </c>
      <c r="R106" s="99" t="s">
        <v>364</v>
      </c>
      <c r="S106" s="99" t="s">
        <v>364</v>
      </c>
      <c r="T106" s="903"/>
      <c r="U106" s="901">
        <f t="shared" si="29"/>
        <v>0</v>
      </c>
    </row>
    <row r="107" spans="1:28" ht="13" x14ac:dyDescent="0.25">
      <c r="A107" s="1475"/>
      <c r="B107" s="900">
        <v>4</v>
      </c>
      <c r="C107" s="906">
        <v>30</v>
      </c>
      <c r="D107" s="906">
        <v>0.1</v>
      </c>
      <c r="E107" s="906">
        <v>0.2</v>
      </c>
      <c r="F107" s="903"/>
      <c r="G107" s="901">
        <f t="shared" si="27"/>
        <v>0.05</v>
      </c>
      <c r="I107" s="900">
        <v>4</v>
      </c>
      <c r="J107" s="912">
        <v>60</v>
      </c>
      <c r="K107" s="906">
        <v>-2.1</v>
      </c>
      <c r="L107" s="906">
        <v>-5.6</v>
      </c>
      <c r="M107" s="903"/>
      <c r="N107" s="901">
        <f t="shared" si="28"/>
        <v>1.7499999999999998</v>
      </c>
      <c r="P107" s="900">
        <v>4</v>
      </c>
      <c r="Q107" s="906">
        <v>900</v>
      </c>
      <c r="R107" s="907" t="s">
        <v>364</v>
      </c>
      <c r="S107" s="907" t="s">
        <v>364</v>
      </c>
      <c r="T107" s="903"/>
      <c r="U107" s="901">
        <f t="shared" si="29"/>
        <v>0</v>
      </c>
    </row>
    <row r="108" spans="1:28" ht="13" x14ac:dyDescent="0.25">
      <c r="A108" s="1475"/>
      <c r="B108" s="900">
        <v>5</v>
      </c>
      <c r="C108" s="906">
        <v>35</v>
      </c>
      <c r="D108" s="906">
        <v>0.2</v>
      </c>
      <c r="E108" s="906">
        <v>0.8</v>
      </c>
      <c r="F108" s="903"/>
      <c r="G108" s="901">
        <f t="shared" si="27"/>
        <v>0.30000000000000004</v>
      </c>
      <c r="I108" s="900">
        <v>5</v>
      </c>
      <c r="J108" s="912">
        <v>70</v>
      </c>
      <c r="K108" s="906">
        <v>-0.3</v>
      </c>
      <c r="L108" s="906">
        <v>-5.0999999999999996</v>
      </c>
      <c r="M108" s="903"/>
      <c r="N108" s="901">
        <f t="shared" si="28"/>
        <v>2.4</v>
      </c>
      <c r="P108" s="900">
        <v>5</v>
      </c>
      <c r="Q108" s="906">
        <v>1000</v>
      </c>
      <c r="R108" s="907" t="s">
        <v>364</v>
      </c>
      <c r="S108" s="907" t="s">
        <v>364</v>
      </c>
      <c r="T108" s="903"/>
      <c r="U108" s="901">
        <f t="shared" si="29"/>
        <v>0</v>
      </c>
    </row>
    <row r="109" spans="1:28" ht="13" x14ac:dyDescent="0.25">
      <c r="A109" s="1475"/>
      <c r="B109" s="900">
        <v>6</v>
      </c>
      <c r="C109" s="906">
        <v>37</v>
      </c>
      <c r="D109" s="906">
        <v>0.2</v>
      </c>
      <c r="E109" s="906">
        <v>0.4</v>
      </c>
      <c r="F109" s="903"/>
      <c r="G109" s="901">
        <f t="shared" si="27"/>
        <v>0.1</v>
      </c>
      <c r="I109" s="900">
        <v>6</v>
      </c>
      <c r="J109" s="912">
        <v>80</v>
      </c>
      <c r="K109" s="906">
        <v>2.2000000000000002</v>
      </c>
      <c r="L109" s="906">
        <v>-4.7</v>
      </c>
      <c r="M109" s="903"/>
      <c r="N109" s="901">
        <f t="shared" si="28"/>
        <v>3.45</v>
      </c>
      <c r="P109" s="900">
        <v>6</v>
      </c>
      <c r="Q109" s="906">
        <v>1005</v>
      </c>
      <c r="R109" s="907" t="s">
        <v>364</v>
      </c>
      <c r="S109" s="907" t="s">
        <v>364</v>
      </c>
      <c r="T109" s="903"/>
      <c r="U109" s="901">
        <f t="shared" si="29"/>
        <v>0</v>
      </c>
    </row>
    <row r="110" spans="1:28" ht="13.5" thickBot="1" x14ac:dyDescent="0.3">
      <c r="A110" s="1475"/>
      <c r="B110" s="900">
        <v>7</v>
      </c>
      <c r="C110" s="912">
        <v>40</v>
      </c>
      <c r="D110" s="100">
        <v>0.2</v>
      </c>
      <c r="E110" s="100">
        <v>9.9999999999999995E-7</v>
      </c>
      <c r="F110" s="903"/>
      <c r="G110" s="901">
        <f t="shared" si="27"/>
        <v>9.9999500000000005E-2</v>
      </c>
      <c r="I110" s="900">
        <v>7</v>
      </c>
      <c r="J110" s="912">
        <v>90</v>
      </c>
      <c r="K110" s="912">
        <v>5.4</v>
      </c>
      <c r="L110" s="100">
        <v>9.9999999999999995E-7</v>
      </c>
      <c r="M110" s="903"/>
      <c r="N110" s="901">
        <f t="shared" si="28"/>
        <v>2.6999995000000001</v>
      </c>
      <c r="P110" s="900">
        <v>7</v>
      </c>
      <c r="Q110" s="906">
        <v>1020</v>
      </c>
      <c r="R110" s="907" t="s">
        <v>364</v>
      </c>
      <c r="S110" s="907" t="s">
        <v>364</v>
      </c>
      <c r="T110" s="903"/>
      <c r="U110" s="901">
        <f t="shared" si="29"/>
        <v>0</v>
      </c>
    </row>
    <row r="111" spans="1:28" ht="13.5" thickBot="1" x14ac:dyDescent="0.35">
      <c r="A111" s="114"/>
      <c r="B111" s="534"/>
      <c r="C111" s="534"/>
      <c r="D111" s="534"/>
      <c r="E111" s="910"/>
      <c r="F111" s="109"/>
      <c r="G111" s="717"/>
      <c r="H111" s="534"/>
      <c r="I111" s="534"/>
      <c r="J111" s="534"/>
      <c r="K111" s="910"/>
      <c r="L111" s="109"/>
      <c r="M111" s="717"/>
      <c r="O111" s="714"/>
      <c r="P111" s="740"/>
    </row>
    <row r="112" spans="1:28" x14ac:dyDescent="0.25">
      <c r="A112" s="1475">
        <v>11</v>
      </c>
      <c r="B112" s="1476" t="s">
        <v>407</v>
      </c>
      <c r="C112" s="1476"/>
      <c r="D112" s="1476"/>
      <c r="E112" s="1476"/>
      <c r="F112" s="1476"/>
      <c r="G112" s="1476"/>
      <c r="I112" s="1476" t="str">
        <f>B112</f>
        <v>KOREKSI Sekonic HE-21.000670</v>
      </c>
      <c r="J112" s="1476"/>
      <c r="K112" s="1476"/>
      <c r="L112" s="1476"/>
      <c r="M112" s="1476"/>
      <c r="N112" s="1476"/>
      <c r="P112" s="1476" t="str">
        <f>I112</f>
        <v>KOREKSI Sekonic HE-21.000670</v>
      </c>
      <c r="Q112" s="1476"/>
      <c r="R112" s="1476"/>
      <c r="S112" s="1476"/>
      <c r="T112" s="1476"/>
      <c r="U112" s="1476"/>
      <c r="W112" s="1482" t="s">
        <v>343</v>
      </c>
      <c r="X112" s="1483"/>
      <c r="AB112" s="714"/>
    </row>
    <row r="113" spans="1:24" ht="13" x14ac:dyDescent="0.25">
      <c r="A113" s="1475"/>
      <c r="B113" s="1484" t="s">
        <v>390</v>
      </c>
      <c r="C113" s="1484"/>
      <c r="D113" s="1484" t="s">
        <v>391</v>
      </c>
      <c r="E113" s="1484"/>
      <c r="F113" s="1484"/>
      <c r="G113" s="1484" t="s">
        <v>392</v>
      </c>
      <c r="I113" s="1484" t="s">
        <v>393</v>
      </c>
      <c r="J113" s="1484"/>
      <c r="K113" s="1484" t="s">
        <v>391</v>
      </c>
      <c r="L113" s="1484"/>
      <c r="M113" s="1484"/>
      <c r="N113" s="1484" t="s">
        <v>392</v>
      </c>
      <c r="P113" s="1484" t="s">
        <v>394</v>
      </c>
      <c r="Q113" s="1484"/>
      <c r="R113" s="1484" t="s">
        <v>391</v>
      </c>
      <c r="S113" s="1484"/>
      <c r="T113" s="1484"/>
      <c r="U113" s="1484" t="s">
        <v>392</v>
      </c>
      <c r="W113" s="898" t="s">
        <v>390</v>
      </c>
      <c r="X113" s="899">
        <v>0.3</v>
      </c>
    </row>
    <row r="114" spans="1:24" ht="14.5" x14ac:dyDescent="0.25">
      <c r="A114" s="1475"/>
      <c r="B114" s="1474" t="s">
        <v>395</v>
      </c>
      <c r="C114" s="1474"/>
      <c r="D114" s="730">
        <v>2020</v>
      </c>
      <c r="E114" s="737">
        <v>2016</v>
      </c>
      <c r="F114" s="730">
        <v>2016</v>
      </c>
      <c r="G114" s="1484"/>
      <c r="I114" s="1473" t="s">
        <v>396</v>
      </c>
      <c r="J114" s="1474"/>
      <c r="K114" s="911">
        <f>D114</f>
        <v>2020</v>
      </c>
      <c r="L114" s="911">
        <f>E114</f>
        <v>2016</v>
      </c>
      <c r="M114" s="730">
        <v>2016</v>
      </c>
      <c r="N114" s="1484"/>
      <c r="P114" s="1473" t="s">
        <v>397</v>
      </c>
      <c r="Q114" s="1474"/>
      <c r="R114" s="911">
        <f>K114</f>
        <v>2020</v>
      </c>
      <c r="S114" s="911">
        <f>L114</f>
        <v>2016</v>
      </c>
      <c r="T114" s="730">
        <v>2016</v>
      </c>
      <c r="U114" s="1484"/>
      <c r="W114" s="898" t="s">
        <v>396</v>
      </c>
      <c r="X114" s="899">
        <v>1.8</v>
      </c>
    </row>
    <row r="115" spans="1:24" ht="13.5" thickBot="1" x14ac:dyDescent="0.3">
      <c r="A115" s="1475"/>
      <c r="B115" s="900">
        <v>1</v>
      </c>
      <c r="C115" s="104">
        <v>15</v>
      </c>
      <c r="D115" s="104">
        <v>0.3</v>
      </c>
      <c r="E115" s="104">
        <v>0.3</v>
      </c>
      <c r="F115" s="903"/>
      <c r="G115" s="901">
        <f>0.5*(MAX(D115:F115)-MIN(D115:F115))</f>
        <v>0</v>
      </c>
      <c r="I115" s="900">
        <v>1</v>
      </c>
      <c r="J115" s="104">
        <v>30</v>
      </c>
      <c r="K115" s="104">
        <v>-5.2</v>
      </c>
      <c r="L115" s="104">
        <v>-6.4</v>
      </c>
      <c r="M115" s="903"/>
      <c r="N115" s="901">
        <f>0.5*(MAX(K115:M115)-MIN(K115:M115))</f>
        <v>0.60000000000000009</v>
      </c>
      <c r="P115" s="900">
        <v>1</v>
      </c>
      <c r="Q115" s="104">
        <v>750</v>
      </c>
      <c r="R115" s="99" t="s">
        <v>364</v>
      </c>
      <c r="S115" s="100" t="s">
        <v>364</v>
      </c>
      <c r="T115" s="903"/>
      <c r="U115" s="901">
        <f>0.5*(MAX(R115:T115)-MIN(R115:T115))</f>
        <v>0</v>
      </c>
      <c r="W115" s="904" t="s">
        <v>397</v>
      </c>
      <c r="X115" s="905">
        <v>0</v>
      </c>
    </row>
    <row r="116" spans="1:24" ht="13" x14ac:dyDescent="0.25">
      <c r="A116" s="1475"/>
      <c r="B116" s="900">
        <v>2</v>
      </c>
      <c r="C116" s="104">
        <v>20</v>
      </c>
      <c r="D116" s="104">
        <v>0.4</v>
      </c>
      <c r="E116" s="104">
        <v>0.5</v>
      </c>
      <c r="F116" s="903"/>
      <c r="G116" s="901">
        <f t="shared" ref="G116:G121" si="30">0.5*(MAX(D116:F116)-MIN(D116:F116))</f>
        <v>4.9999999999999989E-2</v>
      </c>
      <c r="I116" s="900">
        <v>2</v>
      </c>
      <c r="J116" s="104">
        <v>40</v>
      </c>
      <c r="K116" s="104">
        <v>-5.5</v>
      </c>
      <c r="L116" s="104">
        <v>-5.9</v>
      </c>
      <c r="M116" s="903"/>
      <c r="N116" s="901">
        <f t="shared" ref="N116:N121" si="31">0.5*(MAX(K116:M116)-MIN(K116:M116))</f>
        <v>0.20000000000000018</v>
      </c>
      <c r="P116" s="900">
        <v>2</v>
      </c>
      <c r="Q116" s="104">
        <v>800</v>
      </c>
      <c r="R116" s="99" t="s">
        <v>364</v>
      </c>
      <c r="S116" s="100" t="s">
        <v>364</v>
      </c>
      <c r="T116" s="903"/>
      <c r="U116" s="901">
        <f t="shared" ref="U116:U121" si="32">0.5*(MAX(R116:T116)-MIN(R116:T116))</f>
        <v>0</v>
      </c>
    </row>
    <row r="117" spans="1:24" ht="13" x14ac:dyDescent="0.25">
      <c r="A117" s="1475"/>
      <c r="B117" s="900">
        <v>3</v>
      </c>
      <c r="C117" s="104">
        <v>25</v>
      </c>
      <c r="D117" s="104">
        <v>0.4</v>
      </c>
      <c r="E117" s="104">
        <v>0.5</v>
      </c>
      <c r="F117" s="903"/>
      <c r="G117" s="901">
        <f t="shared" si="30"/>
        <v>4.9999999999999989E-2</v>
      </c>
      <c r="I117" s="900">
        <v>3</v>
      </c>
      <c r="J117" s="104">
        <v>50</v>
      </c>
      <c r="K117" s="104">
        <v>-5.5</v>
      </c>
      <c r="L117" s="104">
        <v>-5.6</v>
      </c>
      <c r="M117" s="903"/>
      <c r="N117" s="901">
        <f t="shared" si="31"/>
        <v>4.9999999999999822E-2</v>
      </c>
      <c r="P117" s="900">
        <v>3</v>
      </c>
      <c r="Q117" s="104">
        <v>850</v>
      </c>
      <c r="R117" s="99" t="s">
        <v>364</v>
      </c>
      <c r="S117" s="100" t="s">
        <v>364</v>
      </c>
      <c r="T117" s="903"/>
      <c r="U117" s="901">
        <f t="shared" si="32"/>
        <v>0</v>
      </c>
    </row>
    <row r="118" spans="1:24" ht="13" x14ac:dyDescent="0.25">
      <c r="A118" s="1475"/>
      <c r="B118" s="900">
        <v>4</v>
      </c>
      <c r="C118" s="906">
        <v>30</v>
      </c>
      <c r="D118" s="906">
        <v>0.5</v>
      </c>
      <c r="E118" s="906">
        <v>0.4</v>
      </c>
      <c r="F118" s="903"/>
      <c r="G118" s="901">
        <f t="shared" si="30"/>
        <v>4.9999999999999989E-2</v>
      </c>
      <c r="I118" s="900">
        <v>4</v>
      </c>
      <c r="J118" s="906">
        <v>60</v>
      </c>
      <c r="K118" s="906">
        <v>-4.8</v>
      </c>
      <c r="L118" s="906">
        <v>-4.5</v>
      </c>
      <c r="M118" s="903"/>
      <c r="N118" s="901">
        <f t="shared" si="31"/>
        <v>0.14999999999999991</v>
      </c>
      <c r="P118" s="900">
        <v>4</v>
      </c>
      <c r="Q118" s="906">
        <v>900</v>
      </c>
      <c r="R118" s="907" t="s">
        <v>364</v>
      </c>
      <c r="S118" s="907" t="s">
        <v>364</v>
      </c>
      <c r="T118" s="903"/>
      <c r="U118" s="901">
        <f t="shared" si="32"/>
        <v>0</v>
      </c>
    </row>
    <row r="119" spans="1:24" ht="13" x14ac:dyDescent="0.25">
      <c r="A119" s="1475"/>
      <c r="B119" s="900">
        <v>5</v>
      </c>
      <c r="C119" s="906">
        <v>35</v>
      </c>
      <c r="D119" s="906">
        <v>0.5</v>
      </c>
      <c r="E119" s="906">
        <v>0.4</v>
      </c>
      <c r="F119" s="903"/>
      <c r="G119" s="901">
        <f t="shared" si="30"/>
        <v>4.9999999999999989E-2</v>
      </c>
      <c r="I119" s="900">
        <v>5</v>
      </c>
      <c r="J119" s="906">
        <v>70</v>
      </c>
      <c r="K119" s="906">
        <v>-3.4</v>
      </c>
      <c r="L119" s="906">
        <v>-1.7</v>
      </c>
      <c r="M119" s="903"/>
      <c r="N119" s="901">
        <f t="shared" si="31"/>
        <v>0.85</v>
      </c>
      <c r="P119" s="900">
        <v>5</v>
      </c>
      <c r="Q119" s="906">
        <v>1000</v>
      </c>
      <c r="R119" s="907" t="s">
        <v>364</v>
      </c>
      <c r="S119" s="907" t="s">
        <v>364</v>
      </c>
      <c r="T119" s="903"/>
      <c r="U119" s="901">
        <f t="shared" si="32"/>
        <v>0</v>
      </c>
    </row>
    <row r="120" spans="1:24" ht="13" x14ac:dyDescent="0.25">
      <c r="A120" s="1475"/>
      <c r="B120" s="900">
        <v>6</v>
      </c>
      <c r="C120" s="906">
        <v>37</v>
      </c>
      <c r="D120" s="906">
        <v>0.5</v>
      </c>
      <c r="E120" s="906">
        <v>0.5</v>
      </c>
      <c r="F120" s="903"/>
      <c r="G120" s="901">
        <f t="shared" si="30"/>
        <v>0</v>
      </c>
      <c r="I120" s="900">
        <v>6</v>
      </c>
      <c r="J120" s="906">
        <v>80</v>
      </c>
      <c r="K120" s="906">
        <v>-1.4</v>
      </c>
      <c r="L120" s="906">
        <v>2.6</v>
      </c>
      <c r="M120" s="903"/>
      <c r="N120" s="901">
        <f t="shared" si="31"/>
        <v>2</v>
      </c>
      <c r="P120" s="900">
        <v>6</v>
      </c>
      <c r="Q120" s="906">
        <v>1005</v>
      </c>
      <c r="R120" s="907" t="s">
        <v>364</v>
      </c>
      <c r="S120" s="907" t="s">
        <v>364</v>
      </c>
      <c r="T120" s="903"/>
      <c r="U120" s="901">
        <f t="shared" si="32"/>
        <v>0</v>
      </c>
    </row>
    <row r="121" spans="1:24" ht="13.5" thickBot="1" x14ac:dyDescent="0.3">
      <c r="A121" s="1475"/>
      <c r="B121" s="900">
        <v>7</v>
      </c>
      <c r="C121" s="912">
        <v>40</v>
      </c>
      <c r="D121" s="912">
        <v>0.5</v>
      </c>
      <c r="E121" s="100">
        <v>9.9999999999999995E-7</v>
      </c>
      <c r="F121" s="903"/>
      <c r="G121" s="901">
        <f t="shared" si="30"/>
        <v>0.24999950000000001</v>
      </c>
      <c r="I121" s="900">
        <v>7</v>
      </c>
      <c r="J121" s="912">
        <v>90</v>
      </c>
      <c r="K121" s="912">
        <v>1.3</v>
      </c>
      <c r="L121" s="100">
        <v>9.9999999999999995E-7</v>
      </c>
      <c r="M121" s="903"/>
      <c r="N121" s="901">
        <f t="shared" si="31"/>
        <v>0.64999950000000006</v>
      </c>
      <c r="P121" s="900">
        <v>7</v>
      </c>
      <c r="Q121" s="906">
        <v>1020</v>
      </c>
      <c r="R121" s="907" t="s">
        <v>364</v>
      </c>
      <c r="S121" s="907" t="s">
        <v>364</v>
      </c>
      <c r="T121" s="903"/>
      <c r="U121" s="901">
        <f t="shared" si="32"/>
        <v>0</v>
      </c>
    </row>
    <row r="122" spans="1:24" ht="13.5" thickBot="1" x14ac:dyDescent="0.35">
      <c r="A122" s="114"/>
      <c r="B122" s="534"/>
      <c r="C122" s="534"/>
      <c r="D122" s="534"/>
      <c r="E122" s="910"/>
      <c r="F122" s="109"/>
      <c r="G122" s="717"/>
      <c r="I122" s="534"/>
      <c r="J122" s="534"/>
      <c r="K122" s="534"/>
      <c r="L122" s="910"/>
      <c r="M122" s="109"/>
      <c r="Q122" s="714"/>
      <c r="R122" s="740"/>
    </row>
    <row r="123" spans="1:24" x14ac:dyDescent="0.25">
      <c r="A123" s="1475">
        <v>12</v>
      </c>
      <c r="B123" s="1476" t="s">
        <v>408</v>
      </c>
      <c r="C123" s="1476"/>
      <c r="D123" s="1476"/>
      <c r="E123" s="1476"/>
      <c r="F123" s="1476"/>
      <c r="G123" s="1476"/>
      <c r="I123" s="1476" t="str">
        <f>B123</f>
        <v>KOREKSI EXTECH A.100586</v>
      </c>
      <c r="J123" s="1476"/>
      <c r="K123" s="1476"/>
      <c r="L123" s="1476"/>
      <c r="M123" s="1476"/>
      <c r="N123" s="1476"/>
      <c r="P123" s="1476" t="str">
        <f>I123</f>
        <v>KOREKSI EXTECH A.100586</v>
      </c>
      <c r="Q123" s="1476"/>
      <c r="R123" s="1476"/>
      <c r="S123" s="1476"/>
      <c r="T123" s="1476"/>
      <c r="U123" s="1476"/>
      <c r="W123" s="1482" t="s">
        <v>343</v>
      </c>
      <c r="X123" s="1483"/>
    </row>
    <row r="124" spans="1:24" ht="13" x14ac:dyDescent="0.25">
      <c r="A124" s="1475"/>
      <c r="B124" s="1484" t="s">
        <v>390</v>
      </c>
      <c r="C124" s="1484"/>
      <c r="D124" s="1484" t="s">
        <v>391</v>
      </c>
      <c r="E124" s="1484"/>
      <c r="F124" s="1484"/>
      <c r="G124" s="1484" t="s">
        <v>392</v>
      </c>
      <c r="I124" s="1484" t="s">
        <v>393</v>
      </c>
      <c r="J124" s="1484"/>
      <c r="K124" s="1484" t="s">
        <v>391</v>
      </c>
      <c r="L124" s="1484"/>
      <c r="M124" s="1484"/>
      <c r="N124" s="1484" t="s">
        <v>392</v>
      </c>
      <c r="P124" s="1484" t="s">
        <v>394</v>
      </c>
      <c r="Q124" s="1484"/>
      <c r="R124" s="1484" t="s">
        <v>391</v>
      </c>
      <c r="S124" s="1484"/>
      <c r="T124" s="1484"/>
      <c r="U124" s="1484" t="s">
        <v>392</v>
      </c>
      <c r="W124" s="898" t="s">
        <v>390</v>
      </c>
      <c r="X124" s="899">
        <v>0.3</v>
      </c>
    </row>
    <row r="125" spans="1:24" ht="14.5" x14ac:dyDescent="0.25">
      <c r="A125" s="1475"/>
      <c r="B125" s="1474" t="s">
        <v>395</v>
      </c>
      <c r="C125" s="1474"/>
      <c r="D125" s="730">
        <v>2020</v>
      </c>
      <c r="E125" s="737" t="s">
        <v>364</v>
      </c>
      <c r="F125" s="730">
        <v>2016</v>
      </c>
      <c r="G125" s="1484"/>
      <c r="I125" s="1473" t="s">
        <v>396</v>
      </c>
      <c r="J125" s="1474"/>
      <c r="K125" s="730">
        <f>D125</f>
        <v>2020</v>
      </c>
      <c r="L125" s="730" t="str">
        <f>E125</f>
        <v>-</v>
      </c>
      <c r="M125" s="730">
        <v>2016</v>
      </c>
      <c r="N125" s="1484"/>
      <c r="P125" s="1473" t="s">
        <v>397</v>
      </c>
      <c r="Q125" s="1474"/>
      <c r="R125" s="730">
        <f>K125</f>
        <v>2020</v>
      </c>
      <c r="S125" s="730" t="str">
        <f>L125</f>
        <v>-</v>
      </c>
      <c r="T125" s="730">
        <v>2016</v>
      </c>
      <c r="U125" s="1484"/>
      <c r="W125" s="898" t="s">
        <v>396</v>
      </c>
      <c r="X125" s="899">
        <v>2</v>
      </c>
    </row>
    <row r="126" spans="1:24" ht="13.5" thickBot="1" x14ac:dyDescent="0.3">
      <c r="A126" s="1475"/>
      <c r="B126" s="900">
        <v>1</v>
      </c>
      <c r="C126" s="104">
        <v>15</v>
      </c>
      <c r="D126" s="100">
        <v>9.9999999999999995E-7</v>
      </c>
      <c r="E126" s="100" t="s">
        <v>364</v>
      </c>
      <c r="F126" s="903"/>
      <c r="G126" s="901">
        <f>0.5*(MAX(D126:F126)-MIN(D126:F126))</f>
        <v>0</v>
      </c>
      <c r="I126" s="900">
        <v>1</v>
      </c>
      <c r="J126" s="104">
        <v>30</v>
      </c>
      <c r="K126" s="104">
        <v>-0.4</v>
      </c>
      <c r="L126" s="100" t="s">
        <v>364</v>
      </c>
      <c r="M126" s="903"/>
      <c r="N126" s="901">
        <f>0.5*(MAX(K126:M126)-MIN(K126:M126))</f>
        <v>0</v>
      </c>
      <c r="P126" s="900">
        <v>1</v>
      </c>
      <c r="Q126" s="104">
        <v>800</v>
      </c>
      <c r="R126" s="99">
        <v>-0.4</v>
      </c>
      <c r="S126" s="100" t="s">
        <v>364</v>
      </c>
      <c r="T126" s="903"/>
      <c r="U126" s="901">
        <f>0.5*(MAX(R126:T126)-MIN(R126:T126))</f>
        <v>0</v>
      </c>
      <c r="W126" s="904" t="s">
        <v>397</v>
      </c>
      <c r="X126" s="905">
        <v>2.4</v>
      </c>
    </row>
    <row r="127" spans="1:24" ht="13" x14ac:dyDescent="0.25">
      <c r="A127" s="1475"/>
      <c r="B127" s="900">
        <v>2</v>
      </c>
      <c r="C127" s="104">
        <v>20</v>
      </c>
      <c r="D127" s="100">
        <v>9.9999999999999995E-7</v>
      </c>
      <c r="E127" s="100" t="s">
        <v>364</v>
      </c>
      <c r="F127" s="903"/>
      <c r="G127" s="901">
        <f t="shared" ref="G127:G132" si="33">0.5*(MAX(D127:F127)-MIN(D127:F127))</f>
        <v>0</v>
      </c>
      <c r="I127" s="900">
        <v>2</v>
      </c>
      <c r="J127" s="104">
        <v>40</v>
      </c>
      <c r="K127" s="104">
        <v>-0.1</v>
      </c>
      <c r="L127" s="100" t="s">
        <v>364</v>
      </c>
      <c r="M127" s="903"/>
      <c r="N127" s="901">
        <f t="shared" ref="N127:N132" si="34">0.5*(MAX(K127:M127)-MIN(K127:M127))</f>
        <v>0</v>
      </c>
      <c r="P127" s="900">
        <v>2</v>
      </c>
      <c r="Q127" s="104">
        <v>850</v>
      </c>
      <c r="R127" s="99">
        <v>-0.5</v>
      </c>
      <c r="S127" s="100" t="s">
        <v>364</v>
      </c>
      <c r="T127" s="903"/>
      <c r="U127" s="901">
        <f t="shared" ref="U127:U132" si="35">0.5*(MAX(R127:T127)-MIN(R127:T127))</f>
        <v>0</v>
      </c>
    </row>
    <row r="128" spans="1:24" ht="13" x14ac:dyDescent="0.25">
      <c r="A128" s="1475"/>
      <c r="B128" s="900">
        <v>3</v>
      </c>
      <c r="C128" s="104">
        <v>25</v>
      </c>
      <c r="D128" s="100">
        <v>9.9999999999999995E-7</v>
      </c>
      <c r="E128" s="100" t="s">
        <v>364</v>
      </c>
      <c r="F128" s="903"/>
      <c r="G128" s="901">
        <f t="shared" si="33"/>
        <v>0</v>
      </c>
      <c r="I128" s="900">
        <v>3</v>
      </c>
      <c r="J128" s="104">
        <v>50</v>
      </c>
      <c r="K128" s="100">
        <v>9.9999999999999995E-7</v>
      </c>
      <c r="L128" s="100" t="s">
        <v>364</v>
      </c>
      <c r="M128" s="903"/>
      <c r="N128" s="901">
        <f t="shared" si="34"/>
        <v>0</v>
      </c>
      <c r="P128" s="900">
        <v>3</v>
      </c>
      <c r="Q128" s="906">
        <v>900</v>
      </c>
      <c r="R128" s="907">
        <v>-0.6</v>
      </c>
      <c r="S128" s="100" t="s">
        <v>364</v>
      </c>
      <c r="T128" s="903"/>
      <c r="U128" s="901">
        <f t="shared" si="35"/>
        <v>0</v>
      </c>
    </row>
    <row r="129" spans="1:24" ht="13" x14ac:dyDescent="0.25">
      <c r="A129" s="1475"/>
      <c r="B129" s="900">
        <v>4</v>
      </c>
      <c r="C129" s="906">
        <v>30</v>
      </c>
      <c r="D129" s="906">
        <v>-0.1</v>
      </c>
      <c r="E129" s="907" t="s">
        <v>364</v>
      </c>
      <c r="F129" s="903"/>
      <c r="G129" s="901">
        <f t="shared" si="33"/>
        <v>0</v>
      </c>
      <c r="I129" s="900">
        <v>4</v>
      </c>
      <c r="J129" s="906">
        <v>60</v>
      </c>
      <c r="K129" s="100">
        <v>9.9999999999999995E-7</v>
      </c>
      <c r="L129" s="907" t="s">
        <v>364</v>
      </c>
      <c r="M129" s="903"/>
      <c r="N129" s="901">
        <f t="shared" si="34"/>
        <v>0</v>
      </c>
      <c r="P129" s="900">
        <v>4</v>
      </c>
      <c r="Q129" s="906">
        <v>950</v>
      </c>
      <c r="R129" s="907">
        <v>-0.7</v>
      </c>
      <c r="S129" s="907" t="s">
        <v>364</v>
      </c>
      <c r="T129" s="903"/>
      <c r="U129" s="901">
        <f t="shared" si="35"/>
        <v>0</v>
      </c>
    </row>
    <row r="130" spans="1:24" ht="13" x14ac:dyDescent="0.25">
      <c r="A130" s="1475"/>
      <c r="B130" s="900">
        <v>5</v>
      </c>
      <c r="C130" s="906">
        <v>35</v>
      </c>
      <c r="D130" s="906">
        <v>-0.2</v>
      </c>
      <c r="E130" s="907" t="s">
        <v>364</v>
      </c>
      <c r="F130" s="903"/>
      <c r="G130" s="901">
        <f t="shared" si="33"/>
        <v>0</v>
      </c>
      <c r="I130" s="900">
        <v>5</v>
      </c>
      <c r="J130" s="906">
        <v>70</v>
      </c>
      <c r="K130" s="906">
        <v>-0.1</v>
      </c>
      <c r="L130" s="907" t="s">
        <v>364</v>
      </c>
      <c r="M130" s="903"/>
      <c r="N130" s="901">
        <f t="shared" si="34"/>
        <v>0</v>
      </c>
      <c r="P130" s="900">
        <v>5</v>
      </c>
      <c r="Q130" s="906">
        <v>1000</v>
      </c>
      <c r="R130" s="907">
        <v>-0.8</v>
      </c>
      <c r="S130" s="907" t="s">
        <v>364</v>
      </c>
      <c r="T130" s="903"/>
      <c r="U130" s="901">
        <f t="shared" si="35"/>
        <v>0</v>
      </c>
    </row>
    <row r="131" spans="1:24" ht="13" x14ac:dyDescent="0.25">
      <c r="A131" s="1475"/>
      <c r="B131" s="900">
        <v>6</v>
      </c>
      <c r="C131" s="906">
        <v>37</v>
      </c>
      <c r="D131" s="906">
        <v>-0.3</v>
      </c>
      <c r="E131" s="907" t="s">
        <v>364</v>
      </c>
      <c r="F131" s="903"/>
      <c r="G131" s="901">
        <f t="shared" si="33"/>
        <v>0</v>
      </c>
      <c r="I131" s="900">
        <v>6</v>
      </c>
      <c r="J131" s="906">
        <v>80</v>
      </c>
      <c r="K131" s="906">
        <v>-0.5</v>
      </c>
      <c r="L131" s="907" t="s">
        <v>364</v>
      </c>
      <c r="M131" s="903"/>
      <c r="N131" s="901">
        <f t="shared" si="34"/>
        <v>0</v>
      </c>
      <c r="P131" s="900">
        <v>6</v>
      </c>
      <c r="Q131" s="906">
        <v>1005</v>
      </c>
      <c r="R131" s="907">
        <v>-0.8</v>
      </c>
      <c r="S131" s="907" t="s">
        <v>364</v>
      </c>
      <c r="T131" s="903"/>
      <c r="U131" s="901">
        <f t="shared" si="35"/>
        <v>0</v>
      </c>
    </row>
    <row r="132" spans="1:24" ht="13" x14ac:dyDescent="0.25">
      <c r="A132" s="1475"/>
      <c r="B132" s="900">
        <v>7</v>
      </c>
      <c r="C132" s="912">
        <v>40</v>
      </c>
      <c r="D132" s="906">
        <v>-0.4</v>
      </c>
      <c r="E132" s="907" t="s">
        <v>364</v>
      </c>
      <c r="F132" s="903"/>
      <c r="G132" s="901">
        <f t="shared" si="33"/>
        <v>0</v>
      </c>
      <c r="I132" s="900">
        <v>7</v>
      </c>
      <c r="J132" s="912">
        <v>90</v>
      </c>
      <c r="K132" s="906">
        <v>-0.9</v>
      </c>
      <c r="L132" s="907" t="s">
        <v>364</v>
      </c>
      <c r="M132" s="903"/>
      <c r="N132" s="901">
        <f t="shared" si="34"/>
        <v>0</v>
      </c>
      <c r="P132" s="900">
        <v>7</v>
      </c>
      <c r="Q132" s="906">
        <v>1020</v>
      </c>
      <c r="R132" s="907">
        <v>9.9999999999999995E-7</v>
      </c>
      <c r="S132" s="907" t="s">
        <v>364</v>
      </c>
      <c r="T132" s="903"/>
      <c r="U132" s="901">
        <f t="shared" si="35"/>
        <v>0</v>
      </c>
    </row>
    <row r="133" spans="1:24" ht="13" thickBot="1" x14ac:dyDescent="0.3">
      <c r="A133" s="913"/>
      <c r="C133" s="914"/>
      <c r="D133" s="863"/>
      <c r="E133" s="915"/>
      <c r="F133" s="914"/>
      <c r="I133" s="914"/>
      <c r="J133" s="863"/>
      <c r="K133" s="915"/>
      <c r="L133" s="914"/>
      <c r="O133" s="863"/>
      <c r="P133" s="915"/>
      <c r="Q133" s="915"/>
      <c r="R133" s="914"/>
    </row>
    <row r="134" spans="1:24" x14ac:dyDescent="0.25">
      <c r="A134" s="1475">
        <v>13</v>
      </c>
      <c r="B134" s="1476" t="s">
        <v>409</v>
      </c>
      <c r="C134" s="1476"/>
      <c r="D134" s="1476"/>
      <c r="E134" s="1476"/>
      <c r="F134" s="1476"/>
      <c r="G134" s="1476"/>
      <c r="I134" s="1476" t="str">
        <f>B134</f>
        <v>KOREKSI EXTECH A.100605</v>
      </c>
      <c r="J134" s="1476"/>
      <c r="K134" s="1476"/>
      <c r="L134" s="1476"/>
      <c r="M134" s="1476"/>
      <c r="N134" s="1476"/>
      <c r="P134" s="1476" t="str">
        <f>I134</f>
        <v>KOREKSI EXTECH A.100605</v>
      </c>
      <c r="Q134" s="1476"/>
      <c r="R134" s="1476"/>
      <c r="S134" s="1476"/>
      <c r="T134" s="1476"/>
      <c r="U134" s="1476"/>
      <c r="W134" s="1482" t="s">
        <v>343</v>
      </c>
      <c r="X134" s="1483"/>
    </row>
    <row r="135" spans="1:24" ht="13" x14ac:dyDescent="0.25">
      <c r="A135" s="1475"/>
      <c r="B135" s="1484" t="s">
        <v>390</v>
      </c>
      <c r="C135" s="1484"/>
      <c r="D135" s="1484" t="s">
        <v>391</v>
      </c>
      <c r="E135" s="1484"/>
      <c r="F135" s="1484"/>
      <c r="G135" s="1484" t="s">
        <v>392</v>
      </c>
      <c r="I135" s="1484" t="s">
        <v>393</v>
      </c>
      <c r="J135" s="1484"/>
      <c r="K135" s="1484" t="s">
        <v>391</v>
      </c>
      <c r="L135" s="1484"/>
      <c r="M135" s="1484"/>
      <c r="N135" s="1484" t="s">
        <v>392</v>
      </c>
      <c r="P135" s="1484" t="s">
        <v>394</v>
      </c>
      <c r="Q135" s="1484"/>
      <c r="R135" s="1484" t="s">
        <v>391</v>
      </c>
      <c r="S135" s="1484"/>
      <c r="T135" s="1484"/>
      <c r="U135" s="1484" t="s">
        <v>392</v>
      </c>
      <c r="W135" s="898" t="s">
        <v>390</v>
      </c>
      <c r="X135" s="899">
        <v>0.5</v>
      </c>
    </row>
    <row r="136" spans="1:24" ht="14.5" x14ac:dyDescent="0.25">
      <c r="A136" s="1475"/>
      <c r="B136" s="1474" t="s">
        <v>395</v>
      </c>
      <c r="C136" s="1474"/>
      <c r="D136" s="916">
        <v>2022</v>
      </c>
      <c r="E136" s="730">
        <v>2020</v>
      </c>
      <c r="F136" s="737" t="s">
        <v>364</v>
      </c>
      <c r="G136" s="1484"/>
      <c r="I136" s="1473" t="s">
        <v>396</v>
      </c>
      <c r="J136" s="1474"/>
      <c r="K136" s="916">
        <v>2022</v>
      </c>
      <c r="L136" s="911">
        <f>E136</f>
        <v>2020</v>
      </c>
      <c r="M136" s="911" t="str">
        <f>F136</f>
        <v>-</v>
      </c>
      <c r="N136" s="1484"/>
      <c r="P136" s="1473" t="s">
        <v>397</v>
      </c>
      <c r="Q136" s="1474"/>
      <c r="R136" s="917">
        <v>2022</v>
      </c>
      <c r="S136" s="911">
        <f>L136</f>
        <v>2020</v>
      </c>
      <c r="T136" s="911" t="str">
        <f>M136</f>
        <v>-</v>
      </c>
      <c r="U136" s="1484"/>
      <c r="W136" s="898" t="s">
        <v>396</v>
      </c>
      <c r="X136" s="899">
        <v>2.2999999999999998</v>
      </c>
    </row>
    <row r="137" spans="1:24" ht="13.5" thickBot="1" x14ac:dyDescent="0.3">
      <c r="A137" s="1475"/>
      <c r="B137" s="900">
        <v>1</v>
      </c>
      <c r="C137" s="104">
        <v>15</v>
      </c>
      <c r="D137" s="104">
        <v>0.5</v>
      </c>
      <c r="E137" s="104">
        <v>-0.7</v>
      </c>
      <c r="F137" s="100" t="s">
        <v>364</v>
      </c>
      <c r="G137" s="901">
        <f t="shared" ref="G137:G143" si="36">0.5*(MAX(E137:F137)-MIN(E137:F137))</f>
        <v>0</v>
      </c>
      <c r="I137" s="900">
        <v>1</v>
      </c>
      <c r="J137" s="104">
        <v>30</v>
      </c>
      <c r="K137" s="104">
        <v>-2.2000000000000002</v>
      </c>
      <c r="L137" s="104">
        <v>-1.4</v>
      </c>
      <c r="M137" s="100" t="s">
        <v>364</v>
      </c>
      <c r="N137" s="901">
        <f t="shared" ref="N137:N143" si="37">0.5*(MAX(L137:M137)-MIN(L137:M137))</f>
        <v>0</v>
      </c>
      <c r="P137" s="900">
        <v>1</v>
      </c>
      <c r="Q137" s="104">
        <v>960</v>
      </c>
      <c r="R137" s="104">
        <f>MAX(R138:R143)</f>
        <v>4</v>
      </c>
      <c r="S137" s="99">
        <v>0.9</v>
      </c>
      <c r="T137" s="100" t="s">
        <v>364</v>
      </c>
      <c r="U137" s="901">
        <f t="shared" ref="U137:U143" si="38">0.5*(MAX(S137:T137)-MIN(S137:T137))</f>
        <v>0</v>
      </c>
      <c r="W137" s="904" t="s">
        <v>397</v>
      </c>
      <c r="X137" s="905">
        <v>2.4</v>
      </c>
    </row>
    <row r="138" spans="1:24" ht="13" x14ac:dyDescent="0.25">
      <c r="A138" s="1475"/>
      <c r="B138" s="900">
        <v>2</v>
      </c>
      <c r="C138" s="104">
        <v>20</v>
      </c>
      <c r="D138" s="104">
        <v>0.2</v>
      </c>
      <c r="E138" s="104">
        <v>-0.4</v>
      </c>
      <c r="F138" s="100" t="s">
        <v>364</v>
      </c>
      <c r="G138" s="901">
        <f t="shared" si="36"/>
        <v>0</v>
      </c>
      <c r="I138" s="900">
        <v>2</v>
      </c>
      <c r="J138" s="104">
        <v>40</v>
      </c>
      <c r="K138" s="104">
        <v>-2</v>
      </c>
      <c r="L138" s="104">
        <v>-1.3</v>
      </c>
      <c r="M138" s="100" t="s">
        <v>364</v>
      </c>
      <c r="N138" s="901">
        <f t="shared" si="37"/>
        <v>0</v>
      </c>
      <c r="P138" s="900">
        <v>2</v>
      </c>
      <c r="Q138" s="104">
        <v>970</v>
      </c>
      <c r="R138" s="104">
        <v>4</v>
      </c>
      <c r="S138" s="99">
        <v>1</v>
      </c>
      <c r="T138" s="100" t="s">
        <v>364</v>
      </c>
      <c r="U138" s="901">
        <f t="shared" si="38"/>
        <v>0</v>
      </c>
    </row>
    <row r="139" spans="1:24" ht="13" x14ac:dyDescent="0.25">
      <c r="A139" s="1475"/>
      <c r="B139" s="900">
        <v>3</v>
      </c>
      <c r="C139" s="104">
        <v>25</v>
      </c>
      <c r="D139" s="104">
        <v>0.1</v>
      </c>
      <c r="E139" s="104">
        <v>-0.2</v>
      </c>
      <c r="F139" s="100" t="s">
        <v>364</v>
      </c>
      <c r="G139" s="901">
        <f t="shared" si="36"/>
        <v>0</v>
      </c>
      <c r="I139" s="900">
        <v>3</v>
      </c>
      <c r="J139" s="104">
        <v>50</v>
      </c>
      <c r="K139" s="104">
        <v>-1.8</v>
      </c>
      <c r="L139" s="104">
        <v>-1.3</v>
      </c>
      <c r="M139" s="100" t="s">
        <v>364</v>
      </c>
      <c r="N139" s="901">
        <f t="shared" si="37"/>
        <v>0</v>
      </c>
      <c r="P139" s="900">
        <v>3</v>
      </c>
      <c r="Q139" s="906">
        <v>980</v>
      </c>
      <c r="R139" s="104">
        <v>3.9</v>
      </c>
      <c r="S139" s="907">
        <v>1</v>
      </c>
      <c r="T139" s="100" t="s">
        <v>364</v>
      </c>
      <c r="U139" s="901">
        <f t="shared" si="38"/>
        <v>0</v>
      </c>
    </row>
    <row r="140" spans="1:24" ht="13" x14ac:dyDescent="0.25">
      <c r="A140" s="1475"/>
      <c r="B140" s="900">
        <v>4</v>
      </c>
      <c r="C140" s="906">
        <v>30</v>
      </c>
      <c r="D140" s="104">
        <v>-0.1</v>
      </c>
      <c r="E140" s="906">
        <v>0.1</v>
      </c>
      <c r="F140" s="907" t="s">
        <v>364</v>
      </c>
      <c r="G140" s="901">
        <f t="shared" si="36"/>
        <v>0</v>
      </c>
      <c r="I140" s="900">
        <v>4</v>
      </c>
      <c r="J140" s="906">
        <v>60</v>
      </c>
      <c r="K140" s="104">
        <v>-1.6</v>
      </c>
      <c r="L140" s="906">
        <v>-1.5</v>
      </c>
      <c r="M140" s="907" t="s">
        <v>364</v>
      </c>
      <c r="N140" s="901">
        <f t="shared" si="37"/>
        <v>0</v>
      </c>
      <c r="P140" s="900">
        <v>4</v>
      </c>
      <c r="Q140" s="906">
        <v>990</v>
      </c>
      <c r="R140" s="104">
        <v>3.8</v>
      </c>
      <c r="S140" s="907">
        <v>1.1000000000000001</v>
      </c>
      <c r="T140" s="907" t="s">
        <v>364</v>
      </c>
      <c r="U140" s="901">
        <f t="shared" si="38"/>
        <v>0</v>
      </c>
    </row>
    <row r="141" spans="1:24" ht="13" x14ac:dyDescent="0.25">
      <c r="A141" s="1475"/>
      <c r="B141" s="900">
        <v>5</v>
      </c>
      <c r="C141" s="906">
        <v>35</v>
      </c>
      <c r="D141" s="104">
        <v>-0.2</v>
      </c>
      <c r="E141" s="906">
        <v>0.3</v>
      </c>
      <c r="F141" s="907" t="s">
        <v>364</v>
      </c>
      <c r="G141" s="901">
        <f t="shared" si="36"/>
        <v>0</v>
      </c>
      <c r="I141" s="900">
        <v>5</v>
      </c>
      <c r="J141" s="906">
        <v>70</v>
      </c>
      <c r="K141" s="104">
        <v>-1.4</v>
      </c>
      <c r="L141" s="906">
        <v>-1.9</v>
      </c>
      <c r="M141" s="907" t="s">
        <v>364</v>
      </c>
      <c r="N141" s="901">
        <f t="shared" si="37"/>
        <v>0</v>
      </c>
      <c r="P141" s="900">
        <v>5</v>
      </c>
      <c r="Q141" s="906">
        <v>1000</v>
      </c>
      <c r="R141" s="104">
        <v>3.7</v>
      </c>
      <c r="S141" s="907">
        <v>1.1000000000000001</v>
      </c>
      <c r="T141" s="907" t="s">
        <v>364</v>
      </c>
      <c r="U141" s="901">
        <f t="shared" si="38"/>
        <v>0</v>
      </c>
    </row>
    <row r="142" spans="1:24" ht="13" x14ac:dyDescent="0.25">
      <c r="A142" s="1475"/>
      <c r="B142" s="900">
        <v>6</v>
      </c>
      <c r="C142" s="906">
        <v>37</v>
      </c>
      <c r="D142" s="104">
        <v>-0.2</v>
      </c>
      <c r="E142" s="906">
        <v>0.4</v>
      </c>
      <c r="F142" s="907" t="s">
        <v>364</v>
      </c>
      <c r="G142" s="901">
        <f t="shared" si="36"/>
        <v>0</v>
      </c>
      <c r="I142" s="900">
        <v>6</v>
      </c>
      <c r="J142" s="906">
        <v>80</v>
      </c>
      <c r="K142" s="104">
        <v>-1.2</v>
      </c>
      <c r="L142" s="906">
        <v>-2.5</v>
      </c>
      <c r="M142" s="907" t="s">
        <v>364</v>
      </c>
      <c r="N142" s="901">
        <f t="shared" si="37"/>
        <v>0</v>
      </c>
      <c r="P142" s="900">
        <v>6</v>
      </c>
      <c r="Q142" s="906">
        <v>1005</v>
      </c>
      <c r="R142" s="104">
        <v>3.6</v>
      </c>
      <c r="S142" s="907">
        <v>1.1000000000000001</v>
      </c>
      <c r="T142" s="907" t="s">
        <v>364</v>
      </c>
      <c r="U142" s="901">
        <f t="shared" si="38"/>
        <v>0</v>
      </c>
    </row>
    <row r="143" spans="1:24" ht="13" x14ac:dyDescent="0.25">
      <c r="A143" s="1475"/>
      <c r="B143" s="900">
        <v>7</v>
      </c>
      <c r="C143" s="912">
        <v>40</v>
      </c>
      <c r="D143" s="104">
        <v>-0.2</v>
      </c>
      <c r="E143" s="906">
        <v>0.5</v>
      </c>
      <c r="F143" s="907" t="s">
        <v>364</v>
      </c>
      <c r="G143" s="901">
        <f t="shared" si="36"/>
        <v>0</v>
      </c>
      <c r="I143" s="900">
        <v>7</v>
      </c>
      <c r="J143" s="912">
        <v>90</v>
      </c>
      <c r="K143" s="104">
        <v>-1</v>
      </c>
      <c r="L143" s="906">
        <v>-3.2</v>
      </c>
      <c r="M143" s="907" t="s">
        <v>364</v>
      </c>
      <c r="N143" s="901">
        <f t="shared" si="37"/>
        <v>0</v>
      </c>
      <c r="P143" s="900">
        <v>7</v>
      </c>
      <c r="Q143" s="906">
        <v>1010</v>
      </c>
      <c r="R143" s="104">
        <v>3.5</v>
      </c>
      <c r="S143" s="104">
        <f>MAX(S137:S142)</f>
        <v>1.1000000000000001</v>
      </c>
      <c r="T143" s="907" t="s">
        <v>364</v>
      </c>
      <c r="U143" s="901">
        <f t="shared" si="38"/>
        <v>0</v>
      </c>
    </row>
    <row r="144" spans="1:24" ht="13" thickBot="1" x14ac:dyDescent="0.3">
      <c r="A144" s="913"/>
      <c r="C144" s="914"/>
      <c r="D144" s="863"/>
      <c r="E144" s="915"/>
      <c r="F144" s="914"/>
      <c r="J144" s="914"/>
      <c r="K144" s="863"/>
      <c r="L144" s="915"/>
      <c r="M144" s="914"/>
      <c r="Q144" s="863"/>
      <c r="R144" s="915"/>
      <c r="S144" s="915"/>
      <c r="T144" s="914"/>
    </row>
    <row r="145" spans="1:24" x14ac:dyDescent="0.25">
      <c r="A145" s="1475">
        <v>14</v>
      </c>
      <c r="B145" s="1476" t="s">
        <v>410</v>
      </c>
      <c r="C145" s="1476"/>
      <c r="D145" s="1476"/>
      <c r="E145" s="1476"/>
      <c r="F145" s="1476"/>
      <c r="G145" s="1476"/>
      <c r="I145" s="1476" t="str">
        <f>B145</f>
        <v>KOREKSI EXTECH A.100609</v>
      </c>
      <c r="J145" s="1476"/>
      <c r="K145" s="1476"/>
      <c r="L145" s="1476"/>
      <c r="M145" s="1476"/>
      <c r="N145" s="1476"/>
      <c r="P145" s="1476" t="str">
        <f>I145</f>
        <v>KOREKSI EXTECH A.100609</v>
      </c>
      <c r="Q145" s="1476"/>
      <c r="R145" s="1476"/>
      <c r="S145" s="1476"/>
      <c r="T145" s="1476"/>
      <c r="U145" s="1476"/>
      <c r="W145" s="1482" t="s">
        <v>343</v>
      </c>
      <c r="X145" s="1483"/>
    </row>
    <row r="146" spans="1:24" ht="13" x14ac:dyDescent="0.25">
      <c r="A146" s="1475"/>
      <c r="B146" s="1484" t="s">
        <v>390</v>
      </c>
      <c r="C146" s="1484"/>
      <c r="D146" s="1484" t="s">
        <v>391</v>
      </c>
      <c r="E146" s="1484"/>
      <c r="F146" s="1484"/>
      <c r="G146" s="1484" t="s">
        <v>392</v>
      </c>
      <c r="I146" s="1484" t="s">
        <v>393</v>
      </c>
      <c r="J146" s="1484"/>
      <c r="K146" s="1484" t="s">
        <v>391</v>
      </c>
      <c r="L146" s="1484"/>
      <c r="M146" s="1484"/>
      <c r="N146" s="1484" t="s">
        <v>392</v>
      </c>
      <c r="P146" s="1484" t="s">
        <v>394</v>
      </c>
      <c r="Q146" s="1484"/>
      <c r="R146" s="1484" t="s">
        <v>391</v>
      </c>
      <c r="S146" s="1484"/>
      <c r="T146" s="1484"/>
      <c r="U146" s="1484" t="s">
        <v>392</v>
      </c>
      <c r="W146" s="898" t="s">
        <v>390</v>
      </c>
      <c r="X146" s="899">
        <v>0.5</v>
      </c>
    </row>
    <row r="147" spans="1:24" ht="14.5" x14ac:dyDescent="0.25">
      <c r="A147" s="1475"/>
      <c r="B147" s="1474" t="s">
        <v>395</v>
      </c>
      <c r="C147" s="1474"/>
      <c r="D147" s="916">
        <v>2022</v>
      </c>
      <c r="E147" s="730">
        <v>2020</v>
      </c>
      <c r="F147" s="737" t="s">
        <v>364</v>
      </c>
      <c r="G147" s="1484"/>
      <c r="I147" s="1473" t="s">
        <v>396</v>
      </c>
      <c r="J147" s="1474"/>
      <c r="K147" s="916">
        <v>2022</v>
      </c>
      <c r="L147" s="911">
        <f>E147</f>
        <v>2020</v>
      </c>
      <c r="M147" s="911" t="str">
        <f>F147</f>
        <v>-</v>
      </c>
      <c r="N147" s="1484"/>
      <c r="P147" s="1473" t="s">
        <v>397</v>
      </c>
      <c r="Q147" s="1474"/>
      <c r="R147" s="916">
        <v>2022</v>
      </c>
      <c r="S147" s="911">
        <f>L147</f>
        <v>2020</v>
      </c>
      <c r="T147" s="911" t="str">
        <f>M147</f>
        <v>-</v>
      </c>
      <c r="U147" s="1484"/>
      <c r="W147" s="898" t="s">
        <v>396</v>
      </c>
      <c r="X147" s="899">
        <v>2.7</v>
      </c>
    </row>
    <row r="148" spans="1:24" ht="13.5" thickBot="1" x14ac:dyDescent="0.3">
      <c r="A148" s="1475"/>
      <c r="B148" s="900">
        <v>1</v>
      </c>
      <c r="C148" s="104">
        <v>15</v>
      </c>
      <c r="D148" s="104">
        <v>0.5</v>
      </c>
      <c r="E148" s="104">
        <v>-0.2</v>
      </c>
      <c r="F148" s="100" t="s">
        <v>364</v>
      </c>
      <c r="G148" s="901">
        <f t="shared" ref="G148:G154" si="39">0.5*(MAX(E148:F148)-MIN(E148:F148))</f>
        <v>0</v>
      </c>
      <c r="I148" s="900">
        <v>1</v>
      </c>
      <c r="J148" s="104">
        <v>30</v>
      </c>
      <c r="K148" s="104">
        <v>-0.8</v>
      </c>
      <c r="L148" s="104">
        <v>0.6</v>
      </c>
      <c r="M148" s="100" t="s">
        <v>364</v>
      </c>
      <c r="N148" s="901">
        <f t="shared" ref="N148:N154" si="40">0.5*(MAX(L148:M148)-MIN(L148:M148))</f>
        <v>0</v>
      </c>
      <c r="P148" s="900">
        <v>1</v>
      </c>
      <c r="Q148" s="104">
        <v>960</v>
      </c>
      <c r="R148" s="104">
        <f>MAX(R149:R154)</f>
        <v>4</v>
      </c>
      <c r="S148" s="99">
        <v>0.9</v>
      </c>
      <c r="T148" s="100" t="s">
        <v>364</v>
      </c>
      <c r="U148" s="901">
        <f t="shared" ref="U148:U154" si="41">0.5*(MAX(S148:T148)-MIN(S148:T148))</f>
        <v>0</v>
      </c>
      <c r="W148" s="904" t="s">
        <v>397</v>
      </c>
      <c r="X148" s="905">
        <v>2.4</v>
      </c>
    </row>
    <row r="149" spans="1:24" ht="13" x14ac:dyDescent="0.25">
      <c r="A149" s="1475"/>
      <c r="B149" s="900">
        <v>2</v>
      </c>
      <c r="C149" s="104">
        <v>20</v>
      </c>
      <c r="D149" s="104">
        <v>0.2</v>
      </c>
      <c r="E149" s="104">
        <v>-0.1</v>
      </c>
      <c r="F149" s="100" t="s">
        <v>364</v>
      </c>
      <c r="G149" s="901">
        <f t="shared" si="39"/>
        <v>0</v>
      </c>
      <c r="I149" s="900">
        <v>2</v>
      </c>
      <c r="J149" s="104">
        <v>40</v>
      </c>
      <c r="K149" s="104">
        <v>-0.4</v>
      </c>
      <c r="L149" s="104">
        <v>0.3</v>
      </c>
      <c r="M149" s="100" t="s">
        <v>364</v>
      </c>
      <c r="N149" s="901">
        <f t="shared" si="40"/>
        <v>0</v>
      </c>
      <c r="P149" s="900">
        <v>2</v>
      </c>
      <c r="Q149" s="104">
        <v>970</v>
      </c>
      <c r="R149" s="104">
        <v>4</v>
      </c>
      <c r="S149" s="99">
        <v>1</v>
      </c>
      <c r="T149" s="100" t="s">
        <v>364</v>
      </c>
      <c r="U149" s="901">
        <f t="shared" si="41"/>
        <v>0</v>
      </c>
    </row>
    <row r="150" spans="1:24" ht="13" x14ac:dyDescent="0.25">
      <c r="A150" s="1475"/>
      <c r="B150" s="900">
        <v>3</v>
      </c>
      <c r="C150" s="104">
        <v>25</v>
      </c>
      <c r="D150" s="104">
        <v>-0.1</v>
      </c>
      <c r="E150" s="104">
        <v>-0.1</v>
      </c>
      <c r="F150" s="100" t="s">
        <v>364</v>
      </c>
      <c r="G150" s="901">
        <f t="shared" si="39"/>
        <v>0</v>
      </c>
      <c r="I150" s="900">
        <v>3</v>
      </c>
      <c r="J150" s="104">
        <v>50</v>
      </c>
      <c r="K150" s="104">
        <v>0</v>
      </c>
      <c r="L150" s="104">
        <v>-0.2</v>
      </c>
      <c r="M150" s="100" t="s">
        <v>364</v>
      </c>
      <c r="N150" s="901">
        <f t="shared" si="40"/>
        <v>0</v>
      </c>
      <c r="P150" s="900">
        <v>3</v>
      </c>
      <c r="Q150" s="906">
        <v>980</v>
      </c>
      <c r="R150" s="104">
        <v>3.9</v>
      </c>
      <c r="S150" s="907">
        <v>1</v>
      </c>
      <c r="T150" s="100" t="s">
        <v>364</v>
      </c>
      <c r="U150" s="901">
        <f t="shared" si="41"/>
        <v>0</v>
      </c>
    </row>
    <row r="151" spans="1:24" ht="13" x14ac:dyDescent="0.25">
      <c r="A151" s="1475"/>
      <c r="B151" s="900">
        <v>4</v>
      </c>
      <c r="C151" s="906">
        <v>30</v>
      </c>
      <c r="D151" s="104">
        <v>-0.4</v>
      </c>
      <c r="E151" s="906">
        <v>-0.3</v>
      </c>
      <c r="F151" s="907" t="s">
        <v>364</v>
      </c>
      <c r="G151" s="901">
        <f t="shared" si="39"/>
        <v>0</v>
      </c>
      <c r="I151" s="900">
        <v>4</v>
      </c>
      <c r="J151" s="906">
        <v>60</v>
      </c>
      <c r="K151" s="104">
        <v>0.3</v>
      </c>
      <c r="L151" s="906">
        <v>-0.6</v>
      </c>
      <c r="M151" s="907" t="s">
        <v>364</v>
      </c>
      <c r="N151" s="901">
        <f t="shared" si="40"/>
        <v>0</v>
      </c>
      <c r="P151" s="900">
        <v>4</v>
      </c>
      <c r="Q151" s="906">
        <v>990</v>
      </c>
      <c r="R151" s="104">
        <v>3.9</v>
      </c>
      <c r="S151" s="907">
        <v>1.1000000000000001</v>
      </c>
      <c r="T151" s="907" t="s">
        <v>364</v>
      </c>
      <c r="U151" s="901">
        <f t="shared" si="41"/>
        <v>0</v>
      </c>
    </row>
    <row r="152" spans="1:24" ht="13" x14ac:dyDescent="0.25">
      <c r="A152" s="1475"/>
      <c r="B152" s="900">
        <v>5</v>
      </c>
      <c r="C152" s="906">
        <v>35</v>
      </c>
      <c r="D152" s="104">
        <v>-0.6</v>
      </c>
      <c r="E152" s="906">
        <v>-0.6</v>
      </c>
      <c r="F152" s="907" t="s">
        <v>364</v>
      </c>
      <c r="G152" s="901">
        <f t="shared" si="39"/>
        <v>0</v>
      </c>
      <c r="I152" s="900">
        <v>5</v>
      </c>
      <c r="J152" s="906">
        <v>70</v>
      </c>
      <c r="K152" s="104">
        <v>0.7</v>
      </c>
      <c r="L152" s="906">
        <v>-0.8</v>
      </c>
      <c r="M152" s="907" t="s">
        <v>364</v>
      </c>
      <c r="N152" s="901">
        <f t="shared" si="40"/>
        <v>0</v>
      </c>
      <c r="P152" s="900">
        <v>5</v>
      </c>
      <c r="Q152" s="906">
        <v>1000</v>
      </c>
      <c r="R152" s="104">
        <v>3.8</v>
      </c>
      <c r="S152" s="907">
        <v>1.1000000000000001</v>
      </c>
      <c r="T152" s="907" t="s">
        <v>364</v>
      </c>
      <c r="U152" s="901">
        <f t="shared" si="41"/>
        <v>0</v>
      </c>
    </row>
    <row r="153" spans="1:24" ht="13" x14ac:dyDescent="0.25">
      <c r="A153" s="1475"/>
      <c r="B153" s="900">
        <v>6</v>
      </c>
      <c r="C153" s="906">
        <v>37</v>
      </c>
      <c r="D153" s="104">
        <v>-0.7</v>
      </c>
      <c r="E153" s="906">
        <v>-0.8</v>
      </c>
      <c r="F153" s="907" t="s">
        <v>364</v>
      </c>
      <c r="G153" s="901">
        <f t="shared" si="39"/>
        <v>0</v>
      </c>
      <c r="I153" s="900">
        <v>6</v>
      </c>
      <c r="J153" s="906">
        <v>80</v>
      </c>
      <c r="K153" s="104">
        <v>1.1000000000000001</v>
      </c>
      <c r="L153" s="906">
        <v>-0.9</v>
      </c>
      <c r="M153" s="907" t="s">
        <v>364</v>
      </c>
      <c r="N153" s="901">
        <f t="shared" si="40"/>
        <v>0</v>
      </c>
      <c r="P153" s="900">
        <v>6</v>
      </c>
      <c r="Q153" s="906">
        <v>1005</v>
      </c>
      <c r="R153" s="104">
        <v>3.8</v>
      </c>
      <c r="S153" s="907">
        <v>1.1000000000000001</v>
      </c>
      <c r="T153" s="907" t="s">
        <v>364</v>
      </c>
      <c r="U153" s="901">
        <f t="shared" si="41"/>
        <v>0</v>
      </c>
    </row>
    <row r="154" spans="1:24" ht="13" x14ac:dyDescent="0.25">
      <c r="A154" s="1475"/>
      <c r="B154" s="900">
        <v>7</v>
      </c>
      <c r="C154" s="912">
        <v>40</v>
      </c>
      <c r="D154" s="104">
        <v>-0.8</v>
      </c>
      <c r="E154" s="906">
        <v>-1.1000000000000001</v>
      </c>
      <c r="F154" s="907" t="s">
        <v>364</v>
      </c>
      <c r="G154" s="901">
        <f t="shared" si="39"/>
        <v>0</v>
      </c>
      <c r="I154" s="900">
        <v>7</v>
      </c>
      <c r="J154" s="912">
        <v>90</v>
      </c>
      <c r="K154" s="104">
        <v>1.5</v>
      </c>
      <c r="L154" s="906">
        <v>-0.8</v>
      </c>
      <c r="M154" s="907" t="s">
        <v>364</v>
      </c>
      <c r="N154" s="901">
        <f t="shared" si="40"/>
        <v>0</v>
      </c>
      <c r="P154" s="900">
        <v>7</v>
      </c>
      <c r="Q154" s="906">
        <v>1010</v>
      </c>
      <c r="R154" s="104">
        <v>3.7</v>
      </c>
      <c r="S154" s="907">
        <v>9.9999999999999995E-7</v>
      </c>
      <c r="T154" s="907" t="s">
        <v>364</v>
      </c>
      <c r="U154" s="901">
        <f t="shared" si="41"/>
        <v>0</v>
      </c>
    </row>
    <row r="155" spans="1:24" ht="13" thickBot="1" x14ac:dyDescent="0.3">
      <c r="A155" s="913"/>
      <c r="C155" s="914"/>
      <c r="D155" s="863"/>
      <c r="E155" s="915"/>
      <c r="F155" s="914"/>
      <c r="J155" s="914"/>
      <c r="K155" s="863"/>
      <c r="L155" s="915"/>
      <c r="M155" s="914"/>
      <c r="Q155" s="863"/>
      <c r="R155" s="915"/>
      <c r="S155" s="915"/>
      <c r="T155" s="914"/>
    </row>
    <row r="156" spans="1:24" x14ac:dyDescent="0.25">
      <c r="A156" s="1475">
        <v>15</v>
      </c>
      <c r="B156" s="1476" t="s">
        <v>411</v>
      </c>
      <c r="C156" s="1476"/>
      <c r="D156" s="1476"/>
      <c r="E156" s="1476"/>
      <c r="F156" s="1476"/>
      <c r="G156" s="1476"/>
      <c r="I156" s="1476" t="str">
        <f>B156</f>
        <v>KOREKSI EXTECH A.100611</v>
      </c>
      <c r="J156" s="1476"/>
      <c r="K156" s="1476"/>
      <c r="L156" s="1476"/>
      <c r="M156" s="1476"/>
      <c r="N156" s="1476"/>
      <c r="P156" s="1476" t="str">
        <f>I156</f>
        <v>KOREKSI EXTECH A.100611</v>
      </c>
      <c r="Q156" s="1476"/>
      <c r="R156" s="1476"/>
      <c r="S156" s="1476"/>
      <c r="T156" s="1476"/>
      <c r="U156" s="1476"/>
      <c r="W156" s="1482" t="s">
        <v>343</v>
      </c>
      <c r="X156" s="1483"/>
    </row>
    <row r="157" spans="1:24" ht="13" x14ac:dyDescent="0.25">
      <c r="A157" s="1475"/>
      <c r="B157" s="1484" t="s">
        <v>390</v>
      </c>
      <c r="C157" s="1484"/>
      <c r="D157" s="1484" t="s">
        <v>391</v>
      </c>
      <c r="E157" s="1484"/>
      <c r="F157" s="1484"/>
      <c r="G157" s="1484" t="s">
        <v>392</v>
      </c>
      <c r="I157" s="1484" t="s">
        <v>393</v>
      </c>
      <c r="J157" s="1484"/>
      <c r="K157" s="1484" t="s">
        <v>391</v>
      </c>
      <c r="L157" s="1484"/>
      <c r="M157" s="1484"/>
      <c r="N157" s="1484" t="s">
        <v>392</v>
      </c>
      <c r="P157" s="1484" t="s">
        <v>394</v>
      </c>
      <c r="Q157" s="1484"/>
      <c r="R157" s="1484" t="s">
        <v>391</v>
      </c>
      <c r="S157" s="1484"/>
      <c r="T157" s="1484"/>
      <c r="U157" s="1484" t="s">
        <v>392</v>
      </c>
      <c r="W157" s="898" t="s">
        <v>390</v>
      </c>
      <c r="X157" s="899">
        <v>0.5</v>
      </c>
    </row>
    <row r="158" spans="1:24" ht="14.5" x14ac:dyDescent="0.25">
      <c r="A158" s="1475"/>
      <c r="B158" s="1474" t="s">
        <v>395</v>
      </c>
      <c r="C158" s="1474"/>
      <c r="D158" s="916">
        <v>2022</v>
      </c>
      <c r="E158" s="730">
        <v>2020</v>
      </c>
      <c r="F158" s="737" t="s">
        <v>364</v>
      </c>
      <c r="G158" s="1484"/>
      <c r="I158" s="1473" t="s">
        <v>396</v>
      </c>
      <c r="J158" s="1474"/>
      <c r="K158" s="916">
        <v>2022</v>
      </c>
      <c r="L158" s="911">
        <f>E158</f>
        <v>2020</v>
      </c>
      <c r="M158" s="911" t="str">
        <f>F158</f>
        <v>-</v>
      </c>
      <c r="N158" s="1484"/>
      <c r="P158" s="1473" t="s">
        <v>397</v>
      </c>
      <c r="Q158" s="1474"/>
      <c r="R158" s="916">
        <v>2022</v>
      </c>
      <c r="S158" s="911">
        <f>L158</f>
        <v>2020</v>
      </c>
      <c r="T158" s="911" t="str">
        <f>M158</f>
        <v>-</v>
      </c>
      <c r="U158" s="1484"/>
      <c r="W158" s="898" t="s">
        <v>396</v>
      </c>
      <c r="X158" s="899">
        <v>2.6</v>
      </c>
    </row>
    <row r="159" spans="1:24" ht="13.5" thickBot="1" x14ac:dyDescent="0.3">
      <c r="A159" s="1475"/>
      <c r="B159" s="900">
        <v>1</v>
      </c>
      <c r="C159" s="104">
        <v>15</v>
      </c>
      <c r="D159" s="104">
        <v>0.6</v>
      </c>
      <c r="E159" s="104">
        <v>-0.6</v>
      </c>
      <c r="F159" s="100" t="s">
        <v>364</v>
      </c>
      <c r="G159" s="901">
        <f t="shared" ref="G159:G165" si="42">0.5*(MAX(E159:F159)-MIN(E159:F159))</f>
        <v>0</v>
      </c>
      <c r="I159" s="900">
        <v>1</v>
      </c>
      <c r="J159" s="104">
        <v>30</v>
      </c>
      <c r="K159" s="104">
        <v>-2</v>
      </c>
      <c r="L159" s="104">
        <v>-0.4</v>
      </c>
      <c r="M159" s="100" t="s">
        <v>364</v>
      </c>
      <c r="N159" s="901">
        <f t="shared" ref="N159:N165" si="43">0.5*(MAX(L159:M159)-MIN(L159:M159))</f>
        <v>0</v>
      </c>
      <c r="P159" s="900">
        <v>1</v>
      </c>
      <c r="Q159" s="104">
        <v>960</v>
      </c>
      <c r="R159" s="104">
        <f>MAX(R160:R165)</f>
        <v>4.5</v>
      </c>
      <c r="S159" s="99">
        <v>0.9</v>
      </c>
      <c r="T159" s="100" t="s">
        <v>364</v>
      </c>
      <c r="U159" s="901">
        <f t="shared" ref="U159:U165" si="44">0.5*(MAX(S159:T159)-MIN(S159:T159))</f>
        <v>0</v>
      </c>
      <c r="W159" s="904" t="s">
        <v>397</v>
      </c>
      <c r="X159" s="905">
        <v>2.6</v>
      </c>
    </row>
    <row r="160" spans="1:24" ht="13" x14ac:dyDescent="0.25">
      <c r="A160" s="1475"/>
      <c r="B160" s="900">
        <v>2</v>
      </c>
      <c r="C160" s="104">
        <v>20</v>
      </c>
      <c r="D160" s="104">
        <v>0.3</v>
      </c>
      <c r="E160" s="104">
        <v>-0.5</v>
      </c>
      <c r="F160" s="100" t="s">
        <v>364</v>
      </c>
      <c r="G160" s="901">
        <f t="shared" si="42"/>
        <v>0</v>
      </c>
      <c r="I160" s="900">
        <v>2</v>
      </c>
      <c r="J160" s="104">
        <v>40</v>
      </c>
      <c r="K160" s="104">
        <v>-1.7</v>
      </c>
      <c r="L160" s="104">
        <v>-0.3</v>
      </c>
      <c r="M160" s="100" t="s">
        <v>364</v>
      </c>
      <c r="N160" s="901">
        <f t="shared" si="43"/>
        <v>0</v>
      </c>
      <c r="P160" s="900">
        <v>2</v>
      </c>
      <c r="Q160" s="104">
        <v>970</v>
      </c>
      <c r="R160" s="104">
        <v>4.5</v>
      </c>
      <c r="S160" s="99">
        <v>1</v>
      </c>
      <c r="T160" s="100" t="s">
        <v>364</v>
      </c>
      <c r="U160" s="901">
        <f t="shared" si="44"/>
        <v>0</v>
      </c>
    </row>
    <row r="161" spans="1:24" ht="13" x14ac:dyDescent="0.25">
      <c r="A161" s="1475"/>
      <c r="B161" s="900">
        <v>3</v>
      </c>
      <c r="C161" s="104">
        <v>25</v>
      </c>
      <c r="D161" s="104">
        <v>0.2</v>
      </c>
      <c r="E161" s="104">
        <v>-0.4</v>
      </c>
      <c r="F161" s="100" t="s">
        <v>364</v>
      </c>
      <c r="G161" s="901">
        <f t="shared" si="42"/>
        <v>0</v>
      </c>
      <c r="I161" s="900">
        <v>3</v>
      </c>
      <c r="J161" s="104">
        <v>50</v>
      </c>
      <c r="K161" s="104">
        <v>-1.4</v>
      </c>
      <c r="L161" s="104">
        <v>-0.3</v>
      </c>
      <c r="M161" s="100" t="s">
        <v>364</v>
      </c>
      <c r="N161" s="901">
        <f t="shared" si="43"/>
        <v>0</v>
      </c>
      <c r="P161" s="900">
        <v>3</v>
      </c>
      <c r="Q161" s="906">
        <v>980</v>
      </c>
      <c r="R161" s="104">
        <v>4.3</v>
      </c>
      <c r="S161" s="907">
        <v>1</v>
      </c>
      <c r="T161" s="100" t="s">
        <v>364</v>
      </c>
      <c r="U161" s="901">
        <f t="shared" si="44"/>
        <v>0</v>
      </c>
    </row>
    <row r="162" spans="1:24" ht="13" x14ac:dyDescent="0.25">
      <c r="A162" s="1475"/>
      <c r="B162" s="900">
        <v>4</v>
      </c>
      <c r="C162" s="906">
        <v>30</v>
      </c>
      <c r="D162" s="104">
        <v>0.4</v>
      </c>
      <c r="E162" s="906">
        <v>-0.2</v>
      </c>
      <c r="F162" s="907" t="s">
        <v>364</v>
      </c>
      <c r="G162" s="901">
        <f t="shared" si="42"/>
        <v>0</v>
      </c>
      <c r="I162" s="900">
        <v>4</v>
      </c>
      <c r="J162" s="906">
        <v>60</v>
      </c>
      <c r="K162" s="104">
        <v>-1.1000000000000001</v>
      </c>
      <c r="L162" s="906">
        <v>-0.5</v>
      </c>
      <c r="M162" s="907" t="s">
        <v>364</v>
      </c>
      <c r="N162" s="901">
        <f t="shared" si="43"/>
        <v>0</v>
      </c>
      <c r="P162" s="900">
        <v>4</v>
      </c>
      <c r="Q162" s="906">
        <v>990</v>
      </c>
      <c r="R162" s="104">
        <v>4.2</v>
      </c>
      <c r="S162" s="907">
        <v>1.1000000000000001</v>
      </c>
      <c r="T162" s="907" t="s">
        <v>364</v>
      </c>
      <c r="U162" s="901">
        <f t="shared" si="44"/>
        <v>0</v>
      </c>
    </row>
    <row r="163" spans="1:24" ht="13" x14ac:dyDescent="0.25">
      <c r="A163" s="1475"/>
      <c r="B163" s="900">
        <v>5</v>
      </c>
      <c r="C163" s="906">
        <v>35</v>
      </c>
      <c r="D163" s="104">
        <v>0.8</v>
      </c>
      <c r="E163" s="906">
        <v>-0.1</v>
      </c>
      <c r="F163" s="907" t="s">
        <v>364</v>
      </c>
      <c r="G163" s="901">
        <f t="shared" si="42"/>
        <v>0</v>
      </c>
      <c r="I163" s="900">
        <v>5</v>
      </c>
      <c r="J163" s="906">
        <v>70</v>
      </c>
      <c r="K163" s="104">
        <v>-0.7</v>
      </c>
      <c r="L163" s="906">
        <v>-0.8</v>
      </c>
      <c r="M163" s="907" t="s">
        <v>364</v>
      </c>
      <c r="N163" s="901">
        <f t="shared" si="43"/>
        <v>0</v>
      </c>
      <c r="P163" s="900">
        <v>5</v>
      </c>
      <c r="Q163" s="906">
        <v>1000</v>
      </c>
      <c r="R163" s="104">
        <v>4.0999999999999996</v>
      </c>
      <c r="S163" s="907">
        <v>1.1000000000000001</v>
      </c>
      <c r="T163" s="907" t="s">
        <v>364</v>
      </c>
      <c r="U163" s="901">
        <f t="shared" si="44"/>
        <v>0</v>
      </c>
    </row>
    <row r="164" spans="1:24" ht="13" x14ac:dyDescent="0.25">
      <c r="A164" s="1475"/>
      <c r="B164" s="900">
        <v>6</v>
      </c>
      <c r="C164" s="906">
        <v>37</v>
      </c>
      <c r="D164" s="104">
        <v>1</v>
      </c>
      <c r="E164" s="906">
        <v>-0.1</v>
      </c>
      <c r="F164" s="907" t="s">
        <v>364</v>
      </c>
      <c r="G164" s="901">
        <f t="shared" si="42"/>
        <v>0</v>
      </c>
      <c r="I164" s="900">
        <v>6</v>
      </c>
      <c r="J164" s="906">
        <v>80</v>
      </c>
      <c r="K164" s="104">
        <v>-0.4</v>
      </c>
      <c r="L164" s="906">
        <v>-1.3</v>
      </c>
      <c r="M164" s="907" t="s">
        <v>364</v>
      </c>
      <c r="N164" s="901">
        <f t="shared" si="43"/>
        <v>0</v>
      </c>
      <c r="P164" s="900">
        <v>6</v>
      </c>
      <c r="Q164" s="906">
        <v>1005</v>
      </c>
      <c r="R164" s="104">
        <v>4</v>
      </c>
      <c r="S164" s="907">
        <v>1.1000000000000001</v>
      </c>
      <c r="T164" s="907" t="s">
        <v>364</v>
      </c>
      <c r="U164" s="901">
        <f t="shared" si="44"/>
        <v>0</v>
      </c>
    </row>
    <row r="165" spans="1:24" ht="13" x14ac:dyDescent="0.25">
      <c r="A165" s="1475"/>
      <c r="B165" s="900">
        <v>7</v>
      </c>
      <c r="C165" s="912">
        <v>40</v>
      </c>
      <c r="D165" s="104">
        <v>1.4</v>
      </c>
      <c r="E165" s="100">
        <v>9.9999999999999995E-7</v>
      </c>
      <c r="F165" s="907" t="s">
        <v>364</v>
      </c>
      <c r="G165" s="901">
        <f t="shared" si="42"/>
        <v>0</v>
      </c>
      <c r="I165" s="900">
        <v>7</v>
      </c>
      <c r="J165" s="912">
        <v>90</v>
      </c>
      <c r="K165" s="104">
        <v>-0.1</v>
      </c>
      <c r="L165" s="906">
        <v>-2</v>
      </c>
      <c r="M165" s="907" t="s">
        <v>364</v>
      </c>
      <c r="N165" s="901">
        <f t="shared" si="43"/>
        <v>0</v>
      </c>
      <c r="P165" s="900">
        <v>7</v>
      </c>
      <c r="Q165" s="906">
        <v>1010</v>
      </c>
      <c r="R165" s="104">
        <v>3.9</v>
      </c>
      <c r="S165" s="907">
        <v>9.9999999999999995E-7</v>
      </c>
      <c r="T165" s="907" t="s">
        <v>364</v>
      </c>
      <c r="U165" s="901">
        <f t="shared" si="44"/>
        <v>0</v>
      </c>
    </row>
    <row r="166" spans="1:24" ht="13" thickBot="1" x14ac:dyDescent="0.3">
      <c r="A166" s="913"/>
      <c r="C166" s="914"/>
      <c r="D166" s="863"/>
      <c r="E166" s="915"/>
      <c r="F166" s="914"/>
      <c r="I166" s="914"/>
      <c r="J166" s="863"/>
      <c r="K166" s="915"/>
      <c r="L166" s="914"/>
      <c r="O166" s="863"/>
      <c r="P166" s="915"/>
      <c r="Q166" s="915"/>
      <c r="R166" s="914"/>
    </row>
    <row r="167" spans="1:24" x14ac:dyDescent="0.25">
      <c r="A167" s="1475">
        <v>16</v>
      </c>
      <c r="B167" s="1476" t="s">
        <v>412</v>
      </c>
      <c r="C167" s="1476"/>
      <c r="D167" s="1476"/>
      <c r="E167" s="1476"/>
      <c r="F167" s="1476"/>
      <c r="G167" s="1476"/>
      <c r="I167" s="1476" t="str">
        <f>B167</f>
        <v>KOREKSI EXTECH A.100616</v>
      </c>
      <c r="J167" s="1476"/>
      <c r="K167" s="1476"/>
      <c r="L167" s="1476"/>
      <c r="M167" s="1476"/>
      <c r="N167" s="1476"/>
      <c r="P167" s="1476" t="str">
        <f>I167</f>
        <v>KOREKSI EXTECH A.100616</v>
      </c>
      <c r="Q167" s="1476"/>
      <c r="R167" s="1476"/>
      <c r="S167" s="1476"/>
      <c r="T167" s="1476"/>
      <c r="U167" s="1476"/>
      <c r="W167" s="1482" t="s">
        <v>343</v>
      </c>
      <c r="X167" s="1483"/>
    </row>
    <row r="168" spans="1:24" ht="13" x14ac:dyDescent="0.25">
      <c r="A168" s="1475"/>
      <c r="B168" s="1484" t="s">
        <v>390</v>
      </c>
      <c r="C168" s="1484"/>
      <c r="D168" s="1484" t="s">
        <v>391</v>
      </c>
      <c r="E168" s="1484"/>
      <c r="F168" s="1484"/>
      <c r="G168" s="1484" t="s">
        <v>392</v>
      </c>
      <c r="I168" s="1484" t="s">
        <v>393</v>
      </c>
      <c r="J168" s="1484"/>
      <c r="K168" s="1484" t="s">
        <v>391</v>
      </c>
      <c r="L168" s="1484"/>
      <c r="M168" s="1484"/>
      <c r="N168" s="1484" t="s">
        <v>392</v>
      </c>
      <c r="P168" s="1484" t="s">
        <v>394</v>
      </c>
      <c r="Q168" s="1484"/>
      <c r="R168" s="1484" t="s">
        <v>391</v>
      </c>
      <c r="S168" s="1484"/>
      <c r="T168" s="1484"/>
      <c r="U168" s="1484" t="s">
        <v>392</v>
      </c>
      <c r="W168" s="898" t="s">
        <v>390</v>
      </c>
      <c r="X168" s="899">
        <v>0.5</v>
      </c>
    </row>
    <row r="169" spans="1:24" ht="14.5" x14ac:dyDescent="0.25">
      <c r="A169" s="1475"/>
      <c r="B169" s="1474" t="s">
        <v>395</v>
      </c>
      <c r="C169" s="1474"/>
      <c r="D169" s="730">
        <v>2023</v>
      </c>
      <c r="E169" s="730">
        <v>2020</v>
      </c>
      <c r="F169" s="730">
        <v>2016</v>
      </c>
      <c r="G169" s="1484"/>
      <c r="I169" s="1473" t="s">
        <v>396</v>
      </c>
      <c r="J169" s="1474"/>
      <c r="K169" s="911">
        <f>D169</f>
        <v>2023</v>
      </c>
      <c r="L169" s="911">
        <f>E169</f>
        <v>2020</v>
      </c>
      <c r="M169" s="730">
        <v>2016</v>
      </c>
      <c r="N169" s="1484"/>
      <c r="P169" s="1473" t="s">
        <v>397</v>
      </c>
      <c r="Q169" s="1474"/>
      <c r="R169" s="911">
        <f>K169</f>
        <v>2023</v>
      </c>
      <c r="S169" s="911">
        <f>L169</f>
        <v>2020</v>
      </c>
      <c r="T169" s="730">
        <v>2016</v>
      </c>
      <c r="U169" s="1484"/>
      <c r="W169" s="898" t="s">
        <v>396</v>
      </c>
      <c r="X169" s="899">
        <v>2.2999999999999998</v>
      </c>
    </row>
    <row r="170" spans="1:24" ht="13.5" thickBot="1" x14ac:dyDescent="0.3">
      <c r="A170" s="1475"/>
      <c r="B170" s="900">
        <v>1</v>
      </c>
      <c r="C170" s="104">
        <v>15</v>
      </c>
      <c r="D170" s="104">
        <v>0.1</v>
      </c>
      <c r="E170" s="104">
        <v>0.1</v>
      </c>
      <c r="F170" s="903"/>
      <c r="G170" s="901">
        <f>0.5*(MAX(D170:F170)-MIN(D170:F170))</f>
        <v>0</v>
      </c>
      <c r="I170" s="900">
        <v>1</v>
      </c>
      <c r="J170" s="104">
        <v>35</v>
      </c>
      <c r="K170" s="104">
        <v>-2.5</v>
      </c>
      <c r="L170" s="104">
        <v>-1.6</v>
      </c>
      <c r="M170" s="903"/>
      <c r="N170" s="901">
        <f>0.5*(MAX(K170:M170)-MIN(K170:M170))</f>
        <v>0.44999999999999996</v>
      </c>
      <c r="P170" s="900">
        <v>1</v>
      </c>
      <c r="Q170" s="104">
        <v>960</v>
      </c>
      <c r="R170" s="99">
        <v>4.5999999999999996</v>
      </c>
      <c r="S170" s="99" t="s">
        <v>364</v>
      </c>
      <c r="T170" s="903"/>
      <c r="U170" s="901">
        <f>0.5*(MAX(R170:T170)-MIN(R170:T170))</f>
        <v>0</v>
      </c>
      <c r="W170" s="904" t="s">
        <v>397</v>
      </c>
      <c r="X170" s="905">
        <v>2.2000000000000002</v>
      </c>
    </row>
    <row r="171" spans="1:24" ht="13" x14ac:dyDescent="0.25">
      <c r="A171" s="1475"/>
      <c r="B171" s="900">
        <v>2</v>
      </c>
      <c r="C171" s="104">
        <v>20</v>
      </c>
      <c r="D171" s="104">
        <v>0.3</v>
      </c>
      <c r="E171" s="104">
        <v>0.2</v>
      </c>
      <c r="F171" s="903"/>
      <c r="G171" s="901">
        <f t="shared" ref="G171:G176" si="45">0.5*(MAX(D171:F171)-MIN(D171:F171))</f>
        <v>4.9999999999999989E-2</v>
      </c>
      <c r="I171" s="900">
        <v>2</v>
      </c>
      <c r="J171" s="104">
        <v>40</v>
      </c>
      <c r="K171" s="104">
        <v>-2.2999999999999998</v>
      </c>
      <c r="L171" s="104">
        <v>-1.4</v>
      </c>
      <c r="M171" s="903"/>
      <c r="N171" s="901">
        <f t="shared" ref="N171:N176" si="46">0.5*(MAX(K171:M171)-MIN(K171:M171))</f>
        <v>0.44999999999999996</v>
      </c>
      <c r="P171" s="900">
        <v>2</v>
      </c>
      <c r="Q171" s="104">
        <v>970</v>
      </c>
      <c r="R171" s="99">
        <v>4.5</v>
      </c>
      <c r="S171" s="99" t="s">
        <v>364</v>
      </c>
      <c r="T171" s="903"/>
      <c r="U171" s="901">
        <f t="shared" ref="U171:U176" si="47">0.5*(MAX(R171:T171)-MIN(R171:T171))</f>
        <v>0</v>
      </c>
    </row>
    <row r="172" spans="1:24" ht="13" x14ac:dyDescent="0.25">
      <c r="A172" s="1475"/>
      <c r="B172" s="900">
        <v>3</v>
      </c>
      <c r="C172" s="104">
        <v>25</v>
      </c>
      <c r="D172" s="104">
        <v>0.5</v>
      </c>
      <c r="E172" s="104">
        <v>0.2</v>
      </c>
      <c r="F172" s="903"/>
      <c r="G172" s="901">
        <f t="shared" si="45"/>
        <v>0.15</v>
      </c>
      <c r="I172" s="900">
        <v>3</v>
      </c>
      <c r="J172" s="104">
        <v>50</v>
      </c>
      <c r="K172" s="104">
        <v>-2</v>
      </c>
      <c r="L172" s="104">
        <v>-1.4</v>
      </c>
      <c r="M172" s="903"/>
      <c r="N172" s="901">
        <f t="shared" si="46"/>
        <v>0.30000000000000004</v>
      </c>
      <c r="P172" s="900">
        <v>3</v>
      </c>
      <c r="Q172" s="906">
        <v>980</v>
      </c>
      <c r="R172" s="907">
        <v>4.5</v>
      </c>
      <c r="S172" s="907" t="s">
        <v>364</v>
      </c>
      <c r="T172" s="903"/>
      <c r="U172" s="901">
        <f t="shared" si="47"/>
        <v>0</v>
      </c>
    </row>
    <row r="173" spans="1:24" ht="13" x14ac:dyDescent="0.25">
      <c r="A173" s="1475"/>
      <c r="B173" s="900">
        <v>4</v>
      </c>
      <c r="C173" s="906">
        <v>30</v>
      </c>
      <c r="D173" s="906">
        <v>0.6</v>
      </c>
      <c r="E173" s="906">
        <v>0.2</v>
      </c>
      <c r="F173" s="903"/>
      <c r="G173" s="901">
        <f t="shared" si="45"/>
        <v>0.19999999999999998</v>
      </c>
      <c r="I173" s="900">
        <v>4</v>
      </c>
      <c r="J173" s="906">
        <v>60</v>
      </c>
      <c r="K173" s="906">
        <v>-1.9</v>
      </c>
      <c r="L173" s="906">
        <v>-1.5</v>
      </c>
      <c r="M173" s="903"/>
      <c r="N173" s="901">
        <f t="shared" si="46"/>
        <v>0.19999999999999996</v>
      </c>
      <c r="P173" s="900">
        <v>4</v>
      </c>
      <c r="Q173" s="906">
        <v>990</v>
      </c>
      <c r="R173" s="907">
        <v>4.4000000000000004</v>
      </c>
      <c r="S173" s="907" t="s">
        <v>364</v>
      </c>
      <c r="T173" s="903"/>
      <c r="U173" s="901">
        <f t="shared" si="47"/>
        <v>0</v>
      </c>
    </row>
    <row r="174" spans="1:24" ht="13" x14ac:dyDescent="0.25">
      <c r="A174" s="1475"/>
      <c r="B174" s="900">
        <v>5</v>
      </c>
      <c r="C174" s="906">
        <v>35</v>
      </c>
      <c r="D174" s="906">
        <v>0.6</v>
      </c>
      <c r="E174" s="906">
        <v>0.1</v>
      </c>
      <c r="F174" s="903"/>
      <c r="G174" s="901">
        <f t="shared" si="45"/>
        <v>0.25</v>
      </c>
      <c r="I174" s="900">
        <v>5</v>
      </c>
      <c r="J174" s="906">
        <v>70</v>
      </c>
      <c r="K174" s="906">
        <v>-2.1</v>
      </c>
      <c r="L174" s="906">
        <v>-1.8</v>
      </c>
      <c r="M174" s="903"/>
      <c r="N174" s="901">
        <f t="shared" si="46"/>
        <v>0.15000000000000002</v>
      </c>
      <c r="P174" s="900">
        <v>5</v>
      </c>
      <c r="Q174" s="906">
        <v>1000</v>
      </c>
      <c r="R174" s="907">
        <v>4.3</v>
      </c>
      <c r="S174" s="907">
        <v>-0.4</v>
      </c>
      <c r="T174" s="903"/>
      <c r="U174" s="901">
        <f t="shared" si="47"/>
        <v>2.35</v>
      </c>
    </row>
    <row r="175" spans="1:24" ht="13" x14ac:dyDescent="0.25">
      <c r="A175" s="1475"/>
      <c r="B175" s="900">
        <v>6</v>
      </c>
      <c r="C175" s="906">
        <v>37</v>
      </c>
      <c r="D175" s="100">
        <v>0.6</v>
      </c>
      <c r="E175" s="100">
        <v>9.9999999999999995E-7</v>
      </c>
      <c r="F175" s="903"/>
      <c r="G175" s="901">
        <f t="shared" si="45"/>
        <v>0.29999949999999997</v>
      </c>
      <c r="I175" s="900">
        <v>6</v>
      </c>
      <c r="J175" s="906">
        <v>80</v>
      </c>
      <c r="K175" s="906">
        <v>-2.5</v>
      </c>
      <c r="L175" s="906">
        <v>-2.2999999999999998</v>
      </c>
      <c r="M175" s="903"/>
      <c r="N175" s="901">
        <f t="shared" si="46"/>
        <v>0.10000000000000009</v>
      </c>
      <c r="P175" s="900">
        <v>6</v>
      </c>
      <c r="Q175" s="906">
        <v>1005</v>
      </c>
      <c r="R175" s="907" t="s">
        <v>364</v>
      </c>
      <c r="S175" s="907">
        <v>-0.4</v>
      </c>
      <c r="T175" s="903"/>
      <c r="U175" s="901">
        <f t="shared" si="47"/>
        <v>0</v>
      </c>
    </row>
    <row r="176" spans="1:24" ht="13" x14ac:dyDescent="0.25">
      <c r="A176" s="1475"/>
      <c r="B176" s="900">
        <v>7</v>
      </c>
      <c r="C176" s="912">
        <v>40</v>
      </c>
      <c r="D176" s="100">
        <v>0.6</v>
      </c>
      <c r="E176" s="100">
        <v>9.9999999999999995E-7</v>
      </c>
      <c r="F176" s="903"/>
      <c r="G176" s="901">
        <f t="shared" si="45"/>
        <v>0.29999949999999997</v>
      </c>
      <c r="I176" s="900">
        <v>7</v>
      </c>
      <c r="J176" s="912">
        <v>90</v>
      </c>
      <c r="K176" s="906">
        <v>-3.1</v>
      </c>
      <c r="L176" s="906">
        <v>-3</v>
      </c>
      <c r="M176" s="903"/>
      <c r="N176" s="901">
        <f t="shared" si="46"/>
        <v>5.0000000000000044E-2</v>
      </c>
      <c r="P176" s="900">
        <v>7</v>
      </c>
      <c r="Q176" s="906">
        <v>1010</v>
      </c>
      <c r="R176" s="907">
        <v>4.3</v>
      </c>
      <c r="S176" s="907">
        <v>9.9999999999999995E-7</v>
      </c>
      <c r="T176" s="903"/>
      <c r="U176" s="901">
        <f t="shared" si="47"/>
        <v>2.1499994999999998</v>
      </c>
    </row>
    <row r="177" spans="1:24" ht="13" thickBot="1" x14ac:dyDescent="0.3">
      <c r="A177" s="913"/>
      <c r="C177" s="914"/>
      <c r="D177" s="863"/>
      <c r="E177" s="915"/>
      <c r="F177" s="914"/>
      <c r="J177" s="914"/>
      <c r="K177" s="863"/>
      <c r="L177" s="915"/>
      <c r="M177" s="914"/>
      <c r="Q177" s="863"/>
      <c r="R177" s="915"/>
      <c r="S177" s="915"/>
      <c r="T177" s="914"/>
    </row>
    <row r="178" spans="1:24" x14ac:dyDescent="0.25">
      <c r="A178" s="1475">
        <v>17</v>
      </c>
      <c r="B178" s="1476" t="s">
        <v>413</v>
      </c>
      <c r="C178" s="1476"/>
      <c r="D178" s="1476"/>
      <c r="E178" s="1476"/>
      <c r="F178" s="1476"/>
      <c r="G178" s="1476"/>
      <c r="I178" s="1476" t="str">
        <f>B178</f>
        <v>KOREKSI EXTECH A.100617</v>
      </c>
      <c r="J178" s="1476"/>
      <c r="K178" s="1476"/>
      <c r="L178" s="1476"/>
      <c r="M178" s="1476"/>
      <c r="N178" s="1476"/>
      <c r="P178" s="1476" t="str">
        <f>I178</f>
        <v>KOREKSI EXTECH A.100617</v>
      </c>
      <c r="Q178" s="1476"/>
      <c r="R178" s="1476"/>
      <c r="S178" s="1476"/>
      <c r="T178" s="1476"/>
      <c r="U178" s="1476"/>
      <c r="W178" s="1482" t="s">
        <v>343</v>
      </c>
      <c r="X178" s="1483"/>
    </row>
    <row r="179" spans="1:24" ht="13" x14ac:dyDescent="0.25">
      <c r="A179" s="1475"/>
      <c r="B179" s="1484" t="s">
        <v>390</v>
      </c>
      <c r="C179" s="1484"/>
      <c r="D179" s="1484" t="s">
        <v>391</v>
      </c>
      <c r="E179" s="1484"/>
      <c r="F179" s="1484"/>
      <c r="G179" s="1484" t="s">
        <v>392</v>
      </c>
      <c r="I179" s="1484" t="s">
        <v>393</v>
      </c>
      <c r="J179" s="1484"/>
      <c r="K179" s="1484" t="s">
        <v>391</v>
      </c>
      <c r="L179" s="1484"/>
      <c r="M179" s="1484"/>
      <c r="N179" s="1484" t="s">
        <v>392</v>
      </c>
      <c r="P179" s="1484" t="s">
        <v>394</v>
      </c>
      <c r="Q179" s="1484"/>
      <c r="R179" s="1484" t="s">
        <v>391</v>
      </c>
      <c r="S179" s="1484"/>
      <c r="T179" s="1484"/>
      <c r="U179" s="1484" t="s">
        <v>392</v>
      </c>
      <c r="W179" s="898" t="s">
        <v>390</v>
      </c>
      <c r="X179" s="899">
        <v>0.8</v>
      </c>
    </row>
    <row r="180" spans="1:24" ht="14.5" x14ac:dyDescent="0.25">
      <c r="A180" s="1475"/>
      <c r="B180" s="1474" t="s">
        <v>395</v>
      </c>
      <c r="C180" s="1474"/>
      <c r="D180" s="730">
        <v>2023</v>
      </c>
      <c r="E180" s="730">
        <v>2020</v>
      </c>
      <c r="F180" s="730">
        <v>2016</v>
      </c>
      <c r="G180" s="1484"/>
      <c r="I180" s="1473" t="s">
        <v>396</v>
      </c>
      <c r="J180" s="1474"/>
      <c r="K180" s="911">
        <f>D180</f>
        <v>2023</v>
      </c>
      <c r="L180" s="911">
        <f>E180</f>
        <v>2020</v>
      </c>
      <c r="M180" s="730">
        <v>2016</v>
      </c>
      <c r="N180" s="1484"/>
      <c r="P180" s="1473" t="s">
        <v>397</v>
      </c>
      <c r="Q180" s="1474"/>
      <c r="R180" s="911">
        <f>K180</f>
        <v>2023</v>
      </c>
      <c r="S180" s="911">
        <f>L180</f>
        <v>2020</v>
      </c>
      <c r="T180" s="730">
        <v>2016</v>
      </c>
      <c r="U180" s="1484"/>
      <c r="W180" s="898" t="s">
        <v>396</v>
      </c>
      <c r="X180" s="899">
        <v>2.2999999999999998</v>
      </c>
    </row>
    <row r="181" spans="1:24" ht="13.5" thickBot="1" x14ac:dyDescent="0.3">
      <c r="A181" s="1475"/>
      <c r="B181" s="900">
        <v>1</v>
      </c>
      <c r="C181" s="104">
        <v>15</v>
      </c>
      <c r="D181" s="104">
        <v>0.2</v>
      </c>
      <c r="E181" s="104">
        <v>0.1</v>
      </c>
      <c r="F181" s="903"/>
      <c r="G181" s="901">
        <f>0.5*(MAX(D181:F181)-MIN(D181:F181))</f>
        <v>0.05</v>
      </c>
      <c r="I181" s="900">
        <v>1</v>
      </c>
      <c r="J181" s="104">
        <v>35</v>
      </c>
      <c r="K181" s="104">
        <v>-2.7</v>
      </c>
      <c r="L181" s="104">
        <v>0.1</v>
      </c>
      <c r="M181" s="903"/>
      <c r="N181" s="901">
        <f>0.5*(MAX(K181:M181)-MIN(K181:M181))</f>
        <v>1.4000000000000001</v>
      </c>
      <c r="P181" s="900">
        <v>1</v>
      </c>
      <c r="Q181" s="104">
        <v>960</v>
      </c>
      <c r="R181" s="99">
        <v>4.5999999999999996</v>
      </c>
      <c r="S181" s="99">
        <v>-0.6</v>
      </c>
      <c r="T181" s="903"/>
      <c r="U181" s="901">
        <f>0.5*(MAX(R181:T181)-MIN(R181:T181))</f>
        <v>2.5999999999999996</v>
      </c>
      <c r="W181" s="904" t="s">
        <v>397</v>
      </c>
      <c r="X181" s="905">
        <v>2.1</v>
      </c>
    </row>
    <row r="182" spans="1:24" ht="13" x14ac:dyDescent="0.25">
      <c r="A182" s="1475"/>
      <c r="B182" s="900">
        <v>2</v>
      </c>
      <c r="C182" s="104">
        <v>20</v>
      </c>
      <c r="D182" s="104">
        <v>0.4</v>
      </c>
      <c r="E182" s="104">
        <v>0.1</v>
      </c>
      <c r="F182" s="903"/>
      <c r="G182" s="901">
        <f t="shared" ref="G182:G187" si="48">0.5*(MAX(D182:F182)-MIN(D182:F182))</f>
        <v>0.15000000000000002</v>
      </c>
      <c r="I182" s="900">
        <v>2</v>
      </c>
      <c r="J182" s="104">
        <v>40</v>
      </c>
      <c r="K182" s="104">
        <v>-2.4</v>
      </c>
      <c r="L182" s="104">
        <v>0.2</v>
      </c>
      <c r="M182" s="903"/>
      <c r="N182" s="901">
        <f t="shared" ref="N182:N187" si="49">0.5*(MAX(K182:M182)-MIN(K182:M182))</f>
        <v>1.3</v>
      </c>
      <c r="P182" s="900">
        <v>2</v>
      </c>
      <c r="Q182" s="104">
        <v>970</v>
      </c>
      <c r="R182" s="99">
        <v>4.5999999999999996</v>
      </c>
      <c r="S182" s="99">
        <v>-0.6</v>
      </c>
      <c r="T182" s="903"/>
      <c r="U182" s="901">
        <f t="shared" ref="U182:U187" si="50">0.5*(MAX(R182:T182)-MIN(R182:T182))</f>
        <v>2.5999999999999996</v>
      </c>
    </row>
    <row r="183" spans="1:24" ht="13" x14ac:dyDescent="0.25">
      <c r="A183" s="1475"/>
      <c r="B183" s="900">
        <v>3</v>
      </c>
      <c r="C183" s="104">
        <v>25</v>
      </c>
      <c r="D183" s="104">
        <v>0.5</v>
      </c>
      <c r="E183" s="104">
        <v>0</v>
      </c>
      <c r="F183" s="903"/>
      <c r="G183" s="901">
        <f t="shared" si="48"/>
        <v>0.25</v>
      </c>
      <c r="I183" s="900">
        <v>3</v>
      </c>
      <c r="J183" s="104">
        <v>50</v>
      </c>
      <c r="K183" s="104">
        <v>-1.9</v>
      </c>
      <c r="L183" s="104">
        <v>0.2</v>
      </c>
      <c r="M183" s="903"/>
      <c r="N183" s="901">
        <f t="shared" si="49"/>
        <v>1.05</v>
      </c>
      <c r="P183" s="900">
        <v>3</v>
      </c>
      <c r="Q183" s="906">
        <v>980</v>
      </c>
      <c r="R183" s="907">
        <v>4.5999999999999996</v>
      </c>
      <c r="S183" s="907">
        <v>-0.6</v>
      </c>
      <c r="T183" s="903"/>
      <c r="U183" s="901">
        <f t="shared" si="50"/>
        <v>2.5999999999999996</v>
      </c>
    </row>
    <row r="184" spans="1:24" ht="13" x14ac:dyDescent="0.25">
      <c r="A184" s="1475"/>
      <c r="B184" s="900">
        <v>4</v>
      </c>
      <c r="C184" s="906">
        <v>30</v>
      </c>
      <c r="D184" s="906">
        <v>0.6</v>
      </c>
      <c r="E184" s="906">
        <v>-0.2</v>
      </c>
      <c r="F184" s="903"/>
      <c r="G184" s="901">
        <f t="shared" si="48"/>
        <v>0.4</v>
      </c>
      <c r="I184" s="900">
        <v>4</v>
      </c>
      <c r="J184" s="906">
        <v>60</v>
      </c>
      <c r="K184" s="906">
        <v>-1.7</v>
      </c>
      <c r="L184" s="906">
        <v>0</v>
      </c>
      <c r="M184" s="903"/>
      <c r="N184" s="901">
        <f t="shared" si="49"/>
        <v>0.85</v>
      </c>
      <c r="P184" s="900">
        <v>4</v>
      </c>
      <c r="Q184" s="906">
        <v>990</v>
      </c>
      <c r="R184" s="907">
        <v>4.5999999999999996</v>
      </c>
      <c r="S184" s="907">
        <v>-0.6</v>
      </c>
      <c r="T184" s="903"/>
      <c r="U184" s="901">
        <f t="shared" si="50"/>
        <v>2.5999999999999996</v>
      </c>
    </row>
    <row r="185" spans="1:24" ht="13" x14ac:dyDescent="0.25">
      <c r="A185" s="1475"/>
      <c r="B185" s="900">
        <v>5</v>
      </c>
      <c r="C185" s="906">
        <v>35</v>
      </c>
      <c r="D185" s="906">
        <v>0.7</v>
      </c>
      <c r="E185" s="906">
        <v>-0.5</v>
      </c>
      <c r="F185" s="903"/>
      <c r="G185" s="901">
        <f t="shared" si="48"/>
        <v>0.6</v>
      </c>
      <c r="I185" s="900">
        <v>5</v>
      </c>
      <c r="J185" s="906">
        <v>70</v>
      </c>
      <c r="K185" s="906">
        <v>-1.8</v>
      </c>
      <c r="L185" s="906">
        <v>-0.3</v>
      </c>
      <c r="M185" s="903"/>
      <c r="N185" s="901">
        <f t="shared" si="49"/>
        <v>0.75</v>
      </c>
      <c r="P185" s="900">
        <v>5</v>
      </c>
      <c r="Q185" s="906">
        <v>1000</v>
      </c>
      <c r="R185" s="907">
        <v>4.5</v>
      </c>
      <c r="S185" s="907">
        <v>-0.6</v>
      </c>
      <c r="T185" s="903"/>
      <c r="U185" s="901">
        <f t="shared" si="50"/>
        <v>2.5499999999999998</v>
      </c>
    </row>
    <row r="186" spans="1:24" ht="13" x14ac:dyDescent="0.25">
      <c r="A186" s="1475"/>
      <c r="B186" s="900">
        <v>6</v>
      </c>
      <c r="C186" s="906">
        <v>37</v>
      </c>
      <c r="D186" s="906">
        <v>0.7</v>
      </c>
      <c r="E186" s="906">
        <v>-0.6</v>
      </c>
      <c r="F186" s="903"/>
      <c r="G186" s="901">
        <f t="shared" si="48"/>
        <v>0.64999999999999991</v>
      </c>
      <c r="I186" s="900">
        <v>6</v>
      </c>
      <c r="J186" s="906">
        <v>80</v>
      </c>
      <c r="K186" s="906">
        <v>-2.2000000000000002</v>
      </c>
      <c r="L186" s="906">
        <v>-0.8</v>
      </c>
      <c r="M186" s="903"/>
      <c r="N186" s="901">
        <f t="shared" si="49"/>
        <v>0.70000000000000007</v>
      </c>
      <c r="P186" s="900">
        <v>6</v>
      </c>
      <c r="Q186" s="906">
        <v>1005</v>
      </c>
      <c r="R186" s="907" t="s">
        <v>364</v>
      </c>
      <c r="S186" s="907">
        <v>-0.6</v>
      </c>
      <c r="T186" s="903"/>
      <c r="U186" s="901">
        <f t="shared" si="50"/>
        <v>0</v>
      </c>
    </row>
    <row r="187" spans="1:24" ht="13" x14ac:dyDescent="0.25">
      <c r="A187" s="1475"/>
      <c r="B187" s="900">
        <v>7</v>
      </c>
      <c r="C187" s="912">
        <v>40</v>
      </c>
      <c r="D187" s="906">
        <v>0.7</v>
      </c>
      <c r="E187" s="906">
        <v>-0.8</v>
      </c>
      <c r="F187" s="903"/>
      <c r="G187" s="901">
        <f t="shared" si="48"/>
        <v>0.75</v>
      </c>
      <c r="I187" s="900">
        <v>7</v>
      </c>
      <c r="J187" s="912">
        <v>90</v>
      </c>
      <c r="K187" s="906">
        <v>-2.9</v>
      </c>
      <c r="L187" s="906">
        <v>-1.4</v>
      </c>
      <c r="M187" s="903"/>
      <c r="N187" s="901">
        <f t="shared" si="49"/>
        <v>0.75</v>
      </c>
      <c r="P187" s="900">
        <v>7</v>
      </c>
      <c r="Q187" s="906">
        <v>1020</v>
      </c>
      <c r="R187" s="907">
        <v>4.5</v>
      </c>
      <c r="S187" s="907">
        <v>9.9999999999999995E-7</v>
      </c>
      <c r="T187" s="903"/>
      <c r="U187" s="901">
        <f t="shared" si="50"/>
        <v>2.2499994999999999</v>
      </c>
    </row>
    <row r="188" spans="1:24" ht="13" thickBot="1" x14ac:dyDescent="0.3">
      <c r="A188" s="913"/>
      <c r="C188" s="914"/>
      <c r="D188" s="863"/>
      <c r="E188" s="915"/>
      <c r="F188" s="914"/>
      <c r="J188" s="914"/>
      <c r="K188" s="863"/>
      <c r="L188" s="915"/>
      <c r="M188" s="914"/>
      <c r="Q188" s="863"/>
      <c r="R188" s="915"/>
      <c r="S188" s="915"/>
      <c r="T188" s="914"/>
    </row>
    <row r="189" spans="1:24" x14ac:dyDescent="0.25">
      <c r="A189" s="1475">
        <v>18</v>
      </c>
      <c r="B189" s="1476" t="s">
        <v>414</v>
      </c>
      <c r="C189" s="1476"/>
      <c r="D189" s="1476"/>
      <c r="E189" s="1476"/>
      <c r="F189" s="1476"/>
      <c r="G189" s="1476"/>
      <c r="I189" s="1476" t="str">
        <f>B189</f>
        <v>KOREKSI EXTECH A.100618</v>
      </c>
      <c r="J189" s="1476"/>
      <c r="K189" s="1476"/>
      <c r="L189" s="1476"/>
      <c r="M189" s="1476"/>
      <c r="N189" s="1476"/>
      <c r="P189" s="1476" t="str">
        <f>I189</f>
        <v>KOREKSI EXTECH A.100618</v>
      </c>
      <c r="Q189" s="1476"/>
      <c r="R189" s="1476"/>
      <c r="S189" s="1476"/>
      <c r="T189" s="1476"/>
      <c r="U189" s="1476"/>
      <c r="W189" s="1482" t="s">
        <v>343</v>
      </c>
      <c r="X189" s="1483"/>
    </row>
    <row r="190" spans="1:24" ht="13" x14ac:dyDescent="0.25">
      <c r="A190" s="1475"/>
      <c r="B190" s="1484" t="s">
        <v>390</v>
      </c>
      <c r="C190" s="1484"/>
      <c r="D190" s="1484" t="s">
        <v>391</v>
      </c>
      <c r="E190" s="1484"/>
      <c r="F190" s="1484"/>
      <c r="G190" s="1484" t="s">
        <v>392</v>
      </c>
      <c r="I190" s="1484" t="s">
        <v>393</v>
      </c>
      <c r="J190" s="1484"/>
      <c r="K190" s="1484" t="s">
        <v>391</v>
      </c>
      <c r="L190" s="1484"/>
      <c r="M190" s="1484"/>
      <c r="N190" s="1484" t="s">
        <v>392</v>
      </c>
      <c r="P190" s="1484" t="s">
        <v>394</v>
      </c>
      <c r="Q190" s="1484"/>
      <c r="R190" s="1484" t="s">
        <v>391</v>
      </c>
      <c r="S190" s="1484"/>
      <c r="T190" s="1484"/>
      <c r="U190" s="1484" t="s">
        <v>392</v>
      </c>
      <c r="W190" s="898" t="s">
        <v>390</v>
      </c>
      <c r="X190" s="899">
        <v>0.6</v>
      </c>
    </row>
    <row r="191" spans="1:24" ht="14.5" x14ac:dyDescent="0.25">
      <c r="A191" s="1475"/>
      <c r="B191" s="1474" t="s">
        <v>395</v>
      </c>
      <c r="C191" s="1474"/>
      <c r="D191" s="730">
        <v>2023</v>
      </c>
      <c r="E191" s="730">
        <v>2020</v>
      </c>
      <c r="F191" s="730">
        <v>2016</v>
      </c>
      <c r="G191" s="1484"/>
      <c r="I191" s="1473" t="s">
        <v>396</v>
      </c>
      <c r="J191" s="1474"/>
      <c r="K191" s="911">
        <f>D191</f>
        <v>2023</v>
      </c>
      <c r="L191" s="911">
        <f>E191</f>
        <v>2020</v>
      </c>
      <c r="M191" s="730">
        <v>2016</v>
      </c>
      <c r="N191" s="1484"/>
      <c r="P191" s="1473" t="s">
        <v>397</v>
      </c>
      <c r="Q191" s="1474"/>
      <c r="R191" s="911">
        <f>K191</f>
        <v>2023</v>
      </c>
      <c r="S191" s="911">
        <f>L191</f>
        <v>2020</v>
      </c>
      <c r="T191" s="730">
        <v>2016</v>
      </c>
      <c r="U191" s="1484"/>
      <c r="W191" s="898" t="s">
        <v>396</v>
      </c>
      <c r="X191" s="899">
        <v>2.2999999999999998</v>
      </c>
    </row>
    <row r="192" spans="1:24" ht="13.5" thickBot="1" x14ac:dyDescent="0.3">
      <c r="A192" s="1475"/>
      <c r="B192" s="900">
        <v>1</v>
      </c>
      <c r="C192" s="104">
        <v>15</v>
      </c>
      <c r="D192" s="100">
        <v>0.3</v>
      </c>
      <c r="E192" s="100">
        <v>9.9999999999999995E-7</v>
      </c>
      <c r="F192" s="903"/>
      <c r="G192" s="901">
        <f>0.5*(MAX(D192:F192)-MIN(D192:F192))</f>
        <v>0.14999950000000001</v>
      </c>
      <c r="I192" s="900">
        <v>1</v>
      </c>
      <c r="J192" s="104">
        <v>35</v>
      </c>
      <c r="K192" s="104">
        <v>-3.2</v>
      </c>
      <c r="L192" s="104">
        <v>-0.4</v>
      </c>
      <c r="M192" s="903"/>
      <c r="N192" s="901">
        <f>0.5*(MAX(K192:M192)-MIN(K192:M192))</f>
        <v>1.4000000000000001</v>
      </c>
      <c r="P192" s="900">
        <v>1</v>
      </c>
      <c r="Q192" s="104">
        <v>960</v>
      </c>
      <c r="R192" s="99">
        <v>4.5999999999999996</v>
      </c>
      <c r="S192" s="99" t="s">
        <v>364</v>
      </c>
      <c r="T192" s="903"/>
      <c r="U192" s="901">
        <f>0.5*(MAX(R192:T192)-MIN(R192:T192))</f>
        <v>0</v>
      </c>
      <c r="W192" s="904" t="s">
        <v>397</v>
      </c>
      <c r="X192" s="905">
        <v>2.1</v>
      </c>
    </row>
    <row r="193" spans="1:24" ht="13" x14ac:dyDescent="0.25">
      <c r="A193" s="1475"/>
      <c r="B193" s="900">
        <v>2</v>
      </c>
      <c r="C193" s="104">
        <v>20</v>
      </c>
      <c r="D193" s="104">
        <v>0.2</v>
      </c>
      <c r="E193" s="104">
        <v>-0.1</v>
      </c>
      <c r="F193" s="903"/>
      <c r="G193" s="901">
        <f t="shared" ref="G193:G197" si="51">0.5*(MAX(D193:F193)-MIN(D193:F193))</f>
        <v>0.15000000000000002</v>
      </c>
      <c r="I193" s="900">
        <v>2</v>
      </c>
      <c r="J193" s="104">
        <v>40</v>
      </c>
      <c r="K193" s="104">
        <v>-2.9</v>
      </c>
      <c r="L193" s="104">
        <v>-0.2</v>
      </c>
      <c r="M193" s="903"/>
      <c r="N193" s="901">
        <f t="shared" ref="N193:N198" si="52">0.5*(MAX(K193:M193)-MIN(K193:M193))</f>
        <v>1.3499999999999999</v>
      </c>
      <c r="P193" s="900">
        <v>2</v>
      </c>
      <c r="Q193" s="104">
        <v>970</v>
      </c>
      <c r="R193" s="99">
        <v>4.5</v>
      </c>
      <c r="S193" s="99" t="s">
        <v>364</v>
      </c>
      <c r="T193" s="903"/>
      <c r="U193" s="901">
        <f t="shared" ref="U193:U198" si="53">0.5*(MAX(R193:T193)-MIN(R193:T193))</f>
        <v>0</v>
      </c>
    </row>
    <row r="194" spans="1:24" ht="13" x14ac:dyDescent="0.25">
      <c r="A194" s="1475"/>
      <c r="B194" s="900">
        <v>3</v>
      </c>
      <c r="C194" s="104">
        <v>25</v>
      </c>
      <c r="D194" s="104">
        <v>0.2</v>
      </c>
      <c r="E194" s="104">
        <v>-0.2</v>
      </c>
      <c r="F194" s="903"/>
      <c r="G194" s="901">
        <f t="shared" si="51"/>
        <v>0.2</v>
      </c>
      <c r="I194" s="900">
        <v>3</v>
      </c>
      <c r="J194" s="104">
        <v>50</v>
      </c>
      <c r="K194" s="104">
        <v>-2.4</v>
      </c>
      <c r="L194" s="104">
        <v>-0.2</v>
      </c>
      <c r="M194" s="903"/>
      <c r="N194" s="901">
        <f t="shared" si="52"/>
        <v>1.0999999999999999</v>
      </c>
      <c r="P194" s="900">
        <v>3</v>
      </c>
      <c r="Q194" s="906">
        <v>980</v>
      </c>
      <c r="R194" s="907">
        <v>4.5</v>
      </c>
      <c r="S194" s="907" t="s">
        <v>364</v>
      </c>
      <c r="T194" s="903"/>
      <c r="U194" s="901">
        <f t="shared" si="53"/>
        <v>0</v>
      </c>
    </row>
    <row r="195" spans="1:24" ht="13" x14ac:dyDescent="0.25">
      <c r="A195" s="1475"/>
      <c r="B195" s="900">
        <v>4</v>
      </c>
      <c r="C195" s="906">
        <v>30</v>
      </c>
      <c r="D195" s="906">
        <v>0.3</v>
      </c>
      <c r="E195" s="906">
        <v>-0.2</v>
      </c>
      <c r="F195" s="903"/>
      <c r="G195" s="901">
        <f t="shared" si="51"/>
        <v>0.25</v>
      </c>
      <c r="I195" s="900">
        <v>4</v>
      </c>
      <c r="J195" s="906">
        <v>60</v>
      </c>
      <c r="K195" s="906">
        <v>-2.1</v>
      </c>
      <c r="L195" s="906">
        <v>-0.2</v>
      </c>
      <c r="M195" s="903"/>
      <c r="N195" s="901">
        <f t="shared" si="52"/>
        <v>0.95000000000000007</v>
      </c>
      <c r="P195" s="900">
        <v>4</v>
      </c>
      <c r="Q195" s="906">
        <v>990</v>
      </c>
      <c r="R195" s="907">
        <v>4.5</v>
      </c>
      <c r="S195" s="907" t="s">
        <v>364</v>
      </c>
      <c r="T195" s="903"/>
      <c r="U195" s="901">
        <f t="shared" si="53"/>
        <v>0</v>
      </c>
    </row>
    <row r="196" spans="1:24" ht="13" x14ac:dyDescent="0.25">
      <c r="A196" s="1475"/>
      <c r="B196" s="900">
        <v>5</v>
      </c>
      <c r="C196" s="906">
        <v>35</v>
      </c>
      <c r="D196" s="906">
        <v>0.4</v>
      </c>
      <c r="E196" s="906">
        <v>-0.3</v>
      </c>
      <c r="F196" s="903"/>
      <c r="G196" s="901">
        <f t="shared" si="51"/>
        <v>0.35</v>
      </c>
      <c r="I196" s="900">
        <v>5</v>
      </c>
      <c r="J196" s="906">
        <v>70</v>
      </c>
      <c r="K196" s="906">
        <v>-2.2000000000000002</v>
      </c>
      <c r="L196" s="906">
        <v>-0.3</v>
      </c>
      <c r="M196" s="903"/>
      <c r="N196" s="901">
        <f t="shared" si="52"/>
        <v>0.95000000000000007</v>
      </c>
      <c r="P196" s="900">
        <v>5</v>
      </c>
      <c r="Q196" s="906">
        <v>1000</v>
      </c>
      <c r="R196" s="907">
        <v>4.4000000000000004</v>
      </c>
      <c r="S196" s="907">
        <v>-0.8</v>
      </c>
      <c r="T196" s="903"/>
      <c r="U196" s="901">
        <f t="shared" si="53"/>
        <v>2.6</v>
      </c>
    </row>
    <row r="197" spans="1:24" ht="13" x14ac:dyDescent="0.25">
      <c r="A197" s="1475"/>
      <c r="B197" s="900">
        <v>6</v>
      </c>
      <c r="C197" s="906">
        <v>37</v>
      </c>
      <c r="D197" s="906">
        <v>0.4</v>
      </c>
      <c r="E197" s="906">
        <v>-0.3</v>
      </c>
      <c r="F197" s="903"/>
      <c r="G197" s="901">
        <f t="shared" si="51"/>
        <v>0.35</v>
      </c>
      <c r="I197" s="900">
        <v>6</v>
      </c>
      <c r="J197" s="906">
        <v>80</v>
      </c>
      <c r="K197" s="906">
        <v>-2.4</v>
      </c>
      <c r="L197" s="906">
        <v>-0.5</v>
      </c>
      <c r="M197" s="903"/>
      <c r="N197" s="901">
        <f t="shared" si="52"/>
        <v>0.95</v>
      </c>
      <c r="P197" s="900">
        <v>6</v>
      </c>
      <c r="Q197" s="906">
        <v>1005</v>
      </c>
      <c r="R197" s="907" t="s">
        <v>364</v>
      </c>
      <c r="S197" s="907">
        <v>-0.7</v>
      </c>
      <c r="T197" s="903"/>
      <c r="U197" s="901">
        <f>0.5*(MAX(R197:T197)-MIN(R197:T197))</f>
        <v>0</v>
      </c>
    </row>
    <row r="198" spans="1:24" ht="13" x14ac:dyDescent="0.25">
      <c r="A198" s="1475"/>
      <c r="B198" s="900">
        <v>7</v>
      </c>
      <c r="C198" s="912">
        <v>40</v>
      </c>
      <c r="D198" s="906">
        <v>0.5</v>
      </c>
      <c r="E198" s="906">
        <v>-0.4</v>
      </c>
      <c r="F198" s="903"/>
      <c r="G198" s="901">
        <f>0.5*(MAX(D198:F198)-MIN(D198:F198))</f>
        <v>0.45</v>
      </c>
      <c r="I198" s="900">
        <v>7</v>
      </c>
      <c r="J198" s="912">
        <v>90</v>
      </c>
      <c r="K198" s="906">
        <v>-3</v>
      </c>
      <c r="L198" s="906">
        <v>-0.8</v>
      </c>
      <c r="M198" s="903"/>
      <c r="N198" s="901">
        <f t="shared" si="52"/>
        <v>1.1000000000000001</v>
      </c>
      <c r="P198" s="900">
        <v>7</v>
      </c>
      <c r="Q198" s="906">
        <v>1010</v>
      </c>
      <c r="R198" s="907">
        <v>4.4000000000000004</v>
      </c>
      <c r="S198" s="907">
        <v>9.9999999999999995E-7</v>
      </c>
      <c r="T198" s="903"/>
      <c r="U198" s="901">
        <f t="shared" si="53"/>
        <v>2.1999995000000001</v>
      </c>
    </row>
    <row r="199" spans="1:24" ht="13" thickBot="1" x14ac:dyDescent="0.3">
      <c r="A199" s="913"/>
      <c r="C199" s="914"/>
      <c r="D199" s="863"/>
      <c r="E199" s="915"/>
      <c r="F199" s="914"/>
      <c r="I199" s="914"/>
      <c r="J199" s="863"/>
      <c r="K199" s="915"/>
      <c r="L199" s="914"/>
      <c r="O199" s="863"/>
      <c r="P199" s="915"/>
      <c r="Q199" s="915"/>
      <c r="R199" s="914"/>
    </row>
    <row r="200" spans="1:24" x14ac:dyDescent="0.25">
      <c r="A200" s="1475">
        <v>19</v>
      </c>
      <c r="B200" s="1476" t="s">
        <v>415</v>
      </c>
      <c r="C200" s="1476"/>
      <c r="D200" s="1476"/>
      <c r="E200" s="1476"/>
      <c r="F200" s="1476"/>
      <c r="G200" s="1476"/>
      <c r="I200" s="1476" t="str">
        <f>B200</f>
        <v>KOREKSI EXTECH A.100615</v>
      </c>
      <c r="J200" s="1476"/>
      <c r="K200" s="1476"/>
      <c r="L200" s="1476"/>
      <c r="M200" s="1476"/>
      <c r="N200" s="1476"/>
      <c r="P200" s="1476" t="str">
        <f>I200</f>
        <v>KOREKSI EXTECH A.100615</v>
      </c>
      <c r="Q200" s="1476"/>
      <c r="R200" s="1476"/>
      <c r="S200" s="1476"/>
      <c r="T200" s="1476"/>
      <c r="U200" s="1476"/>
      <c r="W200" s="1482" t="s">
        <v>343</v>
      </c>
      <c r="X200" s="1483"/>
    </row>
    <row r="201" spans="1:24" ht="13" x14ac:dyDescent="0.25">
      <c r="A201" s="1475"/>
      <c r="B201" s="1484" t="s">
        <v>390</v>
      </c>
      <c r="C201" s="1484"/>
      <c r="D201" s="1484" t="s">
        <v>391</v>
      </c>
      <c r="E201" s="1484"/>
      <c r="F201" s="1484"/>
      <c r="G201" s="1484" t="s">
        <v>392</v>
      </c>
      <c r="I201" s="1484" t="s">
        <v>393</v>
      </c>
      <c r="J201" s="1484"/>
      <c r="K201" s="1484" t="s">
        <v>391</v>
      </c>
      <c r="L201" s="1484"/>
      <c r="M201" s="1484"/>
      <c r="N201" s="1484" t="s">
        <v>392</v>
      </c>
      <c r="P201" s="1484" t="s">
        <v>394</v>
      </c>
      <c r="Q201" s="1484"/>
      <c r="R201" s="1484" t="s">
        <v>391</v>
      </c>
      <c r="S201" s="1484"/>
      <c r="T201" s="1484"/>
      <c r="U201" s="1484" t="s">
        <v>392</v>
      </c>
      <c r="W201" s="898" t="s">
        <v>390</v>
      </c>
      <c r="X201" s="899">
        <v>0.1</v>
      </c>
    </row>
    <row r="202" spans="1:24" ht="14.5" x14ac:dyDescent="0.25">
      <c r="A202" s="1475"/>
      <c r="B202" s="1474" t="s">
        <v>395</v>
      </c>
      <c r="C202" s="1474"/>
      <c r="D202" s="730">
        <v>2021</v>
      </c>
      <c r="E202" s="737" t="s">
        <v>364</v>
      </c>
      <c r="F202" s="730">
        <v>2016</v>
      </c>
      <c r="G202" s="1484"/>
      <c r="I202" s="1473" t="s">
        <v>396</v>
      </c>
      <c r="J202" s="1474"/>
      <c r="K202" s="911">
        <f>D202</f>
        <v>2021</v>
      </c>
      <c r="L202" s="911" t="str">
        <f>E202</f>
        <v>-</v>
      </c>
      <c r="M202" s="730">
        <v>2016</v>
      </c>
      <c r="N202" s="1484"/>
      <c r="P202" s="1473" t="s">
        <v>397</v>
      </c>
      <c r="Q202" s="1474"/>
      <c r="R202" s="911">
        <f>K202</f>
        <v>2021</v>
      </c>
      <c r="S202" s="911" t="str">
        <f>L202</f>
        <v>-</v>
      </c>
      <c r="T202" s="730">
        <v>2016</v>
      </c>
      <c r="U202" s="1484"/>
      <c r="W202" s="898" t="s">
        <v>396</v>
      </c>
      <c r="X202" s="899">
        <v>1.5</v>
      </c>
    </row>
    <row r="203" spans="1:24" ht="13.5" thickBot="1" x14ac:dyDescent="0.3">
      <c r="A203" s="1475"/>
      <c r="B203" s="900">
        <v>1</v>
      </c>
      <c r="C203" s="104">
        <v>15</v>
      </c>
      <c r="D203" s="100">
        <v>9.9999999999999995E-7</v>
      </c>
      <c r="E203" s="100" t="s">
        <v>364</v>
      </c>
      <c r="F203" s="903"/>
      <c r="G203" s="901">
        <f>0.5*(MAX(D203:F203)-MIN(D203:F203))</f>
        <v>0</v>
      </c>
      <c r="I203" s="900">
        <v>1</v>
      </c>
      <c r="J203" s="104">
        <v>30</v>
      </c>
      <c r="K203" s="104">
        <v>-1.5</v>
      </c>
      <c r="L203" s="100" t="s">
        <v>364</v>
      </c>
      <c r="M203" s="903"/>
      <c r="N203" s="901">
        <f>0.5*(MAX(K203:M203)-MIN(K203:M203))</f>
        <v>0</v>
      </c>
      <c r="P203" s="900">
        <v>1</v>
      </c>
      <c r="Q203" s="104">
        <v>750</v>
      </c>
      <c r="R203" s="99">
        <v>2.5</v>
      </c>
      <c r="S203" s="100" t="s">
        <v>364</v>
      </c>
      <c r="T203" s="903"/>
      <c r="U203" s="901">
        <f>0.5*(MAX(R203:T203)-MIN(R203:T203))</f>
        <v>0</v>
      </c>
      <c r="W203" s="904" t="s">
        <v>397</v>
      </c>
      <c r="X203" s="905">
        <v>0.4</v>
      </c>
    </row>
    <row r="204" spans="1:24" ht="13" x14ac:dyDescent="0.25">
      <c r="A204" s="1475"/>
      <c r="B204" s="900">
        <v>2</v>
      </c>
      <c r="C204" s="104">
        <v>20</v>
      </c>
      <c r="D204" s="104">
        <v>0.1</v>
      </c>
      <c r="E204" s="100" t="s">
        <v>364</v>
      </c>
      <c r="F204" s="903"/>
      <c r="G204" s="901">
        <f t="shared" ref="G204:G209" si="54">0.5*(MAX(D204:F204)-MIN(D204:F204))</f>
        <v>0</v>
      </c>
      <c r="I204" s="900">
        <v>2</v>
      </c>
      <c r="J204" s="104">
        <v>40</v>
      </c>
      <c r="K204" s="104">
        <v>-0.8</v>
      </c>
      <c r="L204" s="100" t="s">
        <v>364</v>
      </c>
      <c r="M204" s="903"/>
      <c r="N204" s="901">
        <f t="shared" ref="N204:N209" si="55">0.5*(MAX(K204:M204)-MIN(K204:M204))</f>
        <v>0</v>
      </c>
      <c r="P204" s="900">
        <v>2</v>
      </c>
      <c r="Q204" s="104">
        <v>800</v>
      </c>
      <c r="R204" s="99">
        <v>2.5</v>
      </c>
      <c r="S204" s="100" t="s">
        <v>364</v>
      </c>
      <c r="T204" s="903"/>
      <c r="U204" s="901">
        <f t="shared" ref="U204:U209" si="56">0.5*(MAX(R204:T204)-MIN(R204:T204))</f>
        <v>0</v>
      </c>
    </row>
    <row r="205" spans="1:24" ht="13" x14ac:dyDescent="0.25">
      <c r="A205" s="1475"/>
      <c r="B205" s="900">
        <v>3</v>
      </c>
      <c r="C205" s="104">
        <v>25</v>
      </c>
      <c r="D205" s="100">
        <v>9.9999999999999995E-7</v>
      </c>
      <c r="E205" s="100" t="s">
        <v>364</v>
      </c>
      <c r="F205" s="903"/>
      <c r="G205" s="901">
        <f t="shared" si="54"/>
        <v>0</v>
      </c>
      <c r="I205" s="900">
        <v>3</v>
      </c>
      <c r="J205" s="104">
        <v>50</v>
      </c>
      <c r="K205" s="104">
        <v>-0.2</v>
      </c>
      <c r="L205" s="100" t="s">
        <v>364</v>
      </c>
      <c r="M205" s="903"/>
      <c r="N205" s="901">
        <f t="shared" si="55"/>
        <v>0</v>
      </c>
      <c r="P205" s="900">
        <v>3</v>
      </c>
      <c r="Q205" s="104">
        <v>850</v>
      </c>
      <c r="R205" s="99">
        <v>2.4</v>
      </c>
      <c r="S205" s="100" t="s">
        <v>364</v>
      </c>
      <c r="T205" s="903"/>
      <c r="U205" s="901">
        <f t="shared" si="56"/>
        <v>0</v>
      </c>
    </row>
    <row r="206" spans="1:24" ht="13" x14ac:dyDescent="0.25">
      <c r="A206" s="1475"/>
      <c r="B206" s="900">
        <v>4</v>
      </c>
      <c r="C206" s="906">
        <v>30</v>
      </c>
      <c r="D206" s="906">
        <v>-0.1</v>
      </c>
      <c r="E206" s="907" t="s">
        <v>364</v>
      </c>
      <c r="F206" s="903"/>
      <c r="G206" s="901">
        <f t="shared" si="54"/>
        <v>0</v>
      </c>
      <c r="I206" s="900">
        <v>4</v>
      </c>
      <c r="J206" s="906">
        <v>60</v>
      </c>
      <c r="K206" s="906">
        <v>0.4</v>
      </c>
      <c r="L206" s="907" t="s">
        <v>364</v>
      </c>
      <c r="M206" s="903"/>
      <c r="N206" s="901">
        <f t="shared" si="55"/>
        <v>0</v>
      </c>
      <c r="P206" s="900">
        <v>4</v>
      </c>
      <c r="Q206" s="906">
        <v>900</v>
      </c>
      <c r="R206" s="907">
        <v>2.2999999999999998</v>
      </c>
      <c r="S206" s="907" t="s">
        <v>364</v>
      </c>
      <c r="T206" s="903"/>
      <c r="U206" s="901">
        <f t="shared" si="56"/>
        <v>0</v>
      </c>
    </row>
    <row r="207" spans="1:24" ht="13" x14ac:dyDescent="0.25">
      <c r="A207" s="1475"/>
      <c r="B207" s="900">
        <v>5</v>
      </c>
      <c r="C207" s="906">
        <v>35</v>
      </c>
      <c r="D207" s="906">
        <v>-0.1</v>
      </c>
      <c r="E207" s="907" t="s">
        <v>364</v>
      </c>
      <c r="F207" s="903"/>
      <c r="G207" s="901">
        <f t="shared" si="54"/>
        <v>0</v>
      </c>
      <c r="I207" s="900">
        <v>5</v>
      </c>
      <c r="J207" s="906">
        <v>70</v>
      </c>
      <c r="K207" s="906">
        <v>-0.7</v>
      </c>
      <c r="L207" s="907" t="s">
        <v>364</v>
      </c>
      <c r="M207" s="903"/>
      <c r="N207" s="901">
        <f t="shared" si="55"/>
        <v>0</v>
      </c>
      <c r="P207" s="900">
        <v>5</v>
      </c>
      <c r="Q207" s="906">
        <v>1000</v>
      </c>
      <c r="R207" s="907">
        <v>2.2000000000000002</v>
      </c>
      <c r="S207" s="907" t="s">
        <v>364</v>
      </c>
      <c r="T207" s="903"/>
      <c r="U207" s="901">
        <f t="shared" si="56"/>
        <v>0</v>
      </c>
    </row>
    <row r="208" spans="1:24" ht="13" x14ac:dyDescent="0.25">
      <c r="A208" s="1475"/>
      <c r="B208" s="900">
        <v>6</v>
      </c>
      <c r="C208" s="906">
        <v>37</v>
      </c>
      <c r="D208" s="100">
        <v>9.9999999999999995E-7</v>
      </c>
      <c r="E208" s="907" t="s">
        <v>364</v>
      </c>
      <c r="F208" s="903"/>
      <c r="G208" s="901">
        <f t="shared" si="54"/>
        <v>0</v>
      </c>
      <c r="I208" s="900">
        <v>6</v>
      </c>
      <c r="J208" s="906">
        <v>80</v>
      </c>
      <c r="K208" s="906">
        <v>-0.9</v>
      </c>
      <c r="L208" s="907" t="s">
        <v>364</v>
      </c>
      <c r="M208" s="903"/>
      <c r="N208" s="901">
        <f t="shared" si="55"/>
        <v>0</v>
      </c>
      <c r="P208" s="900">
        <v>6</v>
      </c>
      <c r="Q208" s="906">
        <v>1005</v>
      </c>
      <c r="R208" s="907">
        <v>2.2000000000000002</v>
      </c>
      <c r="S208" s="907" t="s">
        <v>364</v>
      </c>
      <c r="T208" s="903"/>
      <c r="U208" s="901">
        <f t="shared" si="56"/>
        <v>0</v>
      </c>
    </row>
    <row r="209" spans="1:31" ht="13" x14ac:dyDescent="0.25">
      <c r="A209" s="1475"/>
      <c r="B209" s="900">
        <v>7</v>
      </c>
      <c r="C209" s="912">
        <v>40</v>
      </c>
      <c r="D209" s="906">
        <v>0.2</v>
      </c>
      <c r="E209" s="907" t="s">
        <v>364</v>
      </c>
      <c r="F209" s="903"/>
      <c r="G209" s="901">
        <f t="shared" si="54"/>
        <v>0</v>
      </c>
      <c r="I209" s="900">
        <v>7</v>
      </c>
      <c r="J209" s="912">
        <v>90</v>
      </c>
      <c r="K209" s="906">
        <v>-0.6</v>
      </c>
      <c r="L209" s="907" t="s">
        <v>364</v>
      </c>
      <c r="M209" s="903"/>
      <c r="N209" s="901">
        <f t="shared" si="55"/>
        <v>0</v>
      </c>
      <c r="P209" s="900">
        <v>7</v>
      </c>
      <c r="Q209" s="906">
        <v>1020</v>
      </c>
      <c r="R209" s="907">
        <v>2.2999999999999998</v>
      </c>
      <c r="S209" s="907" t="s">
        <v>364</v>
      </c>
      <c r="T209" s="903"/>
      <c r="U209" s="901">
        <f t="shared" si="56"/>
        <v>0</v>
      </c>
    </row>
    <row r="210" spans="1:31" ht="13" thickBot="1" x14ac:dyDescent="0.3">
      <c r="A210" s="913"/>
      <c r="C210" s="914"/>
      <c r="D210" s="863"/>
      <c r="E210" s="915"/>
      <c r="F210" s="914"/>
      <c r="J210" s="914"/>
      <c r="K210" s="863"/>
      <c r="L210" s="915"/>
      <c r="M210" s="914"/>
      <c r="Q210" s="863"/>
      <c r="R210" s="915"/>
      <c r="S210" s="915"/>
      <c r="T210" s="914"/>
    </row>
    <row r="211" spans="1:31" x14ac:dyDescent="0.25">
      <c r="A211" s="1475">
        <v>20</v>
      </c>
      <c r="B211" s="1476">
        <v>20</v>
      </c>
      <c r="C211" s="1476"/>
      <c r="D211" s="1476"/>
      <c r="E211" s="1476"/>
      <c r="F211" s="1476"/>
      <c r="G211" s="1476"/>
      <c r="I211" s="1476">
        <f>B211</f>
        <v>20</v>
      </c>
      <c r="J211" s="1476"/>
      <c r="K211" s="1476"/>
      <c r="L211" s="1476"/>
      <c r="M211" s="1476"/>
      <c r="N211" s="1476"/>
      <c r="P211" s="1476">
        <f>I211</f>
        <v>20</v>
      </c>
      <c r="Q211" s="1476"/>
      <c r="R211" s="1476"/>
      <c r="S211" s="1476"/>
      <c r="T211" s="1476"/>
      <c r="U211" s="1476"/>
      <c r="W211" s="1482" t="s">
        <v>343</v>
      </c>
      <c r="X211" s="1483"/>
    </row>
    <row r="212" spans="1:31" ht="13" x14ac:dyDescent="0.25">
      <c r="A212" s="1475"/>
      <c r="B212" s="1484" t="s">
        <v>390</v>
      </c>
      <c r="C212" s="1484"/>
      <c r="D212" s="1484" t="s">
        <v>391</v>
      </c>
      <c r="E212" s="1484"/>
      <c r="F212" s="1484"/>
      <c r="G212" s="1484" t="s">
        <v>392</v>
      </c>
      <c r="I212" s="1484" t="s">
        <v>393</v>
      </c>
      <c r="J212" s="1484"/>
      <c r="K212" s="1484" t="s">
        <v>391</v>
      </c>
      <c r="L212" s="1484"/>
      <c r="M212" s="1484"/>
      <c r="N212" s="1484" t="s">
        <v>392</v>
      </c>
      <c r="P212" s="1484" t="s">
        <v>394</v>
      </c>
      <c r="Q212" s="1484"/>
      <c r="R212" s="1484" t="s">
        <v>391</v>
      </c>
      <c r="S212" s="1484"/>
      <c r="T212" s="1484"/>
      <c r="U212" s="1484" t="s">
        <v>392</v>
      </c>
      <c r="W212" s="898" t="s">
        <v>390</v>
      </c>
      <c r="X212" s="899">
        <v>0</v>
      </c>
    </row>
    <row r="213" spans="1:31" ht="14.5" x14ac:dyDescent="0.25">
      <c r="A213" s="1475"/>
      <c r="B213" s="1474" t="s">
        <v>395</v>
      </c>
      <c r="C213" s="1474"/>
      <c r="D213" s="730">
        <v>2017</v>
      </c>
      <c r="E213" s="737" t="s">
        <v>364</v>
      </c>
      <c r="F213" s="730">
        <v>2016</v>
      </c>
      <c r="G213" s="1484"/>
      <c r="I213" s="1473" t="s">
        <v>396</v>
      </c>
      <c r="J213" s="1474"/>
      <c r="K213" s="911">
        <f>D213</f>
        <v>2017</v>
      </c>
      <c r="L213" s="911" t="str">
        <f>E213</f>
        <v>-</v>
      </c>
      <c r="M213" s="730">
        <v>2016</v>
      </c>
      <c r="N213" s="1484"/>
      <c r="P213" s="1473" t="s">
        <v>397</v>
      </c>
      <c r="Q213" s="1474"/>
      <c r="R213" s="911">
        <f>K213</f>
        <v>2017</v>
      </c>
      <c r="S213" s="911" t="str">
        <f>L213</f>
        <v>-</v>
      </c>
      <c r="T213" s="730">
        <v>2016</v>
      </c>
      <c r="U213" s="1484"/>
      <c r="W213" s="898" t="s">
        <v>396</v>
      </c>
      <c r="X213" s="899">
        <v>0</v>
      </c>
    </row>
    <row r="214" spans="1:31" ht="13.5" thickBot="1" x14ac:dyDescent="0.3">
      <c r="A214" s="1475"/>
      <c r="B214" s="900">
        <v>1</v>
      </c>
      <c r="C214" s="104">
        <v>14.8</v>
      </c>
      <c r="D214" s="100">
        <v>9.9999999999999995E-7</v>
      </c>
      <c r="E214" s="100" t="s">
        <v>364</v>
      </c>
      <c r="F214" s="100">
        <v>9.9999999999999995E-7</v>
      </c>
      <c r="G214" s="901">
        <f>0.5*(MAX(D214:F214)-MIN(D214:F214))</f>
        <v>0</v>
      </c>
      <c r="I214" s="900">
        <v>1</v>
      </c>
      <c r="J214" s="104">
        <v>45.7</v>
      </c>
      <c r="K214" s="100">
        <v>9.9999999999999995E-7</v>
      </c>
      <c r="L214" s="100" t="s">
        <v>364</v>
      </c>
      <c r="M214" s="903"/>
      <c r="N214" s="901">
        <f>0.5*(MAX(K214:M214)-MIN(K214:M214))</f>
        <v>0</v>
      </c>
      <c r="P214" s="900">
        <v>1</v>
      </c>
      <c r="Q214" s="104">
        <v>750</v>
      </c>
      <c r="R214" s="99" t="s">
        <v>364</v>
      </c>
      <c r="S214" s="100" t="s">
        <v>364</v>
      </c>
      <c r="T214" s="903"/>
      <c r="U214" s="901">
        <f>0.5*(MAX(R214:T214)-MIN(R214:T214))</f>
        <v>0</v>
      </c>
      <c r="W214" s="904" t="s">
        <v>397</v>
      </c>
      <c r="X214" s="905">
        <v>0</v>
      </c>
    </row>
    <row r="215" spans="1:31" ht="13" x14ac:dyDescent="0.25">
      <c r="A215" s="1475"/>
      <c r="B215" s="900">
        <v>2</v>
      </c>
      <c r="C215" s="104">
        <v>19.7</v>
      </c>
      <c r="D215" s="100">
        <v>9.9999999999999995E-7</v>
      </c>
      <c r="E215" s="100" t="s">
        <v>364</v>
      </c>
      <c r="F215" s="100">
        <v>9.9999999999999995E-7</v>
      </c>
      <c r="G215" s="901">
        <f t="shared" ref="G215:G220" si="57">0.5*(MAX(D215:F215)-MIN(D215:F215))</f>
        <v>0</v>
      </c>
      <c r="I215" s="900">
        <v>2</v>
      </c>
      <c r="J215" s="104">
        <v>54.3</v>
      </c>
      <c r="K215" s="100">
        <v>9.9999999999999995E-7</v>
      </c>
      <c r="L215" s="100" t="s">
        <v>364</v>
      </c>
      <c r="M215" s="903"/>
      <c r="N215" s="901">
        <f t="shared" ref="N215:N220" si="58">0.5*(MAX(K215:M215)-MIN(K215:M215))</f>
        <v>0</v>
      </c>
      <c r="P215" s="900">
        <v>2</v>
      </c>
      <c r="Q215" s="104">
        <v>800</v>
      </c>
      <c r="R215" s="99" t="s">
        <v>364</v>
      </c>
      <c r="S215" s="100" t="s">
        <v>364</v>
      </c>
      <c r="T215" s="903"/>
      <c r="U215" s="901">
        <f t="shared" ref="U215:U220" si="59">0.5*(MAX(R215:T215)-MIN(R215:T215))</f>
        <v>0</v>
      </c>
    </row>
    <row r="216" spans="1:31" ht="13" x14ac:dyDescent="0.25">
      <c r="A216" s="1475"/>
      <c r="B216" s="900">
        <v>3</v>
      </c>
      <c r="C216" s="104">
        <v>24.6</v>
      </c>
      <c r="D216" s="100">
        <v>9.9999999999999995E-7</v>
      </c>
      <c r="E216" s="100" t="s">
        <v>364</v>
      </c>
      <c r="F216" s="100">
        <v>9.9999999999999995E-7</v>
      </c>
      <c r="G216" s="901">
        <f t="shared" si="57"/>
        <v>0</v>
      </c>
      <c r="I216" s="900">
        <v>3</v>
      </c>
      <c r="J216" s="104">
        <v>62.5</v>
      </c>
      <c r="K216" s="100">
        <v>9.9999999999999995E-7</v>
      </c>
      <c r="L216" s="100" t="s">
        <v>364</v>
      </c>
      <c r="M216" s="903"/>
      <c r="N216" s="901">
        <f t="shared" si="58"/>
        <v>0</v>
      </c>
      <c r="P216" s="900">
        <v>3</v>
      </c>
      <c r="Q216" s="104">
        <v>850</v>
      </c>
      <c r="R216" s="99" t="s">
        <v>364</v>
      </c>
      <c r="S216" s="100" t="s">
        <v>364</v>
      </c>
      <c r="T216" s="903"/>
      <c r="U216" s="901">
        <f t="shared" si="59"/>
        <v>0</v>
      </c>
    </row>
    <row r="217" spans="1:31" ht="13" x14ac:dyDescent="0.25">
      <c r="A217" s="1475"/>
      <c r="B217" s="900">
        <v>4</v>
      </c>
      <c r="C217" s="906">
        <v>29.5</v>
      </c>
      <c r="D217" s="100">
        <v>9.9999999999999995E-7</v>
      </c>
      <c r="E217" s="907" t="s">
        <v>364</v>
      </c>
      <c r="F217" s="100">
        <v>9.9999999999999995E-7</v>
      </c>
      <c r="G217" s="901">
        <f t="shared" si="57"/>
        <v>0</v>
      </c>
      <c r="I217" s="900">
        <v>4</v>
      </c>
      <c r="J217" s="906">
        <v>71.5</v>
      </c>
      <c r="K217" s="100">
        <v>9.9999999999999995E-7</v>
      </c>
      <c r="L217" s="907" t="s">
        <v>364</v>
      </c>
      <c r="M217" s="903"/>
      <c r="N217" s="901">
        <f t="shared" si="58"/>
        <v>0</v>
      </c>
      <c r="P217" s="900">
        <v>4</v>
      </c>
      <c r="Q217" s="906">
        <v>900</v>
      </c>
      <c r="R217" s="907" t="s">
        <v>364</v>
      </c>
      <c r="S217" s="907" t="s">
        <v>364</v>
      </c>
      <c r="T217" s="903"/>
      <c r="U217" s="901">
        <f t="shared" si="59"/>
        <v>0</v>
      </c>
    </row>
    <row r="218" spans="1:31" ht="13" x14ac:dyDescent="0.25">
      <c r="A218" s="1475"/>
      <c r="B218" s="900">
        <v>5</v>
      </c>
      <c r="C218" s="906">
        <v>34.5</v>
      </c>
      <c r="D218" s="100">
        <v>9.9999999999999995E-7</v>
      </c>
      <c r="E218" s="907" t="s">
        <v>364</v>
      </c>
      <c r="F218" s="100">
        <v>9.9999999999999995E-7</v>
      </c>
      <c r="G218" s="901">
        <f t="shared" si="57"/>
        <v>0</v>
      </c>
      <c r="I218" s="900">
        <v>5</v>
      </c>
      <c r="J218" s="906">
        <v>80.8</v>
      </c>
      <c r="K218" s="100">
        <v>9.9999999999999995E-7</v>
      </c>
      <c r="L218" s="907" t="s">
        <v>364</v>
      </c>
      <c r="M218" s="903"/>
      <c r="N218" s="901">
        <f t="shared" si="58"/>
        <v>0</v>
      </c>
      <c r="P218" s="900">
        <v>5</v>
      </c>
      <c r="Q218" s="906">
        <v>1000</v>
      </c>
      <c r="R218" s="907" t="s">
        <v>364</v>
      </c>
      <c r="S218" s="907" t="s">
        <v>364</v>
      </c>
      <c r="T218" s="903"/>
      <c r="U218" s="901">
        <f t="shared" si="59"/>
        <v>0</v>
      </c>
    </row>
    <row r="219" spans="1:31" ht="13" x14ac:dyDescent="0.25">
      <c r="A219" s="1475"/>
      <c r="B219" s="900">
        <v>6</v>
      </c>
      <c r="C219" s="906">
        <v>39.5</v>
      </c>
      <c r="D219" s="100">
        <v>9.9999999999999995E-7</v>
      </c>
      <c r="E219" s="907" t="s">
        <v>364</v>
      </c>
      <c r="F219" s="100">
        <v>9.9999999999999995E-7</v>
      </c>
      <c r="G219" s="901">
        <f t="shared" si="57"/>
        <v>0</v>
      </c>
      <c r="I219" s="900">
        <v>6</v>
      </c>
      <c r="J219" s="906">
        <v>88.7</v>
      </c>
      <c r="K219" s="100">
        <v>9.9999999999999995E-7</v>
      </c>
      <c r="L219" s="907" t="s">
        <v>364</v>
      </c>
      <c r="M219" s="903"/>
      <c r="N219" s="901">
        <f t="shared" si="58"/>
        <v>0</v>
      </c>
      <c r="P219" s="900">
        <v>6</v>
      </c>
      <c r="Q219" s="906">
        <v>1005</v>
      </c>
      <c r="R219" s="907" t="s">
        <v>364</v>
      </c>
      <c r="S219" s="907" t="s">
        <v>364</v>
      </c>
      <c r="T219" s="903"/>
      <c r="U219" s="901">
        <f t="shared" si="59"/>
        <v>0</v>
      </c>
    </row>
    <row r="220" spans="1:31" ht="13" x14ac:dyDescent="0.25">
      <c r="A220" s="1475"/>
      <c r="B220" s="900">
        <v>7</v>
      </c>
      <c r="C220" s="912">
        <v>40</v>
      </c>
      <c r="D220" s="100">
        <v>9.9999999999999995E-7</v>
      </c>
      <c r="E220" s="907" t="s">
        <v>364</v>
      </c>
      <c r="F220" s="100">
        <v>9.9999999999999995E-7</v>
      </c>
      <c r="G220" s="901">
        <f t="shared" si="57"/>
        <v>0</v>
      </c>
      <c r="I220" s="900">
        <v>7</v>
      </c>
      <c r="J220" s="912">
        <v>90</v>
      </c>
      <c r="K220" s="100">
        <v>9.9999999999999995E-7</v>
      </c>
      <c r="L220" s="907" t="s">
        <v>364</v>
      </c>
      <c r="M220" s="903"/>
      <c r="N220" s="901">
        <f t="shared" si="58"/>
        <v>0</v>
      </c>
      <c r="P220" s="900">
        <v>7</v>
      </c>
      <c r="Q220" s="906">
        <v>1020</v>
      </c>
      <c r="R220" s="907" t="s">
        <v>364</v>
      </c>
      <c r="S220" s="907" t="s">
        <v>364</v>
      </c>
      <c r="T220" s="903"/>
      <c r="U220" s="901">
        <f t="shared" si="59"/>
        <v>0</v>
      </c>
    </row>
    <row r="221" spans="1:31" ht="13.5" thickBot="1" x14ac:dyDescent="0.35">
      <c r="A221" s="918"/>
      <c r="B221" s="1472"/>
      <c r="C221" s="1472"/>
      <c r="D221" s="1472"/>
      <c r="E221" s="1472"/>
      <c r="F221" s="1472"/>
      <c r="G221" s="1472"/>
      <c r="H221" s="1472"/>
      <c r="I221" s="1472"/>
      <c r="J221" s="1472"/>
      <c r="K221" s="1472"/>
      <c r="L221" s="1472"/>
      <c r="M221" s="1472"/>
      <c r="N221" s="1472"/>
      <c r="O221" s="1472"/>
      <c r="P221" s="1472"/>
      <c r="Q221" s="1472"/>
      <c r="R221" s="1472"/>
      <c r="S221" s="1472"/>
      <c r="T221" s="1472"/>
      <c r="U221" s="1472"/>
    </row>
    <row r="222" spans="1:31" ht="13.5" thickBot="1" x14ac:dyDescent="0.35">
      <c r="A222" s="740"/>
      <c r="B222" s="740"/>
      <c r="C222" s="740"/>
      <c r="D222" s="740"/>
      <c r="E222" s="740"/>
      <c r="F222" s="740"/>
      <c r="G222" s="740"/>
      <c r="H222" s="740"/>
      <c r="I222" s="740"/>
      <c r="J222" s="740"/>
      <c r="K222" s="740"/>
      <c r="L222" s="740"/>
      <c r="M222" s="740"/>
      <c r="N222" s="740"/>
      <c r="O222" s="740"/>
      <c r="P222" s="740"/>
    </row>
    <row r="223" spans="1:31" ht="12.75" customHeight="1" x14ac:dyDescent="0.25">
      <c r="A223" s="1447" t="s">
        <v>99</v>
      </c>
      <c r="B223" s="1477" t="s">
        <v>416</v>
      </c>
      <c r="C223" s="1476" t="s">
        <v>417</v>
      </c>
      <c r="D223" s="1476"/>
      <c r="E223" s="1476"/>
      <c r="F223" s="1476"/>
      <c r="G223" s="919"/>
      <c r="I223" s="1447" t="s">
        <v>99</v>
      </c>
      <c r="J223" s="1477" t="s">
        <v>416</v>
      </c>
      <c r="K223" s="1476" t="s">
        <v>417</v>
      </c>
      <c r="L223" s="1476"/>
      <c r="M223" s="1476"/>
      <c r="N223" s="1476"/>
      <c r="O223" s="920"/>
      <c r="Q223" s="1478" t="s">
        <v>99</v>
      </c>
      <c r="R223" s="1479" t="s">
        <v>416</v>
      </c>
      <c r="S223" s="1480" t="s">
        <v>417</v>
      </c>
      <c r="T223" s="1480"/>
      <c r="U223" s="1480"/>
      <c r="V223" s="1481"/>
      <c r="Y223" s="1462" t="s">
        <v>343</v>
      </c>
      <c r="Z223" s="1463"/>
      <c r="AE223" s="921"/>
    </row>
    <row r="224" spans="1:31" ht="13.5" x14ac:dyDescent="0.3">
      <c r="A224" s="1447"/>
      <c r="B224" s="1477"/>
      <c r="C224" s="922" t="s">
        <v>390</v>
      </c>
      <c r="D224" s="1467" t="s">
        <v>391</v>
      </c>
      <c r="E224" s="1467"/>
      <c r="F224" s="1467"/>
      <c r="G224" s="1467" t="s">
        <v>392</v>
      </c>
      <c r="I224" s="1447"/>
      <c r="J224" s="1477"/>
      <c r="K224" s="922" t="s">
        <v>393</v>
      </c>
      <c r="L224" s="1467" t="s">
        <v>391</v>
      </c>
      <c r="M224" s="1467"/>
      <c r="N224" s="1467"/>
      <c r="O224" s="1467" t="s">
        <v>392</v>
      </c>
      <c r="Q224" s="1447"/>
      <c r="R224" s="1477"/>
      <c r="S224" s="922" t="s">
        <v>394</v>
      </c>
      <c r="T224" s="1468" t="s">
        <v>391</v>
      </c>
      <c r="U224" s="1469"/>
      <c r="V224" s="1470"/>
      <c r="W224" s="1471" t="s">
        <v>392</v>
      </c>
      <c r="Y224" s="1464" t="s">
        <v>390</v>
      </c>
      <c r="Z224" s="1465"/>
      <c r="AE224" s="740"/>
    </row>
    <row r="225" spans="1:38" ht="14" x14ac:dyDescent="0.3">
      <c r="A225" s="1447"/>
      <c r="B225" s="1477"/>
      <c r="C225" s="923" t="s">
        <v>418</v>
      </c>
      <c r="D225" s="922"/>
      <c r="E225" s="922"/>
      <c r="F225" s="920"/>
      <c r="G225" s="1467"/>
      <c r="I225" s="1447"/>
      <c r="J225" s="1477"/>
      <c r="K225" s="923" t="s">
        <v>396</v>
      </c>
      <c r="L225" s="922"/>
      <c r="M225" s="922"/>
      <c r="N225" s="920"/>
      <c r="O225" s="1467"/>
      <c r="Q225" s="1447"/>
      <c r="R225" s="1477"/>
      <c r="S225" s="923" t="s">
        <v>397</v>
      </c>
      <c r="T225" s="922"/>
      <c r="U225" s="922"/>
      <c r="W225" s="1471"/>
      <c r="Y225" s="924">
        <v>1</v>
      </c>
      <c r="Z225" s="925">
        <f>X3</f>
        <v>0.6</v>
      </c>
      <c r="AE225" s="740"/>
    </row>
    <row r="226" spans="1:38" ht="13" x14ac:dyDescent="0.3">
      <c r="A226" s="1456">
        <v>1</v>
      </c>
      <c r="B226" s="926">
        <v>1</v>
      </c>
      <c r="C226" s="926">
        <f>C5</f>
        <v>15</v>
      </c>
      <c r="D226" s="926">
        <f t="shared" ref="D226:F226" si="60">D5</f>
        <v>-0.5</v>
      </c>
      <c r="E226" s="926">
        <f t="shared" si="60"/>
        <v>0.3</v>
      </c>
      <c r="F226" s="926">
        <f t="shared" si="60"/>
        <v>0</v>
      </c>
      <c r="G226" s="926">
        <f>G5</f>
        <v>0.4</v>
      </c>
      <c r="I226" s="1456">
        <v>1</v>
      </c>
      <c r="J226" s="926">
        <v>1</v>
      </c>
      <c r="K226" s="926">
        <f>J5</f>
        <v>35</v>
      </c>
      <c r="L226" s="926">
        <f t="shared" ref="L226:N226" si="61">K5</f>
        <v>-6</v>
      </c>
      <c r="M226" s="926">
        <f t="shared" si="61"/>
        <v>-9.4</v>
      </c>
      <c r="N226" s="926">
        <f t="shared" si="61"/>
        <v>0</v>
      </c>
      <c r="O226" s="926">
        <f>N5</f>
        <v>1.7000000000000002</v>
      </c>
      <c r="Q226" s="1466">
        <v>1</v>
      </c>
      <c r="R226" s="926">
        <v>1</v>
      </c>
      <c r="S226" s="926">
        <f>Q5</f>
        <v>750</v>
      </c>
      <c r="T226" s="927" t="str">
        <f t="shared" ref="T226:V226" si="62">R5</f>
        <v>-</v>
      </c>
      <c r="U226" s="927" t="str">
        <f t="shared" si="62"/>
        <v>-</v>
      </c>
      <c r="V226" s="927">
        <f t="shared" si="62"/>
        <v>0</v>
      </c>
      <c r="W226" s="927">
        <f>U5</f>
        <v>0</v>
      </c>
      <c r="Y226" s="928">
        <v>2</v>
      </c>
      <c r="Z226" s="925">
        <f>X14</f>
        <v>0.5</v>
      </c>
      <c r="AE226" s="740"/>
    </row>
    <row r="227" spans="1:38" ht="13" x14ac:dyDescent="0.3">
      <c r="A227" s="1456"/>
      <c r="B227" s="926">
        <v>2</v>
      </c>
      <c r="C227" s="926">
        <f>C16</f>
        <v>15</v>
      </c>
      <c r="D227" s="926">
        <f t="shared" ref="D227:F227" si="63">D16</f>
        <v>0.2</v>
      </c>
      <c r="E227" s="926">
        <f t="shared" si="63"/>
        <v>0.4</v>
      </c>
      <c r="F227" s="926">
        <f t="shared" si="63"/>
        <v>9.9999999999999995E-7</v>
      </c>
      <c r="G227" s="926">
        <f>G16</f>
        <v>0.19999950000000002</v>
      </c>
      <c r="I227" s="1456"/>
      <c r="J227" s="926">
        <v>2</v>
      </c>
      <c r="K227" s="926">
        <f>J16</f>
        <v>35</v>
      </c>
      <c r="L227" s="926">
        <f t="shared" ref="L227:N227" si="64">K16</f>
        <v>-12.6</v>
      </c>
      <c r="M227" s="926">
        <f t="shared" si="64"/>
        <v>-6.9</v>
      </c>
      <c r="N227" s="926">
        <f t="shared" si="64"/>
        <v>-1.6</v>
      </c>
      <c r="O227" s="926">
        <f>N16</f>
        <v>5.5</v>
      </c>
      <c r="Q227" s="1460"/>
      <c r="R227" s="926">
        <v>2</v>
      </c>
      <c r="S227" s="926">
        <f>Q16</f>
        <v>750</v>
      </c>
      <c r="T227" s="927" t="str">
        <f t="shared" ref="T227:V227" si="65">R16</f>
        <v>-</v>
      </c>
      <c r="U227" s="927" t="str">
        <f t="shared" si="65"/>
        <v>-</v>
      </c>
      <c r="V227" s="927">
        <f t="shared" si="65"/>
        <v>0</v>
      </c>
      <c r="W227" s="927">
        <f>U16</f>
        <v>0</v>
      </c>
      <c r="Y227" s="928">
        <v>3</v>
      </c>
      <c r="Z227" s="929">
        <f>X25</f>
        <v>0.5</v>
      </c>
      <c r="AE227" s="740"/>
    </row>
    <row r="228" spans="1:38" ht="13" x14ac:dyDescent="0.3">
      <c r="A228" s="1456"/>
      <c r="B228" s="926">
        <v>3</v>
      </c>
      <c r="C228" s="926">
        <f>C27</f>
        <v>15</v>
      </c>
      <c r="D228" s="926">
        <f t="shared" ref="D228:F228" si="66">D27</f>
        <v>0.2</v>
      </c>
      <c r="E228" s="926">
        <f t="shared" si="66"/>
        <v>0.4</v>
      </c>
      <c r="F228" s="926">
        <f t="shared" si="66"/>
        <v>9.9999999999999995E-7</v>
      </c>
      <c r="G228" s="926">
        <f>G27</f>
        <v>0.19999950000000002</v>
      </c>
      <c r="I228" s="1456"/>
      <c r="J228" s="926">
        <v>3</v>
      </c>
      <c r="K228" s="926">
        <f>J27</f>
        <v>35</v>
      </c>
      <c r="L228" s="926">
        <f t="shared" ref="L228:N228" si="67">K27</f>
        <v>-11.5</v>
      </c>
      <c r="M228" s="926">
        <f t="shared" si="67"/>
        <v>-7.3</v>
      </c>
      <c r="N228" s="926">
        <f t="shared" si="67"/>
        <v>-5.7</v>
      </c>
      <c r="O228" s="926">
        <f>N27</f>
        <v>2.9</v>
      </c>
      <c r="Q228" s="1460"/>
      <c r="R228" s="926">
        <v>3</v>
      </c>
      <c r="S228" s="926">
        <f>Q27</f>
        <v>750</v>
      </c>
      <c r="T228" s="927" t="str">
        <f t="shared" ref="T228:V228" si="68">R27</f>
        <v>-</v>
      </c>
      <c r="U228" s="927" t="str">
        <f t="shared" si="68"/>
        <v>-</v>
      </c>
      <c r="V228" s="927">
        <f t="shared" si="68"/>
        <v>0</v>
      </c>
      <c r="W228" s="927">
        <f>U27</f>
        <v>0</v>
      </c>
      <c r="Y228" s="928">
        <v>4</v>
      </c>
      <c r="Z228" s="929">
        <f>X36</f>
        <v>0.3</v>
      </c>
      <c r="AE228" s="740"/>
    </row>
    <row r="229" spans="1:38" ht="13" x14ac:dyDescent="0.3">
      <c r="A229" s="1456"/>
      <c r="B229" s="926">
        <v>4</v>
      </c>
      <c r="C229" s="930">
        <f>C38</f>
        <v>15</v>
      </c>
      <c r="D229" s="930">
        <f t="shared" ref="D229:F229" si="69">D38</f>
        <v>-0.2</v>
      </c>
      <c r="E229" s="930">
        <f t="shared" si="69"/>
        <v>-0.1</v>
      </c>
      <c r="F229" s="930">
        <f t="shared" si="69"/>
        <v>0</v>
      </c>
      <c r="G229" s="930">
        <f>G38</f>
        <v>0.05</v>
      </c>
      <c r="I229" s="1456"/>
      <c r="J229" s="926">
        <v>4</v>
      </c>
      <c r="K229" s="930">
        <f>J38</f>
        <v>35</v>
      </c>
      <c r="L229" s="930">
        <f t="shared" ref="L229:N229" si="70">K38</f>
        <v>-4.5</v>
      </c>
      <c r="M229" s="930">
        <f t="shared" si="70"/>
        <v>-1.7</v>
      </c>
      <c r="N229" s="930">
        <f t="shared" si="70"/>
        <v>0</v>
      </c>
      <c r="O229" s="930">
        <f>N38</f>
        <v>1.4</v>
      </c>
      <c r="Q229" s="1460"/>
      <c r="R229" s="926">
        <v>4</v>
      </c>
      <c r="S229" s="930">
        <f>Q38</f>
        <v>750</v>
      </c>
      <c r="T229" s="931" t="str">
        <f t="shared" ref="T229:V229" si="71">R38</f>
        <v>-</v>
      </c>
      <c r="U229" s="931" t="str">
        <f t="shared" si="71"/>
        <v>-</v>
      </c>
      <c r="V229" s="931">
        <f t="shared" si="71"/>
        <v>0</v>
      </c>
      <c r="W229" s="931">
        <f>U38</f>
        <v>0</v>
      </c>
      <c r="Y229" s="928">
        <v>5</v>
      </c>
      <c r="Z229" s="929">
        <f>X47</f>
        <v>0.5</v>
      </c>
      <c r="AE229" s="740"/>
    </row>
    <row r="230" spans="1:38" ht="13" x14ac:dyDescent="0.3">
      <c r="A230" s="1456"/>
      <c r="B230" s="926">
        <v>5</v>
      </c>
      <c r="C230" s="930">
        <f>C49</f>
        <v>15</v>
      </c>
      <c r="D230" s="930">
        <f t="shared" ref="D230:F230" si="72">D49</f>
        <v>0.3</v>
      </c>
      <c r="E230" s="930">
        <f t="shared" si="72"/>
        <v>-0.3</v>
      </c>
      <c r="F230" s="930">
        <f t="shared" si="72"/>
        <v>0.3</v>
      </c>
      <c r="G230" s="930">
        <f>G49</f>
        <v>0.3</v>
      </c>
      <c r="I230" s="1456"/>
      <c r="J230" s="926">
        <v>5</v>
      </c>
      <c r="K230" s="930">
        <f>J49</f>
        <v>35</v>
      </c>
      <c r="L230" s="930">
        <f t="shared" ref="L230:N230" si="73">K49</f>
        <v>-10.5</v>
      </c>
      <c r="M230" s="930">
        <f t="shared" si="73"/>
        <v>-7.7</v>
      </c>
      <c r="N230" s="930">
        <f t="shared" si="73"/>
        <v>-9.6</v>
      </c>
      <c r="O230" s="930">
        <f>N49</f>
        <v>1.4</v>
      </c>
      <c r="Q230" s="1460"/>
      <c r="R230" s="926">
        <v>5</v>
      </c>
      <c r="S230" s="930">
        <f>Q49</f>
        <v>750</v>
      </c>
      <c r="T230" s="931" t="str">
        <f t="shared" ref="T230:V230" si="74">R49</f>
        <v>-</v>
      </c>
      <c r="U230" s="931" t="str">
        <f t="shared" si="74"/>
        <v>-</v>
      </c>
      <c r="V230" s="931">
        <f t="shared" si="74"/>
        <v>0</v>
      </c>
      <c r="W230" s="931">
        <f>U49</f>
        <v>0</v>
      </c>
      <c r="Y230" s="924">
        <v>6</v>
      </c>
      <c r="Z230" s="925">
        <f>X58</f>
        <v>0.8</v>
      </c>
      <c r="AE230" s="740"/>
    </row>
    <row r="231" spans="1:38" ht="13" x14ac:dyDescent="0.3">
      <c r="A231" s="1456"/>
      <c r="B231" s="926">
        <v>6</v>
      </c>
      <c r="C231" s="930">
        <f>C60</f>
        <v>15</v>
      </c>
      <c r="D231" s="930">
        <f t="shared" ref="D231:F231" si="75">D60</f>
        <v>0.4</v>
      </c>
      <c r="E231" s="930">
        <f t="shared" si="75"/>
        <v>0.4</v>
      </c>
      <c r="F231" s="930">
        <f t="shared" si="75"/>
        <v>0</v>
      </c>
      <c r="G231" s="930">
        <f>G60</f>
        <v>0</v>
      </c>
      <c r="I231" s="1456"/>
      <c r="J231" s="926">
        <v>6</v>
      </c>
      <c r="K231" s="930">
        <f>J60</f>
        <v>30</v>
      </c>
      <c r="L231" s="930">
        <f t="shared" ref="L231:N231" si="76">K60</f>
        <v>-1.5</v>
      </c>
      <c r="M231" s="930">
        <f t="shared" si="76"/>
        <v>1.7</v>
      </c>
      <c r="N231" s="930">
        <f t="shared" si="76"/>
        <v>0</v>
      </c>
      <c r="O231" s="930">
        <f>N60</f>
        <v>1.6</v>
      </c>
      <c r="Q231" s="1460"/>
      <c r="R231" s="926">
        <v>6</v>
      </c>
      <c r="S231" s="930">
        <f>Q60</f>
        <v>750</v>
      </c>
      <c r="T231" s="931">
        <f t="shared" ref="T231:V231" si="77">R60</f>
        <v>0.9</v>
      </c>
      <c r="U231" s="931">
        <f t="shared" si="77"/>
        <v>2.1</v>
      </c>
      <c r="V231" s="931">
        <f t="shared" si="77"/>
        <v>0</v>
      </c>
      <c r="W231" s="931">
        <f>U60</f>
        <v>0.60000000000000009</v>
      </c>
      <c r="Y231" s="924">
        <v>7</v>
      </c>
      <c r="Z231" s="925">
        <f>X69</f>
        <v>0.5</v>
      </c>
      <c r="AE231" s="740"/>
    </row>
    <row r="232" spans="1:38" ht="13" x14ac:dyDescent="0.3">
      <c r="A232" s="1456"/>
      <c r="B232" s="926">
        <v>7</v>
      </c>
      <c r="C232" s="930">
        <f>C71</f>
        <v>15</v>
      </c>
      <c r="D232" s="930">
        <f t="shared" ref="D232:F232" si="78">D71</f>
        <v>0.1</v>
      </c>
      <c r="E232" s="930">
        <f t="shared" si="78"/>
        <v>0.1</v>
      </c>
      <c r="F232" s="930">
        <f t="shared" si="78"/>
        <v>0.3</v>
      </c>
      <c r="G232" s="930">
        <f>G71</f>
        <v>9.9999999999999992E-2</v>
      </c>
      <c r="I232" s="1456"/>
      <c r="J232" s="926">
        <v>7</v>
      </c>
      <c r="K232" s="930">
        <f>J71</f>
        <v>30</v>
      </c>
      <c r="L232" s="930">
        <f t="shared" ref="L232:N232" si="79">K71</f>
        <v>-1.7</v>
      </c>
      <c r="M232" s="930">
        <f t="shared" si="79"/>
        <v>-1.9</v>
      </c>
      <c r="N232" s="930">
        <f t="shared" si="79"/>
        <v>1.8</v>
      </c>
      <c r="O232" s="930">
        <f>N71</f>
        <v>1.85</v>
      </c>
      <c r="Q232" s="1460"/>
      <c r="R232" s="926">
        <v>7</v>
      </c>
      <c r="S232" s="930">
        <f>Q71</f>
        <v>960</v>
      </c>
      <c r="T232" s="931">
        <f t="shared" ref="T232:V232" si="80">R71</f>
        <v>0.7</v>
      </c>
      <c r="U232" s="931" t="str">
        <f t="shared" si="80"/>
        <v>-</v>
      </c>
      <c r="V232" s="931" t="str">
        <f t="shared" si="80"/>
        <v>-</v>
      </c>
      <c r="W232" s="931">
        <f>U71</f>
        <v>0</v>
      </c>
      <c r="Y232" s="924">
        <v>8</v>
      </c>
      <c r="Z232" s="925">
        <f>X80</f>
        <v>0.3</v>
      </c>
      <c r="AE232" s="740"/>
    </row>
    <row r="233" spans="1:38" ht="13" x14ac:dyDescent="0.3">
      <c r="A233" s="1456"/>
      <c r="B233" s="926">
        <v>8</v>
      </c>
      <c r="C233" s="930">
        <f>C82</f>
        <v>15</v>
      </c>
      <c r="D233" s="930">
        <f t="shared" ref="D233:F233" si="81">D82</f>
        <v>0.1</v>
      </c>
      <c r="E233" s="930">
        <f t="shared" si="81"/>
        <v>9.9999999999999995E-7</v>
      </c>
      <c r="F233" s="930">
        <f t="shared" si="81"/>
        <v>0</v>
      </c>
      <c r="G233" s="930">
        <f>G82</f>
        <v>4.9999500000000002E-2</v>
      </c>
      <c r="I233" s="1456"/>
      <c r="J233" s="926">
        <v>8</v>
      </c>
      <c r="K233" s="930">
        <f>J82</f>
        <v>30</v>
      </c>
      <c r="L233" s="930">
        <f t="shared" ref="L233:N233" si="82">K82</f>
        <v>-4</v>
      </c>
      <c r="M233" s="930">
        <f t="shared" si="82"/>
        <v>-1.4</v>
      </c>
      <c r="N233" s="930">
        <f t="shared" si="82"/>
        <v>0</v>
      </c>
      <c r="O233" s="930">
        <f>N82</f>
        <v>1.3</v>
      </c>
      <c r="Q233" s="1460"/>
      <c r="R233" s="926">
        <v>8</v>
      </c>
      <c r="S233" s="930">
        <f>Q82</f>
        <v>750</v>
      </c>
      <c r="T233" s="931">
        <f t="shared" ref="T233:V233" si="83">R82</f>
        <v>9.9999999999999995E-7</v>
      </c>
      <c r="U233" s="931">
        <f t="shared" si="83"/>
        <v>9.9999999999999995E-7</v>
      </c>
      <c r="V233" s="931">
        <f t="shared" si="83"/>
        <v>0</v>
      </c>
      <c r="W233" s="931">
        <f>U82</f>
        <v>0</v>
      </c>
      <c r="Y233" s="924">
        <v>9</v>
      </c>
      <c r="Z233" s="925">
        <f>X91</f>
        <v>0.3</v>
      </c>
      <c r="AE233" s="740"/>
    </row>
    <row r="234" spans="1:38" ht="13" x14ac:dyDescent="0.3">
      <c r="A234" s="1456"/>
      <c r="B234" s="926">
        <v>9</v>
      </c>
      <c r="C234" s="930">
        <f>C93</f>
        <v>15</v>
      </c>
      <c r="D234" s="930">
        <f t="shared" ref="D234:F234" si="84">D93</f>
        <v>9.9999999999999995E-7</v>
      </c>
      <c r="E234" s="930" t="str">
        <f t="shared" si="84"/>
        <v>-</v>
      </c>
      <c r="F234" s="930">
        <f t="shared" si="84"/>
        <v>0</v>
      </c>
      <c r="G234" s="930">
        <f>G93</f>
        <v>0</v>
      </c>
      <c r="I234" s="1456"/>
      <c r="J234" s="926">
        <v>9</v>
      </c>
      <c r="K234" s="930">
        <f>J93</f>
        <v>30</v>
      </c>
      <c r="L234" s="930">
        <f t="shared" ref="L234:N234" si="85">K93</f>
        <v>-1.2</v>
      </c>
      <c r="M234" s="930" t="str">
        <f t="shared" si="85"/>
        <v>-</v>
      </c>
      <c r="N234" s="930">
        <f t="shared" si="85"/>
        <v>0</v>
      </c>
      <c r="O234" s="930">
        <f>N93</f>
        <v>0</v>
      </c>
      <c r="Q234" s="1460"/>
      <c r="R234" s="926">
        <v>9</v>
      </c>
      <c r="S234" s="930">
        <f>Q93</f>
        <v>750</v>
      </c>
      <c r="T234" s="931">
        <f t="shared" ref="T234:V234" si="86">R93</f>
        <v>9.9999999999999995E-7</v>
      </c>
      <c r="U234" s="931" t="str">
        <f t="shared" si="86"/>
        <v>-</v>
      </c>
      <c r="V234" s="931">
        <f t="shared" si="86"/>
        <v>0</v>
      </c>
      <c r="W234" s="931">
        <f>U93</f>
        <v>0</v>
      </c>
      <c r="Y234" s="924">
        <v>10</v>
      </c>
      <c r="Z234" s="925">
        <f>X102</f>
        <v>0.3</v>
      </c>
      <c r="AE234" s="740"/>
    </row>
    <row r="235" spans="1:38" ht="13" x14ac:dyDescent="0.3">
      <c r="A235" s="1456"/>
      <c r="B235" s="926">
        <v>10</v>
      </c>
      <c r="C235" s="930">
        <f>C104</f>
        <v>15</v>
      </c>
      <c r="D235" s="930">
        <f t="shared" ref="D235:F235" si="87">D104</f>
        <v>0.2</v>
      </c>
      <c r="E235" s="930">
        <f t="shared" si="87"/>
        <v>0.2</v>
      </c>
      <c r="F235" s="930">
        <f t="shared" si="87"/>
        <v>0</v>
      </c>
      <c r="G235" s="930">
        <f>G104</f>
        <v>0</v>
      </c>
      <c r="I235" s="1456"/>
      <c r="J235" s="926">
        <v>10</v>
      </c>
      <c r="K235" s="930">
        <f>J104</f>
        <v>30</v>
      </c>
      <c r="L235" s="930">
        <f t="shared" ref="L235:N235" si="88">K104</f>
        <v>-2.9</v>
      </c>
      <c r="M235" s="930">
        <f t="shared" si="88"/>
        <v>-5.8</v>
      </c>
      <c r="N235" s="930">
        <f t="shared" si="88"/>
        <v>0</v>
      </c>
      <c r="O235" s="930">
        <f>N104</f>
        <v>1.45</v>
      </c>
      <c r="Q235" s="1460"/>
      <c r="R235" s="926">
        <v>10</v>
      </c>
      <c r="S235" s="930">
        <f>Q104</f>
        <v>750</v>
      </c>
      <c r="T235" s="931" t="str">
        <f t="shared" ref="T235:V235" si="89">R104</f>
        <v>-</v>
      </c>
      <c r="U235" s="931" t="str">
        <f t="shared" si="89"/>
        <v>-</v>
      </c>
      <c r="V235" s="931">
        <f t="shared" si="89"/>
        <v>0</v>
      </c>
      <c r="W235" s="931">
        <f>U104</f>
        <v>0</v>
      </c>
      <c r="Y235" s="924">
        <v>11</v>
      </c>
      <c r="Z235" s="925">
        <f>X113</f>
        <v>0.3</v>
      </c>
      <c r="AE235" s="740"/>
    </row>
    <row r="236" spans="1:38" ht="13" x14ac:dyDescent="0.3">
      <c r="A236" s="1456"/>
      <c r="B236" s="926">
        <v>11</v>
      </c>
      <c r="C236" s="930">
        <f>C115</f>
        <v>15</v>
      </c>
      <c r="D236" s="930">
        <f t="shared" ref="D236:F236" si="90">D115</f>
        <v>0.3</v>
      </c>
      <c r="E236" s="930">
        <f t="shared" si="90"/>
        <v>0.3</v>
      </c>
      <c r="F236" s="930">
        <f t="shared" si="90"/>
        <v>0</v>
      </c>
      <c r="G236" s="930">
        <f>G115</f>
        <v>0</v>
      </c>
      <c r="I236" s="1456"/>
      <c r="J236" s="926">
        <v>11</v>
      </c>
      <c r="K236" s="930">
        <f>J115</f>
        <v>30</v>
      </c>
      <c r="L236" s="930">
        <f t="shared" ref="L236:N236" si="91">K115</f>
        <v>-5.2</v>
      </c>
      <c r="M236" s="930">
        <f t="shared" si="91"/>
        <v>-6.4</v>
      </c>
      <c r="N236" s="930">
        <f t="shared" si="91"/>
        <v>0</v>
      </c>
      <c r="O236" s="930">
        <f>N115</f>
        <v>0.60000000000000009</v>
      </c>
      <c r="Q236" s="1460"/>
      <c r="R236" s="926">
        <v>11</v>
      </c>
      <c r="S236" s="930">
        <f>Q115</f>
        <v>750</v>
      </c>
      <c r="T236" s="931" t="str">
        <f t="shared" ref="T236:V236" si="92">R115</f>
        <v>-</v>
      </c>
      <c r="U236" s="931" t="str">
        <f t="shared" si="92"/>
        <v>-</v>
      </c>
      <c r="V236" s="931">
        <f t="shared" si="92"/>
        <v>0</v>
      </c>
      <c r="W236" s="931">
        <f>U115</f>
        <v>0</v>
      </c>
      <c r="Y236" s="924">
        <v>12</v>
      </c>
      <c r="Z236" s="925">
        <f>X124</f>
        <v>0.3</v>
      </c>
      <c r="AE236" s="740"/>
    </row>
    <row r="237" spans="1:38" ht="13" x14ac:dyDescent="0.3">
      <c r="A237" s="1456"/>
      <c r="B237" s="926">
        <v>12</v>
      </c>
      <c r="C237" s="930">
        <f>C126</f>
        <v>15</v>
      </c>
      <c r="D237" s="930">
        <f t="shared" ref="D237:F237" si="93">D126</f>
        <v>9.9999999999999995E-7</v>
      </c>
      <c r="E237" s="930" t="str">
        <f t="shared" si="93"/>
        <v>-</v>
      </c>
      <c r="F237" s="930">
        <f t="shared" si="93"/>
        <v>0</v>
      </c>
      <c r="G237" s="930">
        <f>G126</f>
        <v>0</v>
      </c>
      <c r="I237" s="1456"/>
      <c r="J237" s="926">
        <v>12</v>
      </c>
      <c r="K237" s="930">
        <f>J126</f>
        <v>30</v>
      </c>
      <c r="L237" s="930">
        <f t="shared" ref="L237:N237" si="94">K126</f>
        <v>-0.4</v>
      </c>
      <c r="M237" s="930" t="str">
        <f t="shared" si="94"/>
        <v>-</v>
      </c>
      <c r="N237" s="930">
        <f t="shared" si="94"/>
        <v>0</v>
      </c>
      <c r="O237" s="930">
        <f>N126</f>
        <v>0</v>
      </c>
      <c r="Q237" s="1460"/>
      <c r="R237" s="926">
        <v>12</v>
      </c>
      <c r="S237" s="930">
        <f>Q126</f>
        <v>800</v>
      </c>
      <c r="T237" s="931">
        <f t="shared" ref="T237:V237" si="95">R126</f>
        <v>-0.4</v>
      </c>
      <c r="U237" s="931" t="str">
        <f t="shared" si="95"/>
        <v>-</v>
      </c>
      <c r="V237" s="931">
        <f t="shared" si="95"/>
        <v>0</v>
      </c>
      <c r="W237" s="931">
        <f>U126</f>
        <v>0</v>
      </c>
      <c r="Y237" s="924">
        <v>13</v>
      </c>
      <c r="Z237" s="932">
        <f>X135</f>
        <v>0.5</v>
      </c>
      <c r="AE237" s="740"/>
      <c r="AL237" s="740"/>
    </row>
    <row r="238" spans="1:38" ht="13" x14ac:dyDescent="0.3">
      <c r="A238" s="1456"/>
      <c r="B238" s="926">
        <v>13</v>
      </c>
      <c r="C238" s="930">
        <f>C137</f>
        <v>15</v>
      </c>
      <c r="D238" s="930">
        <f t="shared" ref="D238:F238" si="96">D137</f>
        <v>0.5</v>
      </c>
      <c r="E238" s="930">
        <f t="shared" si="96"/>
        <v>-0.7</v>
      </c>
      <c r="F238" s="930" t="str">
        <f t="shared" si="96"/>
        <v>-</v>
      </c>
      <c r="G238" s="930">
        <f>G137</f>
        <v>0</v>
      </c>
      <c r="I238" s="1456"/>
      <c r="J238" s="926">
        <v>13</v>
      </c>
      <c r="K238" s="930">
        <f>J137</f>
        <v>30</v>
      </c>
      <c r="L238" s="930">
        <f t="shared" ref="L238:N238" si="97">K137</f>
        <v>-2.2000000000000002</v>
      </c>
      <c r="M238" s="930">
        <f t="shared" si="97"/>
        <v>-1.4</v>
      </c>
      <c r="N238" s="930" t="str">
        <f t="shared" si="97"/>
        <v>-</v>
      </c>
      <c r="O238" s="930">
        <f>N137</f>
        <v>0</v>
      </c>
      <c r="Q238" s="1460"/>
      <c r="R238" s="926">
        <v>13</v>
      </c>
      <c r="S238" s="930">
        <f>Q137</f>
        <v>960</v>
      </c>
      <c r="T238" s="931">
        <f t="shared" ref="T238:V238" si="98">R137</f>
        <v>4</v>
      </c>
      <c r="U238" s="931">
        <f t="shared" si="98"/>
        <v>0.9</v>
      </c>
      <c r="V238" s="931" t="str">
        <f t="shared" si="98"/>
        <v>-</v>
      </c>
      <c r="W238" s="931">
        <f>U137</f>
        <v>0</v>
      </c>
      <c r="Y238" s="924">
        <v>14</v>
      </c>
      <c r="Z238" s="932">
        <f>X146</f>
        <v>0.5</v>
      </c>
      <c r="AE238" s="740"/>
      <c r="AL238" s="740"/>
    </row>
    <row r="239" spans="1:38" ht="13" x14ac:dyDescent="0.3">
      <c r="A239" s="1456"/>
      <c r="B239" s="926">
        <v>14</v>
      </c>
      <c r="C239" s="930">
        <f>C148</f>
        <v>15</v>
      </c>
      <c r="D239" s="930">
        <f t="shared" ref="D239:F239" si="99">D148</f>
        <v>0.5</v>
      </c>
      <c r="E239" s="930">
        <f t="shared" si="99"/>
        <v>-0.2</v>
      </c>
      <c r="F239" s="930" t="str">
        <f t="shared" si="99"/>
        <v>-</v>
      </c>
      <c r="G239" s="930">
        <f>G148</f>
        <v>0</v>
      </c>
      <c r="I239" s="1456"/>
      <c r="J239" s="926">
        <v>14</v>
      </c>
      <c r="K239" s="930">
        <f>J148</f>
        <v>30</v>
      </c>
      <c r="L239" s="930">
        <f t="shared" ref="L239:N239" si="100">K148</f>
        <v>-0.8</v>
      </c>
      <c r="M239" s="930">
        <f t="shared" si="100"/>
        <v>0.6</v>
      </c>
      <c r="N239" s="930" t="str">
        <f t="shared" si="100"/>
        <v>-</v>
      </c>
      <c r="O239" s="930">
        <f>N148</f>
        <v>0</v>
      </c>
      <c r="Q239" s="1460"/>
      <c r="R239" s="926">
        <v>14</v>
      </c>
      <c r="S239" s="930">
        <f>Q148</f>
        <v>960</v>
      </c>
      <c r="T239" s="931">
        <f t="shared" ref="T239:V239" si="101">R148</f>
        <v>4</v>
      </c>
      <c r="U239" s="931">
        <f t="shared" si="101"/>
        <v>0.9</v>
      </c>
      <c r="V239" s="931" t="str">
        <f t="shared" si="101"/>
        <v>-</v>
      </c>
      <c r="W239" s="931">
        <f>U148</f>
        <v>0</v>
      </c>
      <c r="Y239" s="924">
        <v>15</v>
      </c>
      <c r="Z239" s="932">
        <f>X157</f>
        <v>0.5</v>
      </c>
      <c r="AE239" s="740"/>
      <c r="AL239" s="740"/>
    </row>
    <row r="240" spans="1:38" ht="13" x14ac:dyDescent="0.3">
      <c r="A240" s="1456"/>
      <c r="B240" s="926">
        <v>15</v>
      </c>
      <c r="C240" s="930">
        <f>C159</f>
        <v>15</v>
      </c>
      <c r="D240" s="930">
        <f t="shared" ref="D240:F240" si="102">D159</f>
        <v>0.6</v>
      </c>
      <c r="E240" s="930">
        <f t="shared" si="102"/>
        <v>-0.6</v>
      </c>
      <c r="F240" s="930" t="str">
        <f t="shared" si="102"/>
        <v>-</v>
      </c>
      <c r="G240" s="930">
        <f>G159</f>
        <v>0</v>
      </c>
      <c r="I240" s="1456"/>
      <c r="J240" s="926">
        <v>15</v>
      </c>
      <c r="K240" s="930">
        <f>J159</f>
        <v>30</v>
      </c>
      <c r="L240" s="930">
        <f t="shared" ref="L240:N240" si="103">K159</f>
        <v>-2</v>
      </c>
      <c r="M240" s="930">
        <f t="shared" si="103"/>
        <v>-0.4</v>
      </c>
      <c r="N240" s="930" t="str">
        <f t="shared" si="103"/>
        <v>-</v>
      </c>
      <c r="O240" s="930">
        <f>N159</f>
        <v>0</v>
      </c>
      <c r="Q240" s="1460"/>
      <c r="R240" s="926">
        <v>15</v>
      </c>
      <c r="S240" s="930">
        <f>Q159</f>
        <v>960</v>
      </c>
      <c r="T240" s="931">
        <f t="shared" ref="T240:V240" si="104">R159</f>
        <v>4.5</v>
      </c>
      <c r="U240" s="931">
        <f t="shared" si="104"/>
        <v>0.9</v>
      </c>
      <c r="V240" s="931" t="str">
        <f t="shared" si="104"/>
        <v>-</v>
      </c>
      <c r="W240" s="931">
        <f>U159</f>
        <v>0</v>
      </c>
      <c r="Y240" s="924">
        <v>16</v>
      </c>
      <c r="Z240" s="932">
        <f>X168</f>
        <v>0.5</v>
      </c>
      <c r="AE240" s="740"/>
      <c r="AL240" s="740"/>
    </row>
    <row r="241" spans="1:38" ht="13" x14ac:dyDescent="0.3">
      <c r="A241" s="1456"/>
      <c r="B241" s="926">
        <v>16</v>
      </c>
      <c r="C241" s="930">
        <f>C170</f>
        <v>15</v>
      </c>
      <c r="D241" s="930">
        <f t="shared" ref="D241:F241" si="105">D170</f>
        <v>0.1</v>
      </c>
      <c r="E241" s="930">
        <f t="shared" si="105"/>
        <v>0.1</v>
      </c>
      <c r="F241" s="930">
        <f t="shared" si="105"/>
        <v>0</v>
      </c>
      <c r="G241" s="930">
        <f>G170</f>
        <v>0</v>
      </c>
      <c r="I241" s="1456"/>
      <c r="J241" s="926">
        <v>16</v>
      </c>
      <c r="K241" s="930">
        <f>J170</f>
        <v>35</v>
      </c>
      <c r="L241" s="930">
        <f t="shared" ref="L241:N241" si="106">K170</f>
        <v>-2.5</v>
      </c>
      <c r="M241" s="930">
        <f t="shared" si="106"/>
        <v>-1.6</v>
      </c>
      <c r="N241" s="930">
        <f t="shared" si="106"/>
        <v>0</v>
      </c>
      <c r="O241" s="930">
        <f>N170</f>
        <v>0.44999999999999996</v>
      </c>
      <c r="Q241" s="1460"/>
      <c r="R241" s="926">
        <v>16</v>
      </c>
      <c r="S241" s="930">
        <f>Q170</f>
        <v>960</v>
      </c>
      <c r="T241" s="931">
        <f t="shared" ref="T241:V241" si="107">R170</f>
        <v>4.5999999999999996</v>
      </c>
      <c r="U241" s="931" t="str">
        <f t="shared" si="107"/>
        <v>-</v>
      </c>
      <c r="V241" s="931">
        <f t="shared" si="107"/>
        <v>0</v>
      </c>
      <c r="W241" s="931">
        <f>U170</f>
        <v>0</v>
      </c>
      <c r="Y241" s="924">
        <v>17</v>
      </c>
      <c r="Z241" s="932">
        <f>X179</f>
        <v>0.8</v>
      </c>
      <c r="AE241" s="740"/>
      <c r="AL241" s="740"/>
    </row>
    <row r="242" spans="1:38" ht="13" x14ac:dyDescent="0.3">
      <c r="A242" s="1456"/>
      <c r="B242" s="926">
        <v>17</v>
      </c>
      <c r="C242" s="930">
        <f>C181</f>
        <v>15</v>
      </c>
      <c r="D242" s="930">
        <f t="shared" ref="D242:F242" si="108">D181</f>
        <v>0.2</v>
      </c>
      <c r="E242" s="930">
        <f t="shared" si="108"/>
        <v>0.1</v>
      </c>
      <c r="F242" s="930">
        <f t="shared" si="108"/>
        <v>0</v>
      </c>
      <c r="G242" s="930">
        <f>G181</f>
        <v>0.05</v>
      </c>
      <c r="I242" s="1456"/>
      <c r="J242" s="926">
        <v>17</v>
      </c>
      <c r="K242" s="930">
        <f>J181</f>
        <v>35</v>
      </c>
      <c r="L242" s="930">
        <f t="shared" ref="L242:N242" si="109">K181</f>
        <v>-2.7</v>
      </c>
      <c r="M242" s="930">
        <f t="shared" si="109"/>
        <v>0.1</v>
      </c>
      <c r="N242" s="930">
        <f t="shared" si="109"/>
        <v>0</v>
      </c>
      <c r="O242" s="930">
        <f>N181</f>
        <v>1.4000000000000001</v>
      </c>
      <c r="Q242" s="1460"/>
      <c r="R242" s="926">
        <v>17</v>
      </c>
      <c r="S242" s="930">
        <f>Q181</f>
        <v>960</v>
      </c>
      <c r="T242" s="931">
        <f t="shared" ref="T242:V242" si="110">R181</f>
        <v>4.5999999999999996</v>
      </c>
      <c r="U242" s="931">
        <f t="shared" si="110"/>
        <v>-0.6</v>
      </c>
      <c r="V242" s="931">
        <f t="shared" si="110"/>
        <v>0</v>
      </c>
      <c r="W242" s="931">
        <f>U181</f>
        <v>2.5999999999999996</v>
      </c>
      <c r="Y242" s="924">
        <v>18</v>
      </c>
      <c r="Z242" s="932">
        <f>X190</f>
        <v>0.6</v>
      </c>
      <c r="AE242" s="740"/>
      <c r="AL242" s="740"/>
    </row>
    <row r="243" spans="1:38" ht="13" x14ac:dyDescent="0.3">
      <c r="A243" s="1456"/>
      <c r="B243" s="926">
        <v>18</v>
      </c>
      <c r="C243" s="930">
        <f>C192</f>
        <v>15</v>
      </c>
      <c r="D243" s="930">
        <f t="shared" ref="D243:F243" si="111">D192</f>
        <v>0.3</v>
      </c>
      <c r="E243" s="930">
        <f t="shared" si="111"/>
        <v>9.9999999999999995E-7</v>
      </c>
      <c r="F243" s="930">
        <f t="shared" si="111"/>
        <v>0</v>
      </c>
      <c r="G243" s="930">
        <f>G192</f>
        <v>0.14999950000000001</v>
      </c>
      <c r="I243" s="1456"/>
      <c r="J243" s="926">
        <v>18</v>
      </c>
      <c r="K243" s="930">
        <f>J192</f>
        <v>35</v>
      </c>
      <c r="L243" s="930">
        <f t="shared" ref="L243:N243" si="112">K192</f>
        <v>-3.2</v>
      </c>
      <c r="M243" s="930">
        <f t="shared" si="112"/>
        <v>-0.4</v>
      </c>
      <c r="N243" s="930">
        <f t="shared" si="112"/>
        <v>0</v>
      </c>
      <c r="O243" s="930">
        <f>N192</f>
        <v>1.4000000000000001</v>
      </c>
      <c r="Q243" s="1460"/>
      <c r="R243" s="926">
        <v>18</v>
      </c>
      <c r="S243" s="930">
        <f>Q192</f>
        <v>960</v>
      </c>
      <c r="T243" s="931">
        <f t="shared" ref="T243:V243" si="113">R192</f>
        <v>4.5999999999999996</v>
      </c>
      <c r="U243" s="931" t="str">
        <f t="shared" si="113"/>
        <v>-</v>
      </c>
      <c r="V243" s="931">
        <f t="shared" si="113"/>
        <v>0</v>
      </c>
      <c r="W243" s="931">
        <f>U192</f>
        <v>0</v>
      </c>
      <c r="Y243" s="924">
        <v>19</v>
      </c>
      <c r="Z243" s="932">
        <f>X201</f>
        <v>0.1</v>
      </c>
      <c r="AE243" s="740"/>
      <c r="AL243" s="740"/>
    </row>
    <row r="244" spans="1:38" ht="13.5" thickBot="1" x14ac:dyDescent="0.35">
      <c r="A244" s="1456"/>
      <c r="B244" s="926">
        <v>19</v>
      </c>
      <c r="C244" s="930">
        <f>C203</f>
        <v>15</v>
      </c>
      <c r="D244" s="930">
        <f t="shared" ref="D244:F244" si="114">D203</f>
        <v>9.9999999999999995E-7</v>
      </c>
      <c r="E244" s="930" t="str">
        <f t="shared" si="114"/>
        <v>-</v>
      </c>
      <c r="F244" s="930">
        <f t="shared" si="114"/>
        <v>0</v>
      </c>
      <c r="G244" s="930">
        <f>G203</f>
        <v>0</v>
      </c>
      <c r="I244" s="1456"/>
      <c r="J244" s="926">
        <v>19</v>
      </c>
      <c r="K244" s="930">
        <f>J203</f>
        <v>30</v>
      </c>
      <c r="L244" s="930">
        <f t="shared" ref="L244:N244" si="115">K203</f>
        <v>-1.5</v>
      </c>
      <c r="M244" s="930" t="str">
        <f t="shared" si="115"/>
        <v>-</v>
      </c>
      <c r="N244" s="930">
        <f t="shared" si="115"/>
        <v>0</v>
      </c>
      <c r="O244" s="930">
        <f>N203</f>
        <v>0</v>
      </c>
      <c r="Q244" s="1460"/>
      <c r="R244" s="926">
        <v>19</v>
      </c>
      <c r="S244" s="930">
        <f>Q203</f>
        <v>750</v>
      </c>
      <c r="T244" s="931">
        <f t="shared" ref="T244:V244" si="116">R203</f>
        <v>2.5</v>
      </c>
      <c r="U244" s="931" t="str">
        <f t="shared" si="116"/>
        <v>-</v>
      </c>
      <c r="V244" s="931">
        <f t="shared" si="116"/>
        <v>0</v>
      </c>
      <c r="W244" s="931">
        <f>U203</f>
        <v>0</v>
      </c>
      <c r="Y244" s="933">
        <v>20</v>
      </c>
      <c r="Z244" s="934">
        <f>X212</f>
        <v>0</v>
      </c>
      <c r="AE244" s="740"/>
      <c r="AL244" s="740"/>
    </row>
    <row r="245" spans="1:38" ht="13.5" thickBot="1" x14ac:dyDescent="0.35">
      <c r="A245" s="1456"/>
      <c r="B245" s="926">
        <v>20</v>
      </c>
      <c r="C245" s="930">
        <f>C214</f>
        <v>14.8</v>
      </c>
      <c r="D245" s="930">
        <f t="shared" ref="D245:F245" si="117">D214</f>
        <v>9.9999999999999995E-7</v>
      </c>
      <c r="E245" s="930" t="str">
        <f t="shared" si="117"/>
        <v>-</v>
      </c>
      <c r="F245" s="930">
        <f t="shared" si="117"/>
        <v>9.9999999999999995E-7</v>
      </c>
      <c r="G245" s="930">
        <f>G214</f>
        <v>0</v>
      </c>
      <c r="I245" s="1456"/>
      <c r="J245" s="926">
        <v>20</v>
      </c>
      <c r="K245" s="930">
        <f>J214</f>
        <v>45.7</v>
      </c>
      <c r="L245" s="930">
        <f t="shared" ref="L245:N245" si="118">K214</f>
        <v>9.9999999999999995E-7</v>
      </c>
      <c r="M245" s="930" t="str">
        <f t="shared" si="118"/>
        <v>-</v>
      </c>
      <c r="N245" s="930">
        <f t="shared" si="118"/>
        <v>0</v>
      </c>
      <c r="O245" s="930">
        <f>N214</f>
        <v>0</v>
      </c>
      <c r="Q245" s="1461"/>
      <c r="R245" s="935">
        <v>20</v>
      </c>
      <c r="S245" s="936">
        <f>Q214</f>
        <v>750</v>
      </c>
      <c r="T245" s="937" t="str">
        <f t="shared" ref="T245:V245" si="119">R214</f>
        <v>-</v>
      </c>
      <c r="U245" s="937" t="str">
        <f t="shared" si="119"/>
        <v>-</v>
      </c>
      <c r="V245" s="937">
        <f t="shared" si="119"/>
        <v>0</v>
      </c>
      <c r="W245" s="937">
        <f>U214</f>
        <v>0</v>
      </c>
      <c r="Y245" s="826"/>
      <c r="AE245" s="938"/>
      <c r="AL245" s="740"/>
    </row>
    <row r="246" spans="1:38" ht="13.5" thickBot="1" x14ac:dyDescent="0.35">
      <c r="A246" s="141"/>
      <c r="B246" s="141"/>
      <c r="C246" s="535"/>
      <c r="D246" s="535"/>
      <c r="E246" s="535"/>
      <c r="F246" s="535"/>
      <c r="G246" s="535"/>
      <c r="I246" s="141"/>
      <c r="J246" s="141"/>
      <c r="K246" s="535"/>
      <c r="L246" s="535"/>
      <c r="M246" s="535"/>
      <c r="N246" s="535"/>
      <c r="O246" s="535"/>
      <c r="Q246" s="939"/>
      <c r="R246" s="939"/>
      <c r="S246" s="940"/>
      <c r="T246" s="941"/>
      <c r="U246" s="941"/>
      <c r="V246" s="941"/>
      <c r="W246" s="941"/>
      <c r="Y246" s="711"/>
      <c r="AE246" s="711"/>
      <c r="AL246" s="711"/>
    </row>
    <row r="247" spans="1:38" ht="13" x14ac:dyDescent="0.3">
      <c r="A247" s="1456">
        <v>2</v>
      </c>
      <c r="B247" s="926">
        <v>1</v>
      </c>
      <c r="C247" s="930">
        <f>C6</f>
        <v>20</v>
      </c>
      <c r="D247" s="930">
        <f t="shared" ref="D247:F247" si="120">D6</f>
        <v>-0.2</v>
      </c>
      <c r="E247" s="930">
        <f t="shared" si="120"/>
        <v>0.2</v>
      </c>
      <c r="F247" s="930">
        <f t="shared" si="120"/>
        <v>0</v>
      </c>
      <c r="G247" s="930">
        <f>G6</f>
        <v>0.2</v>
      </c>
      <c r="I247" s="1456">
        <v>2</v>
      </c>
      <c r="J247" s="926">
        <v>1</v>
      </c>
      <c r="K247" s="930">
        <f>J6</f>
        <v>40</v>
      </c>
      <c r="L247" s="930">
        <f t="shared" ref="L247:N247" si="121">K6</f>
        <v>-6</v>
      </c>
      <c r="M247" s="930">
        <f t="shared" si="121"/>
        <v>-8.6</v>
      </c>
      <c r="N247" s="930">
        <f t="shared" si="121"/>
        <v>0</v>
      </c>
      <c r="O247" s="930">
        <f>N6</f>
        <v>1.2999999999999998</v>
      </c>
      <c r="Q247" s="1457">
        <v>2</v>
      </c>
      <c r="R247" s="942">
        <v>1</v>
      </c>
      <c r="S247" s="943">
        <f>Q6</f>
        <v>800</v>
      </c>
      <c r="T247" s="944" t="str">
        <f t="shared" ref="T247:V247" si="122">R6</f>
        <v>-</v>
      </c>
      <c r="U247" s="944" t="str">
        <f t="shared" si="122"/>
        <v>-</v>
      </c>
      <c r="V247" s="944">
        <f t="shared" si="122"/>
        <v>0</v>
      </c>
      <c r="W247" s="944">
        <f>U6</f>
        <v>0</v>
      </c>
      <c r="Y247" s="1462" t="s">
        <v>343</v>
      </c>
      <c r="Z247" s="1463"/>
      <c r="AE247" s="945"/>
    </row>
    <row r="248" spans="1:38" ht="13" x14ac:dyDescent="0.3">
      <c r="A248" s="1456"/>
      <c r="B248" s="926">
        <v>2</v>
      </c>
      <c r="C248" s="930">
        <f>C17</f>
        <v>20</v>
      </c>
      <c r="D248" s="930">
        <f t="shared" ref="D248:F248" si="123">D17</f>
        <v>0.2</v>
      </c>
      <c r="E248" s="930">
        <f t="shared" si="123"/>
        <v>0.7</v>
      </c>
      <c r="F248" s="930">
        <f t="shared" si="123"/>
        <v>-0.1</v>
      </c>
      <c r="G248" s="930">
        <f>G17</f>
        <v>0.39999999999999997</v>
      </c>
      <c r="I248" s="1456"/>
      <c r="J248" s="926">
        <v>2</v>
      </c>
      <c r="K248" s="930">
        <f>J17</f>
        <v>40</v>
      </c>
      <c r="L248" s="930">
        <f t="shared" ref="L248:N248" si="124">K17</f>
        <v>-10.3</v>
      </c>
      <c r="M248" s="930">
        <f t="shared" si="124"/>
        <v>-6.2</v>
      </c>
      <c r="N248" s="930">
        <f t="shared" si="124"/>
        <v>-1.6</v>
      </c>
      <c r="O248" s="930">
        <f>N17</f>
        <v>4.3500000000000005</v>
      </c>
      <c r="Q248" s="1456"/>
      <c r="R248" s="926">
        <v>2</v>
      </c>
      <c r="S248" s="930">
        <f>Q17</f>
        <v>800</v>
      </c>
      <c r="T248" s="931" t="str">
        <f t="shared" ref="T248:V248" si="125">R17</f>
        <v>-</v>
      </c>
      <c r="U248" s="931" t="str">
        <f t="shared" si="125"/>
        <v>-</v>
      </c>
      <c r="V248" s="931">
        <f t="shared" si="125"/>
        <v>0</v>
      </c>
      <c r="W248" s="931">
        <f>U17</f>
        <v>0</v>
      </c>
      <c r="Y248" s="1464" t="s">
        <v>393</v>
      </c>
      <c r="Z248" s="1465"/>
      <c r="AE248" s="740"/>
    </row>
    <row r="249" spans="1:38" ht="13" x14ac:dyDescent="0.3">
      <c r="A249" s="1456"/>
      <c r="B249" s="926">
        <v>3</v>
      </c>
      <c r="C249" s="926">
        <f>C28</f>
        <v>20</v>
      </c>
      <c r="D249" s="926">
        <f t="shared" ref="D249:F249" si="126">D28</f>
        <v>0.2</v>
      </c>
      <c r="E249" s="926">
        <f t="shared" si="126"/>
        <v>1</v>
      </c>
      <c r="F249" s="926">
        <f t="shared" si="126"/>
        <v>9.9999999999999995E-7</v>
      </c>
      <c r="G249" s="926">
        <f>G28</f>
        <v>0.49999949999999999</v>
      </c>
      <c r="I249" s="1456"/>
      <c r="J249" s="926">
        <v>3</v>
      </c>
      <c r="K249" s="926">
        <f>J28</f>
        <v>40</v>
      </c>
      <c r="L249" s="926">
        <f t="shared" ref="L249:N249" si="127">K28</f>
        <v>-9.6999999999999993</v>
      </c>
      <c r="M249" s="926">
        <f t="shared" si="127"/>
        <v>-5.9</v>
      </c>
      <c r="N249" s="926">
        <f t="shared" si="127"/>
        <v>-5.3</v>
      </c>
      <c r="O249" s="926">
        <f>N28</f>
        <v>2.1999999999999997</v>
      </c>
      <c r="Q249" s="1456"/>
      <c r="R249" s="926">
        <v>3</v>
      </c>
      <c r="S249" s="926">
        <f>Q28</f>
        <v>800</v>
      </c>
      <c r="T249" s="927" t="str">
        <f t="shared" ref="T249:V249" si="128">R28</f>
        <v>-</v>
      </c>
      <c r="U249" s="927" t="str">
        <f t="shared" si="128"/>
        <v>-</v>
      </c>
      <c r="V249" s="927">
        <f t="shared" si="128"/>
        <v>0</v>
      </c>
      <c r="W249" s="927">
        <f>U28</f>
        <v>0</v>
      </c>
      <c r="Y249" s="924">
        <v>1</v>
      </c>
      <c r="Z249" s="925">
        <f>X4</f>
        <v>3.1</v>
      </c>
      <c r="AE249" s="740"/>
    </row>
    <row r="250" spans="1:38" ht="13" x14ac:dyDescent="0.3">
      <c r="A250" s="1456"/>
      <c r="B250" s="926">
        <v>4</v>
      </c>
      <c r="C250" s="926">
        <f>C39</f>
        <v>20</v>
      </c>
      <c r="D250" s="926">
        <f t="shared" ref="D250:F250" si="129">D39</f>
        <v>-0.1</v>
      </c>
      <c r="E250" s="926">
        <f t="shared" si="129"/>
        <v>-0.3</v>
      </c>
      <c r="F250" s="926">
        <f t="shared" si="129"/>
        <v>0</v>
      </c>
      <c r="G250" s="926">
        <f>G39</f>
        <v>9.9999999999999992E-2</v>
      </c>
      <c r="I250" s="1456"/>
      <c r="J250" s="926">
        <v>4</v>
      </c>
      <c r="K250" s="926">
        <f>J39</f>
        <v>40</v>
      </c>
      <c r="L250" s="926">
        <f t="shared" ref="L250:N250" si="130">K39</f>
        <v>-4.4000000000000004</v>
      </c>
      <c r="M250" s="926">
        <f t="shared" si="130"/>
        <v>-1.5</v>
      </c>
      <c r="N250" s="926">
        <f t="shared" si="130"/>
        <v>0</v>
      </c>
      <c r="O250" s="926">
        <f>N39</f>
        <v>1.4500000000000002</v>
      </c>
      <c r="Q250" s="1456"/>
      <c r="R250" s="926">
        <v>4</v>
      </c>
      <c r="S250" s="926">
        <f>Q39</f>
        <v>800</v>
      </c>
      <c r="T250" s="927" t="str">
        <f t="shared" ref="T250:V250" si="131">R39</f>
        <v>-</v>
      </c>
      <c r="U250" s="927" t="str">
        <f t="shared" si="131"/>
        <v>-</v>
      </c>
      <c r="V250" s="927">
        <f t="shared" si="131"/>
        <v>0</v>
      </c>
      <c r="W250" s="927">
        <f>U39</f>
        <v>0</v>
      </c>
      <c r="Y250" s="928">
        <v>2</v>
      </c>
      <c r="Z250" s="925">
        <f>X15</f>
        <v>3.3</v>
      </c>
      <c r="AE250" s="740"/>
    </row>
    <row r="251" spans="1:38" ht="13" x14ac:dyDescent="0.3">
      <c r="A251" s="1456"/>
      <c r="B251" s="926">
        <v>5</v>
      </c>
      <c r="C251" s="926">
        <f>C50</f>
        <v>20</v>
      </c>
      <c r="D251" s="926">
        <f t="shared" ref="D251:F251" si="132">D50</f>
        <v>0.4</v>
      </c>
      <c r="E251" s="926">
        <f t="shared" si="132"/>
        <v>0.1</v>
      </c>
      <c r="F251" s="926">
        <f t="shared" si="132"/>
        <v>0.3</v>
      </c>
      <c r="G251" s="926">
        <f>G50</f>
        <v>0.15000000000000002</v>
      </c>
      <c r="I251" s="1456"/>
      <c r="J251" s="926">
        <v>5</v>
      </c>
      <c r="K251" s="926">
        <f>J50</f>
        <v>40</v>
      </c>
      <c r="L251" s="926">
        <f t="shared" ref="L251:N251" si="133">K50</f>
        <v>-9.6</v>
      </c>
      <c r="M251" s="926">
        <f t="shared" si="133"/>
        <v>-7.2</v>
      </c>
      <c r="N251" s="926">
        <f t="shared" si="133"/>
        <v>-8</v>
      </c>
      <c r="O251" s="926">
        <f>N50</f>
        <v>1.1999999999999997</v>
      </c>
      <c r="Q251" s="1456"/>
      <c r="R251" s="926">
        <v>5</v>
      </c>
      <c r="S251" s="926">
        <f>Q50</f>
        <v>800</v>
      </c>
      <c r="T251" s="927" t="str">
        <f t="shared" ref="T251:V251" si="134">R50</f>
        <v>-</v>
      </c>
      <c r="U251" s="927" t="str">
        <f t="shared" si="134"/>
        <v>-</v>
      </c>
      <c r="V251" s="927">
        <f t="shared" si="134"/>
        <v>0</v>
      </c>
      <c r="W251" s="927">
        <f>U50</f>
        <v>0</v>
      </c>
      <c r="Y251" s="928">
        <v>3</v>
      </c>
      <c r="Z251" s="929">
        <f>X26</f>
        <v>2.4</v>
      </c>
      <c r="AE251" s="740"/>
    </row>
    <row r="252" spans="1:38" ht="13" x14ac:dyDescent="0.3">
      <c r="A252" s="1456"/>
      <c r="B252" s="926">
        <v>6</v>
      </c>
      <c r="C252" s="926">
        <f>C61</f>
        <v>20</v>
      </c>
      <c r="D252" s="926">
        <f t="shared" ref="D252:F252" si="135">D61</f>
        <v>0.3</v>
      </c>
      <c r="E252" s="926">
        <f t="shared" si="135"/>
        <v>0.2</v>
      </c>
      <c r="F252" s="926">
        <f t="shared" si="135"/>
        <v>0</v>
      </c>
      <c r="G252" s="926">
        <f>G61</f>
        <v>4.9999999999999989E-2</v>
      </c>
      <c r="I252" s="1456"/>
      <c r="J252" s="926">
        <v>6</v>
      </c>
      <c r="K252" s="926">
        <f>J61</f>
        <v>40</v>
      </c>
      <c r="L252" s="926">
        <f t="shared" ref="L252:N252" si="136">K61</f>
        <v>-3.8</v>
      </c>
      <c r="M252" s="926">
        <f t="shared" si="136"/>
        <v>1.5</v>
      </c>
      <c r="N252" s="926">
        <f t="shared" si="136"/>
        <v>0</v>
      </c>
      <c r="O252" s="926">
        <f>N61</f>
        <v>2.65</v>
      </c>
      <c r="Q252" s="1456"/>
      <c r="R252" s="926">
        <v>6</v>
      </c>
      <c r="S252" s="926">
        <f>Q61</f>
        <v>800</v>
      </c>
      <c r="T252" s="927">
        <f t="shared" ref="T252:V252" si="137">R61</f>
        <v>0.9</v>
      </c>
      <c r="U252" s="927">
        <f t="shared" si="137"/>
        <v>1.6</v>
      </c>
      <c r="V252" s="927">
        <f t="shared" si="137"/>
        <v>0</v>
      </c>
      <c r="W252" s="927">
        <f>U61</f>
        <v>0.35000000000000003</v>
      </c>
      <c r="Y252" s="928">
        <v>4</v>
      </c>
      <c r="Z252" s="929">
        <f>X37</f>
        <v>1.3</v>
      </c>
      <c r="AE252" s="740"/>
    </row>
    <row r="253" spans="1:38" ht="13" x14ac:dyDescent="0.3">
      <c r="A253" s="1456"/>
      <c r="B253" s="926">
        <v>7</v>
      </c>
      <c r="C253" s="926">
        <f>C72</f>
        <v>20</v>
      </c>
      <c r="D253" s="926">
        <f t="shared" ref="D253:F253" si="138">D72</f>
        <v>0</v>
      </c>
      <c r="E253" s="926">
        <f t="shared" si="138"/>
        <v>9.9999999999999995E-7</v>
      </c>
      <c r="F253" s="926">
        <f t="shared" si="138"/>
        <v>0.1</v>
      </c>
      <c r="G253" s="926">
        <f>G72</f>
        <v>0.05</v>
      </c>
      <c r="I253" s="1456"/>
      <c r="J253" s="926">
        <v>7</v>
      </c>
      <c r="K253" s="926">
        <f>J72</f>
        <v>40</v>
      </c>
      <c r="L253" s="926">
        <f t="shared" ref="L253:N253" si="139">K72</f>
        <v>-2</v>
      </c>
      <c r="M253" s="926">
        <f t="shared" si="139"/>
        <v>-1.9</v>
      </c>
      <c r="N253" s="926">
        <f t="shared" si="139"/>
        <v>1.2</v>
      </c>
      <c r="O253" s="926">
        <f>N72</f>
        <v>1.6</v>
      </c>
      <c r="Q253" s="1456"/>
      <c r="R253" s="926">
        <v>7</v>
      </c>
      <c r="S253" s="926">
        <f>Q72</f>
        <v>970</v>
      </c>
      <c r="T253" s="927">
        <f t="shared" ref="T253:V253" si="140">R72</f>
        <v>0.6</v>
      </c>
      <c r="U253" s="927" t="str">
        <f t="shared" si="140"/>
        <v>-</v>
      </c>
      <c r="V253" s="927" t="str">
        <f t="shared" si="140"/>
        <v>-</v>
      </c>
      <c r="W253" s="927">
        <f>U72</f>
        <v>0</v>
      </c>
      <c r="Y253" s="928">
        <v>5</v>
      </c>
      <c r="Z253" s="929">
        <f>X48</f>
        <v>2.2999999999999998</v>
      </c>
      <c r="AE253" s="740"/>
    </row>
    <row r="254" spans="1:38" ht="13" x14ac:dyDescent="0.3">
      <c r="A254" s="1456"/>
      <c r="B254" s="926">
        <v>8</v>
      </c>
      <c r="C254" s="926">
        <f>C83</f>
        <v>20</v>
      </c>
      <c r="D254" s="926">
        <f t="shared" ref="D254:F254" si="141">D83</f>
        <v>9.9999999999999995E-7</v>
      </c>
      <c r="E254" s="926">
        <f t="shared" si="141"/>
        <v>-0.2</v>
      </c>
      <c r="F254" s="926">
        <f t="shared" si="141"/>
        <v>0</v>
      </c>
      <c r="G254" s="926">
        <f>G83</f>
        <v>0.10000050000000001</v>
      </c>
      <c r="I254" s="1456"/>
      <c r="J254" s="926">
        <v>8</v>
      </c>
      <c r="K254" s="926">
        <f>J83</f>
        <v>40</v>
      </c>
      <c r="L254" s="926">
        <f t="shared" ref="L254:N254" si="142">K83</f>
        <v>-3.8</v>
      </c>
      <c r="M254" s="926">
        <f t="shared" si="142"/>
        <v>-1.2</v>
      </c>
      <c r="N254" s="926">
        <f t="shared" si="142"/>
        <v>0</v>
      </c>
      <c r="O254" s="926">
        <f>N83</f>
        <v>1.2999999999999998</v>
      </c>
      <c r="Q254" s="1456"/>
      <c r="R254" s="926">
        <v>8</v>
      </c>
      <c r="S254" s="926">
        <f>Q83</f>
        <v>800</v>
      </c>
      <c r="T254" s="927">
        <f t="shared" ref="T254:V254" si="143">R83</f>
        <v>9.9999999999999995E-7</v>
      </c>
      <c r="U254" s="927">
        <f t="shared" si="143"/>
        <v>9.9999999999999995E-7</v>
      </c>
      <c r="V254" s="927">
        <f t="shared" si="143"/>
        <v>0</v>
      </c>
      <c r="W254" s="927">
        <f>U83</f>
        <v>0</v>
      </c>
      <c r="Y254" s="924">
        <v>6</v>
      </c>
      <c r="Z254" s="925">
        <f>X59</f>
        <v>2.6</v>
      </c>
      <c r="AE254" s="740"/>
    </row>
    <row r="255" spans="1:38" ht="13" x14ac:dyDescent="0.3">
      <c r="A255" s="1456"/>
      <c r="B255" s="926">
        <v>9</v>
      </c>
      <c r="C255" s="926">
        <f>C94</f>
        <v>20</v>
      </c>
      <c r="D255" s="926">
        <f t="shared" ref="D255:F255" si="144">D94</f>
        <v>-0.2</v>
      </c>
      <c r="E255" s="926" t="str">
        <f t="shared" si="144"/>
        <v>-</v>
      </c>
      <c r="F255" s="926">
        <f t="shared" si="144"/>
        <v>0</v>
      </c>
      <c r="G255" s="926">
        <f>G94</f>
        <v>0</v>
      </c>
      <c r="I255" s="1456"/>
      <c r="J255" s="926">
        <v>9</v>
      </c>
      <c r="K255" s="926">
        <f>J94</f>
        <v>40</v>
      </c>
      <c r="L255" s="926">
        <f t="shared" ref="L255:N255" si="145">K94</f>
        <v>-1</v>
      </c>
      <c r="M255" s="926" t="str">
        <f t="shared" si="145"/>
        <v>-</v>
      </c>
      <c r="N255" s="926">
        <f t="shared" si="145"/>
        <v>0</v>
      </c>
      <c r="O255" s="926">
        <f>N94</f>
        <v>0</v>
      </c>
      <c r="Q255" s="1456"/>
      <c r="R255" s="926">
        <v>9</v>
      </c>
      <c r="S255" s="926">
        <f>Q94</f>
        <v>800</v>
      </c>
      <c r="T255" s="927">
        <f t="shared" ref="T255:V255" si="146">R94</f>
        <v>9.9999999999999995E-7</v>
      </c>
      <c r="U255" s="927" t="str">
        <f t="shared" si="146"/>
        <v>-</v>
      </c>
      <c r="V255" s="927">
        <f t="shared" si="146"/>
        <v>0</v>
      </c>
      <c r="W255" s="927">
        <f>U94</f>
        <v>0</v>
      </c>
      <c r="Y255" s="924">
        <v>7</v>
      </c>
      <c r="Z255" s="925">
        <f>X70</f>
        <v>2.2999999999999998</v>
      </c>
      <c r="AE255" s="740"/>
    </row>
    <row r="256" spans="1:38" ht="13" x14ac:dyDescent="0.3">
      <c r="A256" s="1456"/>
      <c r="B256" s="926">
        <v>10</v>
      </c>
      <c r="C256" s="926">
        <f>C105</f>
        <v>20</v>
      </c>
      <c r="D256" s="926">
        <f t="shared" ref="D256:F256" si="147">D105</f>
        <v>0.2</v>
      </c>
      <c r="E256" s="926">
        <f t="shared" si="147"/>
        <v>-0.7</v>
      </c>
      <c r="F256" s="926">
        <f t="shared" si="147"/>
        <v>0</v>
      </c>
      <c r="G256" s="926">
        <f>G105</f>
        <v>0.44999999999999996</v>
      </c>
      <c r="I256" s="1456"/>
      <c r="J256" s="926">
        <v>10</v>
      </c>
      <c r="K256" s="926">
        <f>J105</f>
        <v>40</v>
      </c>
      <c r="L256" s="926">
        <f t="shared" ref="L256:N256" si="148">K105</f>
        <v>-3.3</v>
      </c>
      <c r="M256" s="926">
        <f t="shared" si="148"/>
        <v>-6.4</v>
      </c>
      <c r="N256" s="926">
        <f t="shared" si="148"/>
        <v>0</v>
      </c>
      <c r="O256" s="926">
        <f>N105</f>
        <v>1.5500000000000003</v>
      </c>
      <c r="Q256" s="1456"/>
      <c r="R256" s="926">
        <v>10</v>
      </c>
      <c r="S256" s="926">
        <f>Q105</f>
        <v>800</v>
      </c>
      <c r="T256" s="927" t="str">
        <f t="shared" ref="T256:V256" si="149">R105</f>
        <v>-</v>
      </c>
      <c r="U256" s="927" t="str">
        <f t="shared" si="149"/>
        <v>-</v>
      </c>
      <c r="V256" s="927">
        <f t="shared" si="149"/>
        <v>0</v>
      </c>
      <c r="W256" s="927">
        <f>U105</f>
        <v>0</v>
      </c>
      <c r="Y256" s="924">
        <v>8</v>
      </c>
      <c r="Z256" s="925">
        <f>X81</f>
        <v>2.5</v>
      </c>
      <c r="AE256" s="740"/>
    </row>
    <row r="257" spans="1:31" ht="13" x14ac:dyDescent="0.3">
      <c r="A257" s="1456"/>
      <c r="B257" s="926">
        <v>11</v>
      </c>
      <c r="C257" s="926">
        <f>C116</f>
        <v>20</v>
      </c>
      <c r="D257" s="926">
        <f t="shared" ref="D257:F257" si="150">D116</f>
        <v>0.4</v>
      </c>
      <c r="E257" s="926">
        <f t="shared" si="150"/>
        <v>0.5</v>
      </c>
      <c r="F257" s="926">
        <f t="shared" si="150"/>
        <v>0</v>
      </c>
      <c r="G257" s="926">
        <f>G116</f>
        <v>4.9999999999999989E-2</v>
      </c>
      <c r="I257" s="1456"/>
      <c r="J257" s="926">
        <v>11</v>
      </c>
      <c r="K257" s="926">
        <f>J116</f>
        <v>40</v>
      </c>
      <c r="L257" s="926">
        <f t="shared" ref="L257:N257" si="151">K116</f>
        <v>-5.5</v>
      </c>
      <c r="M257" s="926">
        <f t="shared" si="151"/>
        <v>-5.9</v>
      </c>
      <c r="N257" s="926">
        <f t="shared" si="151"/>
        <v>0</v>
      </c>
      <c r="O257" s="926">
        <f>N116</f>
        <v>0.20000000000000018</v>
      </c>
      <c r="Q257" s="1456"/>
      <c r="R257" s="926">
        <v>11</v>
      </c>
      <c r="S257" s="926">
        <f>Q116</f>
        <v>800</v>
      </c>
      <c r="T257" s="927" t="str">
        <f t="shared" ref="T257:V257" si="152">R116</f>
        <v>-</v>
      </c>
      <c r="U257" s="927" t="str">
        <f t="shared" si="152"/>
        <v>-</v>
      </c>
      <c r="V257" s="927">
        <f t="shared" si="152"/>
        <v>0</v>
      </c>
      <c r="W257" s="927">
        <f>U116</f>
        <v>0</v>
      </c>
      <c r="Y257" s="924">
        <v>9</v>
      </c>
      <c r="Z257" s="925">
        <f>X92</f>
        <v>2.4</v>
      </c>
      <c r="AE257" s="740"/>
    </row>
    <row r="258" spans="1:31" ht="13" x14ac:dyDescent="0.3">
      <c r="A258" s="1456"/>
      <c r="B258" s="926">
        <v>12</v>
      </c>
      <c r="C258" s="926">
        <f>C127</f>
        <v>20</v>
      </c>
      <c r="D258" s="926">
        <f t="shared" ref="D258:F258" si="153">D127</f>
        <v>9.9999999999999995E-7</v>
      </c>
      <c r="E258" s="926" t="str">
        <f t="shared" si="153"/>
        <v>-</v>
      </c>
      <c r="F258" s="926">
        <f t="shared" si="153"/>
        <v>0</v>
      </c>
      <c r="G258" s="926">
        <f>G127</f>
        <v>0</v>
      </c>
      <c r="I258" s="1456"/>
      <c r="J258" s="926">
        <v>12</v>
      </c>
      <c r="K258" s="926">
        <f>J127</f>
        <v>40</v>
      </c>
      <c r="L258" s="926">
        <f t="shared" ref="L258:N258" si="154">K127</f>
        <v>-0.1</v>
      </c>
      <c r="M258" s="926" t="str">
        <f t="shared" si="154"/>
        <v>-</v>
      </c>
      <c r="N258" s="926">
        <f t="shared" si="154"/>
        <v>0</v>
      </c>
      <c r="O258" s="926">
        <f>N127</f>
        <v>0</v>
      </c>
      <c r="Q258" s="1456"/>
      <c r="R258" s="926">
        <v>12</v>
      </c>
      <c r="S258" s="926">
        <f>Q127</f>
        <v>850</v>
      </c>
      <c r="T258" s="927">
        <f t="shared" ref="T258:V258" si="155">R127</f>
        <v>-0.5</v>
      </c>
      <c r="U258" s="927" t="str">
        <f t="shared" si="155"/>
        <v>-</v>
      </c>
      <c r="V258" s="927">
        <f t="shared" si="155"/>
        <v>0</v>
      </c>
      <c r="W258" s="927">
        <f>U127</f>
        <v>0</v>
      </c>
      <c r="Y258" s="924">
        <v>10</v>
      </c>
      <c r="Z258" s="925">
        <f>X103</f>
        <v>1.5</v>
      </c>
      <c r="AE258" s="740"/>
    </row>
    <row r="259" spans="1:31" ht="13" x14ac:dyDescent="0.3">
      <c r="A259" s="1456"/>
      <c r="B259" s="926">
        <v>13</v>
      </c>
      <c r="C259" s="926">
        <f>C138</f>
        <v>20</v>
      </c>
      <c r="D259" s="926">
        <f t="shared" ref="D259:F259" si="156">D138</f>
        <v>0.2</v>
      </c>
      <c r="E259" s="926">
        <f t="shared" si="156"/>
        <v>-0.4</v>
      </c>
      <c r="F259" s="926" t="str">
        <f t="shared" si="156"/>
        <v>-</v>
      </c>
      <c r="G259" s="926">
        <f>G138</f>
        <v>0</v>
      </c>
      <c r="I259" s="1456"/>
      <c r="J259" s="926">
        <v>13</v>
      </c>
      <c r="K259" s="926">
        <f>J138</f>
        <v>40</v>
      </c>
      <c r="L259" s="926">
        <f t="shared" ref="L259:N259" si="157">K138</f>
        <v>-2</v>
      </c>
      <c r="M259" s="926">
        <f t="shared" si="157"/>
        <v>-1.3</v>
      </c>
      <c r="N259" s="926" t="str">
        <f t="shared" si="157"/>
        <v>-</v>
      </c>
      <c r="O259" s="926">
        <f>N138</f>
        <v>0</v>
      </c>
      <c r="Q259" s="1456"/>
      <c r="R259" s="926">
        <v>13</v>
      </c>
      <c r="S259" s="926">
        <f>Q138</f>
        <v>970</v>
      </c>
      <c r="T259" s="927">
        <f t="shared" ref="T259:V259" si="158">R138</f>
        <v>4</v>
      </c>
      <c r="U259" s="927">
        <f t="shared" si="158"/>
        <v>1</v>
      </c>
      <c r="V259" s="927" t="str">
        <f t="shared" si="158"/>
        <v>-</v>
      </c>
      <c r="W259" s="927">
        <f>U138</f>
        <v>0</v>
      </c>
      <c r="Y259" s="924">
        <v>11</v>
      </c>
      <c r="Z259" s="925">
        <f>X114</f>
        <v>1.8</v>
      </c>
      <c r="AE259" s="740"/>
    </row>
    <row r="260" spans="1:31" ht="13" x14ac:dyDescent="0.3">
      <c r="A260" s="1456"/>
      <c r="B260" s="926">
        <v>14</v>
      </c>
      <c r="C260" s="926">
        <f>C149</f>
        <v>20</v>
      </c>
      <c r="D260" s="926">
        <f t="shared" ref="D260:F260" si="159">D149</f>
        <v>0.2</v>
      </c>
      <c r="E260" s="926">
        <f t="shared" si="159"/>
        <v>-0.1</v>
      </c>
      <c r="F260" s="926" t="str">
        <f t="shared" si="159"/>
        <v>-</v>
      </c>
      <c r="G260" s="926">
        <f>G149</f>
        <v>0</v>
      </c>
      <c r="I260" s="1456"/>
      <c r="J260" s="926">
        <v>14</v>
      </c>
      <c r="K260" s="926">
        <f>J149</f>
        <v>40</v>
      </c>
      <c r="L260" s="926">
        <f t="shared" ref="L260:N260" si="160">K149</f>
        <v>-0.4</v>
      </c>
      <c r="M260" s="926">
        <f t="shared" si="160"/>
        <v>0.3</v>
      </c>
      <c r="N260" s="926" t="str">
        <f t="shared" si="160"/>
        <v>-</v>
      </c>
      <c r="O260" s="926">
        <f>N149</f>
        <v>0</v>
      </c>
      <c r="Q260" s="1456"/>
      <c r="R260" s="926">
        <v>14</v>
      </c>
      <c r="S260" s="926">
        <f>Q149</f>
        <v>970</v>
      </c>
      <c r="T260" s="927">
        <f t="shared" ref="T260:V260" si="161">R149</f>
        <v>4</v>
      </c>
      <c r="U260" s="927">
        <f t="shared" si="161"/>
        <v>1</v>
      </c>
      <c r="V260" s="927" t="str">
        <f t="shared" si="161"/>
        <v>-</v>
      </c>
      <c r="W260" s="927">
        <f>U149</f>
        <v>0</v>
      </c>
      <c r="Y260" s="924">
        <v>12</v>
      </c>
      <c r="Z260" s="946">
        <f>X125</f>
        <v>2</v>
      </c>
      <c r="AE260" s="740"/>
    </row>
    <row r="261" spans="1:31" ht="13" x14ac:dyDescent="0.3">
      <c r="A261" s="1456"/>
      <c r="B261" s="926">
        <v>15</v>
      </c>
      <c r="C261" s="926">
        <f>C160</f>
        <v>20</v>
      </c>
      <c r="D261" s="926">
        <f t="shared" ref="D261:F261" si="162">D160</f>
        <v>0.3</v>
      </c>
      <c r="E261" s="926">
        <f t="shared" si="162"/>
        <v>-0.5</v>
      </c>
      <c r="F261" s="926" t="str">
        <f t="shared" si="162"/>
        <v>-</v>
      </c>
      <c r="G261" s="926">
        <f>G160</f>
        <v>0</v>
      </c>
      <c r="I261" s="1456"/>
      <c r="J261" s="926">
        <v>15</v>
      </c>
      <c r="K261" s="926">
        <f>J160</f>
        <v>40</v>
      </c>
      <c r="L261" s="926">
        <f t="shared" ref="L261:N261" si="163">K160</f>
        <v>-1.7</v>
      </c>
      <c r="M261" s="926">
        <f t="shared" si="163"/>
        <v>-0.3</v>
      </c>
      <c r="N261" s="926" t="str">
        <f t="shared" si="163"/>
        <v>-</v>
      </c>
      <c r="O261" s="926">
        <f>N160</f>
        <v>0</v>
      </c>
      <c r="Q261" s="1456"/>
      <c r="R261" s="926">
        <v>15</v>
      </c>
      <c r="S261" s="926">
        <f>Q160</f>
        <v>970</v>
      </c>
      <c r="T261" s="927">
        <f t="shared" ref="T261:V261" si="164">R160</f>
        <v>4.5</v>
      </c>
      <c r="U261" s="927">
        <f t="shared" si="164"/>
        <v>1</v>
      </c>
      <c r="V261" s="927" t="str">
        <f t="shared" si="164"/>
        <v>-</v>
      </c>
      <c r="W261" s="927">
        <f>U160</f>
        <v>0</v>
      </c>
      <c r="Y261" s="924">
        <v>13</v>
      </c>
      <c r="Z261" s="925">
        <f>X136</f>
        <v>2.2999999999999998</v>
      </c>
      <c r="AE261" s="740"/>
    </row>
    <row r="262" spans="1:31" ht="13" x14ac:dyDescent="0.3">
      <c r="A262" s="1456"/>
      <c r="B262" s="926">
        <v>16</v>
      </c>
      <c r="C262" s="926">
        <f>C171</f>
        <v>20</v>
      </c>
      <c r="D262" s="926">
        <f t="shared" ref="D262:F262" si="165">D171</f>
        <v>0.3</v>
      </c>
      <c r="E262" s="926">
        <f t="shared" si="165"/>
        <v>0.2</v>
      </c>
      <c r="F262" s="926">
        <f t="shared" si="165"/>
        <v>0</v>
      </c>
      <c r="G262" s="926">
        <f>G171</f>
        <v>4.9999999999999989E-2</v>
      </c>
      <c r="I262" s="1456"/>
      <c r="J262" s="926">
        <v>16</v>
      </c>
      <c r="K262" s="926">
        <f>J171</f>
        <v>40</v>
      </c>
      <c r="L262" s="926">
        <f t="shared" ref="L262:N262" si="166">K171</f>
        <v>-2.2999999999999998</v>
      </c>
      <c r="M262" s="926">
        <f t="shared" si="166"/>
        <v>-1.4</v>
      </c>
      <c r="N262" s="926">
        <f t="shared" si="166"/>
        <v>0</v>
      </c>
      <c r="O262" s="926">
        <f>N171</f>
        <v>0.44999999999999996</v>
      </c>
      <c r="Q262" s="1456"/>
      <c r="R262" s="926">
        <v>16</v>
      </c>
      <c r="S262" s="926">
        <f>Q171</f>
        <v>970</v>
      </c>
      <c r="T262" s="927">
        <f t="shared" ref="T262:V262" si="167">R171</f>
        <v>4.5</v>
      </c>
      <c r="U262" s="927" t="str">
        <f t="shared" si="167"/>
        <v>-</v>
      </c>
      <c r="V262" s="927">
        <f t="shared" si="167"/>
        <v>0</v>
      </c>
      <c r="W262" s="927">
        <f>U171</f>
        <v>0</v>
      </c>
      <c r="Y262" s="924">
        <v>14</v>
      </c>
      <c r="Z262" s="925">
        <f>X147</f>
        <v>2.7</v>
      </c>
      <c r="AE262" s="740"/>
    </row>
    <row r="263" spans="1:31" ht="13" x14ac:dyDescent="0.3">
      <c r="A263" s="1456"/>
      <c r="B263" s="926">
        <v>17</v>
      </c>
      <c r="C263" s="926">
        <f>C182</f>
        <v>20</v>
      </c>
      <c r="D263" s="926">
        <f t="shared" ref="D263:F263" si="168">D182</f>
        <v>0.4</v>
      </c>
      <c r="E263" s="926">
        <f t="shared" si="168"/>
        <v>0.1</v>
      </c>
      <c r="F263" s="926">
        <f t="shared" si="168"/>
        <v>0</v>
      </c>
      <c r="G263" s="926">
        <f>G182</f>
        <v>0.15000000000000002</v>
      </c>
      <c r="I263" s="1456"/>
      <c r="J263" s="926">
        <v>17</v>
      </c>
      <c r="K263" s="926">
        <f>J182</f>
        <v>40</v>
      </c>
      <c r="L263" s="926">
        <f t="shared" ref="L263:N263" si="169">K182</f>
        <v>-2.4</v>
      </c>
      <c r="M263" s="926">
        <f t="shared" si="169"/>
        <v>0.2</v>
      </c>
      <c r="N263" s="926">
        <f t="shared" si="169"/>
        <v>0</v>
      </c>
      <c r="O263" s="926">
        <f>N182</f>
        <v>1.3</v>
      </c>
      <c r="Q263" s="1456"/>
      <c r="R263" s="926">
        <v>17</v>
      </c>
      <c r="S263" s="926">
        <f>Q182</f>
        <v>970</v>
      </c>
      <c r="T263" s="927">
        <f t="shared" ref="T263:V263" si="170">R182</f>
        <v>4.5999999999999996</v>
      </c>
      <c r="U263" s="927">
        <f t="shared" si="170"/>
        <v>-0.6</v>
      </c>
      <c r="V263" s="927">
        <f t="shared" si="170"/>
        <v>0</v>
      </c>
      <c r="W263" s="927">
        <f>U182</f>
        <v>2.5999999999999996</v>
      </c>
      <c r="Y263" s="924">
        <v>15</v>
      </c>
      <c r="Z263" s="925">
        <f>X158</f>
        <v>2.6</v>
      </c>
      <c r="AE263" s="740"/>
    </row>
    <row r="264" spans="1:31" ht="13" x14ac:dyDescent="0.3">
      <c r="A264" s="1456"/>
      <c r="B264" s="926">
        <v>18</v>
      </c>
      <c r="C264" s="926">
        <f>C193</f>
        <v>20</v>
      </c>
      <c r="D264" s="926">
        <f t="shared" ref="D264:F264" si="171">D193</f>
        <v>0.2</v>
      </c>
      <c r="E264" s="926">
        <f t="shared" si="171"/>
        <v>-0.1</v>
      </c>
      <c r="F264" s="926">
        <f t="shared" si="171"/>
        <v>0</v>
      </c>
      <c r="G264" s="926">
        <f>G193</f>
        <v>0.15000000000000002</v>
      </c>
      <c r="I264" s="1456"/>
      <c r="J264" s="926">
        <v>18</v>
      </c>
      <c r="K264" s="926">
        <f>J193</f>
        <v>40</v>
      </c>
      <c r="L264" s="926">
        <f t="shared" ref="L264:N264" si="172">K193</f>
        <v>-2.9</v>
      </c>
      <c r="M264" s="926">
        <f t="shared" si="172"/>
        <v>-0.2</v>
      </c>
      <c r="N264" s="926">
        <f t="shared" si="172"/>
        <v>0</v>
      </c>
      <c r="O264" s="926">
        <f>N193</f>
        <v>1.3499999999999999</v>
      </c>
      <c r="Q264" s="1456"/>
      <c r="R264" s="926">
        <v>18</v>
      </c>
      <c r="S264" s="926">
        <f>Q193</f>
        <v>970</v>
      </c>
      <c r="T264" s="927">
        <f t="shared" ref="T264:V264" si="173">R193</f>
        <v>4.5</v>
      </c>
      <c r="U264" s="927" t="str">
        <f t="shared" si="173"/>
        <v>-</v>
      </c>
      <c r="V264" s="927">
        <f t="shared" si="173"/>
        <v>0</v>
      </c>
      <c r="W264" s="927">
        <f>U193</f>
        <v>0</v>
      </c>
      <c r="Y264" s="924">
        <v>16</v>
      </c>
      <c r="Z264" s="925">
        <f>X169</f>
        <v>2.2999999999999998</v>
      </c>
      <c r="AE264" s="740"/>
    </row>
    <row r="265" spans="1:31" ht="13" x14ac:dyDescent="0.3">
      <c r="A265" s="1456"/>
      <c r="B265" s="926">
        <v>19</v>
      </c>
      <c r="C265" s="926">
        <f>C204</f>
        <v>20</v>
      </c>
      <c r="D265" s="926">
        <f t="shared" ref="D265:F265" si="174">D204</f>
        <v>0.1</v>
      </c>
      <c r="E265" s="926" t="str">
        <f t="shared" si="174"/>
        <v>-</v>
      </c>
      <c r="F265" s="926">
        <f t="shared" si="174"/>
        <v>0</v>
      </c>
      <c r="G265" s="926">
        <f>G204</f>
        <v>0</v>
      </c>
      <c r="I265" s="1456"/>
      <c r="J265" s="926">
        <v>19</v>
      </c>
      <c r="K265" s="926">
        <f>J204</f>
        <v>40</v>
      </c>
      <c r="L265" s="926">
        <f t="shared" ref="L265:N265" si="175">K204</f>
        <v>-0.8</v>
      </c>
      <c r="M265" s="926" t="str">
        <f t="shared" si="175"/>
        <v>-</v>
      </c>
      <c r="N265" s="926">
        <f t="shared" si="175"/>
        <v>0</v>
      </c>
      <c r="O265" s="926">
        <f>N204</f>
        <v>0</v>
      </c>
      <c r="Q265" s="1456"/>
      <c r="R265" s="926">
        <v>19</v>
      </c>
      <c r="S265" s="926">
        <f>Q204</f>
        <v>800</v>
      </c>
      <c r="T265" s="927">
        <f t="shared" ref="T265:V265" si="176">R204</f>
        <v>2.5</v>
      </c>
      <c r="U265" s="927" t="str">
        <f t="shared" si="176"/>
        <v>-</v>
      </c>
      <c r="V265" s="927">
        <f t="shared" si="176"/>
        <v>0</v>
      </c>
      <c r="W265" s="927">
        <f>U204</f>
        <v>0</v>
      </c>
      <c r="Y265" s="924">
        <v>17</v>
      </c>
      <c r="Z265" s="925">
        <f>X180</f>
        <v>2.2999999999999998</v>
      </c>
      <c r="AE265" s="740"/>
    </row>
    <row r="266" spans="1:31" ht="13.5" thickBot="1" x14ac:dyDescent="0.35">
      <c r="A266" s="1456"/>
      <c r="B266" s="926">
        <v>20</v>
      </c>
      <c r="C266" s="926">
        <f>C215</f>
        <v>19.7</v>
      </c>
      <c r="D266" s="926">
        <f t="shared" ref="D266:F266" si="177">D215</f>
        <v>9.9999999999999995E-7</v>
      </c>
      <c r="E266" s="926" t="str">
        <f t="shared" si="177"/>
        <v>-</v>
      </c>
      <c r="F266" s="926">
        <f t="shared" si="177"/>
        <v>9.9999999999999995E-7</v>
      </c>
      <c r="G266" s="926">
        <f>G215</f>
        <v>0</v>
      </c>
      <c r="I266" s="1456"/>
      <c r="J266" s="926">
        <v>20</v>
      </c>
      <c r="K266" s="926">
        <f>J215</f>
        <v>54.3</v>
      </c>
      <c r="L266" s="926">
        <f t="shared" ref="L266:N266" si="178">K215</f>
        <v>9.9999999999999995E-7</v>
      </c>
      <c r="M266" s="926" t="str">
        <f t="shared" si="178"/>
        <v>-</v>
      </c>
      <c r="N266" s="926">
        <f t="shared" si="178"/>
        <v>0</v>
      </c>
      <c r="O266" s="926">
        <f>N215</f>
        <v>0</v>
      </c>
      <c r="Q266" s="1458"/>
      <c r="R266" s="935">
        <v>20</v>
      </c>
      <c r="S266" s="935">
        <f>Q215</f>
        <v>800</v>
      </c>
      <c r="T266" s="947" t="str">
        <f t="shared" ref="T266:V266" si="179">R215</f>
        <v>-</v>
      </c>
      <c r="U266" s="947" t="str">
        <f t="shared" si="179"/>
        <v>-</v>
      </c>
      <c r="V266" s="947">
        <f t="shared" si="179"/>
        <v>0</v>
      </c>
      <c r="W266" s="947">
        <f>U215</f>
        <v>0</v>
      </c>
      <c r="Y266" s="924">
        <v>18</v>
      </c>
      <c r="Z266" s="925">
        <f>X191</f>
        <v>2.2999999999999998</v>
      </c>
      <c r="AE266" s="938"/>
    </row>
    <row r="267" spans="1:31" ht="13.5" thickBot="1" x14ac:dyDescent="0.35">
      <c r="A267" s="141"/>
      <c r="B267" s="141"/>
      <c r="C267" s="141"/>
      <c r="D267" s="141"/>
      <c r="E267" s="141"/>
      <c r="F267" s="141"/>
      <c r="G267" s="141"/>
      <c r="I267" s="141"/>
      <c r="J267" s="141"/>
      <c r="K267" s="141"/>
      <c r="L267" s="141"/>
      <c r="M267" s="141"/>
      <c r="N267" s="141"/>
      <c r="O267" s="141"/>
      <c r="Q267" s="948"/>
      <c r="R267" s="939"/>
      <c r="S267" s="536"/>
      <c r="T267" s="537"/>
      <c r="U267" s="537"/>
      <c r="V267" s="537"/>
      <c r="W267" s="537"/>
      <c r="Y267" s="924">
        <v>19</v>
      </c>
      <c r="Z267" s="932">
        <f>X202</f>
        <v>1.5</v>
      </c>
      <c r="AE267" s="740"/>
    </row>
    <row r="268" spans="1:31" ht="13.5" thickBot="1" x14ac:dyDescent="0.35">
      <c r="A268" s="1456">
        <v>3</v>
      </c>
      <c r="B268" s="926">
        <v>1</v>
      </c>
      <c r="C268" s="926">
        <f>C7</f>
        <v>25</v>
      </c>
      <c r="D268" s="926">
        <f t="shared" ref="D268:F268" si="180">D7</f>
        <v>9.9999999999999995E-7</v>
      </c>
      <c r="E268" s="926">
        <f t="shared" si="180"/>
        <v>0.1</v>
      </c>
      <c r="F268" s="926">
        <f t="shared" si="180"/>
        <v>0</v>
      </c>
      <c r="G268" s="926">
        <f>G7</f>
        <v>0.05</v>
      </c>
      <c r="I268" s="1456">
        <v>3</v>
      </c>
      <c r="J268" s="926">
        <v>1</v>
      </c>
      <c r="K268" s="926">
        <f>J7</f>
        <v>50</v>
      </c>
      <c r="L268" s="926">
        <f t="shared" ref="L268:N268" si="181">K7</f>
        <v>-5.8</v>
      </c>
      <c r="M268" s="926">
        <f t="shared" si="181"/>
        <v>-7.2</v>
      </c>
      <c r="N268" s="926">
        <f t="shared" si="181"/>
        <v>0</v>
      </c>
      <c r="O268" s="926">
        <f>N7</f>
        <v>0.70000000000000018</v>
      </c>
      <c r="Q268" s="1457">
        <v>3</v>
      </c>
      <c r="R268" s="942">
        <v>1</v>
      </c>
      <c r="S268" s="942">
        <f>Q7</f>
        <v>850</v>
      </c>
      <c r="T268" s="949" t="str">
        <f t="shared" ref="T268:V268" si="182">R7</f>
        <v>-</v>
      </c>
      <c r="U268" s="949" t="str">
        <f t="shared" si="182"/>
        <v>-</v>
      </c>
      <c r="V268" s="949">
        <f t="shared" si="182"/>
        <v>0</v>
      </c>
      <c r="W268" s="949">
        <f>U7</f>
        <v>0</v>
      </c>
      <c r="Y268" s="933">
        <v>20</v>
      </c>
      <c r="Z268" s="934">
        <f>X213</f>
        <v>0</v>
      </c>
      <c r="AE268" s="945"/>
    </row>
    <row r="269" spans="1:31" ht="13" x14ac:dyDescent="0.3">
      <c r="A269" s="1456"/>
      <c r="B269" s="926">
        <v>2</v>
      </c>
      <c r="C269" s="926">
        <f>C18</f>
        <v>25</v>
      </c>
      <c r="D269" s="926">
        <f t="shared" ref="D269:F269" si="183">D18</f>
        <v>0.3</v>
      </c>
      <c r="E269" s="926">
        <f t="shared" si="183"/>
        <v>0.5</v>
      </c>
      <c r="F269" s="926">
        <f t="shared" si="183"/>
        <v>-0.2</v>
      </c>
      <c r="G269" s="926">
        <f>G18</f>
        <v>0.35</v>
      </c>
      <c r="I269" s="1456"/>
      <c r="J269" s="926">
        <v>2</v>
      </c>
      <c r="K269" s="926">
        <f>J18</f>
        <v>50</v>
      </c>
      <c r="L269" s="926">
        <f t="shared" ref="L269:N269" si="184">K18</f>
        <v>-8</v>
      </c>
      <c r="M269" s="926">
        <f t="shared" si="184"/>
        <v>-5.3</v>
      </c>
      <c r="N269" s="926">
        <f t="shared" si="184"/>
        <v>-1.5</v>
      </c>
      <c r="O269" s="926">
        <f>N18</f>
        <v>3.25</v>
      </c>
      <c r="Q269" s="1456"/>
      <c r="R269" s="926">
        <v>2</v>
      </c>
      <c r="S269" s="926">
        <f>Q18</f>
        <v>850</v>
      </c>
      <c r="T269" s="927" t="str">
        <f t="shared" ref="T269:V269" si="185">R18</f>
        <v>-</v>
      </c>
      <c r="U269" s="927" t="str">
        <f t="shared" si="185"/>
        <v>-</v>
      </c>
      <c r="V269" s="927">
        <f t="shared" si="185"/>
        <v>0</v>
      </c>
      <c r="W269" s="927">
        <f>U18</f>
        <v>0</v>
      </c>
      <c r="AE269" s="740"/>
    </row>
    <row r="270" spans="1:31" ht="13.5" thickBot="1" x14ac:dyDescent="0.35">
      <c r="A270" s="1456"/>
      <c r="B270" s="926">
        <v>3</v>
      </c>
      <c r="C270" s="926">
        <f>C29</f>
        <v>25</v>
      </c>
      <c r="D270" s="926">
        <f t="shared" ref="D270:F270" si="186">D29</f>
        <v>0.3</v>
      </c>
      <c r="E270" s="926">
        <f t="shared" si="186"/>
        <v>0.7</v>
      </c>
      <c r="F270" s="926">
        <f t="shared" si="186"/>
        <v>-0.1</v>
      </c>
      <c r="G270" s="926">
        <f>G29</f>
        <v>0.39999999999999997</v>
      </c>
      <c r="I270" s="1456"/>
      <c r="J270" s="926">
        <v>3</v>
      </c>
      <c r="K270" s="926">
        <f>J29</f>
        <v>50</v>
      </c>
      <c r="L270" s="926">
        <f t="shared" ref="L270:N270" si="187">K29</f>
        <v>-7.9</v>
      </c>
      <c r="M270" s="926">
        <f t="shared" si="187"/>
        <v>-4.5</v>
      </c>
      <c r="N270" s="926">
        <f t="shared" si="187"/>
        <v>-4.9000000000000004</v>
      </c>
      <c r="O270" s="926">
        <f>N29</f>
        <v>1.7000000000000002</v>
      </c>
      <c r="Q270" s="1456"/>
      <c r="R270" s="926">
        <v>3</v>
      </c>
      <c r="S270" s="926">
        <f>Q29</f>
        <v>850</v>
      </c>
      <c r="T270" s="927" t="str">
        <f t="shared" ref="T270:V270" si="188">R29</f>
        <v>-</v>
      </c>
      <c r="U270" s="927" t="str">
        <f t="shared" si="188"/>
        <v>-</v>
      </c>
      <c r="V270" s="927">
        <f t="shared" si="188"/>
        <v>0</v>
      </c>
      <c r="W270" s="927">
        <f>U29</f>
        <v>0</v>
      </c>
      <c r="AE270" s="740"/>
    </row>
    <row r="271" spans="1:31" ht="13" x14ac:dyDescent="0.3">
      <c r="A271" s="1456"/>
      <c r="B271" s="926">
        <v>4</v>
      </c>
      <c r="C271" s="926">
        <f>C40</f>
        <v>25</v>
      </c>
      <c r="D271" s="926">
        <f t="shared" ref="D271:F271" si="189">D40</f>
        <v>-0.1</v>
      </c>
      <c r="E271" s="926">
        <f t="shared" si="189"/>
        <v>-0.5</v>
      </c>
      <c r="F271" s="926">
        <f t="shared" si="189"/>
        <v>0</v>
      </c>
      <c r="G271" s="926">
        <f>G40</f>
        <v>0.2</v>
      </c>
      <c r="I271" s="1456"/>
      <c r="J271" s="926">
        <v>4</v>
      </c>
      <c r="K271" s="926">
        <f>J40</f>
        <v>50</v>
      </c>
      <c r="L271" s="926">
        <f t="shared" ref="L271:N271" si="190">K40</f>
        <v>-4.3</v>
      </c>
      <c r="M271" s="926">
        <f t="shared" si="190"/>
        <v>-1</v>
      </c>
      <c r="N271" s="926">
        <f t="shared" si="190"/>
        <v>0</v>
      </c>
      <c r="O271" s="926">
        <f>N40</f>
        <v>1.65</v>
      </c>
      <c r="Q271" s="1456"/>
      <c r="R271" s="926">
        <v>4</v>
      </c>
      <c r="S271" s="926">
        <f>Q40</f>
        <v>850</v>
      </c>
      <c r="T271" s="927" t="str">
        <f t="shared" ref="T271:V271" si="191">R40</f>
        <v>-</v>
      </c>
      <c r="U271" s="927" t="str">
        <f t="shared" si="191"/>
        <v>-</v>
      </c>
      <c r="V271" s="927">
        <f t="shared" si="191"/>
        <v>0</v>
      </c>
      <c r="W271" s="927">
        <f>U40</f>
        <v>0</v>
      </c>
      <c r="Y271" s="1462" t="s">
        <v>343</v>
      </c>
      <c r="Z271" s="1463"/>
      <c r="AE271" s="740"/>
    </row>
    <row r="272" spans="1:31" ht="13" x14ac:dyDescent="0.3">
      <c r="A272" s="1456"/>
      <c r="B272" s="926">
        <v>5</v>
      </c>
      <c r="C272" s="926">
        <f>C51</f>
        <v>25</v>
      </c>
      <c r="D272" s="926">
        <f t="shared" ref="D272:F272" si="192">D51</f>
        <v>0.4</v>
      </c>
      <c r="E272" s="926">
        <f t="shared" si="192"/>
        <v>0.4</v>
      </c>
      <c r="F272" s="926">
        <f t="shared" si="192"/>
        <v>0.2</v>
      </c>
      <c r="G272" s="926">
        <f>G51</f>
        <v>0.1</v>
      </c>
      <c r="I272" s="1456"/>
      <c r="J272" s="926">
        <v>5</v>
      </c>
      <c r="K272" s="926">
        <f>J51</f>
        <v>50</v>
      </c>
      <c r="L272" s="926">
        <f t="shared" ref="L272:N272" si="193">K51</f>
        <v>-8.8000000000000007</v>
      </c>
      <c r="M272" s="926">
        <f t="shared" si="193"/>
        <v>-6.2</v>
      </c>
      <c r="N272" s="926">
        <f t="shared" si="193"/>
        <v>-6.2</v>
      </c>
      <c r="O272" s="926">
        <f>N51</f>
        <v>1.3000000000000003</v>
      </c>
      <c r="Q272" s="1456"/>
      <c r="R272" s="926">
        <v>5</v>
      </c>
      <c r="S272" s="926">
        <f>Q51</f>
        <v>850</v>
      </c>
      <c r="T272" s="927" t="str">
        <f t="shared" ref="T272:V272" si="194">R51</f>
        <v>-</v>
      </c>
      <c r="U272" s="927" t="str">
        <f t="shared" si="194"/>
        <v>-</v>
      </c>
      <c r="V272" s="927">
        <f t="shared" si="194"/>
        <v>0</v>
      </c>
      <c r="W272" s="927">
        <f>U51</f>
        <v>0</v>
      </c>
      <c r="Y272" s="1464" t="s">
        <v>394</v>
      </c>
      <c r="Z272" s="1465"/>
      <c r="AE272" s="740"/>
    </row>
    <row r="273" spans="1:31" ht="13" x14ac:dyDescent="0.3">
      <c r="A273" s="1456"/>
      <c r="B273" s="926">
        <v>6</v>
      </c>
      <c r="C273" s="926">
        <f>C62</f>
        <v>25</v>
      </c>
      <c r="D273" s="926">
        <f t="shared" ref="D273:F273" si="195">D62</f>
        <v>0.2</v>
      </c>
      <c r="E273" s="926">
        <f t="shared" si="195"/>
        <v>-0.1</v>
      </c>
      <c r="F273" s="926">
        <f t="shared" si="195"/>
        <v>0</v>
      </c>
      <c r="G273" s="926">
        <f>G62</f>
        <v>0.15000000000000002</v>
      </c>
      <c r="I273" s="1456"/>
      <c r="J273" s="926">
        <v>6</v>
      </c>
      <c r="K273" s="926">
        <f>J62</f>
        <v>50</v>
      </c>
      <c r="L273" s="926">
        <f t="shared" ref="L273:N273" si="196">K62</f>
        <v>-5.4</v>
      </c>
      <c r="M273" s="926">
        <f t="shared" si="196"/>
        <v>1.2</v>
      </c>
      <c r="N273" s="926">
        <f t="shared" si="196"/>
        <v>0</v>
      </c>
      <c r="O273" s="926">
        <f>N62</f>
        <v>3.3000000000000003</v>
      </c>
      <c r="Q273" s="1456"/>
      <c r="R273" s="926">
        <v>6</v>
      </c>
      <c r="S273" s="926">
        <f>Q62</f>
        <v>850</v>
      </c>
      <c r="T273" s="927">
        <f t="shared" ref="T273:V273" si="197">R62</f>
        <v>0.9</v>
      </c>
      <c r="U273" s="927">
        <f t="shared" si="197"/>
        <v>1.1000000000000001</v>
      </c>
      <c r="V273" s="927">
        <f t="shared" si="197"/>
        <v>0</v>
      </c>
      <c r="W273" s="927">
        <f>U62</f>
        <v>0.10000000000000003</v>
      </c>
      <c r="Y273" s="924">
        <v>1</v>
      </c>
      <c r="Z273" s="925">
        <f>X5</f>
        <v>0</v>
      </c>
      <c r="AE273" s="740"/>
    </row>
    <row r="274" spans="1:31" ht="13" x14ac:dyDescent="0.3">
      <c r="A274" s="1456"/>
      <c r="B274" s="926">
        <v>7</v>
      </c>
      <c r="C274" s="926">
        <f>C73</f>
        <v>25</v>
      </c>
      <c r="D274" s="926">
        <f t="shared" ref="D274:F274" si="198">D73</f>
        <v>-0.1</v>
      </c>
      <c r="E274" s="926">
        <f t="shared" si="198"/>
        <v>9.9999999999999995E-7</v>
      </c>
      <c r="F274" s="926">
        <f t="shared" si="198"/>
        <v>-0.2</v>
      </c>
      <c r="G274" s="926">
        <f>G73</f>
        <v>0.10000050000000001</v>
      </c>
      <c r="I274" s="1456"/>
      <c r="J274" s="926">
        <v>7</v>
      </c>
      <c r="K274" s="926">
        <f>J73</f>
        <v>50</v>
      </c>
      <c r="L274" s="926">
        <f t="shared" ref="L274:N274" si="199">K73</f>
        <v>-2.1</v>
      </c>
      <c r="M274" s="926">
        <f t="shared" si="199"/>
        <v>-1.9</v>
      </c>
      <c r="N274" s="926">
        <f t="shared" si="199"/>
        <v>0.8</v>
      </c>
      <c r="O274" s="926">
        <f>N73</f>
        <v>1.4500000000000002</v>
      </c>
      <c r="Q274" s="1456"/>
      <c r="R274" s="926">
        <v>7</v>
      </c>
      <c r="S274" s="926">
        <f>Q73</f>
        <v>980</v>
      </c>
      <c r="T274" s="927">
        <f t="shared" ref="T274:V274" si="200">R73</f>
        <v>0.5</v>
      </c>
      <c r="U274" s="927" t="str">
        <f t="shared" si="200"/>
        <v>-</v>
      </c>
      <c r="V274" s="927" t="str">
        <f t="shared" si="200"/>
        <v>-</v>
      </c>
      <c r="W274" s="927">
        <f>U73</f>
        <v>0</v>
      </c>
      <c r="Y274" s="928">
        <v>2</v>
      </c>
      <c r="Z274" s="925">
        <f>X16</f>
        <v>0</v>
      </c>
      <c r="AE274" s="740"/>
    </row>
    <row r="275" spans="1:31" ht="13" x14ac:dyDescent="0.3">
      <c r="A275" s="1456"/>
      <c r="B275" s="926">
        <v>8</v>
      </c>
      <c r="C275" s="926">
        <f>C84</f>
        <v>25</v>
      </c>
      <c r="D275" s="926">
        <f t="shared" ref="D275:F275" si="201">D84</f>
        <v>-0.1</v>
      </c>
      <c r="E275" s="926">
        <f t="shared" si="201"/>
        <v>-0.4</v>
      </c>
      <c r="F275" s="926">
        <f t="shared" si="201"/>
        <v>0</v>
      </c>
      <c r="G275" s="926">
        <f>G84</f>
        <v>0.15000000000000002</v>
      </c>
      <c r="I275" s="1456"/>
      <c r="J275" s="926">
        <v>8</v>
      </c>
      <c r="K275" s="926">
        <f>J84</f>
        <v>50</v>
      </c>
      <c r="L275" s="926">
        <f t="shared" ref="L275:N275" si="202">K84</f>
        <v>-3.8</v>
      </c>
      <c r="M275" s="926">
        <f t="shared" si="202"/>
        <v>-1.2</v>
      </c>
      <c r="N275" s="926">
        <f t="shared" si="202"/>
        <v>0</v>
      </c>
      <c r="O275" s="926">
        <f>N84</f>
        <v>1.2999999999999998</v>
      </c>
      <c r="Q275" s="1456"/>
      <c r="R275" s="926">
        <v>8</v>
      </c>
      <c r="S275" s="926">
        <f>Q84</f>
        <v>850</v>
      </c>
      <c r="T275" s="927">
        <f t="shared" ref="T275:V275" si="203">R84</f>
        <v>9.9999999999999995E-7</v>
      </c>
      <c r="U275" s="927">
        <f t="shared" si="203"/>
        <v>9.9999999999999995E-7</v>
      </c>
      <c r="V275" s="927">
        <f t="shared" si="203"/>
        <v>0</v>
      </c>
      <c r="W275" s="927">
        <f>U84</f>
        <v>0</v>
      </c>
      <c r="Y275" s="928">
        <v>3</v>
      </c>
      <c r="Z275" s="929">
        <f>X27</f>
        <v>0</v>
      </c>
      <c r="AE275" s="740"/>
    </row>
    <row r="276" spans="1:31" ht="13" x14ac:dyDescent="0.3">
      <c r="A276" s="1456"/>
      <c r="B276" s="926">
        <v>9</v>
      </c>
      <c r="C276" s="926">
        <f>C95</f>
        <v>25</v>
      </c>
      <c r="D276" s="926">
        <f t="shared" ref="D276:F276" si="204">D95</f>
        <v>-0.4</v>
      </c>
      <c r="E276" s="926" t="str">
        <f t="shared" si="204"/>
        <v>-</v>
      </c>
      <c r="F276" s="926">
        <f t="shared" si="204"/>
        <v>0</v>
      </c>
      <c r="G276" s="926">
        <f>G95</f>
        <v>0</v>
      </c>
      <c r="I276" s="1456"/>
      <c r="J276" s="926">
        <v>9</v>
      </c>
      <c r="K276" s="926">
        <f>J95</f>
        <v>50</v>
      </c>
      <c r="L276" s="926">
        <f t="shared" ref="L276:N276" si="205">K95</f>
        <v>-0.9</v>
      </c>
      <c r="M276" s="926" t="str">
        <f t="shared" si="205"/>
        <v>-</v>
      </c>
      <c r="N276" s="926">
        <f t="shared" si="205"/>
        <v>0</v>
      </c>
      <c r="O276" s="926">
        <f>N95</f>
        <v>0</v>
      </c>
      <c r="Q276" s="1456"/>
      <c r="R276" s="926">
        <v>9</v>
      </c>
      <c r="S276" s="926">
        <f>Q95</f>
        <v>850</v>
      </c>
      <c r="T276" s="927">
        <f t="shared" ref="T276:V276" si="206">R95</f>
        <v>9.9999999999999995E-7</v>
      </c>
      <c r="U276" s="927" t="str">
        <f t="shared" si="206"/>
        <v>-</v>
      </c>
      <c r="V276" s="927">
        <f t="shared" si="206"/>
        <v>0</v>
      </c>
      <c r="W276" s="927">
        <f>U95</f>
        <v>0</v>
      </c>
      <c r="Y276" s="928">
        <v>4</v>
      </c>
      <c r="Z276" s="929">
        <f>X38</f>
        <v>0</v>
      </c>
      <c r="AE276" s="740"/>
    </row>
    <row r="277" spans="1:31" ht="13" x14ac:dyDescent="0.3">
      <c r="A277" s="1456"/>
      <c r="B277" s="926">
        <v>10</v>
      </c>
      <c r="C277" s="926">
        <f>C106</f>
        <v>25</v>
      </c>
      <c r="D277" s="926">
        <f t="shared" ref="D277:F277" si="207">D106</f>
        <v>0.1</v>
      </c>
      <c r="E277" s="926">
        <f t="shared" si="207"/>
        <v>-0.5</v>
      </c>
      <c r="F277" s="926">
        <f t="shared" si="207"/>
        <v>0</v>
      </c>
      <c r="G277" s="926">
        <f>G106</f>
        <v>0.3</v>
      </c>
      <c r="I277" s="1456"/>
      <c r="J277" s="926">
        <v>10</v>
      </c>
      <c r="K277" s="926">
        <f>J106</f>
        <v>50</v>
      </c>
      <c r="L277" s="926">
        <f t="shared" ref="L277:N277" si="208">K106</f>
        <v>-3.1</v>
      </c>
      <c r="M277" s="926">
        <f t="shared" si="208"/>
        <v>-6.1</v>
      </c>
      <c r="N277" s="926">
        <f t="shared" si="208"/>
        <v>0</v>
      </c>
      <c r="O277" s="926">
        <f>N106</f>
        <v>1.4999999999999998</v>
      </c>
      <c r="Q277" s="1456"/>
      <c r="R277" s="926">
        <v>10</v>
      </c>
      <c r="S277" s="926">
        <f>Q106</f>
        <v>850</v>
      </c>
      <c r="T277" s="927" t="str">
        <f t="shared" ref="T277:V277" si="209">R106</f>
        <v>-</v>
      </c>
      <c r="U277" s="927" t="str">
        <f t="shared" si="209"/>
        <v>-</v>
      </c>
      <c r="V277" s="927">
        <f t="shared" si="209"/>
        <v>0</v>
      </c>
      <c r="W277" s="927">
        <f>U106</f>
        <v>0</v>
      </c>
      <c r="Y277" s="928">
        <v>5</v>
      </c>
      <c r="Z277" s="929">
        <f>X49</f>
        <v>0</v>
      </c>
      <c r="AE277" s="740"/>
    </row>
    <row r="278" spans="1:31" ht="13" x14ac:dyDescent="0.3">
      <c r="A278" s="1456"/>
      <c r="B278" s="926">
        <v>11</v>
      </c>
      <c r="C278" s="926">
        <f>C117</f>
        <v>25</v>
      </c>
      <c r="D278" s="926">
        <f t="shared" ref="D278:F278" si="210">D117</f>
        <v>0.4</v>
      </c>
      <c r="E278" s="926">
        <f t="shared" si="210"/>
        <v>0.5</v>
      </c>
      <c r="F278" s="926">
        <f t="shared" si="210"/>
        <v>0</v>
      </c>
      <c r="G278" s="926">
        <f>G117</f>
        <v>4.9999999999999989E-2</v>
      </c>
      <c r="I278" s="1456"/>
      <c r="J278" s="926">
        <v>11</v>
      </c>
      <c r="K278" s="926">
        <f>J117</f>
        <v>50</v>
      </c>
      <c r="L278" s="926">
        <f t="shared" ref="L278:N278" si="211">K117</f>
        <v>-5.5</v>
      </c>
      <c r="M278" s="926">
        <f t="shared" si="211"/>
        <v>-5.6</v>
      </c>
      <c r="N278" s="926">
        <f t="shared" si="211"/>
        <v>0</v>
      </c>
      <c r="O278" s="926">
        <f>N117</f>
        <v>4.9999999999999822E-2</v>
      </c>
      <c r="Q278" s="1456"/>
      <c r="R278" s="926">
        <v>11</v>
      </c>
      <c r="S278" s="926">
        <f>Q117</f>
        <v>850</v>
      </c>
      <c r="T278" s="927" t="str">
        <f t="shared" ref="T278:V278" si="212">R117</f>
        <v>-</v>
      </c>
      <c r="U278" s="927" t="str">
        <f t="shared" si="212"/>
        <v>-</v>
      </c>
      <c r="V278" s="927">
        <f t="shared" si="212"/>
        <v>0</v>
      </c>
      <c r="W278" s="927">
        <f>U117</f>
        <v>0</v>
      </c>
      <c r="Y278" s="924">
        <v>6</v>
      </c>
      <c r="Z278" s="925">
        <f>X60</f>
        <v>1.6</v>
      </c>
      <c r="AE278" s="740"/>
    </row>
    <row r="279" spans="1:31" ht="13" x14ac:dyDescent="0.3">
      <c r="A279" s="1456"/>
      <c r="B279" s="926">
        <v>12</v>
      </c>
      <c r="C279" s="926">
        <f>C128</f>
        <v>25</v>
      </c>
      <c r="D279" s="926">
        <f t="shared" ref="D279:F279" si="213">D128</f>
        <v>9.9999999999999995E-7</v>
      </c>
      <c r="E279" s="926" t="str">
        <f t="shared" si="213"/>
        <v>-</v>
      </c>
      <c r="F279" s="926">
        <f t="shared" si="213"/>
        <v>0</v>
      </c>
      <c r="G279" s="926">
        <f>G128</f>
        <v>0</v>
      </c>
      <c r="I279" s="1456"/>
      <c r="J279" s="926">
        <v>12</v>
      </c>
      <c r="K279" s="926">
        <f>J128</f>
        <v>50</v>
      </c>
      <c r="L279" s="926">
        <f t="shared" ref="L279:N279" si="214">K128</f>
        <v>9.9999999999999995E-7</v>
      </c>
      <c r="M279" s="926" t="str">
        <f t="shared" si="214"/>
        <v>-</v>
      </c>
      <c r="N279" s="926">
        <f t="shared" si="214"/>
        <v>0</v>
      </c>
      <c r="O279" s="926">
        <f>N128</f>
        <v>0</v>
      </c>
      <c r="Q279" s="1456"/>
      <c r="R279" s="926">
        <v>12</v>
      </c>
      <c r="S279" s="926">
        <f>Q128</f>
        <v>900</v>
      </c>
      <c r="T279" s="927">
        <f t="shared" ref="T279:V279" si="215">R128</f>
        <v>-0.6</v>
      </c>
      <c r="U279" s="927" t="str">
        <f t="shared" si="215"/>
        <v>-</v>
      </c>
      <c r="V279" s="927">
        <f t="shared" si="215"/>
        <v>0</v>
      </c>
      <c r="W279" s="927">
        <f>U128</f>
        <v>0</v>
      </c>
      <c r="Y279" s="924">
        <v>7</v>
      </c>
      <c r="Z279" s="925">
        <f>X71</f>
        <v>2</v>
      </c>
      <c r="AE279" s="740"/>
    </row>
    <row r="280" spans="1:31" ht="13" x14ac:dyDescent="0.3">
      <c r="A280" s="1456"/>
      <c r="B280" s="926">
        <v>13</v>
      </c>
      <c r="C280" s="926">
        <f>C139</f>
        <v>25</v>
      </c>
      <c r="D280" s="926">
        <f t="shared" ref="D280:F280" si="216">D139</f>
        <v>0.1</v>
      </c>
      <c r="E280" s="926">
        <f t="shared" si="216"/>
        <v>-0.2</v>
      </c>
      <c r="F280" s="926" t="str">
        <f t="shared" si="216"/>
        <v>-</v>
      </c>
      <c r="G280" s="926">
        <f>G139</f>
        <v>0</v>
      </c>
      <c r="I280" s="1456"/>
      <c r="J280" s="926">
        <v>13</v>
      </c>
      <c r="K280" s="926">
        <f>J139</f>
        <v>50</v>
      </c>
      <c r="L280" s="926">
        <f t="shared" ref="L280:N280" si="217">K139</f>
        <v>-1.8</v>
      </c>
      <c r="M280" s="926">
        <f t="shared" si="217"/>
        <v>-1.3</v>
      </c>
      <c r="N280" s="926" t="str">
        <f t="shared" si="217"/>
        <v>-</v>
      </c>
      <c r="O280" s="926">
        <f>N139</f>
        <v>0</v>
      </c>
      <c r="Q280" s="1456"/>
      <c r="R280" s="926">
        <v>13</v>
      </c>
      <c r="S280" s="926">
        <f>Q139</f>
        <v>980</v>
      </c>
      <c r="T280" s="927">
        <f t="shared" ref="T280:V280" si="218">R139</f>
        <v>3.9</v>
      </c>
      <c r="U280" s="927">
        <f t="shared" si="218"/>
        <v>1</v>
      </c>
      <c r="V280" s="927" t="str">
        <f t="shared" si="218"/>
        <v>-</v>
      </c>
      <c r="W280" s="927">
        <f>U139</f>
        <v>0</v>
      </c>
      <c r="Y280" s="924">
        <v>8</v>
      </c>
      <c r="Z280" s="925">
        <f>X82</f>
        <v>2.1</v>
      </c>
      <c r="AE280" s="740"/>
    </row>
    <row r="281" spans="1:31" ht="13" x14ac:dyDescent="0.3">
      <c r="A281" s="1456"/>
      <c r="B281" s="926">
        <v>14</v>
      </c>
      <c r="C281" s="926">
        <f>C150</f>
        <v>25</v>
      </c>
      <c r="D281" s="926">
        <f t="shared" ref="D281:F281" si="219">D150</f>
        <v>-0.1</v>
      </c>
      <c r="E281" s="926">
        <f t="shared" si="219"/>
        <v>-0.1</v>
      </c>
      <c r="F281" s="926" t="str">
        <f t="shared" si="219"/>
        <v>-</v>
      </c>
      <c r="G281" s="926">
        <f>G150</f>
        <v>0</v>
      </c>
      <c r="I281" s="1456"/>
      <c r="J281" s="926">
        <v>14</v>
      </c>
      <c r="K281" s="926">
        <f>J151</f>
        <v>60</v>
      </c>
      <c r="L281" s="926">
        <f t="shared" ref="L281:N281" si="220">K151</f>
        <v>0.3</v>
      </c>
      <c r="M281" s="926">
        <f t="shared" si="220"/>
        <v>-0.6</v>
      </c>
      <c r="N281" s="926" t="str">
        <f t="shared" si="220"/>
        <v>-</v>
      </c>
      <c r="O281" s="926">
        <f>N151</f>
        <v>0</v>
      </c>
      <c r="Q281" s="1456"/>
      <c r="R281" s="926">
        <v>14</v>
      </c>
      <c r="S281" s="926">
        <f>Q150</f>
        <v>980</v>
      </c>
      <c r="T281" s="927">
        <f t="shared" ref="T281:V281" si="221">R150</f>
        <v>3.9</v>
      </c>
      <c r="U281" s="927">
        <f t="shared" si="221"/>
        <v>1</v>
      </c>
      <c r="V281" s="927" t="str">
        <f t="shared" si="221"/>
        <v>-</v>
      </c>
      <c r="W281" s="927">
        <f>U150</f>
        <v>0</v>
      </c>
      <c r="Y281" s="924">
        <v>9</v>
      </c>
      <c r="Z281" s="925">
        <f>X93</f>
        <v>2.2000000000000002</v>
      </c>
      <c r="AE281" s="740"/>
    </row>
    <row r="282" spans="1:31" ht="13" x14ac:dyDescent="0.3">
      <c r="A282" s="1456"/>
      <c r="B282" s="926">
        <v>15</v>
      </c>
      <c r="C282" s="926">
        <f>C161</f>
        <v>25</v>
      </c>
      <c r="D282" s="926">
        <f t="shared" ref="D282:F282" si="222">D161</f>
        <v>0.2</v>
      </c>
      <c r="E282" s="926">
        <f t="shared" si="222"/>
        <v>-0.4</v>
      </c>
      <c r="F282" s="926" t="str">
        <f t="shared" si="222"/>
        <v>-</v>
      </c>
      <c r="G282" s="926">
        <f>G161</f>
        <v>0</v>
      </c>
      <c r="I282" s="1456"/>
      <c r="J282" s="926">
        <v>15</v>
      </c>
      <c r="K282" s="926">
        <f>J161</f>
        <v>50</v>
      </c>
      <c r="L282" s="926">
        <f t="shared" ref="L282:N282" si="223">K161</f>
        <v>-1.4</v>
      </c>
      <c r="M282" s="926">
        <f t="shared" si="223"/>
        <v>-0.3</v>
      </c>
      <c r="N282" s="926" t="str">
        <f t="shared" si="223"/>
        <v>-</v>
      </c>
      <c r="O282" s="926">
        <f>N161</f>
        <v>0</v>
      </c>
      <c r="Q282" s="1456"/>
      <c r="R282" s="926">
        <v>15</v>
      </c>
      <c r="S282" s="926">
        <f>Q161</f>
        <v>980</v>
      </c>
      <c r="T282" s="927">
        <f t="shared" ref="T282:V282" si="224">R161</f>
        <v>4.3</v>
      </c>
      <c r="U282" s="927">
        <f t="shared" si="224"/>
        <v>1</v>
      </c>
      <c r="V282" s="927" t="str">
        <f t="shared" si="224"/>
        <v>-</v>
      </c>
      <c r="W282" s="927">
        <f>U161</f>
        <v>0</v>
      </c>
      <c r="Y282" s="924">
        <v>10</v>
      </c>
      <c r="Z282" s="925">
        <f>X104</f>
        <v>0</v>
      </c>
      <c r="AE282" s="740"/>
    </row>
    <row r="283" spans="1:31" ht="13" x14ac:dyDescent="0.3">
      <c r="A283" s="1456"/>
      <c r="B283" s="926">
        <v>16</v>
      </c>
      <c r="C283" s="926">
        <f>C172</f>
        <v>25</v>
      </c>
      <c r="D283" s="926">
        <f t="shared" ref="D283:F283" si="225">D172</f>
        <v>0.5</v>
      </c>
      <c r="E283" s="926">
        <f t="shared" si="225"/>
        <v>0.2</v>
      </c>
      <c r="F283" s="926">
        <f t="shared" si="225"/>
        <v>0</v>
      </c>
      <c r="G283" s="926">
        <f>G172</f>
        <v>0.15</v>
      </c>
      <c r="I283" s="1456"/>
      <c r="J283" s="926">
        <v>16</v>
      </c>
      <c r="K283" s="926">
        <f>J172</f>
        <v>50</v>
      </c>
      <c r="L283" s="926">
        <f t="shared" ref="L283:N283" si="226">K172</f>
        <v>-2</v>
      </c>
      <c r="M283" s="926">
        <f t="shared" si="226"/>
        <v>-1.4</v>
      </c>
      <c r="N283" s="926">
        <f t="shared" si="226"/>
        <v>0</v>
      </c>
      <c r="O283" s="926">
        <f>N172</f>
        <v>0.30000000000000004</v>
      </c>
      <c r="Q283" s="1456"/>
      <c r="R283" s="926">
        <v>16</v>
      </c>
      <c r="S283" s="926">
        <f>Q172</f>
        <v>980</v>
      </c>
      <c r="T283" s="927">
        <f t="shared" ref="T283:V283" si="227">R172</f>
        <v>4.5</v>
      </c>
      <c r="U283" s="927" t="str">
        <f t="shared" si="227"/>
        <v>-</v>
      </c>
      <c r="V283" s="927">
        <f t="shared" si="227"/>
        <v>0</v>
      </c>
      <c r="W283" s="927">
        <f>U172</f>
        <v>0</v>
      </c>
      <c r="Y283" s="924">
        <v>11</v>
      </c>
      <c r="Z283" s="925">
        <f>X115</f>
        <v>0</v>
      </c>
      <c r="AE283" s="740"/>
    </row>
    <row r="284" spans="1:31" ht="13" x14ac:dyDescent="0.3">
      <c r="A284" s="1456"/>
      <c r="B284" s="926">
        <v>17</v>
      </c>
      <c r="C284" s="926">
        <f>C183</f>
        <v>25</v>
      </c>
      <c r="D284" s="926">
        <f t="shared" ref="D284:F284" si="228">D183</f>
        <v>0.5</v>
      </c>
      <c r="E284" s="926">
        <f t="shared" si="228"/>
        <v>0</v>
      </c>
      <c r="F284" s="926">
        <f t="shared" si="228"/>
        <v>0</v>
      </c>
      <c r="G284" s="926">
        <f>G183</f>
        <v>0.25</v>
      </c>
      <c r="I284" s="1456"/>
      <c r="J284" s="926">
        <v>17</v>
      </c>
      <c r="K284" s="926">
        <f>J183</f>
        <v>50</v>
      </c>
      <c r="L284" s="926">
        <f t="shared" ref="L284:N284" si="229">K183</f>
        <v>-1.9</v>
      </c>
      <c r="M284" s="926">
        <f t="shared" si="229"/>
        <v>0.2</v>
      </c>
      <c r="N284" s="926">
        <f t="shared" si="229"/>
        <v>0</v>
      </c>
      <c r="O284" s="926">
        <f>N183</f>
        <v>1.05</v>
      </c>
      <c r="Q284" s="1456"/>
      <c r="R284" s="926">
        <v>17</v>
      </c>
      <c r="S284" s="926">
        <f>Q183</f>
        <v>980</v>
      </c>
      <c r="T284" s="927">
        <f t="shared" ref="T284:V284" si="230">R183</f>
        <v>4.5999999999999996</v>
      </c>
      <c r="U284" s="927">
        <f t="shared" si="230"/>
        <v>-0.6</v>
      </c>
      <c r="V284" s="927">
        <f t="shared" si="230"/>
        <v>0</v>
      </c>
      <c r="W284" s="927">
        <f>U183</f>
        <v>2.5999999999999996</v>
      </c>
      <c r="Y284" s="924">
        <v>12</v>
      </c>
      <c r="Z284" s="946">
        <f>X126</f>
        <v>2.4</v>
      </c>
      <c r="AE284" s="740"/>
    </row>
    <row r="285" spans="1:31" ht="13" x14ac:dyDescent="0.3">
      <c r="A285" s="1456"/>
      <c r="B285" s="926">
        <v>18</v>
      </c>
      <c r="C285" s="926">
        <f>C194</f>
        <v>25</v>
      </c>
      <c r="D285" s="926">
        <f t="shared" ref="D285:F285" si="231">D194</f>
        <v>0.2</v>
      </c>
      <c r="E285" s="926">
        <f t="shared" si="231"/>
        <v>-0.2</v>
      </c>
      <c r="F285" s="926">
        <f t="shared" si="231"/>
        <v>0</v>
      </c>
      <c r="G285" s="926">
        <f>G194</f>
        <v>0.2</v>
      </c>
      <c r="I285" s="1456"/>
      <c r="J285" s="926">
        <v>18</v>
      </c>
      <c r="K285" s="926">
        <f>J194</f>
        <v>50</v>
      </c>
      <c r="L285" s="926">
        <f t="shared" ref="L285:N285" si="232">K194</f>
        <v>-2.4</v>
      </c>
      <c r="M285" s="926">
        <f t="shared" si="232"/>
        <v>-0.2</v>
      </c>
      <c r="N285" s="926">
        <f t="shared" si="232"/>
        <v>0</v>
      </c>
      <c r="O285" s="926">
        <f>N194</f>
        <v>1.0999999999999999</v>
      </c>
      <c r="Q285" s="1456"/>
      <c r="R285" s="926">
        <v>18</v>
      </c>
      <c r="S285" s="926">
        <f>Q194</f>
        <v>980</v>
      </c>
      <c r="T285" s="927">
        <f t="shared" ref="T285:V285" si="233">R194</f>
        <v>4.5</v>
      </c>
      <c r="U285" s="927" t="str">
        <f t="shared" si="233"/>
        <v>-</v>
      </c>
      <c r="V285" s="927">
        <f t="shared" si="233"/>
        <v>0</v>
      </c>
      <c r="W285" s="927">
        <f>U194</f>
        <v>0</v>
      </c>
      <c r="Y285" s="924">
        <v>13</v>
      </c>
      <c r="Z285" s="925">
        <f>X137</f>
        <v>2.4</v>
      </c>
      <c r="AE285" s="740"/>
    </row>
    <row r="286" spans="1:31" ht="13" x14ac:dyDescent="0.3">
      <c r="A286" s="1456"/>
      <c r="B286" s="926">
        <v>19</v>
      </c>
      <c r="C286" s="926">
        <f>C194</f>
        <v>25</v>
      </c>
      <c r="D286" s="926">
        <f t="shared" ref="D286:F286" si="234">D194</f>
        <v>0.2</v>
      </c>
      <c r="E286" s="926">
        <f t="shared" si="234"/>
        <v>-0.2</v>
      </c>
      <c r="F286" s="926">
        <f t="shared" si="234"/>
        <v>0</v>
      </c>
      <c r="G286" s="926">
        <f>G194</f>
        <v>0.2</v>
      </c>
      <c r="I286" s="1456"/>
      <c r="J286" s="926">
        <v>19</v>
      </c>
      <c r="K286" s="926">
        <f>J205</f>
        <v>50</v>
      </c>
      <c r="L286" s="926">
        <f t="shared" ref="L286:N286" si="235">K205</f>
        <v>-0.2</v>
      </c>
      <c r="M286" s="926" t="str">
        <f t="shared" si="235"/>
        <v>-</v>
      </c>
      <c r="N286" s="926">
        <f t="shared" si="235"/>
        <v>0</v>
      </c>
      <c r="O286" s="926">
        <f>N205</f>
        <v>0</v>
      </c>
      <c r="Q286" s="1456"/>
      <c r="R286" s="926">
        <v>19</v>
      </c>
      <c r="S286" s="926">
        <f>Q205</f>
        <v>850</v>
      </c>
      <c r="T286" s="927">
        <f t="shared" ref="T286:V286" si="236">R205</f>
        <v>2.4</v>
      </c>
      <c r="U286" s="927" t="str">
        <f t="shared" si="236"/>
        <v>-</v>
      </c>
      <c r="V286" s="927">
        <f t="shared" si="236"/>
        <v>0</v>
      </c>
      <c r="W286" s="927">
        <f>U205</f>
        <v>0</v>
      </c>
      <c r="Y286" s="924">
        <v>14</v>
      </c>
      <c r="Z286" s="925">
        <f>X148</f>
        <v>2.4</v>
      </c>
      <c r="AE286" s="740"/>
    </row>
    <row r="287" spans="1:31" ht="13.5" thickBot="1" x14ac:dyDescent="0.35">
      <c r="A287" s="1456"/>
      <c r="B287" s="926">
        <v>20</v>
      </c>
      <c r="C287" s="926">
        <f>C216</f>
        <v>24.6</v>
      </c>
      <c r="D287" s="926">
        <f t="shared" ref="D287:F287" si="237">D216</f>
        <v>9.9999999999999995E-7</v>
      </c>
      <c r="E287" s="926" t="str">
        <f t="shared" si="237"/>
        <v>-</v>
      </c>
      <c r="F287" s="926">
        <f t="shared" si="237"/>
        <v>9.9999999999999995E-7</v>
      </c>
      <c r="G287" s="926">
        <f>G216</f>
        <v>0</v>
      </c>
      <c r="I287" s="1456"/>
      <c r="J287" s="926">
        <v>20</v>
      </c>
      <c r="K287" s="926">
        <f>J216</f>
        <v>62.5</v>
      </c>
      <c r="L287" s="926">
        <f t="shared" ref="L287:N287" si="238">K216</f>
        <v>9.9999999999999995E-7</v>
      </c>
      <c r="M287" s="926" t="str">
        <f t="shared" si="238"/>
        <v>-</v>
      </c>
      <c r="N287" s="926">
        <f t="shared" si="238"/>
        <v>0</v>
      </c>
      <c r="O287" s="926">
        <f>N216</f>
        <v>0</v>
      </c>
      <c r="Q287" s="1458"/>
      <c r="R287" s="935">
        <v>20</v>
      </c>
      <c r="S287" s="935">
        <f>Q216</f>
        <v>850</v>
      </c>
      <c r="T287" s="947" t="str">
        <f t="shared" ref="T287:V287" si="239">R216</f>
        <v>-</v>
      </c>
      <c r="U287" s="947" t="str">
        <f t="shared" si="239"/>
        <v>-</v>
      </c>
      <c r="V287" s="947">
        <f t="shared" si="239"/>
        <v>0</v>
      </c>
      <c r="W287" s="947">
        <f>U216</f>
        <v>0</v>
      </c>
      <c r="Y287" s="924">
        <v>15</v>
      </c>
      <c r="Z287" s="925">
        <f>X159</f>
        <v>2.6</v>
      </c>
      <c r="AE287" s="938"/>
    </row>
    <row r="288" spans="1:31" ht="13.5" thickBot="1" x14ac:dyDescent="0.35">
      <c r="A288" s="141"/>
      <c r="B288" s="141"/>
      <c r="C288" s="141"/>
      <c r="D288" s="141"/>
      <c r="E288" s="141"/>
      <c r="F288" s="141"/>
      <c r="G288" s="141"/>
      <c r="I288" s="141"/>
      <c r="J288" s="141"/>
      <c r="K288" s="141"/>
      <c r="L288" s="141"/>
      <c r="M288" s="141"/>
      <c r="N288" s="141"/>
      <c r="O288" s="141"/>
      <c r="Q288" s="948"/>
      <c r="R288" s="950"/>
      <c r="S288" s="536"/>
      <c r="T288" s="537"/>
      <c r="U288" s="537"/>
      <c r="V288" s="537"/>
      <c r="W288" s="537"/>
      <c r="Y288" s="924">
        <v>16</v>
      </c>
      <c r="Z288" s="932">
        <f>X170</f>
        <v>2.2000000000000002</v>
      </c>
      <c r="AE288" s="740"/>
    </row>
    <row r="289" spans="1:31" ht="13" x14ac:dyDescent="0.3">
      <c r="A289" s="1456">
        <v>4</v>
      </c>
      <c r="B289" s="926">
        <v>1</v>
      </c>
      <c r="C289" s="926">
        <f>C8</f>
        <v>30</v>
      </c>
      <c r="D289" s="926">
        <f t="shared" ref="D289:F289" si="240">D8</f>
        <v>9.9999999999999995E-7</v>
      </c>
      <c r="E289" s="926">
        <f t="shared" si="240"/>
        <v>-0.2</v>
      </c>
      <c r="F289" s="926">
        <f t="shared" si="240"/>
        <v>0</v>
      </c>
      <c r="G289" s="926">
        <f>G8</f>
        <v>0.10000050000000001</v>
      </c>
      <c r="I289" s="1456">
        <v>4</v>
      </c>
      <c r="J289" s="926">
        <v>1</v>
      </c>
      <c r="K289" s="926">
        <f>J8</f>
        <v>60</v>
      </c>
      <c r="L289" s="926">
        <f t="shared" ref="L289:N289" si="241">K8</f>
        <v>-5.3</v>
      </c>
      <c r="M289" s="926">
        <f t="shared" si="241"/>
        <v>-5.2</v>
      </c>
      <c r="N289" s="926">
        <f t="shared" si="241"/>
        <v>0</v>
      </c>
      <c r="O289" s="926">
        <f>N8</f>
        <v>4.9999999999999822E-2</v>
      </c>
      <c r="Q289" s="1457">
        <v>4</v>
      </c>
      <c r="R289" s="942">
        <v>1</v>
      </c>
      <c r="S289" s="942">
        <f>Q8</f>
        <v>900</v>
      </c>
      <c r="T289" s="949" t="str">
        <f t="shared" ref="T289:V289" si="242">R8</f>
        <v>-</v>
      </c>
      <c r="U289" s="949" t="str">
        <f t="shared" si="242"/>
        <v>-</v>
      </c>
      <c r="V289" s="949">
        <f t="shared" si="242"/>
        <v>0</v>
      </c>
      <c r="W289" s="949">
        <f>U8</f>
        <v>0</v>
      </c>
      <c r="Y289" s="924">
        <v>17</v>
      </c>
      <c r="Z289" s="932">
        <f>X181</f>
        <v>2.1</v>
      </c>
      <c r="AE289" s="945"/>
    </row>
    <row r="290" spans="1:31" ht="13" x14ac:dyDescent="0.3">
      <c r="A290" s="1456"/>
      <c r="B290" s="926">
        <v>2</v>
      </c>
      <c r="C290" s="926">
        <f>C19</f>
        <v>30</v>
      </c>
      <c r="D290" s="926">
        <f t="shared" ref="D290:F290" si="243">D19</f>
        <v>0.4</v>
      </c>
      <c r="E290" s="926">
        <f t="shared" si="243"/>
        <v>0.2</v>
      </c>
      <c r="F290" s="926">
        <f t="shared" si="243"/>
        <v>-0.3</v>
      </c>
      <c r="G290" s="926">
        <f>G19</f>
        <v>0.35</v>
      </c>
      <c r="I290" s="1456"/>
      <c r="J290" s="926">
        <v>2</v>
      </c>
      <c r="K290" s="926">
        <f>J19</f>
        <v>60</v>
      </c>
      <c r="L290" s="926">
        <f t="shared" ref="L290:N290" si="244">K19</f>
        <v>-5.7</v>
      </c>
      <c r="M290" s="926">
        <f t="shared" si="244"/>
        <v>-4</v>
      </c>
      <c r="N290" s="926">
        <f t="shared" si="244"/>
        <v>-1.3</v>
      </c>
      <c r="O290" s="926">
        <f>N19</f>
        <v>2.2000000000000002</v>
      </c>
      <c r="Q290" s="1456"/>
      <c r="R290" s="926">
        <v>2</v>
      </c>
      <c r="S290" s="926">
        <f>Q19</f>
        <v>900</v>
      </c>
      <c r="T290" s="927" t="str">
        <f t="shared" ref="T290:V290" si="245">R19</f>
        <v>-</v>
      </c>
      <c r="U290" s="927" t="str">
        <f t="shared" si="245"/>
        <v>-</v>
      </c>
      <c r="V290" s="927">
        <f t="shared" si="245"/>
        <v>0</v>
      </c>
      <c r="W290" s="927">
        <f>U19</f>
        <v>0</v>
      </c>
      <c r="Y290" s="924">
        <v>18</v>
      </c>
      <c r="Z290" s="932">
        <f>X192</f>
        <v>2.1</v>
      </c>
      <c r="AE290" s="740"/>
    </row>
    <row r="291" spans="1:31" ht="13" x14ac:dyDescent="0.3">
      <c r="A291" s="1456"/>
      <c r="B291" s="926">
        <v>3</v>
      </c>
      <c r="C291" s="926">
        <f>C30</f>
        <v>30</v>
      </c>
      <c r="D291" s="926">
        <f t="shared" ref="D291:F291" si="246">D30</f>
        <v>0.3</v>
      </c>
      <c r="E291" s="926">
        <f t="shared" si="246"/>
        <v>9.9999999999999995E-7</v>
      </c>
      <c r="F291" s="926">
        <f t="shared" si="246"/>
        <v>-0.3</v>
      </c>
      <c r="G291" s="926">
        <f>G30</f>
        <v>0.3</v>
      </c>
      <c r="I291" s="1456"/>
      <c r="J291" s="926">
        <v>3</v>
      </c>
      <c r="K291" s="926">
        <f>J30</f>
        <v>60</v>
      </c>
      <c r="L291" s="926">
        <f t="shared" ref="L291:N291" si="247">K30</f>
        <v>-6.2</v>
      </c>
      <c r="M291" s="926">
        <f t="shared" si="247"/>
        <v>-3.2</v>
      </c>
      <c r="N291" s="926">
        <f t="shared" si="247"/>
        <v>-4.3</v>
      </c>
      <c r="O291" s="926">
        <f>N30</f>
        <v>1.5</v>
      </c>
      <c r="Q291" s="1456"/>
      <c r="R291" s="926">
        <v>3</v>
      </c>
      <c r="S291" s="926">
        <f>Q30</f>
        <v>900</v>
      </c>
      <c r="T291" s="927" t="str">
        <f t="shared" ref="T291:V291" si="248">R30</f>
        <v>-</v>
      </c>
      <c r="U291" s="927" t="str">
        <f t="shared" si="248"/>
        <v>-</v>
      </c>
      <c r="V291" s="927">
        <f t="shared" si="248"/>
        <v>0</v>
      </c>
      <c r="W291" s="927">
        <f>U30</f>
        <v>0</v>
      </c>
      <c r="Y291" s="924">
        <v>19</v>
      </c>
      <c r="Z291" s="932">
        <f>X203</f>
        <v>0.4</v>
      </c>
      <c r="AE291" s="740"/>
    </row>
    <row r="292" spans="1:31" ht="13.5" thickBot="1" x14ac:dyDescent="0.35">
      <c r="A292" s="1456"/>
      <c r="B292" s="926">
        <v>4</v>
      </c>
      <c r="C292" s="926">
        <f>C41</f>
        <v>30</v>
      </c>
      <c r="D292" s="926">
        <f t="shared" ref="D292:F292" si="249">D41</f>
        <v>-0.1</v>
      </c>
      <c r="E292" s="926">
        <f t="shared" si="249"/>
        <v>-0.6</v>
      </c>
      <c r="F292" s="926">
        <f t="shared" si="249"/>
        <v>0</v>
      </c>
      <c r="G292" s="926">
        <f>G41</f>
        <v>0.25</v>
      </c>
      <c r="I292" s="1456"/>
      <c r="J292" s="926">
        <v>4</v>
      </c>
      <c r="K292" s="926">
        <f>J41</f>
        <v>60</v>
      </c>
      <c r="L292" s="926">
        <f t="shared" ref="L292:N292" si="250">K41</f>
        <v>-4.2</v>
      </c>
      <c r="M292" s="926">
        <f t="shared" si="250"/>
        <v>-0.3</v>
      </c>
      <c r="N292" s="926">
        <f t="shared" si="250"/>
        <v>0</v>
      </c>
      <c r="O292" s="926">
        <f>N41</f>
        <v>1.9500000000000002</v>
      </c>
      <c r="Q292" s="1456"/>
      <c r="R292" s="926">
        <v>4</v>
      </c>
      <c r="S292" s="926">
        <f>Q41</f>
        <v>900</v>
      </c>
      <c r="T292" s="927" t="str">
        <f t="shared" ref="T292:V292" si="251">R41</f>
        <v>-</v>
      </c>
      <c r="U292" s="927" t="str">
        <f t="shared" si="251"/>
        <v>-</v>
      </c>
      <c r="V292" s="927">
        <f t="shared" si="251"/>
        <v>0</v>
      </c>
      <c r="W292" s="927">
        <f>U41</f>
        <v>0</v>
      </c>
      <c r="Y292" s="933">
        <v>20</v>
      </c>
      <c r="Z292" s="934">
        <f>X214</f>
        <v>0</v>
      </c>
      <c r="AE292" s="740"/>
    </row>
    <row r="293" spans="1:31" ht="13" x14ac:dyDescent="0.3">
      <c r="A293" s="1456"/>
      <c r="B293" s="926">
        <v>5</v>
      </c>
      <c r="C293" s="926">
        <f>C52</f>
        <v>30</v>
      </c>
      <c r="D293" s="926">
        <f t="shared" ref="D293:F293" si="252">D52</f>
        <v>0.4</v>
      </c>
      <c r="E293" s="926">
        <f t="shared" si="252"/>
        <v>0.6</v>
      </c>
      <c r="F293" s="926">
        <f t="shared" si="252"/>
        <v>0.1</v>
      </c>
      <c r="G293" s="926">
        <f>G52</f>
        <v>0.25</v>
      </c>
      <c r="I293" s="1456"/>
      <c r="J293" s="926">
        <v>5</v>
      </c>
      <c r="K293" s="926">
        <f>J52</f>
        <v>60</v>
      </c>
      <c r="L293" s="926">
        <f t="shared" ref="L293:N293" si="253">K52</f>
        <v>-8</v>
      </c>
      <c r="M293" s="926">
        <f t="shared" si="253"/>
        <v>-5.2</v>
      </c>
      <c r="N293" s="926">
        <f t="shared" si="253"/>
        <v>-4.2</v>
      </c>
      <c r="O293" s="926">
        <f>N52</f>
        <v>1.9</v>
      </c>
      <c r="Q293" s="1456"/>
      <c r="R293" s="926">
        <v>5</v>
      </c>
      <c r="S293" s="926">
        <f>Q52</f>
        <v>900</v>
      </c>
      <c r="T293" s="927" t="str">
        <f t="shared" ref="T293:V293" si="254">R52</f>
        <v>-</v>
      </c>
      <c r="U293" s="927" t="str">
        <f t="shared" si="254"/>
        <v>-</v>
      </c>
      <c r="V293" s="927">
        <f t="shared" si="254"/>
        <v>0</v>
      </c>
      <c r="W293" s="927">
        <f>U52</f>
        <v>0</v>
      </c>
      <c r="AE293" s="740"/>
    </row>
    <row r="294" spans="1:31" ht="13" x14ac:dyDescent="0.3">
      <c r="A294" s="1456"/>
      <c r="B294" s="926">
        <v>6</v>
      </c>
      <c r="C294" s="926">
        <f>C63</f>
        <v>30</v>
      </c>
      <c r="D294" s="926">
        <f t="shared" ref="D294:F294" si="255">D63</f>
        <v>0.1</v>
      </c>
      <c r="E294" s="926">
        <f t="shared" si="255"/>
        <v>-0.5</v>
      </c>
      <c r="F294" s="926">
        <f t="shared" si="255"/>
        <v>0</v>
      </c>
      <c r="G294" s="926">
        <f>G63</f>
        <v>0.3</v>
      </c>
      <c r="I294" s="1456"/>
      <c r="J294" s="926">
        <v>6</v>
      </c>
      <c r="K294" s="926">
        <f>J63</f>
        <v>60</v>
      </c>
      <c r="L294" s="926">
        <f t="shared" ref="L294:N294" si="256">K63</f>
        <v>-6.4</v>
      </c>
      <c r="M294" s="926">
        <f t="shared" si="256"/>
        <v>1.1000000000000001</v>
      </c>
      <c r="N294" s="926">
        <f t="shared" si="256"/>
        <v>0</v>
      </c>
      <c r="O294" s="926">
        <f>N63</f>
        <v>3.75</v>
      </c>
      <c r="Q294" s="1456"/>
      <c r="R294" s="926">
        <v>6</v>
      </c>
      <c r="S294" s="926">
        <f>Q63</f>
        <v>900</v>
      </c>
      <c r="T294" s="927">
        <f t="shared" ref="T294:V294" si="257">R63</f>
        <v>0.9</v>
      </c>
      <c r="U294" s="927">
        <f t="shared" si="257"/>
        <v>0.7</v>
      </c>
      <c r="V294" s="927">
        <f t="shared" si="257"/>
        <v>0</v>
      </c>
      <c r="W294" s="927">
        <f>U63</f>
        <v>0.10000000000000003</v>
      </c>
      <c r="AE294" s="740"/>
    </row>
    <row r="295" spans="1:31" ht="13" x14ac:dyDescent="0.3">
      <c r="A295" s="1456"/>
      <c r="B295" s="926">
        <v>7</v>
      </c>
      <c r="C295" s="926">
        <f>C74</f>
        <v>30</v>
      </c>
      <c r="D295" s="926">
        <f t="shared" ref="D295:F295" si="258">D74</f>
        <v>-0.2</v>
      </c>
      <c r="E295" s="926">
        <f t="shared" si="258"/>
        <v>9.9999999999999995E-7</v>
      </c>
      <c r="F295" s="926">
        <f t="shared" si="258"/>
        <v>-0.6</v>
      </c>
      <c r="G295" s="926">
        <f>G74</f>
        <v>0.3000005</v>
      </c>
      <c r="I295" s="1456"/>
      <c r="J295" s="926">
        <v>7</v>
      </c>
      <c r="K295" s="926">
        <f>J74</f>
        <v>60</v>
      </c>
      <c r="L295" s="926">
        <f t="shared" ref="L295:N295" si="259">K74</f>
        <v>-2.2000000000000002</v>
      </c>
      <c r="M295" s="926">
        <f t="shared" si="259"/>
        <v>-2.1</v>
      </c>
      <c r="N295" s="926">
        <f t="shared" si="259"/>
        <v>0.7</v>
      </c>
      <c r="O295" s="926">
        <f>N74</f>
        <v>1.4500000000000002</v>
      </c>
      <c r="Q295" s="1456"/>
      <c r="R295" s="926">
        <v>7</v>
      </c>
      <c r="S295" s="926">
        <f>Q74</f>
        <v>990</v>
      </c>
      <c r="T295" s="927">
        <f t="shared" ref="T295:V295" si="260">R74</f>
        <v>0.5</v>
      </c>
      <c r="U295" s="927" t="str">
        <f t="shared" si="260"/>
        <v>-</v>
      </c>
      <c r="V295" s="927" t="str">
        <f t="shared" si="260"/>
        <v>-</v>
      </c>
      <c r="W295" s="927">
        <f>U74</f>
        <v>0</v>
      </c>
      <c r="AE295" s="740"/>
    </row>
    <row r="296" spans="1:31" ht="13" x14ac:dyDescent="0.3">
      <c r="A296" s="1456"/>
      <c r="B296" s="926">
        <v>8</v>
      </c>
      <c r="C296" s="926">
        <f>C85</f>
        <v>30</v>
      </c>
      <c r="D296" s="926">
        <f t="shared" ref="D296:F296" si="261">D85</f>
        <v>-0.2</v>
      </c>
      <c r="E296" s="926">
        <f t="shared" si="261"/>
        <v>-0.4</v>
      </c>
      <c r="F296" s="926">
        <f t="shared" si="261"/>
        <v>0</v>
      </c>
      <c r="G296" s="926">
        <f>G85</f>
        <v>0.1</v>
      </c>
      <c r="I296" s="1456"/>
      <c r="J296" s="926">
        <v>8</v>
      </c>
      <c r="K296" s="926">
        <f>J85</f>
        <v>60</v>
      </c>
      <c r="L296" s="926">
        <f t="shared" ref="L296:N296" si="262">K85</f>
        <v>-3.9</v>
      </c>
      <c r="M296" s="926">
        <f t="shared" si="262"/>
        <v>-1.1000000000000001</v>
      </c>
      <c r="N296" s="926">
        <f t="shared" si="262"/>
        <v>0</v>
      </c>
      <c r="O296" s="926">
        <f>N85</f>
        <v>1.4</v>
      </c>
      <c r="Q296" s="1456"/>
      <c r="R296" s="926">
        <v>8</v>
      </c>
      <c r="S296" s="926">
        <f>Q85</f>
        <v>900</v>
      </c>
      <c r="T296" s="927">
        <f t="shared" ref="T296:V296" si="263">R85</f>
        <v>-4.4000000000000004</v>
      </c>
      <c r="U296" s="927">
        <f t="shared" si="263"/>
        <v>9.9999999999999995E-7</v>
      </c>
      <c r="V296" s="927">
        <f t="shared" si="263"/>
        <v>0</v>
      </c>
      <c r="W296" s="927">
        <f>U85</f>
        <v>2.2000005000000002</v>
      </c>
      <c r="AE296" s="740"/>
    </row>
    <row r="297" spans="1:31" ht="13" x14ac:dyDescent="0.3">
      <c r="A297" s="1456"/>
      <c r="B297" s="926">
        <v>9</v>
      </c>
      <c r="C297" s="926">
        <f>C96</f>
        <v>30</v>
      </c>
      <c r="D297" s="926">
        <f t="shared" ref="D297:F297" si="264">D96</f>
        <v>-0.5</v>
      </c>
      <c r="E297" s="926" t="str">
        <f t="shared" si="264"/>
        <v>-</v>
      </c>
      <c r="F297" s="926">
        <f t="shared" si="264"/>
        <v>0</v>
      </c>
      <c r="G297" s="926">
        <f>G96</f>
        <v>0</v>
      </c>
      <c r="I297" s="1456"/>
      <c r="J297" s="926">
        <v>9</v>
      </c>
      <c r="K297" s="926">
        <f>J96</f>
        <v>60</v>
      </c>
      <c r="L297" s="926">
        <f t="shared" ref="L297:N297" si="265">K96</f>
        <v>-0.8</v>
      </c>
      <c r="M297" s="926" t="str">
        <f t="shared" si="265"/>
        <v>-</v>
      </c>
      <c r="N297" s="926">
        <f t="shared" si="265"/>
        <v>0</v>
      </c>
      <c r="O297" s="926">
        <f>N96</f>
        <v>0</v>
      </c>
      <c r="Q297" s="1456"/>
      <c r="R297" s="926">
        <v>9</v>
      </c>
      <c r="S297" s="926">
        <f>Q96</f>
        <v>900</v>
      </c>
      <c r="T297" s="927">
        <f t="shared" ref="T297:V297" si="266">R96</f>
        <v>9.9999999999999995E-7</v>
      </c>
      <c r="U297" s="927" t="str">
        <f t="shared" si="266"/>
        <v>-</v>
      </c>
      <c r="V297" s="927">
        <f t="shared" si="266"/>
        <v>0</v>
      </c>
      <c r="W297" s="927">
        <f>U96</f>
        <v>0</v>
      </c>
      <c r="AE297" s="740"/>
    </row>
    <row r="298" spans="1:31" ht="13" x14ac:dyDescent="0.3">
      <c r="A298" s="1456"/>
      <c r="B298" s="926">
        <v>10</v>
      </c>
      <c r="C298" s="926">
        <f>C107</f>
        <v>30</v>
      </c>
      <c r="D298" s="926">
        <f t="shared" ref="D298:F298" si="267">D107</f>
        <v>0.1</v>
      </c>
      <c r="E298" s="926">
        <f t="shared" si="267"/>
        <v>0.2</v>
      </c>
      <c r="F298" s="926">
        <f t="shared" si="267"/>
        <v>0</v>
      </c>
      <c r="G298" s="926">
        <f>G107</f>
        <v>0.05</v>
      </c>
      <c r="I298" s="1456"/>
      <c r="J298" s="926">
        <v>10</v>
      </c>
      <c r="K298" s="926">
        <f>J107</f>
        <v>60</v>
      </c>
      <c r="L298" s="926">
        <f t="shared" ref="L298:N298" si="268">K107</f>
        <v>-2.1</v>
      </c>
      <c r="M298" s="926">
        <f t="shared" si="268"/>
        <v>-5.6</v>
      </c>
      <c r="N298" s="926">
        <f t="shared" si="268"/>
        <v>0</v>
      </c>
      <c r="O298" s="926">
        <f>N107</f>
        <v>1.7499999999999998</v>
      </c>
      <c r="Q298" s="1456"/>
      <c r="R298" s="926">
        <v>10</v>
      </c>
      <c r="S298" s="926">
        <f>Q107</f>
        <v>900</v>
      </c>
      <c r="T298" s="927" t="str">
        <f t="shared" ref="T298:V298" si="269">R107</f>
        <v>-</v>
      </c>
      <c r="U298" s="927" t="str">
        <f t="shared" si="269"/>
        <v>-</v>
      </c>
      <c r="V298" s="927">
        <f t="shared" si="269"/>
        <v>0</v>
      </c>
      <c r="W298" s="927">
        <f>U107</f>
        <v>0</v>
      </c>
      <c r="AE298" s="740"/>
    </row>
    <row r="299" spans="1:31" ht="13" x14ac:dyDescent="0.3">
      <c r="A299" s="1456"/>
      <c r="B299" s="926">
        <v>11</v>
      </c>
      <c r="C299" s="926">
        <f>C118</f>
        <v>30</v>
      </c>
      <c r="D299" s="926">
        <f t="shared" ref="D299:F299" si="270">D118</f>
        <v>0.5</v>
      </c>
      <c r="E299" s="926">
        <f t="shared" si="270"/>
        <v>0.4</v>
      </c>
      <c r="F299" s="926">
        <f t="shared" si="270"/>
        <v>0</v>
      </c>
      <c r="G299" s="926">
        <f>G118</f>
        <v>4.9999999999999989E-2</v>
      </c>
      <c r="I299" s="1456"/>
      <c r="J299" s="926">
        <v>11</v>
      </c>
      <c r="K299" s="926">
        <f>J118</f>
        <v>60</v>
      </c>
      <c r="L299" s="926">
        <f t="shared" ref="L299:N299" si="271">K118</f>
        <v>-4.8</v>
      </c>
      <c r="M299" s="926">
        <f t="shared" si="271"/>
        <v>-4.5</v>
      </c>
      <c r="N299" s="926">
        <f t="shared" si="271"/>
        <v>0</v>
      </c>
      <c r="O299" s="926">
        <f>N118</f>
        <v>0.14999999999999991</v>
      </c>
      <c r="Q299" s="1456"/>
      <c r="R299" s="926">
        <v>11</v>
      </c>
      <c r="S299" s="926">
        <f>Q118</f>
        <v>900</v>
      </c>
      <c r="T299" s="927" t="str">
        <f t="shared" ref="T299:V299" si="272">R118</f>
        <v>-</v>
      </c>
      <c r="U299" s="927" t="str">
        <f t="shared" si="272"/>
        <v>-</v>
      </c>
      <c r="V299" s="927">
        <f t="shared" si="272"/>
        <v>0</v>
      </c>
      <c r="W299" s="927">
        <f>U118</f>
        <v>0</v>
      </c>
      <c r="AE299" s="740"/>
    </row>
    <row r="300" spans="1:31" ht="13" x14ac:dyDescent="0.3">
      <c r="A300" s="1456"/>
      <c r="B300" s="926">
        <v>12</v>
      </c>
      <c r="C300" s="926">
        <f>C129</f>
        <v>30</v>
      </c>
      <c r="D300" s="926">
        <f t="shared" ref="D300:F300" si="273">D129</f>
        <v>-0.1</v>
      </c>
      <c r="E300" s="926" t="str">
        <f t="shared" si="273"/>
        <v>-</v>
      </c>
      <c r="F300" s="926">
        <f t="shared" si="273"/>
        <v>0</v>
      </c>
      <c r="G300" s="926">
        <f>G129</f>
        <v>0</v>
      </c>
      <c r="I300" s="1456"/>
      <c r="J300" s="926">
        <v>12</v>
      </c>
      <c r="K300" s="926">
        <f>J129</f>
        <v>60</v>
      </c>
      <c r="L300" s="926">
        <f t="shared" ref="L300:N300" si="274">K129</f>
        <v>9.9999999999999995E-7</v>
      </c>
      <c r="M300" s="926" t="str">
        <f t="shared" si="274"/>
        <v>-</v>
      </c>
      <c r="N300" s="926">
        <f t="shared" si="274"/>
        <v>0</v>
      </c>
      <c r="O300" s="926">
        <f>N129</f>
        <v>0</v>
      </c>
      <c r="Q300" s="1456"/>
      <c r="R300" s="926">
        <v>12</v>
      </c>
      <c r="S300" s="926">
        <f>Q129</f>
        <v>950</v>
      </c>
      <c r="T300" s="927">
        <f t="shared" ref="T300:V300" si="275">R129</f>
        <v>-0.7</v>
      </c>
      <c r="U300" s="927" t="str">
        <f t="shared" si="275"/>
        <v>-</v>
      </c>
      <c r="V300" s="927">
        <f t="shared" si="275"/>
        <v>0</v>
      </c>
      <c r="W300" s="927">
        <f>U129</f>
        <v>0</v>
      </c>
      <c r="AE300" s="740"/>
    </row>
    <row r="301" spans="1:31" ht="13" x14ac:dyDescent="0.3">
      <c r="A301" s="1456"/>
      <c r="B301" s="926">
        <v>13</v>
      </c>
      <c r="C301" s="926">
        <f>C151</f>
        <v>30</v>
      </c>
      <c r="D301" s="926">
        <f t="shared" ref="D301:F301" si="276">D151</f>
        <v>-0.4</v>
      </c>
      <c r="E301" s="926">
        <f t="shared" si="276"/>
        <v>-0.3</v>
      </c>
      <c r="F301" s="926" t="str">
        <f t="shared" si="276"/>
        <v>-</v>
      </c>
      <c r="G301" s="926">
        <f>G151</f>
        <v>0</v>
      </c>
      <c r="I301" s="1456"/>
      <c r="J301" s="926">
        <v>13</v>
      </c>
      <c r="K301" s="926">
        <f>J140</f>
        <v>60</v>
      </c>
      <c r="L301" s="926">
        <f t="shared" ref="L301:N301" si="277">K140</f>
        <v>-1.6</v>
      </c>
      <c r="M301" s="926">
        <f t="shared" si="277"/>
        <v>-1.5</v>
      </c>
      <c r="N301" s="926" t="str">
        <f t="shared" si="277"/>
        <v>-</v>
      </c>
      <c r="O301" s="926">
        <f>N140</f>
        <v>0</v>
      </c>
      <c r="Q301" s="1456"/>
      <c r="R301" s="926">
        <v>13</v>
      </c>
      <c r="S301" s="926">
        <f>Q140</f>
        <v>990</v>
      </c>
      <c r="T301" s="927">
        <f t="shared" ref="T301:V301" si="278">R140</f>
        <v>3.8</v>
      </c>
      <c r="U301" s="927">
        <f t="shared" si="278"/>
        <v>1.1000000000000001</v>
      </c>
      <c r="V301" s="927" t="str">
        <f t="shared" si="278"/>
        <v>-</v>
      </c>
      <c r="W301" s="927">
        <f>U140</f>
        <v>0</v>
      </c>
      <c r="AE301" s="740"/>
    </row>
    <row r="302" spans="1:31" ht="13" x14ac:dyDescent="0.3">
      <c r="A302" s="1456"/>
      <c r="B302" s="926">
        <v>14</v>
      </c>
      <c r="C302" s="926">
        <f>C151</f>
        <v>30</v>
      </c>
      <c r="D302" s="926">
        <f t="shared" ref="D302:F302" si="279">D151</f>
        <v>-0.4</v>
      </c>
      <c r="E302" s="926">
        <f t="shared" si="279"/>
        <v>-0.3</v>
      </c>
      <c r="F302" s="926" t="str">
        <f t="shared" si="279"/>
        <v>-</v>
      </c>
      <c r="G302" s="926">
        <f>G151</f>
        <v>0</v>
      </c>
      <c r="I302" s="1456"/>
      <c r="J302" s="926">
        <v>14</v>
      </c>
      <c r="K302" s="926">
        <f>J151</f>
        <v>60</v>
      </c>
      <c r="L302" s="926">
        <f t="shared" ref="L302:N302" si="280">K151</f>
        <v>0.3</v>
      </c>
      <c r="M302" s="926">
        <f t="shared" si="280"/>
        <v>-0.6</v>
      </c>
      <c r="N302" s="926" t="str">
        <f t="shared" si="280"/>
        <v>-</v>
      </c>
      <c r="O302" s="926">
        <f>N151</f>
        <v>0</v>
      </c>
      <c r="Q302" s="1456"/>
      <c r="R302" s="926">
        <v>14</v>
      </c>
      <c r="S302" s="926">
        <f>Q151</f>
        <v>990</v>
      </c>
      <c r="T302" s="927">
        <f t="shared" ref="T302:V302" si="281">R151</f>
        <v>3.9</v>
      </c>
      <c r="U302" s="927">
        <f t="shared" si="281"/>
        <v>1.1000000000000001</v>
      </c>
      <c r="V302" s="927" t="str">
        <f t="shared" si="281"/>
        <v>-</v>
      </c>
      <c r="W302" s="927">
        <f>U151</f>
        <v>0</v>
      </c>
      <c r="AE302" s="740"/>
    </row>
    <row r="303" spans="1:31" ht="13" x14ac:dyDescent="0.3">
      <c r="A303" s="1456"/>
      <c r="B303" s="926">
        <v>15</v>
      </c>
      <c r="C303" s="926">
        <f>C162</f>
        <v>30</v>
      </c>
      <c r="D303" s="926">
        <f t="shared" ref="D303:F303" si="282">D162</f>
        <v>0.4</v>
      </c>
      <c r="E303" s="926">
        <f t="shared" si="282"/>
        <v>-0.2</v>
      </c>
      <c r="F303" s="926" t="str">
        <f t="shared" si="282"/>
        <v>-</v>
      </c>
      <c r="G303" s="926">
        <f>G162</f>
        <v>0</v>
      </c>
      <c r="I303" s="1456"/>
      <c r="J303" s="926">
        <v>15</v>
      </c>
      <c r="K303" s="926">
        <f>J162</f>
        <v>60</v>
      </c>
      <c r="L303" s="926">
        <f t="shared" ref="L303:N303" si="283">K162</f>
        <v>-1.1000000000000001</v>
      </c>
      <c r="M303" s="926">
        <f t="shared" si="283"/>
        <v>-0.5</v>
      </c>
      <c r="N303" s="926" t="str">
        <f t="shared" si="283"/>
        <v>-</v>
      </c>
      <c r="O303" s="926">
        <f>N162</f>
        <v>0</v>
      </c>
      <c r="Q303" s="1456"/>
      <c r="R303" s="926">
        <v>15</v>
      </c>
      <c r="S303" s="926">
        <f>Q162</f>
        <v>990</v>
      </c>
      <c r="T303" s="927">
        <f t="shared" ref="T303:V303" si="284">R162</f>
        <v>4.2</v>
      </c>
      <c r="U303" s="927">
        <f t="shared" si="284"/>
        <v>1.1000000000000001</v>
      </c>
      <c r="V303" s="927" t="str">
        <f t="shared" si="284"/>
        <v>-</v>
      </c>
      <c r="W303" s="927">
        <f>U162</f>
        <v>0</v>
      </c>
      <c r="AE303" s="740"/>
    </row>
    <row r="304" spans="1:31" ht="13" x14ac:dyDescent="0.3">
      <c r="A304" s="1456"/>
      <c r="B304" s="926">
        <v>16</v>
      </c>
      <c r="C304" s="926">
        <f>C173</f>
        <v>30</v>
      </c>
      <c r="D304" s="926">
        <f t="shared" ref="D304:F304" si="285">D173</f>
        <v>0.6</v>
      </c>
      <c r="E304" s="926">
        <f t="shared" si="285"/>
        <v>0.2</v>
      </c>
      <c r="F304" s="926">
        <f t="shared" si="285"/>
        <v>0</v>
      </c>
      <c r="G304" s="926">
        <f>G173</f>
        <v>0.19999999999999998</v>
      </c>
      <c r="I304" s="1456"/>
      <c r="J304" s="926">
        <v>16</v>
      </c>
      <c r="K304" s="926">
        <f>J173</f>
        <v>60</v>
      </c>
      <c r="L304" s="926">
        <f t="shared" ref="L304:N304" si="286">K173</f>
        <v>-1.9</v>
      </c>
      <c r="M304" s="926">
        <f t="shared" si="286"/>
        <v>-1.5</v>
      </c>
      <c r="N304" s="926">
        <f t="shared" si="286"/>
        <v>0</v>
      </c>
      <c r="O304" s="926">
        <f>N173</f>
        <v>0.19999999999999996</v>
      </c>
      <c r="Q304" s="1456"/>
      <c r="R304" s="926">
        <v>16</v>
      </c>
      <c r="S304" s="926">
        <f>Q173</f>
        <v>990</v>
      </c>
      <c r="T304" s="927">
        <f t="shared" ref="T304:V304" si="287">R173</f>
        <v>4.4000000000000004</v>
      </c>
      <c r="U304" s="927" t="str">
        <f t="shared" si="287"/>
        <v>-</v>
      </c>
      <c r="V304" s="927">
        <f t="shared" si="287"/>
        <v>0</v>
      </c>
      <c r="W304" s="927">
        <f>U173</f>
        <v>0</v>
      </c>
      <c r="AE304" s="740"/>
    </row>
    <row r="305" spans="1:31" ht="13" x14ac:dyDescent="0.3">
      <c r="A305" s="1456"/>
      <c r="B305" s="926">
        <v>17</v>
      </c>
      <c r="C305" s="926">
        <f>C184</f>
        <v>30</v>
      </c>
      <c r="D305" s="926">
        <f t="shared" ref="D305:F305" si="288">D184</f>
        <v>0.6</v>
      </c>
      <c r="E305" s="926">
        <f t="shared" si="288"/>
        <v>-0.2</v>
      </c>
      <c r="F305" s="926">
        <f t="shared" si="288"/>
        <v>0</v>
      </c>
      <c r="G305" s="926">
        <f>G184</f>
        <v>0.4</v>
      </c>
      <c r="I305" s="1456"/>
      <c r="J305" s="926">
        <v>17</v>
      </c>
      <c r="K305" s="926">
        <f>J184</f>
        <v>60</v>
      </c>
      <c r="L305" s="926">
        <f t="shared" ref="L305:N305" si="289">K184</f>
        <v>-1.7</v>
      </c>
      <c r="M305" s="926">
        <f t="shared" si="289"/>
        <v>0</v>
      </c>
      <c r="N305" s="926">
        <f t="shared" si="289"/>
        <v>0</v>
      </c>
      <c r="O305" s="926">
        <f>N184</f>
        <v>0.85</v>
      </c>
      <c r="Q305" s="1456"/>
      <c r="R305" s="926">
        <v>17</v>
      </c>
      <c r="S305" s="926">
        <f>Q184</f>
        <v>990</v>
      </c>
      <c r="T305" s="927">
        <f t="shared" ref="T305:V305" si="290">R184</f>
        <v>4.5999999999999996</v>
      </c>
      <c r="U305" s="927">
        <f t="shared" si="290"/>
        <v>-0.6</v>
      </c>
      <c r="V305" s="927">
        <f t="shared" si="290"/>
        <v>0</v>
      </c>
      <c r="W305" s="927">
        <f>U184</f>
        <v>2.5999999999999996</v>
      </c>
      <c r="AE305" s="740"/>
    </row>
    <row r="306" spans="1:31" ht="13" x14ac:dyDescent="0.3">
      <c r="A306" s="1456"/>
      <c r="B306" s="926">
        <v>18</v>
      </c>
      <c r="C306" s="926">
        <f>C195</f>
        <v>30</v>
      </c>
      <c r="D306" s="926">
        <f t="shared" ref="D306:F306" si="291">D195</f>
        <v>0.3</v>
      </c>
      <c r="E306" s="926">
        <f t="shared" si="291"/>
        <v>-0.2</v>
      </c>
      <c r="F306" s="926">
        <f t="shared" si="291"/>
        <v>0</v>
      </c>
      <c r="G306" s="926">
        <f>G195</f>
        <v>0.25</v>
      </c>
      <c r="I306" s="1456"/>
      <c r="J306" s="926">
        <v>18</v>
      </c>
      <c r="K306" s="926">
        <f>J195</f>
        <v>60</v>
      </c>
      <c r="L306" s="926">
        <f t="shared" ref="L306:N306" si="292">K195</f>
        <v>-2.1</v>
      </c>
      <c r="M306" s="926">
        <f t="shared" si="292"/>
        <v>-0.2</v>
      </c>
      <c r="N306" s="926">
        <f t="shared" si="292"/>
        <v>0</v>
      </c>
      <c r="O306" s="926">
        <f>N195</f>
        <v>0.95000000000000007</v>
      </c>
      <c r="Q306" s="1456"/>
      <c r="R306" s="926">
        <v>18</v>
      </c>
      <c r="S306" s="926">
        <f>Q195</f>
        <v>990</v>
      </c>
      <c r="T306" s="927">
        <f t="shared" ref="T306:V306" si="293">R195</f>
        <v>4.5</v>
      </c>
      <c r="U306" s="927" t="str">
        <f t="shared" si="293"/>
        <v>-</v>
      </c>
      <c r="V306" s="927">
        <f t="shared" si="293"/>
        <v>0</v>
      </c>
      <c r="W306" s="927">
        <f>U195</f>
        <v>0</v>
      </c>
      <c r="AE306" s="740"/>
    </row>
    <row r="307" spans="1:31" ht="13" x14ac:dyDescent="0.3">
      <c r="A307" s="1456"/>
      <c r="B307" s="926">
        <v>19</v>
      </c>
      <c r="C307" s="926">
        <f>C206</f>
        <v>30</v>
      </c>
      <c r="D307" s="926">
        <f t="shared" ref="D307:F307" si="294">D206</f>
        <v>-0.1</v>
      </c>
      <c r="E307" s="926" t="str">
        <f t="shared" si="294"/>
        <v>-</v>
      </c>
      <c r="F307" s="926">
        <f t="shared" si="294"/>
        <v>0</v>
      </c>
      <c r="G307" s="926">
        <f>G206</f>
        <v>0</v>
      </c>
      <c r="I307" s="1456"/>
      <c r="J307" s="926">
        <v>19</v>
      </c>
      <c r="K307" s="926">
        <f>J206</f>
        <v>60</v>
      </c>
      <c r="L307" s="926">
        <f t="shared" ref="L307:N307" si="295">K206</f>
        <v>0.4</v>
      </c>
      <c r="M307" s="926" t="str">
        <f t="shared" si="295"/>
        <v>-</v>
      </c>
      <c r="N307" s="926">
        <f t="shared" si="295"/>
        <v>0</v>
      </c>
      <c r="O307" s="926">
        <f>N206</f>
        <v>0</v>
      </c>
      <c r="Q307" s="1456"/>
      <c r="R307" s="926">
        <v>19</v>
      </c>
      <c r="S307" s="926">
        <f>Q206</f>
        <v>900</v>
      </c>
      <c r="T307" s="927">
        <f t="shared" ref="T307:V307" si="296">R206</f>
        <v>2.2999999999999998</v>
      </c>
      <c r="U307" s="927" t="str">
        <f t="shared" si="296"/>
        <v>-</v>
      </c>
      <c r="V307" s="927">
        <f t="shared" si="296"/>
        <v>0</v>
      </c>
      <c r="W307" s="927">
        <f>U206</f>
        <v>0</v>
      </c>
      <c r="AE307" s="740"/>
    </row>
    <row r="308" spans="1:31" ht="13.5" thickBot="1" x14ac:dyDescent="0.35">
      <c r="A308" s="1456"/>
      <c r="B308" s="926">
        <v>20</v>
      </c>
      <c r="C308" s="926">
        <f>C217</f>
        <v>29.5</v>
      </c>
      <c r="D308" s="926">
        <f t="shared" ref="D308:F308" si="297">D217</f>
        <v>9.9999999999999995E-7</v>
      </c>
      <c r="E308" s="926" t="str">
        <f t="shared" si="297"/>
        <v>-</v>
      </c>
      <c r="F308" s="926">
        <f t="shared" si="297"/>
        <v>9.9999999999999995E-7</v>
      </c>
      <c r="G308" s="926">
        <f>G217</f>
        <v>0</v>
      </c>
      <c r="I308" s="1456"/>
      <c r="J308" s="926">
        <v>20</v>
      </c>
      <c r="K308" s="926">
        <f>J217</f>
        <v>71.5</v>
      </c>
      <c r="L308" s="926">
        <f t="shared" ref="L308:N308" si="298">K217</f>
        <v>9.9999999999999995E-7</v>
      </c>
      <c r="M308" s="926" t="str">
        <f t="shared" si="298"/>
        <v>-</v>
      </c>
      <c r="N308" s="926">
        <f t="shared" si="298"/>
        <v>0</v>
      </c>
      <c r="O308" s="926">
        <f>N217</f>
        <v>0</v>
      </c>
      <c r="Q308" s="1458"/>
      <c r="R308" s="935">
        <v>20</v>
      </c>
      <c r="S308" s="935">
        <f>Q217</f>
        <v>900</v>
      </c>
      <c r="T308" s="947" t="str">
        <f t="shared" ref="T308:V308" si="299">R217</f>
        <v>-</v>
      </c>
      <c r="U308" s="947" t="str">
        <f t="shared" si="299"/>
        <v>-</v>
      </c>
      <c r="V308" s="947">
        <f t="shared" si="299"/>
        <v>0</v>
      </c>
      <c r="W308" s="947">
        <f>U217</f>
        <v>0</v>
      </c>
      <c r="AE308" s="938"/>
    </row>
    <row r="309" spans="1:31" ht="13.5" thickBot="1" x14ac:dyDescent="0.35">
      <c r="A309" s="141"/>
      <c r="B309" s="141"/>
      <c r="C309" s="141"/>
      <c r="D309" s="141"/>
      <c r="E309" s="141"/>
      <c r="F309" s="141"/>
      <c r="G309" s="141"/>
      <c r="I309" s="141"/>
      <c r="J309" s="141"/>
      <c r="K309" s="141"/>
      <c r="L309" s="141"/>
      <c r="M309" s="141"/>
      <c r="N309" s="141"/>
      <c r="O309" s="141"/>
      <c r="Q309" s="948"/>
      <c r="R309" s="950"/>
      <c r="S309" s="536"/>
      <c r="T309" s="537"/>
      <c r="U309" s="537"/>
      <c r="V309" s="537"/>
      <c r="W309" s="537"/>
      <c r="AE309" s="740"/>
    </row>
    <row r="310" spans="1:31" ht="13" x14ac:dyDescent="0.3">
      <c r="A310" s="1456">
        <v>5</v>
      </c>
      <c r="B310" s="926">
        <v>1</v>
      </c>
      <c r="C310" s="926">
        <f>C9</f>
        <v>35</v>
      </c>
      <c r="D310" s="926">
        <f t="shared" ref="D310:F310" si="300">D9</f>
        <v>-0.1</v>
      </c>
      <c r="E310" s="926">
        <f t="shared" si="300"/>
        <v>-0.5</v>
      </c>
      <c r="F310" s="926">
        <f t="shared" si="300"/>
        <v>0</v>
      </c>
      <c r="G310" s="926">
        <f>G9</f>
        <v>0.25</v>
      </c>
      <c r="I310" s="1456">
        <v>5</v>
      </c>
      <c r="J310" s="926">
        <v>1</v>
      </c>
      <c r="K310" s="926">
        <f>J20</f>
        <v>70</v>
      </c>
      <c r="L310" s="926">
        <f t="shared" ref="L310:N310" si="301">K20</f>
        <v>-3.4</v>
      </c>
      <c r="M310" s="926">
        <f t="shared" si="301"/>
        <v>-2.4</v>
      </c>
      <c r="N310" s="926">
        <f t="shared" si="301"/>
        <v>-1.1000000000000001</v>
      </c>
      <c r="O310" s="926">
        <f>N20</f>
        <v>1.1499999999999999</v>
      </c>
      <c r="Q310" s="1457">
        <v>5</v>
      </c>
      <c r="R310" s="942">
        <v>1</v>
      </c>
      <c r="S310" s="942">
        <f>Q9</f>
        <v>1000</v>
      </c>
      <c r="T310" s="949" t="str">
        <f t="shared" ref="T310:V310" si="302">R9</f>
        <v>-</v>
      </c>
      <c r="U310" s="949" t="str">
        <f t="shared" si="302"/>
        <v>-</v>
      </c>
      <c r="V310" s="949">
        <f t="shared" si="302"/>
        <v>0</v>
      </c>
      <c r="W310" s="949">
        <f>U9</f>
        <v>0</v>
      </c>
      <c r="AE310" s="945"/>
    </row>
    <row r="311" spans="1:31" ht="13" x14ac:dyDescent="0.3">
      <c r="A311" s="1456"/>
      <c r="B311" s="926">
        <v>2</v>
      </c>
      <c r="C311" s="926">
        <f>C20</f>
        <v>35</v>
      </c>
      <c r="D311" s="926">
        <f t="shared" ref="D311:F311" si="303">D20</f>
        <v>0.5</v>
      </c>
      <c r="E311" s="926">
        <f t="shared" si="303"/>
        <v>-0.1</v>
      </c>
      <c r="F311" s="926">
        <f t="shared" si="303"/>
        <v>-0.3</v>
      </c>
      <c r="G311" s="926">
        <f>G20</f>
        <v>0.4</v>
      </c>
      <c r="I311" s="1456"/>
      <c r="J311" s="926">
        <v>2</v>
      </c>
      <c r="K311" s="926">
        <f>J20</f>
        <v>70</v>
      </c>
      <c r="L311" s="926">
        <f t="shared" ref="L311:N311" si="304">K20</f>
        <v>-3.4</v>
      </c>
      <c r="M311" s="926">
        <f t="shared" si="304"/>
        <v>-2.4</v>
      </c>
      <c r="N311" s="926">
        <f t="shared" si="304"/>
        <v>-1.1000000000000001</v>
      </c>
      <c r="O311" s="926">
        <f>N20</f>
        <v>1.1499999999999999</v>
      </c>
      <c r="Q311" s="1456"/>
      <c r="R311" s="926">
        <v>2</v>
      </c>
      <c r="S311" s="926">
        <f>Q20</f>
        <v>1000</v>
      </c>
      <c r="T311" s="927" t="str">
        <f t="shared" ref="T311:V311" si="305">R20</f>
        <v>-</v>
      </c>
      <c r="U311" s="927" t="str">
        <f t="shared" si="305"/>
        <v>-</v>
      </c>
      <c r="V311" s="927">
        <f t="shared" si="305"/>
        <v>0</v>
      </c>
      <c r="W311" s="927">
        <f>U20</f>
        <v>0</v>
      </c>
      <c r="AE311" s="740"/>
    </row>
    <row r="312" spans="1:31" ht="13" x14ac:dyDescent="0.3">
      <c r="A312" s="1456"/>
      <c r="B312" s="926">
        <v>3</v>
      </c>
      <c r="C312" s="926">
        <f>C31</f>
        <v>35</v>
      </c>
      <c r="D312" s="926">
        <f t="shared" ref="D312:F312" si="306">D31</f>
        <v>0.3</v>
      </c>
      <c r="E312" s="926">
        <f t="shared" si="306"/>
        <v>-0.3</v>
      </c>
      <c r="F312" s="926">
        <f t="shared" si="306"/>
        <v>-0.5</v>
      </c>
      <c r="G312" s="926">
        <f>G31</f>
        <v>0.4</v>
      </c>
      <c r="I312" s="1456"/>
      <c r="J312" s="926">
        <v>3</v>
      </c>
      <c r="K312" s="926">
        <f>J31</f>
        <v>70</v>
      </c>
      <c r="L312" s="926">
        <f t="shared" ref="L312:N312" si="307">K31</f>
        <v>-4.4000000000000004</v>
      </c>
      <c r="M312" s="926">
        <f t="shared" si="307"/>
        <v>-2</v>
      </c>
      <c r="N312" s="926">
        <f t="shared" si="307"/>
        <v>-3.6</v>
      </c>
      <c r="O312" s="926">
        <f>N31</f>
        <v>1.2000000000000002</v>
      </c>
      <c r="Q312" s="1456"/>
      <c r="R312" s="926">
        <v>3</v>
      </c>
      <c r="S312" s="926">
        <f>Q31</f>
        <v>1000</v>
      </c>
      <c r="T312" s="927" t="str">
        <f t="shared" ref="T312:V312" si="308">R31</f>
        <v>-</v>
      </c>
      <c r="U312" s="927" t="str">
        <f t="shared" si="308"/>
        <v>-</v>
      </c>
      <c r="V312" s="927">
        <f t="shared" si="308"/>
        <v>0</v>
      </c>
      <c r="W312" s="927">
        <f>U31</f>
        <v>0</v>
      </c>
      <c r="AE312" s="740"/>
    </row>
    <row r="313" spans="1:31" ht="13" x14ac:dyDescent="0.3">
      <c r="A313" s="1456"/>
      <c r="B313" s="926">
        <v>4</v>
      </c>
      <c r="C313" s="926">
        <f>C42</f>
        <v>35</v>
      </c>
      <c r="D313" s="926">
        <f t="shared" ref="D313:F313" si="309">D42</f>
        <v>-0.3</v>
      </c>
      <c r="E313" s="926">
        <f t="shared" si="309"/>
        <v>-0.6</v>
      </c>
      <c r="F313" s="926">
        <f t="shared" si="309"/>
        <v>0</v>
      </c>
      <c r="G313" s="926">
        <f>G42</f>
        <v>0.15</v>
      </c>
      <c r="I313" s="1456"/>
      <c r="J313" s="926">
        <v>4</v>
      </c>
      <c r="K313" s="926">
        <f>J42</f>
        <v>70</v>
      </c>
      <c r="L313" s="926">
        <f t="shared" ref="L313:N313" si="310">K42</f>
        <v>-4</v>
      </c>
      <c r="M313" s="926">
        <f t="shared" si="310"/>
        <v>0.7</v>
      </c>
      <c r="N313" s="926">
        <f t="shared" si="310"/>
        <v>0</v>
      </c>
      <c r="O313" s="926">
        <f>N42</f>
        <v>2.35</v>
      </c>
      <c r="Q313" s="1456"/>
      <c r="R313" s="926">
        <v>4</v>
      </c>
      <c r="S313" s="926">
        <f>Q42</f>
        <v>1000</v>
      </c>
      <c r="T313" s="927" t="str">
        <f t="shared" ref="T313:V313" si="311">R42</f>
        <v>-</v>
      </c>
      <c r="U313" s="927" t="str">
        <f t="shared" si="311"/>
        <v>-</v>
      </c>
      <c r="V313" s="927">
        <f t="shared" si="311"/>
        <v>0</v>
      </c>
      <c r="W313" s="927">
        <f>U42</f>
        <v>0</v>
      </c>
      <c r="AE313" s="740"/>
    </row>
    <row r="314" spans="1:31" ht="13" x14ac:dyDescent="0.3">
      <c r="A314" s="1456"/>
      <c r="B314" s="926">
        <v>5</v>
      </c>
      <c r="C314" s="926">
        <f>C53</f>
        <v>35</v>
      </c>
      <c r="D314" s="926">
        <f t="shared" ref="D314:F314" si="312">D53</f>
        <v>0.4</v>
      </c>
      <c r="E314" s="926">
        <f t="shared" si="312"/>
        <v>0.7</v>
      </c>
      <c r="F314" s="926">
        <f t="shared" si="312"/>
        <v>9.9999999999999995E-7</v>
      </c>
      <c r="G314" s="926">
        <f>G53</f>
        <v>0.34999949999999996</v>
      </c>
      <c r="I314" s="1456"/>
      <c r="J314" s="926">
        <v>5</v>
      </c>
      <c r="K314" s="926">
        <f>J53</f>
        <v>70</v>
      </c>
      <c r="L314" s="926">
        <f t="shared" ref="L314:N314" si="313">K53</f>
        <v>-7.1</v>
      </c>
      <c r="M314" s="926">
        <f t="shared" si="313"/>
        <v>-4.0999999999999996</v>
      </c>
      <c r="N314" s="926">
        <f t="shared" si="313"/>
        <v>-2.1</v>
      </c>
      <c r="O314" s="926">
        <f>N53</f>
        <v>2.5</v>
      </c>
      <c r="Q314" s="1456"/>
      <c r="R314" s="926">
        <v>5</v>
      </c>
      <c r="S314" s="926">
        <f>Q53</f>
        <v>1000</v>
      </c>
      <c r="T314" s="927" t="str">
        <f t="shared" ref="T314:V314" si="314">R53</f>
        <v>-</v>
      </c>
      <c r="U314" s="927" t="str">
        <f t="shared" si="314"/>
        <v>-</v>
      </c>
      <c r="V314" s="927">
        <f t="shared" si="314"/>
        <v>0</v>
      </c>
      <c r="W314" s="927">
        <f>U53</f>
        <v>0</v>
      </c>
      <c r="AE314" s="740"/>
    </row>
    <row r="315" spans="1:31" ht="13" x14ac:dyDescent="0.3">
      <c r="A315" s="1456"/>
      <c r="B315" s="926">
        <v>6</v>
      </c>
      <c r="C315" s="926">
        <f>C64</f>
        <v>35</v>
      </c>
      <c r="D315" s="926">
        <f t="shared" ref="D315:F315" si="315">D64</f>
        <v>0.1</v>
      </c>
      <c r="E315" s="926">
        <f t="shared" si="315"/>
        <v>-0.9</v>
      </c>
      <c r="F315" s="926">
        <f t="shared" si="315"/>
        <v>0</v>
      </c>
      <c r="G315" s="926">
        <f>G64</f>
        <v>0.5</v>
      </c>
      <c r="I315" s="1456"/>
      <c r="J315" s="926">
        <v>6</v>
      </c>
      <c r="K315" s="926">
        <f>J64</f>
        <v>70</v>
      </c>
      <c r="L315" s="926">
        <f t="shared" ref="L315:N315" si="316">K64</f>
        <v>-6.7</v>
      </c>
      <c r="M315" s="926">
        <f t="shared" si="316"/>
        <v>0.9</v>
      </c>
      <c r="N315" s="926">
        <f t="shared" si="316"/>
        <v>0</v>
      </c>
      <c r="O315" s="926">
        <f>N64</f>
        <v>3.8000000000000003</v>
      </c>
      <c r="Q315" s="1456"/>
      <c r="R315" s="926">
        <v>6</v>
      </c>
      <c r="S315" s="926">
        <f>Q64</f>
        <v>1000</v>
      </c>
      <c r="T315" s="927">
        <f t="shared" ref="T315:V315" si="317">R64</f>
        <v>0.9</v>
      </c>
      <c r="U315" s="927">
        <f t="shared" si="317"/>
        <v>-0.3</v>
      </c>
      <c r="V315" s="927">
        <f t="shared" si="317"/>
        <v>0</v>
      </c>
      <c r="W315" s="927">
        <f>U64</f>
        <v>0.6</v>
      </c>
      <c r="AE315" s="740"/>
    </row>
    <row r="316" spans="1:31" ht="13" x14ac:dyDescent="0.3">
      <c r="A316" s="1456"/>
      <c r="B316" s="926">
        <v>7</v>
      </c>
      <c r="C316" s="926">
        <f>C75</f>
        <v>35</v>
      </c>
      <c r="D316" s="926">
        <f t="shared" ref="D316:F316" si="318">D75</f>
        <v>-0.4</v>
      </c>
      <c r="E316" s="926">
        <f t="shared" si="318"/>
        <v>9.9999999999999995E-7</v>
      </c>
      <c r="F316" s="926">
        <f t="shared" si="318"/>
        <v>-1.1000000000000001</v>
      </c>
      <c r="G316" s="926">
        <f>G75</f>
        <v>0.5500005</v>
      </c>
      <c r="I316" s="1456"/>
      <c r="J316" s="926">
        <v>7</v>
      </c>
      <c r="K316" s="926">
        <f>J75</f>
        <v>70</v>
      </c>
      <c r="L316" s="926">
        <f t="shared" ref="L316:N316" si="319">K75</f>
        <v>-2.1</v>
      </c>
      <c r="M316" s="926">
        <f t="shared" si="319"/>
        <v>-2.2999999999999998</v>
      </c>
      <c r="N316" s="926">
        <f t="shared" si="319"/>
        <v>0.9</v>
      </c>
      <c r="O316" s="926">
        <f>N75</f>
        <v>1.5999999999999999</v>
      </c>
      <c r="Q316" s="1456"/>
      <c r="R316" s="926">
        <v>7</v>
      </c>
      <c r="S316" s="926">
        <f>Q75</f>
        <v>1000</v>
      </c>
      <c r="T316" s="927">
        <f t="shared" ref="T316:V316" si="320">R75</f>
        <v>0.4</v>
      </c>
      <c r="U316" s="927">
        <f t="shared" si="320"/>
        <v>-3.9</v>
      </c>
      <c r="V316" s="927">
        <f t="shared" si="320"/>
        <v>-0.4</v>
      </c>
      <c r="W316" s="927">
        <f>U75</f>
        <v>2.15</v>
      </c>
      <c r="AE316" s="740"/>
    </row>
    <row r="317" spans="1:31" ht="13" x14ac:dyDescent="0.3">
      <c r="A317" s="1456"/>
      <c r="B317" s="926">
        <v>8</v>
      </c>
      <c r="C317" s="926">
        <f>C86</f>
        <v>35</v>
      </c>
      <c r="D317" s="926">
        <f t="shared" ref="D317:F317" si="321">D86</f>
        <v>-0.1</v>
      </c>
      <c r="E317" s="926">
        <f t="shared" si="321"/>
        <v>-0.5</v>
      </c>
      <c r="F317" s="926">
        <f t="shared" si="321"/>
        <v>0</v>
      </c>
      <c r="G317" s="926">
        <f>G86</f>
        <v>0.2</v>
      </c>
      <c r="I317" s="1456"/>
      <c r="J317" s="926">
        <v>8</v>
      </c>
      <c r="K317" s="926">
        <f>J86</f>
        <v>70</v>
      </c>
      <c r="L317" s="926">
        <f t="shared" ref="L317:N317" si="322">K86</f>
        <v>-4.0999999999999996</v>
      </c>
      <c r="M317" s="926">
        <f t="shared" si="322"/>
        <v>-1.2</v>
      </c>
      <c r="N317" s="926">
        <f t="shared" si="322"/>
        <v>0</v>
      </c>
      <c r="O317" s="926">
        <f>N86</f>
        <v>1.4499999999999997</v>
      </c>
      <c r="Q317" s="1456"/>
      <c r="R317" s="926">
        <v>8</v>
      </c>
      <c r="S317" s="926">
        <f>Q86</f>
        <v>1000</v>
      </c>
      <c r="T317" s="927">
        <f t="shared" ref="T317:V317" si="323">R86</f>
        <v>-3.5</v>
      </c>
      <c r="U317" s="927">
        <f t="shared" si="323"/>
        <v>0.2</v>
      </c>
      <c r="V317" s="927">
        <f t="shared" si="323"/>
        <v>0</v>
      </c>
      <c r="W317" s="927">
        <f>U86</f>
        <v>1.85</v>
      </c>
      <c r="AE317" s="740"/>
    </row>
    <row r="318" spans="1:31" ht="13" x14ac:dyDescent="0.3">
      <c r="A318" s="1456"/>
      <c r="B318" s="926">
        <v>9</v>
      </c>
      <c r="C318" s="926">
        <f>C97</f>
        <v>35</v>
      </c>
      <c r="D318" s="926">
        <f t="shared" ref="D318:F318" si="324">D97</f>
        <v>-0.5</v>
      </c>
      <c r="E318" s="926" t="str">
        <f t="shared" si="324"/>
        <v>-</v>
      </c>
      <c r="F318" s="926">
        <f t="shared" si="324"/>
        <v>0</v>
      </c>
      <c r="G318" s="926">
        <f>G97</f>
        <v>0</v>
      </c>
      <c r="I318" s="1456"/>
      <c r="J318" s="926">
        <v>9</v>
      </c>
      <c r="K318" s="926">
        <f>J97</f>
        <v>70</v>
      </c>
      <c r="L318" s="926">
        <f t="shared" ref="L318:N318" si="325">K97</f>
        <v>-0.6</v>
      </c>
      <c r="M318" s="926" t="str">
        <f t="shared" si="325"/>
        <v>-</v>
      </c>
      <c r="N318" s="926">
        <f t="shared" si="325"/>
        <v>0</v>
      </c>
      <c r="O318" s="926">
        <f>N97</f>
        <v>0</v>
      </c>
      <c r="Q318" s="1456"/>
      <c r="R318" s="926">
        <v>9</v>
      </c>
      <c r="S318" s="926">
        <f>Q97</f>
        <v>1000</v>
      </c>
      <c r="T318" s="927">
        <f t="shared" ref="T318:V318" si="326">R97</f>
        <v>0.2</v>
      </c>
      <c r="U318" s="927" t="str">
        <f t="shared" si="326"/>
        <v>-</v>
      </c>
      <c r="V318" s="927">
        <f t="shared" si="326"/>
        <v>0</v>
      </c>
      <c r="W318" s="927">
        <f>U97</f>
        <v>0</v>
      </c>
      <c r="AE318" s="740"/>
    </row>
    <row r="319" spans="1:31" ht="13" x14ac:dyDescent="0.3">
      <c r="A319" s="1456"/>
      <c r="B319" s="926">
        <v>10</v>
      </c>
      <c r="C319" s="926">
        <f>C108</f>
        <v>35</v>
      </c>
      <c r="D319" s="926">
        <f t="shared" ref="D319:F319" si="327">D108</f>
        <v>0.2</v>
      </c>
      <c r="E319" s="926">
        <f t="shared" si="327"/>
        <v>0.8</v>
      </c>
      <c r="F319" s="926">
        <f t="shared" si="327"/>
        <v>0</v>
      </c>
      <c r="G319" s="926">
        <f>G108</f>
        <v>0.30000000000000004</v>
      </c>
      <c r="I319" s="1456"/>
      <c r="J319" s="926">
        <v>10</v>
      </c>
      <c r="K319" s="926">
        <f>J108</f>
        <v>70</v>
      </c>
      <c r="L319" s="926">
        <f t="shared" ref="L319:N319" si="328">K108</f>
        <v>-0.3</v>
      </c>
      <c r="M319" s="926">
        <f t="shared" si="328"/>
        <v>-5.0999999999999996</v>
      </c>
      <c r="N319" s="926">
        <f t="shared" si="328"/>
        <v>0</v>
      </c>
      <c r="O319" s="926">
        <f>N108</f>
        <v>2.4</v>
      </c>
      <c r="Q319" s="1456"/>
      <c r="R319" s="926">
        <v>10</v>
      </c>
      <c r="S319" s="926">
        <f>Q108</f>
        <v>1000</v>
      </c>
      <c r="T319" s="927" t="str">
        <f t="shared" ref="T319:V319" si="329">R108</f>
        <v>-</v>
      </c>
      <c r="U319" s="927" t="str">
        <f t="shared" si="329"/>
        <v>-</v>
      </c>
      <c r="V319" s="927">
        <f t="shared" si="329"/>
        <v>0</v>
      </c>
      <c r="W319" s="927">
        <f>U108</f>
        <v>0</v>
      </c>
      <c r="AE319" s="740"/>
    </row>
    <row r="320" spans="1:31" ht="13" x14ac:dyDescent="0.3">
      <c r="A320" s="1456"/>
      <c r="B320" s="926">
        <v>11</v>
      </c>
      <c r="C320" s="926">
        <f>C119</f>
        <v>35</v>
      </c>
      <c r="D320" s="926">
        <f t="shared" ref="D320:F320" si="330">D119</f>
        <v>0.5</v>
      </c>
      <c r="E320" s="926">
        <f t="shared" si="330"/>
        <v>0.4</v>
      </c>
      <c r="F320" s="926">
        <f t="shared" si="330"/>
        <v>0</v>
      </c>
      <c r="G320" s="926">
        <f>G119</f>
        <v>4.9999999999999989E-2</v>
      </c>
      <c r="I320" s="1456"/>
      <c r="J320" s="926">
        <v>11</v>
      </c>
      <c r="K320" s="926">
        <f>J119</f>
        <v>70</v>
      </c>
      <c r="L320" s="926">
        <f t="shared" ref="L320:N320" si="331">K119</f>
        <v>-3.4</v>
      </c>
      <c r="M320" s="926">
        <f t="shared" si="331"/>
        <v>-1.7</v>
      </c>
      <c r="N320" s="926">
        <f t="shared" si="331"/>
        <v>0</v>
      </c>
      <c r="O320" s="926">
        <f>N119</f>
        <v>0.85</v>
      </c>
      <c r="Q320" s="1456"/>
      <c r="R320" s="926">
        <v>11</v>
      </c>
      <c r="S320" s="926">
        <f>Q119</f>
        <v>1000</v>
      </c>
      <c r="T320" s="927" t="str">
        <f t="shared" ref="T320:V320" si="332">R119</f>
        <v>-</v>
      </c>
      <c r="U320" s="927" t="str">
        <f t="shared" si="332"/>
        <v>-</v>
      </c>
      <c r="V320" s="927">
        <f t="shared" si="332"/>
        <v>0</v>
      </c>
      <c r="W320" s="927">
        <f>U119</f>
        <v>0</v>
      </c>
      <c r="AE320" s="740"/>
    </row>
    <row r="321" spans="1:31" ht="13" x14ac:dyDescent="0.3">
      <c r="A321" s="1456"/>
      <c r="B321" s="926">
        <v>12</v>
      </c>
      <c r="C321" s="926">
        <f>C130</f>
        <v>35</v>
      </c>
      <c r="D321" s="926">
        <f t="shared" ref="D321:F321" si="333">D130</f>
        <v>-0.2</v>
      </c>
      <c r="E321" s="926" t="str">
        <f t="shared" si="333"/>
        <v>-</v>
      </c>
      <c r="F321" s="926">
        <f t="shared" si="333"/>
        <v>0</v>
      </c>
      <c r="G321" s="926">
        <f>G130</f>
        <v>0</v>
      </c>
      <c r="I321" s="1456"/>
      <c r="J321" s="926">
        <v>12</v>
      </c>
      <c r="K321" s="926">
        <f>J130</f>
        <v>70</v>
      </c>
      <c r="L321" s="926">
        <f t="shared" ref="L321:N321" si="334">K130</f>
        <v>-0.1</v>
      </c>
      <c r="M321" s="926" t="str">
        <f t="shared" si="334"/>
        <v>-</v>
      </c>
      <c r="N321" s="926">
        <f t="shared" si="334"/>
        <v>0</v>
      </c>
      <c r="O321" s="926">
        <f>N130</f>
        <v>0</v>
      </c>
      <c r="Q321" s="1456"/>
      <c r="R321" s="926">
        <v>12</v>
      </c>
      <c r="S321" s="926">
        <f>Q130</f>
        <v>1000</v>
      </c>
      <c r="T321" s="927">
        <f t="shared" ref="T321:V321" si="335">R130</f>
        <v>-0.8</v>
      </c>
      <c r="U321" s="927" t="str">
        <f t="shared" si="335"/>
        <v>-</v>
      </c>
      <c r="V321" s="927">
        <f t="shared" si="335"/>
        <v>0</v>
      </c>
      <c r="W321" s="927">
        <f>U130</f>
        <v>0</v>
      </c>
      <c r="AE321" s="740"/>
    </row>
    <row r="322" spans="1:31" ht="13" x14ac:dyDescent="0.3">
      <c r="A322" s="1456"/>
      <c r="B322" s="926">
        <v>13</v>
      </c>
      <c r="C322" s="926">
        <f>C141</f>
        <v>35</v>
      </c>
      <c r="D322" s="926">
        <f t="shared" ref="D322:F322" si="336">D141</f>
        <v>-0.2</v>
      </c>
      <c r="E322" s="926">
        <f t="shared" si="336"/>
        <v>0.3</v>
      </c>
      <c r="F322" s="926" t="str">
        <f t="shared" si="336"/>
        <v>-</v>
      </c>
      <c r="G322" s="926">
        <f>G141</f>
        <v>0</v>
      </c>
      <c r="I322" s="1456"/>
      <c r="J322" s="926">
        <v>13</v>
      </c>
      <c r="K322" s="926">
        <f>J141</f>
        <v>70</v>
      </c>
      <c r="L322" s="926">
        <f t="shared" ref="L322:N322" si="337">K141</f>
        <v>-1.4</v>
      </c>
      <c r="M322" s="926">
        <f t="shared" si="337"/>
        <v>-1.9</v>
      </c>
      <c r="N322" s="926" t="str">
        <f t="shared" si="337"/>
        <v>-</v>
      </c>
      <c r="O322" s="926">
        <f>N141</f>
        <v>0</v>
      </c>
      <c r="Q322" s="1456"/>
      <c r="R322" s="926">
        <v>13</v>
      </c>
      <c r="S322" s="926">
        <f>Q141</f>
        <v>1000</v>
      </c>
      <c r="T322" s="927">
        <f t="shared" ref="T322:V322" si="338">R141</f>
        <v>3.7</v>
      </c>
      <c r="U322" s="927">
        <f t="shared" si="338"/>
        <v>1.1000000000000001</v>
      </c>
      <c r="V322" s="927" t="str">
        <f t="shared" si="338"/>
        <v>-</v>
      </c>
      <c r="W322" s="927">
        <f>U141</f>
        <v>0</v>
      </c>
      <c r="AE322" s="740"/>
    </row>
    <row r="323" spans="1:31" ht="13" x14ac:dyDescent="0.3">
      <c r="A323" s="1456"/>
      <c r="B323" s="926">
        <v>14</v>
      </c>
      <c r="C323" s="926">
        <f>C152</f>
        <v>35</v>
      </c>
      <c r="D323" s="926">
        <f t="shared" ref="D323:F323" si="339">D152</f>
        <v>-0.6</v>
      </c>
      <c r="E323" s="926">
        <f t="shared" si="339"/>
        <v>-0.6</v>
      </c>
      <c r="F323" s="926" t="str">
        <f t="shared" si="339"/>
        <v>-</v>
      </c>
      <c r="G323" s="926">
        <f>G152</f>
        <v>0</v>
      </c>
      <c r="I323" s="1456"/>
      <c r="J323" s="926">
        <v>14</v>
      </c>
      <c r="K323" s="926">
        <f>J152</f>
        <v>70</v>
      </c>
      <c r="L323" s="926">
        <f t="shared" ref="L323:N323" si="340">K152</f>
        <v>0.7</v>
      </c>
      <c r="M323" s="926">
        <f t="shared" si="340"/>
        <v>-0.8</v>
      </c>
      <c r="N323" s="926" t="str">
        <f t="shared" si="340"/>
        <v>-</v>
      </c>
      <c r="O323" s="926">
        <f>N152</f>
        <v>0</v>
      </c>
      <c r="Q323" s="1456"/>
      <c r="R323" s="926">
        <v>14</v>
      </c>
      <c r="S323" s="926">
        <f>Q152</f>
        <v>1000</v>
      </c>
      <c r="T323" s="927">
        <f t="shared" ref="T323:V323" si="341">R152</f>
        <v>3.8</v>
      </c>
      <c r="U323" s="927">
        <f t="shared" si="341"/>
        <v>1.1000000000000001</v>
      </c>
      <c r="V323" s="927" t="str">
        <f t="shared" si="341"/>
        <v>-</v>
      </c>
      <c r="W323" s="927">
        <f>U152</f>
        <v>0</v>
      </c>
      <c r="AE323" s="740"/>
    </row>
    <row r="324" spans="1:31" ht="13" x14ac:dyDescent="0.3">
      <c r="A324" s="1456"/>
      <c r="B324" s="926">
        <v>15</v>
      </c>
      <c r="C324" s="926">
        <f>C163</f>
        <v>35</v>
      </c>
      <c r="D324" s="926">
        <f t="shared" ref="D324:F324" si="342">D163</f>
        <v>0.8</v>
      </c>
      <c r="E324" s="926">
        <f t="shared" si="342"/>
        <v>-0.1</v>
      </c>
      <c r="F324" s="926" t="str">
        <f t="shared" si="342"/>
        <v>-</v>
      </c>
      <c r="G324" s="926">
        <f>G163</f>
        <v>0</v>
      </c>
      <c r="I324" s="1456"/>
      <c r="J324" s="926">
        <v>15</v>
      </c>
      <c r="K324" s="926">
        <f>J163</f>
        <v>70</v>
      </c>
      <c r="L324" s="926">
        <f t="shared" ref="L324:N324" si="343">K163</f>
        <v>-0.7</v>
      </c>
      <c r="M324" s="926">
        <f t="shared" si="343"/>
        <v>-0.8</v>
      </c>
      <c r="N324" s="926" t="str">
        <f t="shared" si="343"/>
        <v>-</v>
      </c>
      <c r="O324" s="926">
        <f>N163</f>
        <v>0</v>
      </c>
      <c r="Q324" s="1456"/>
      <c r="R324" s="926">
        <v>15</v>
      </c>
      <c r="S324" s="926">
        <f>Q163</f>
        <v>1000</v>
      </c>
      <c r="T324" s="927">
        <f t="shared" ref="T324:V324" si="344">R163</f>
        <v>4.0999999999999996</v>
      </c>
      <c r="U324" s="927">
        <f t="shared" si="344"/>
        <v>1.1000000000000001</v>
      </c>
      <c r="V324" s="927" t="str">
        <f t="shared" si="344"/>
        <v>-</v>
      </c>
      <c r="W324" s="927">
        <f>U163</f>
        <v>0</v>
      </c>
      <c r="AE324" s="740"/>
    </row>
    <row r="325" spans="1:31" ht="13" x14ac:dyDescent="0.3">
      <c r="A325" s="1456"/>
      <c r="B325" s="926">
        <v>16</v>
      </c>
      <c r="C325" s="926">
        <f>C174</f>
        <v>35</v>
      </c>
      <c r="D325" s="926">
        <f t="shared" ref="D325:F325" si="345">D174</f>
        <v>0.6</v>
      </c>
      <c r="E325" s="926">
        <f t="shared" si="345"/>
        <v>0.1</v>
      </c>
      <c r="F325" s="926">
        <f t="shared" si="345"/>
        <v>0</v>
      </c>
      <c r="G325" s="926">
        <f>G174</f>
        <v>0.25</v>
      </c>
      <c r="I325" s="1456"/>
      <c r="J325" s="926">
        <v>16</v>
      </c>
      <c r="K325" s="926">
        <f>J174</f>
        <v>70</v>
      </c>
      <c r="L325" s="926">
        <f t="shared" ref="L325:N325" si="346">K174</f>
        <v>-2.1</v>
      </c>
      <c r="M325" s="926">
        <f t="shared" si="346"/>
        <v>-1.8</v>
      </c>
      <c r="N325" s="926">
        <f t="shared" si="346"/>
        <v>0</v>
      </c>
      <c r="O325" s="926">
        <f>N174</f>
        <v>0.15000000000000002</v>
      </c>
      <c r="Q325" s="1456"/>
      <c r="R325" s="926">
        <v>16</v>
      </c>
      <c r="S325" s="926">
        <f>Q174</f>
        <v>1000</v>
      </c>
      <c r="T325" s="927">
        <f t="shared" ref="T325:V325" si="347">R174</f>
        <v>4.3</v>
      </c>
      <c r="U325" s="927">
        <f t="shared" si="347"/>
        <v>-0.4</v>
      </c>
      <c r="V325" s="927">
        <f t="shared" si="347"/>
        <v>0</v>
      </c>
      <c r="W325" s="927">
        <f>U174</f>
        <v>2.35</v>
      </c>
      <c r="AE325" s="740"/>
    </row>
    <row r="326" spans="1:31" ht="13" x14ac:dyDescent="0.3">
      <c r="A326" s="1456"/>
      <c r="B326" s="926">
        <v>17</v>
      </c>
      <c r="C326" s="926">
        <f>C185</f>
        <v>35</v>
      </c>
      <c r="D326" s="926">
        <f t="shared" ref="D326:F326" si="348">D185</f>
        <v>0.7</v>
      </c>
      <c r="E326" s="926">
        <f t="shared" si="348"/>
        <v>-0.5</v>
      </c>
      <c r="F326" s="926">
        <f t="shared" si="348"/>
        <v>0</v>
      </c>
      <c r="G326" s="926">
        <f>G185</f>
        <v>0.6</v>
      </c>
      <c r="I326" s="1456"/>
      <c r="J326" s="926">
        <v>17</v>
      </c>
      <c r="K326" s="926">
        <f>J185</f>
        <v>70</v>
      </c>
      <c r="L326" s="926">
        <f t="shared" ref="L326:N326" si="349">K185</f>
        <v>-1.8</v>
      </c>
      <c r="M326" s="926">
        <f t="shared" si="349"/>
        <v>-0.3</v>
      </c>
      <c r="N326" s="926">
        <f t="shared" si="349"/>
        <v>0</v>
      </c>
      <c r="O326" s="926">
        <f>N185</f>
        <v>0.75</v>
      </c>
      <c r="Q326" s="1456"/>
      <c r="R326" s="926">
        <v>17</v>
      </c>
      <c r="S326" s="926">
        <f>Q185</f>
        <v>1000</v>
      </c>
      <c r="T326" s="927">
        <f t="shared" ref="T326:V326" si="350">R185</f>
        <v>4.5</v>
      </c>
      <c r="U326" s="927">
        <f t="shared" si="350"/>
        <v>-0.6</v>
      </c>
      <c r="V326" s="927">
        <f t="shared" si="350"/>
        <v>0</v>
      </c>
      <c r="W326" s="927">
        <f>U185</f>
        <v>2.5499999999999998</v>
      </c>
      <c r="AE326" s="740"/>
    </row>
    <row r="327" spans="1:31" ht="13" x14ac:dyDescent="0.3">
      <c r="A327" s="1456"/>
      <c r="B327" s="926">
        <v>18</v>
      </c>
      <c r="C327" s="926">
        <f>C196</f>
        <v>35</v>
      </c>
      <c r="D327" s="926">
        <f t="shared" ref="D327:F327" si="351">D196</f>
        <v>0.4</v>
      </c>
      <c r="E327" s="926">
        <f t="shared" si="351"/>
        <v>-0.3</v>
      </c>
      <c r="F327" s="926">
        <f t="shared" si="351"/>
        <v>0</v>
      </c>
      <c r="G327" s="926">
        <f>G196</f>
        <v>0.35</v>
      </c>
      <c r="I327" s="1456"/>
      <c r="J327" s="926">
        <v>18</v>
      </c>
      <c r="K327" s="926">
        <f>J196</f>
        <v>70</v>
      </c>
      <c r="L327" s="926">
        <f t="shared" ref="L327:N327" si="352">K196</f>
        <v>-2.2000000000000002</v>
      </c>
      <c r="M327" s="926">
        <f t="shared" si="352"/>
        <v>-0.3</v>
      </c>
      <c r="N327" s="926">
        <f t="shared" si="352"/>
        <v>0</v>
      </c>
      <c r="O327" s="926">
        <f>N196</f>
        <v>0.95000000000000007</v>
      </c>
      <c r="Q327" s="1456"/>
      <c r="R327" s="926">
        <v>18</v>
      </c>
      <c r="S327" s="926">
        <f>Q196</f>
        <v>1000</v>
      </c>
      <c r="T327" s="927">
        <f t="shared" ref="T327:V327" si="353">R196</f>
        <v>4.4000000000000004</v>
      </c>
      <c r="U327" s="927">
        <f t="shared" si="353"/>
        <v>-0.8</v>
      </c>
      <c r="V327" s="927">
        <f t="shared" si="353"/>
        <v>0</v>
      </c>
      <c r="W327" s="927">
        <f>U196</f>
        <v>2.6</v>
      </c>
      <c r="AE327" s="740"/>
    </row>
    <row r="328" spans="1:31" ht="13" x14ac:dyDescent="0.3">
      <c r="A328" s="1456"/>
      <c r="B328" s="926">
        <v>19</v>
      </c>
      <c r="C328" s="926">
        <f>C207</f>
        <v>35</v>
      </c>
      <c r="D328" s="926">
        <f t="shared" ref="D328:F328" si="354">D207</f>
        <v>-0.1</v>
      </c>
      <c r="E328" s="926" t="str">
        <f t="shared" si="354"/>
        <v>-</v>
      </c>
      <c r="F328" s="926">
        <f t="shared" si="354"/>
        <v>0</v>
      </c>
      <c r="G328" s="926">
        <f>G207</f>
        <v>0</v>
      </c>
      <c r="I328" s="1456"/>
      <c r="J328" s="926">
        <v>19</v>
      </c>
      <c r="K328" s="926">
        <f>J207</f>
        <v>70</v>
      </c>
      <c r="L328" s="926">
        <f t="shared" ref="L328:N328" si="355">K207</f>
        <v>-0.7</v>
      </c>
      <c r="M328" s="926" t="str">
        <f t="shared" si="355"/>
        <v>-</v>
      </c>
      <c r="N328" s="926">
        <f t="shared" si="355"/>
        <v>0</v>
      </c>
      <c r="O328" s="926">
        <f>N207</f>
        <v>0</v>
      </c>
      <c r="Q328" s="1456"/>
      <c r="R328" s="926">
        <v>19</v>
      </c>
      <c r="S328" s="926">
        <f>Q207</f>
        <v>1000</v>
      </c>
      <c r="T328" s="927">
        <f t="shared" ref="T328:V328" si="356">R207</f>
        <v>2.2000000000000002</v>
      </c>
      <c r="U328" s="927" t="str">
        <f t="shared" si="356"/>
        <v>-</v>
      </c>
      <c r="V328" s="927">
        <f t="shared" si="356"/>
        <v>0</v>
      </c>
      <c r="W328" s="927">
        <f>U207</f>
        <v>0</v>
      </c>
      <c r="AE328" s="740"/>
    </row>
    <row r="329" spans="1:31" ht="13.5" thickBot="1" x14ac:dyDescent="0.35">
      <c r="A329" s="1456"/>
      <c r="B329" s="926">
        <v>20</v>
      </c>
      <c r="C329" s="926">
        <f>C218</f>
        <v>34.5</v>
      </c>
      <c r="D329" s="926">
        <f t="shared" ref="D329:F329" si="357">D218</f>
        <v>9.9999999999999995E-7</v>
      </c>
      <c r="E329" s="926" t="str">
        <f t="shared" si="357"/>
        <v>-</v>
      </c>
      <c r="F329" s="926">
        <f t="shared" si="357"/>
        <v>9.9999999999999995E-7</v>
      </c>
      <c r="G329" s="926">
        <f>G218</f>
        <v>0</v>
      </c>
      <c r="I329" s="1456"/>
      <c r="J329" s="926">
        <v>20</v>
      </c>
      <c r="K329" s="926">
        <f>J218</f>
        <v>80.8</v>
      </c>
      <c r="L329" s="926">
        <f t="shared" ref="L329:N329" si="358">K218</f>
        <v>9.9999999999999995E-7</v>
      </c>
      <c r="M329" s="926" t="str">
        <f t="shared" si="358"/>
        <v>-</v>
      </c>
      <c r="N329" s="926">
        <f t="shared" si="358"/>
        <v>0</v>
      </c>
      <c r="O329" s="926">
        <f>N218</f>
        <v>0</v>
      </c>
      <c r="Q329" s="1458"/>
      <c r="R329" s="935">
        <v>20</v>
      </c>
      <c r="S329" s="935">
        <f>Q218</f>
        <v>1000</v>
      </c>
      <c r="T329" s="947" t="str">
        <f t="shared" ref="T329:V329" si="359">R218</f>
        <v>-</v>
      </c>
      <c r="U329" s="947" t="str">
        <f t="shared" si="359"/>
        <v>-</v>
      </c>
      <c r="V329" s="947">
        <f t="shared" si="359"/>
        <v>0</v>
      </c>
      <c r="W329" s="947">
        <f>U218</f>
        <v>0</v>
      </c>
      <c r="AE329" s="938"/>
    </row>
    <row r="330" spans="1:31" ht="13.5" thickBot="1" x14ac:dyDescent="0.35">
      <c r="A330" s="141"/>
      <c r="B330" s="141"/>
      <c r="C330" s="141"/>
      <c r="D330" s="141"/>
      <c r="E330" s="141"/>
      <c r="F330" s="141"/>
      <c r="G330" s="141"/>
      <c r="I330" s="141"/>
      <c r="J330" s="141"/>
      <c r="K330" s="141"/>
      <c r="L330" s="141"/>
      <c r="M330" s="141"/>
      <c r="N330" s="141"/>
      <c r="O330" s="141"/>
      <c r="Q330" s="948"/>
      <c r="R330" s="939"/>
      <c r="S330" s="536"/>
      <c r="T330" s="537"/>
      <c r="U330" s="537"/>
      <c r="V330" s="537"/>
      <c r="W330" s="537"/>
      <c r="AE330" s="740"/>
    </row>
    <row r="331" spans="1:31" ht="13" x14ac:dyDescent="0.3">
      <c r="A331" s="1456">
        <v>6</v>
      </c>
      <c r="B331" s="926">
        <v>1</v>
      </c>
      <c r="C331" s="926">
        <f>C10</f>
        <v>37</v>
      </c>
      <c r="D331" s="926">
        <f t="shared" ref="D331:F331" si="360">D10</f>
        <v>-0.2</v>
      </c>
      <c r="E331" s="926">
        <f t="shared" si="360"/>
        <v>-0.6</v>
      </c>
      <c r="F331" s="926">
        <f t="shared" si="360"/>
        <v>0</v>
      </c>
      <c r="G331" s="926">
        <f>G10</f>
        <v>0.3</v>
      </c>
      <c r="I331" s="1456">
        <v>6</v>
      </c>
      <c r="J331" s="926">
        <v>1</v>
      </c>
      <c r="K331" s="926">
        <f>J10</f>
        <v>80</v>
      </c>
      <c r="L331" s="926">
        <f t="shared" ref="L331:N331" si="361">K10</f>
        <v>-3.2</v>
      </c>
      <c r="M331" s="926">
        <f t="shared" si="361"/>
        <v>0.7</v>
      </c>
      <c r="N331" s="926">
        <f t="shared" si="361"/>
        <v>0</v>
      </c>
      <c r="O331" s="926">
        <f>N10</f>
        <v>1.9500000000000002</v>
      </c>
      <c r="Q331" s="1457">
        <v>6</v>
      </c>
      <c r="R331" s="942">
        <v>1</v>
      </c>
      <c r="S331" s="942">
        <f>Q10</f>
        <v>1005</v>
      </c>
      <c r="T331" s="949" t="str">
        <f t="shared" ref="T331:V331" si="362">R10</f>
        <v>-</v>
      </c>
      <c r="U331" s="949" t="str">
        <f t="shared" si="362"/>
        <v>-</v>
      </c>
      <c r="V331" s="949">
        <f t="shared" si="362"/>
        <v>0</v>
      </c>
      <c r="W331" s="949">
        <f>U10</f>
        <v>0</v>
      </c>
      <c r="AE331" s="945"/>
    </row>
    <row r="332" spans="1:31" ht="13" x14ac:dyDescent="0.3">
      <c r="A332" s="1456"/>
      <c r="B332" s="926">
        <v>2</v>
      </c>
      <c r="C332" s="926">
        <f>C21</f>
        <v>37</v>
      </c>
      <c r="D332" s="926">
        <f t="shared" ref="D332:F332" si="363">D21</f>
        <v>0.6</v>
      </c>
      <c r="E332" s="926">
        <f t="shared" si="363"/>
        <v>-0.2</v>
      </c>
      <c r="F332" s="926">
        <f t="shared" si="363"/>
        <v>-0.3</v>
      </c>
      <c r="G332" s="926">
        <f>G21</f>
        <v>0.44999999999999996</v>
      </c>
      <c r="I332" s="1456"/>
      <c r="J332" s="926">
        <v>2</v>
      </c>
      <c r="K332" s="926">
        <f>J21</f>
        <v>80</v>
      </c>
      <c r="L332" s="926">
        <f t="shared" ref="L332:N332" si="364">K21</f>
        <v>-1.1000000000000001</v>
      </c>
      <c r="M332" s="926">
        <f t="shared" si="364"/>
        <v>-0.5</v>
      </c>
      <c r="N332" s="926">
        <f t="shared" si="364"/>
        <v>-0.7</v>
      </c>
      <c r="O332" s="926">
        <f>N21</f>
        <v>0.30000000000000004</v>
      </c>
      <c r="Q332" s="1456"/>
      <c r="R332" s="926">
        <v>2</v>
      </c>
      <c r="S332" s="926">
        <f>Q21</f>
        <v>1005</v>
      </c>
      <c r="T332" s="927" t="str">
        <f t="shared" ref="T332:V332" si="365">R21</f>
        <v>-</v>
      </c>
      <c r="U332" s="927" t="str">
        <f t="shared" si="365"/>
        <v>-</v>
      </c>
      <c r="V332" s="927">
        <f t="shared" si="365"/>
        <v>0</v>
      </c>
      <c r="W332" s="927">
        <f>U21</f>
        <v>0</v>
      </c>
      <c r="AE332" s="740"/>
    </row>
    <row r="333" spans="1:31" ht="13" x14ac:dyDescent="0.3">
      <c r="A333" s="1456"/>
      <c r="B333" s="926">
        <v>3</v>
      </c>
      <c r="C333" s="926">
        <f>C32</f>
        <v>37</v>
      </c>
      <c r="D333" s="926">
        <f t="shared" ref="D333:F333" si="366">D32</f>
        <v>0.3</v>
      </c>
      <c r="E333" s="926">
        <f t="shared" si="366"/>
        <v>-0.2</v>
      </c>
      <c r="F333" s="926">
        <f t="shared" si="366"/>
        <v>-0.6</v>
      </c>
      <c r="G333" s="926">
        <f>G32</f>
        <v>0.44999999999999996</v>
      </c>
      <c r="I333" s="1456"/>
      <c r="J333" s="926">
        <v>3</v>
      </c>
      <c r="K333" s="926">
        <f>J32</f>
        <v>80</v>
      </c>
      <c r="L333" s="926">
        <f t="shared" ref="L333:N333" si="367">K32</f>
        <v>-2.7</v>
      </c>
      <c r="M333" s="926">
        <f t="shared" si="367"/>
        <v>-0.8</v>
      </c>
      <c r="N333" s="926">
        <f t="shared" si="367"/>
        <v>-2.9</v>
      </c>
      <c r="O333" s="926">
        <f>N32</f>
        <v>1.0499999999999998</v>
      </c>
      <c r="Q333" s="1456"/>
      <c r="R333" s="926">
        <v>3</v>
      </c>
      <c r="S333" s="926">
        <f>Q32</f>
        <v>1005</v>
      </c>
      <c r="T333" s="927" t="str">
        <f t="shared" ref="T333:V333" si="368">R32</f>
        <v>-</v>
      </c>
      <c r="U333" s="927" t="str">
        <f t="shared" si="368"/>
        <v>-</v>
      </c>
      <c r="V333" s="927">
        <f t="shared" si="368"/>
        <v>0</v>
      </c>
      <c r="W333" s="927">
        <f>U32</f>
        <v>0</v>
      </c>
      <c r="AE333" s="740"/>
    </row>
    <row r="334" spans="1:31" ht="13" x14ac:dyDescent="0.3">
      <c r="A334" s="1456"/>
      <c r="B334" s="926">
        <v>4</v>
      </c>
      <c r="C334" s="926">
        <f>C43</f>
        <v>37</v>
      </c>
      <c r="D334" s="926">
        <f t="shared" ref="D334:F334" si="369">D43</f>
        <v>-0.4</v>
      </c>
      <c r="E334" s="926">
        <f t="shared" si="369"/>
        <v>-0.6</v>
      </c>
      <c r="F334" s="926">
        <f t="shared" si="369"/>
        <v>0</v>
      </c>
      <c r="G334" s="926">
        <f>G43</f>
        <v>9.9999999999999978E-2</v>
      </c>
      <c r="I334" s="1456"/>
      <c r="J334" s="926">
        <v>4</v>
      </c>
      <c r="K334" s="926">
        <f>J43</f>
        <v>80</v>
      </c>
      <c r="L334" s="926">
        <f t="shared" ref="L334:N334" si="370">K43</f>
        <v>-3.8</v>
      </c>
      <c r="M334" s="926">
        <f t="shared" si="370"/>
        <v>1.9</v>
      </c>
      <c r="N334" s="926">
        <f t="shared" si="370"/>
        <v>0</v>
      </c>
      <c r="O334" s="926">
        <f>N43</f>
        <v>2.8499999999999996</v>
      </c>
      <c r="Q334" s="1456"/>
      <c r="R334" s="926">
        <v>4</v>
      </c>
      <c r="S334" s="926">
        <f>Q43</f>
        <v>1005</v>
      </c>
      <c r="T334" s="927" t="str">
        <f t="shared" ref="T334:V334" si="371">R43</f>
        <v>-</v>
      </c>
      <c r="U334" s="927" t="str">
        <f t="shared" si="371"/>
        <v>-</v>
      </c>
      <c r="V334" s="927">
        <f t="shared" si="371"/>
        <v>0</v>
      </c>
      <c r="W334" s="927">
        <f>U43</f>
        <v>0</v>
      </c>
      <c r="AE334" s="740"/>
    </row>
    <row r="335" spans="1:31" ht="13" x14ac:dyDescent="0.3">
      <c r="A335" s="1456"/>
      <c r="B335" s="926">
        <v>5</v>
      </c>
      <c r="C335" s="926">
        <f>C54</f>
        <v>37</v>
      </c>
      <c r="D335" s="926">
        <f t="shared" ref="D335:F335" si="372">D54</f>
        <v>0.03</v>
      </c>
      <c r="E335" s="926">
        <f t="shared" si="372"/>
        <v>0.7</v>
      </c>
      <c r="F335" s="926">
        <f t="shared" si="372"/>
        <v>9.9999999999999995E-7</v>
      </c>
      <c r="G335" s="926">
        <f>G54</f>
        <v>0.34999949999999996</v>
      </c>
      <c r="I335" s="1456"/>
      <c r="J335" s="926">
        <v>5</v>
      </c>
      <c r="K335" s="926">
        <f>J54</f>
        <v>80</v>
      </c>
      <c r="L335" s="926">
        <f t="shared" ref="L335:N335" si="373">K54</f>
        <v>-6.3</v>
      </c>
      <c r="M335" s="926">
        <f t="shared" si="373"/>
        <v>-3</v>
      </c>
      <c r="N335" s="926">
        <f t="shared" si="373"/>
        <v>0.2</v>
      </c>
      <c r="O335" s="926">
        <f>N54</f>
        <v>3.25</v>
      </c>
      <c r="Q335" s="1456"/>
      <c r="R335" s="926">
        <v>5</v>
      </c>
      <c r="S335" s="926">
        <f>Q54</f>
        <v>1005</v>
      </c>
      <c r="T335" s="927" t="str">
        <f t="shared" ref="T335:V335" si="374">R54</f>
        <v>-</v>
      </c>
      <c r="U335" s="927" t="str">
        <f t="shared" si="374"/>
        <v>-</v>
      </c>
      <c r="V335" s="927">
        <f t="shared" si="374"/>
        <v>0</v>
      </c>
      <c r="W335" s="927">
        <f>U54</f>
        <v>0</v>
      </c>
      <c r="AE335" s="740"/>
    </row>
    <row r="336" spans="1:31" ht="13" x14ac:dyDescent="0.3">
      <c r="A336" s="1456"/>
      <c r="B336" s="926">
        <v>6</v>
      </c>
      <c r="C336" s="926">
        <f>C65</f>
        <v>37</v>
      </c>
      <c r="D336" s="926">
        <f t="shared" ref="D336:F336" si="375">D65</f>
        <v>0.1</v>
      </c>
      <c r="E336" s="926">
        <f t="shared" si="375"/>
        <v>-1.1000000000000001</v>
      </c>
      <c r="F336" s="926">
        <f t="shared" si="375"/>
        <v>0</v>
      </c>
      <c r="G336" s="926">
        <f>G65</f>
        <v>0.60000000000000009</v>
      </c>
      <c r="I336" s="1456"/>
      <c r="J336" s="926">
        <v>6</v>
      </c>
      <c r="K336" s="926">
        <f>J65</f>
        <v>80</v>
      </c>
      <c r="L336" s="926">
        <f t="shared" ref="L336:N336" si="376">K65</f>
        <v>-6.3</v>
      </c>
      <c r="M336" s="926">
        <f t="shared" si="376"/>
        <v>0.8</v>
      </c>
      <c r="N336" s="926">
        <f t="shared" si="376"/>
        <v>0</v>
      </c>
      <c r="O336" s="926">
        <f>N65</f>
        <v>3.55</v>
      </c>
      <c r="Q336" s="1456"/>
      <c r="R336" s="926">
        <v>6</v>
      </c>
      <c r="S336" s="926">
        <f>Q65</f>
        <v>1005</v>
      </c>
      <c r="T336" s="927">
        <f t="shared" ref="T336:V336" si="377">R65</f>
        <v>0.9</v>
      </c>
      <c r="U336" s="927">
        <f t="shared" si="377"/>
        <v>-0.3</v>
      </c>
      <c r="V336" s="927">
        <f t="shared" si="377"/>
        <v>0</v>
      </c>
      <c r="W336" s="927">
        <f>U65</f>
        <v>0.6</v>
      </c>
      <c r="AE336" s="740"/>
    </row>
    <row r="337" spans="1:31" ht="13" x14ac:dyDescent="0.3">
      <c r="A337" s="1456"/>
      <c r="B337" s="926">
        <v>7</v>
      </c>
      <c r="C337" s="926">
        <f>C76</f>
        <v>37</v>
      </c>
      <c r="D337" s="926">
        <f t="shared" ref="D337:F337" si="378">D76</f>
        <v>-0.4</v>
      </c>
      <c r="E337" s="926">
        <f t="shared" si="378"/>
        <v>9.9999999999999995E-7</v>
      </c>
      <c r="F337" s="926">
        <f t="shared" si="378"/>
        <v>-1.4</v>
      </c>
      <c r="G337" s="926">
        <f>G76</f>
        <v>0.70000049999999991</v>
      </c>
      <c r="I337" s="1456"/>
      <c r="J337" s="926">
        <v>7</v>
      </c>
      <c r="K337" s="926">
        <f>J76</f>
        <v>80</v>
      </c>
      <c r="L337" s="926">
        <f t="shared" ref="L337:N337" si="379">K76</f>
        <v>-1.9</v>
      </c>
      <c r="M337" s="926">
        <f t="shared" si="379"/>
        <v>-2.6</v>
      </c>
      <c r="N337" s="926">
        <f t="shared" si="379"/>
        <v>1.2</v>
      </c>
      <c r="O337" s="926">
        <f>N76</f>
        <v>1.9</v>
      </c>
      <c r="Q337" s="1456"/>
      <c r="R337" s="926">
        <v>7</v>
      </c>
      <c r="S337" s="926">
        <f>Q76</f>
        <v>1005</v>
      </c>
      <c r="T337" s="927" t="str">
        <f t="shared" ref="T337:V337" si="380">R76</f>
        <v>-</v>
      </c>
      <c r="U337" s="927">
        <f t="shared" si="380"/>
        <v>-3.8</v>
      </c>
      <c r="V337" s="927">
        <f t="shared" si="380"/>
        <v>-0.5</v>
      </c>
      <c r="W337" s="927">
        <f>U76</f>
        <v>1.65</v>
      </c>
      <c r="AE337" s="740"/>
    </row>
    <row r="338" spans="1:31" ht="13" x14ac:dyDescent="0.3">
      <c r="A338" s="1456"/>
      <c r="B338" s="926">
        <v>8</v>
      </c>
      <c r="C338" s="926">
        <f>C87</f>
        <v>37</v>
      </c>
      <c r="D338" s="926">
        <f t="shared" ref="D338:F338" si="381">D87</f>
        <v>-0.1</v>
      </c>
      <c r="E338" s="926">
        <f t="shared" si="381"/>
        <v>-0.5</v>
      </c>
      <c r="F338" s="926">
        <f t="shared" si="381"/>
        <v>0</v>
      </c>
      <c r="G338" s="926">
        <f>G87</f>
        <v>0.2</v>
      </c>
      <c r="I338" s="1456"/>
      <c r="J338" s="926">
        <v>8</v>
      </c>
      <c r="K338" s="926">
        <f>J87</f>
        <v>80</v>
      </c>
      <c r="L338" s="926">
        <f t="shared" ref="L338:N338" si="382">K87</f>
        <v>-4.5</v>
      </c>
      <c r="M338" s="926">
        <f t="shared" si="382"/>
        <v>-1.2</v>
      </c>
      <c r="N338" s="926">
        <f t="shared" si="382"/>
        <v>0</v>
      </c>
      <c r="O338" s="926">
        <f>N87</f>
        <v>1.65</v>
      </c>
      <c r="Q338" s="1456"/>
      <c r="R338" s="926">
        <v>8</v>
      </c>
      <c r="S338" s="926">
        <f>Q87</f>
        <v>1005</v>
      </c>
      <c r="T338" s="927">
        <f t="shared" ref="T338:V338" si="383">R87</f>
        <v>-3.4</v>
      </c>
      <c r="U338" s="927">
        <f t="shared" si="383"/>
        <v>0.2</v>
      </c>
      <c r="V338" s="927">
        <f t="shared" si="383"/>
        <v>0</v>
      </c>
      <c r="W338" s="927">
        <f>U87</f>
        <v>1.8</v>
      </c>
      <c r="AE338" s="740"/>
    </row>
    <row r="339" spans="1:31" ht="13" x14ac:dyDescent="0.3">
      <c r="A339" s="1456"/>
      <c r="B339" s="926">
        <v>9</v>
      </c>
      <c r="C339" s="926">
        <f>C98</f>
        <v>37</v>
      </c>
      <c r="D339" s="926">
        <f t="shared" ref="D339:F339" si="384">D98</f>
        <v>-0.5</v>
      </c>
      <c r="E339" s="926" t="str">
        <f t="shared" si="384"/>
        <v>-</v>
      </c>
      <c r="F339" s="926">
        <f t="shared" si="384"/>
        <v>0</v>
      </c>
      <c r="G339" s="926">
        <f>G98</f>
        <v>0</v>
      </c>
      <c r="I339" s="1456"/>
      <c r="J339" s="926">
        <v>9</v>
      </c>
      <c r="K339" s="926">
        <f>J98</f>
        <v>80</v>
      </c>
      <c r="L339" s="926">
        <f t="shared" ref="L339:N339" si="385">K98</f>
        <v>-0.5</v>
      </c>
      <c r="M339" s="926" t="str">
        <f t="shared" si="385"/>
        <v>-</v>
      </c>
      <c r="N339" s="926">
        <f t="shared" si="385"/>
        <v>0</v>
      </c>
      <c r="O339" s="926">
        <f>N98</f>
        <v>0</v>
      </c>
      <c r="Q339" s="1456"/>
      <c r="R339" s="926">
        <v>9</v>
      </c>
      <c r="S339" s="926">
        <f>Q98</f>
        <v>1005</v>
      </c>
      <c r="T339" s="927">
        <f t="shared" ref="T339:V339" si="386">R98</f>
        <v>0.2</v>
      </c>
      <c r="U339" s="927" t="str">
        <f t="shared" si="386"/>
        <v>-</v>
      </c>
      <c r="V339" s="927">
        <f t="shared" si="386"/>
        <v>0</v>
      </c>
      <c r="W339" s="927">
        <f>U98</f>
        <v>0</v>
      </c>
      <c r="AE339" s="740"/>
    </row>
    <row r="340" spans="1:31" ht="13" x14ac:dyDescent="0.3">
      <c r="A340" s="1456"/>
      <c r="B340" s="926">
        <v>10</v>
      </c>
      <c r="C340" s="926">
        <f>C109</f>
        <v>37</v>
      </c>
      <c r="D340" s="926">
        <f t="shared" ref="D340:F340" si="387">D109</f>
        <v>0.2</v>
      </c>
      <c r="E340" s="926">
        <f t="shared" si="387"/>
        <v>0.4</v>
      </c>
      <c r="F340" s="926">
        <f t="shared" si="387"/>
        <v>0</v>
      </c>
      <c r="G340" s="926">
        <f>G109</f>
        <v>0.1</v>
      </c>
      <c r="I340" s="1456"/>
      <c r="J340" s="926">
        <v>10</v>
      </c>
      <c r="K340" s="926">
        <f>J109</f>
        <v>80</v>
      </c>
      <c r="L340" s="926">
        <f t="shared" ref="L340:N340" si="388">K109</f>
        <v>2.2000000000000002</v>
      </c>
      <c r="M340" s="926">
        <f t="shared" si="388"/>
        <v>-4.7</v>
      </c>
      <c r="N340" s="926">
        <f t="shared" si="388"/>
        <v>0</v>
      </c>
      <c r="O340" s="926">
        <f>N109</f>
        <v>3.45</v>
      </c>
      <c r="Q340" s="1456"/>
      <c r="R340" s="926">
        <v>10</v>
      </c>
      <c r="S340" s="926">
        <f>Q109</f>
        <v>1005</v>
      </c>
      <c r="T340" s="927" t="str">
        <f t="shared" ref="T340:V340" si="389">R109</f>
        <v>-</v>
      </c>
      <c r="U340" s="927" t="str">
        <f t="shared" si="389"/>
        <v>-</v>
      </c>
      <c r="V340" s="927">
        <f t="shared" si="389"/>
        <v>0</v>
      </c>
      <c r="W340" s="927">
        <f>U109</f>
        <v>0</v>
      </c>
      <c r="AE340" s="740"/>
    </row>
    <row r="341" spans="1:31" ht="13" x14ac:dyDescent="0.3">
      <c r="A341" s="1456"/>
      <c r="B341" s="926">
        <v>11</v>
      </c>
      <c r="C341" s="926">
        <f>C120</f>
        <v>37</v>
      </c>
      <c r="D341" s="926">
        <f t="shared" ref="D341:F341" si="390">D120</f>
        <v>0.5</v>
      </c>
      <c r="E341" s="926">
        <f t="shared" si="390"/>
        <v>0.5</v>
      </c>
      <c r="F341" s="926">
        <f t="shared" si="390"/>
        <v>0</v>
      </c>
      <c r="G341" s="926">
        <f>G120</f>
        <v>0</v>
      </c>
      <c r="I341" s="1456"/>
      <c r="J341" s="926">
        <v>11</v>
      </c>
      <c r="K341" s="926">
        <f>J120</f>
        <v>80</v>
      </c>
      <c r="L341" s="926">
        <f t="shared" ref="L341:N341" si="391">K120</f>
        <v>-1.4</v>
      </c>
      <c r="M341" s="926">
        <f t="shared" si="391"/>
        <v>2.6</v>
      </c>
      <c r="N341" s="926">
        <f t="shared" si="391"/>
        <v>0</v>
      </c>
      <c r="O341" s="926">
        <f>N120</f>
        <v>2</v>
      </c>
      <c r="Q341" s="1456"/>
      <c r="R341" s="926">
        <v>11</v>
      </c>
      <c r="S341" s="926">
        <f>Q120</f>
        <v>1005</v>
      </c>
      <c r="T341" s="927" t="str">
        <f t="shared" ref="T341:V341" si="392">R120</f>
        <v>-</v>
      </c>
      <c r="U341" s="927" t="str">
        <f t="shared" si="392"/>
        <v>-</v>
      </c>
      <c r="V341" s="927">
        <f t="shared" si="392"/>
        <v>0</v>
      </c>
      <c r="W341" s="927">
        <f>U120</f>
        <v>0</v>
      </c>
      <c r="AE341" s="740"/>
    </row>
    <row r="342" spans="1:31" ht="13" x14ac:dyDescent="0.3">
      <c r="A342" s="1456"/>
      <c r="B342" s="926">
        <v>12</v>
      </c>
      <c r="C342" s="926">
        <f>C131</f>
        <v>37</v>
      </c>
      <c r="D342" s="926">
        <f t="shared" ref="D342:F342" si="393">D131</f>
        <v>-0.3</v>
      </c>
      <c r="E342" s="926" t="str">
        <f t="shared" si="393"/>
        <v>-</v>
      </c>
      <c r="F342" s="926">
        <f t="shared" si="393"/>
        <v>0</v>
      </c>
      <c r="G342" s="926">
        <f>G131</f>
        <v>0</v>
      </c>
      <c r="I342" s="1456"/>
      <c r="J342" s="926">
        <v>12</v>
      </c>
      <c r="K342" s="926">
        <f>J131</f>
        <v>80</v>
      </c>
      <c r="L342" s="926">
        <f t="shared" ref="L342:N342" si="394">K131</f>
        <v>-0.5</v>
      </c>
      <c r="M342" s="926" t="str">
        <f t="shared" si="394"/>
        <v>-</v>
      </c>
      <c r="N342" s="926">
        <f t="shared" si="394"/>
        <v>0</v>
      </c>
      <c r="O342" s="926">
        <f>N131</f>
        <v>0</v>
      </c>
      <c r="Q342" s="1456"/>
      <c r="R342" s="926">
        <v>12</v>
      </c>
      <c r="S342" s="926">
        <f>Q131</f>
        <v>1005</v>
      </c>
      <c r="T342" s="927">
        <f t="shared" ref="T342:V342" si="395">R131</f>
        <v>-0.8</v>
      </c>
      <c r="U342" s="927" t="str">
        <f t="shared" si="395"/>
        <v>-</v>
      </c>
      <c r="V342" s="927">
        <f t="shared" si="395"/>
        <v>0</v>
      </c>
      <c r="W342" s="927">
        <f>U131</f>
        <v>0</v>
      </c>
      <c r="AE342" s="740"/>
    </row>
    <row r="343" spans="1:31" ht="13" x14ac:dyDescent="0.3">
      <c r="A343" s="1456"/>
      <c r="B343" s="926">
        <v>13</v>
      </c>
      <c r="C343" s="926">
        <f>C142</f>
        <v>37</v>
      </c>
      <c r="D343" s="926">
        <f t="shared" ref="D343:F343" si="396">D142</f>
        <v>-0.2</v>
      </c>
      <c r="E343" s="926">
        <f t="shared" si="396"/>
        <v>0.4</v>
      </c>
      <c r="F343" s="926" t="str">
        <f t="shared" si="396"/>
        <v>-</v>
      </c>
      <c r="G343" s="926">
        <f>G142</f>
        <v>0</v>
      </c>
      <c r="I343" s="1456"/>
      <c r="J343" s="926">
        <v>13</v>
      </c>
      <c r="K343" s="926">
        <f>J142</f>
        <v>80</v>
      </c>
      <c r="L343" s="926">
        <f t="shared" ref="L343:N343" si="397">K142</f>
        <v>-1.2</v>
      </c>
      <c r="M343" s="926">
        <f t="shared" si="397"/>
        <v>-2.5</v>
      </c>
      <c r="N343" s="926" t="str">
        <f t="shared" si="397"/>
        <v>-</v>
      </c>
      <c r="O343" s="926">
        <f>N142</f>
        <v>0</v>
      </c>
      <c r="Q343" s="1456"/>
      <c r="R343" s="926">
        <v>13</v>
      </c>
      <c r="S343" s="926">
        <f>Q142</f>
        <v>1005</v>
      </c>
      <c r="T343" s="927">
        <f t="shared" ref="T343:V343" si="398">R142</f>
        <v>3.6</v>
      </c>
      <c r="U343" s="927">
        <f t="shared" si="398"/>
        <v>1.1000000000000001</v>
      </c>
      <c r="V343" s="927" t="str">
        <f t="shared" si="398"/>
        <v>-</v>
      </c>
      <c r="W343" s="927">
        <f>U142</f>
        <v>0</v>
      </c>
      <c r="AE343" s="740"/>
    </row>
    <row r="344" spans="1:31" ht="13" x14ac:dyDescent="0.3">
      <c r="A344" s="1456"/>
      <c r="B344" s="926">
        <v>14</v>
      </c>
      <c r="C344" s="926">
        <f>C153</f>
        <v>37</v>
      </c>
      <c r="D344" s="926">
        <f t="shared" ref="D344:F344" si="399">D153</f>
        <v>-0.7</v>
      </c>
      <c r="E344" s="926">
        <f t="shared" si="399"/>
        <v>-0.8</v>
      </c>
      <c r="F344" s="926" t="str">
        <f t="shared" si="399"/>
        <v>-</v>
      </c>
      <c r="G344" s="926">
        <f>G153</f>
        <v>0</v>
      </c>
      <c r="I344" s="1456"/>
      <c r="J344" s="926">
        <v>14</v>
      </c>
      <c r="K344" s="926">
        <f>J153</f>
        <v>80</v>
      </c>
      <c r="L344" s="926">
        <f t="shared" ref="L344:N344" si="400">K153</f>
        <v>1.1000000000000001</v>
      </c>
      <c r="M344" s="926">
        <f t="shared" si="400"/>
        <v>-0.9</v>
      </c>
      <c r="N344" s="926" t="str">
        <f t="shared" si="400"/>
        <v>-</v>
      </c>
      <c r="O344" s="926">
        <f>N153</f>
        <v>0</v>
      </c>
      <c r="Q344" s="1456"/>
      <c r="R344" s="926">
        <v>14</v>
      </c>
      <c r="S344" s="926">
        <f>Q153</f>
        <v>1005</v>
      </c>
      <c r="T344" s="927">
        <f t="shared" ref="T344:V344" si="401">R153</f>
        <v>3.8</v>
      </c>
      <c r="U344" s="927">
        <f t="shared" si="401"/>
        <v>1.1000000000000001</v>
      </c>
      <c r="V344" s="927" t="str">
        <f t="shared" si="401"/>
        <v>-</v>
      </c>
      <c r="W344" s="927">
        <f>U153</f>
        <v>0</v>
      </c>
      <c r="AE344" s="740"/>
    </row>
    <row r="345" spans="1:31" ht="13" x14ac:dyDescent="0.3">
      <c r="A345" s="1456"/>
      <c r="B345" s="926">
        <v>15</v>
      </c>
      <c r="C345" s="926">
        <f>C164</f>
        <v>37</v>
      </c>
      <c r="D345" s="926">
        <f t="shared" ref="D345:F345" si="402">D164</f>
        <v>1</v>
      </c>
      <c r="E345" s="926">
        <f t="shared" si="402"/>
        <v>-0.1</v>
      </c>
      <c r="F345" s="926" t="str">
        <f t="shared" si="402"/>
        <v>-</v>
      </c>
      <c r="G345" s="926">
        <f>G164</f>
        <v>0</v>
      </c>
      <c r="I345" s="1456"/>
      <c r="J345" s="926">
        <v>15</v>
      </c>
      <c r="K345" s="926">
        <f>J164</f>
        <v>80</v>
      </c>
      <c r="L345" s="926">
        <f t="shared" ref="L345:N345" si="403">K164</f>
        <v>-0.4</v>
      </c>
      <c r="M345" s="926">
        <f t="shared" si="403"/>
        <v>-1.3</v>
      </c>
      <c r="N345" s="926" t="str">
        <f t="shared" si="403"/>
        <v>-</v>
      </c>
      <c r="O345" s="926">
        <f>N164</f>
        <v>0</v>
      </c>
      <c r="Q345" s="1456"/>
      <c r="R345" s="926">
        <v>15</v>
      </c>
      <c r="S345" s="926">
        <f>Q164</f>
        <v>1005</v>
      </c>
      <c r="T345" s="927">
        <f t="shared" ref="T345:V345" si="404">R164</f>
        <v>4</v>
      </c>
      <c r="U345" s="927">
        <f t="shared" si="404"/>
        <v>1.1000000000000001</v>
      </c>
      <c r="V345" s="927" t="str">
        <f t="shared" si="404"/>
        <v>-</v>
      </c>
      <c r="W345" s="927">
        <f>U164</f>
        <v>0</v>
      </c>
      <c r="AE345" s="740"/>
    </row>
    <row r="346" spans="1:31" ht="13" x14ac:dyDescent="0.3">
      <c r="A346" s="1456"/>
      <c r="B346" s="926">
        <v>16</v>
      </c>
      <c r="C346" s="926">
        <f>C175</f>
        <v>37</v>
      </c>
      <c r="D346" s="926">
        <f t="shared" ref="D346:F346" si="405">D175</f>
        <v>0.6</v>
      </c>
      <c r="E346" s="926">
        <f t="shared" si="405"/>
        <v>9.9999999999999995E-7</v>
      </c>
      <c r="F346" s="926">
        <f t="shared" si="405"/>
        <v>0</v>
      </c>
      <c r="G346" s="926">
        <f>G175</f>
        <v>0.29999949999999997</v>
      </c>
      <c r="I346" s="1456"/>
      <c r="J346" s="926">
        <v>16</v>
      </c>
      <c r="K346" s="926">
        <f>J175</f>
        <v>80</v>
      </c>
      <c r="L346" s="926">
        <f t="shared" ref="L346:N346" si="406">K175</f>
        <v>-2.5</v>
      </c>
      <c r="M346" s="926">
        <f t="shared" si="406"/>
        <v>-2.2999999999999998</v>
      </c>
      <c r="N346" s="926">
        <f t="shared" si="406"/>
        <v>0</v>
      </c>
      <c r="O346" s="926">
        <f>N175</f>
        <v>0.10000000000000009</v>
      </c>
      <c r="Q346" s="1456"/>
      <c r="R346" s="926">
        <v>16</v>
      </c>
      <c r="S346" s="926">
        <f>Q175</f>
        <v>1005</v>
      </c>
      <c r="T346" s="927" t="str">
        <f t="shared" ref="T346:V346" si="407">R175</f>
        <v>-</v>
      </c>
      <c r="U346" s="927">
        <f t="shared" si="407"/>
        <v>-0.4</v>
      </c>
      <c r="V346" s="927">
        <f t="shared" si="407"/>
        <v>0</v>
      </c>
      <c r="W346" s="927">
        <f>U175</f>
        <v>0</v>
      </c>
      <c r="AE346" s="740"/>
    </row>
    <row r="347" spans="1:31" ht="13" x14ac:dyDescent="0.3">
      <c r="A347" s="1456"/>
      <c r="B347" s="926">
        <v>17</v>
      </c>
      <c r="C347" s="926">
        <f>C186</f>
        <v>37</v>
      </c>
      <c r="D347" s="926">
        <f t="shared" ref="D347:F347" si="408">D186</f>
        <v>0.7</v>
      </c>
      <c r="E347" s="926">
        <f t="shared" si="408"/>
        <v>-0.6</v>
      </c>
      <c r="F347" s="926">
        <f t="shared" si="408"/>
        <v>0</v>
      </c>
      <c r="G347" s="926">
        <f>G186</f>
        <v>0.64999999999999991</v>
      </c>
      <c r="I347" s="1456"/>
      <c r="J347" s="926">
        <v>17</v>
      </c>
      <c r="K347" s="926">
        <f>J186</f>
        <v>80</v>
      </c>
      <c r="L347" s="926">
        <f t="shared" ref="L347:N347" si="409">K186</f>
        <v>-2.2000000000000002</v>
      </c>
      <c r="M347" s="926">
        <f t="shared" si="409"/>
        <v>-0.8</v>
      </c>
      <c r="N347" s="926">
        <f t="shared" si="409"/>
        <v>0</v>
      </c>
      <c r="O347" s="926">
        <f>N186</f>
        <v>0.70000000000000007</v>
      </c>
      <c r="Q347" s="1456"/>
      <c r="R347" s="926">
        <v>17</v>
      </c>
      <c r="S347" s="926">
        <f>Q186</f>
        <v>1005</v>
      </c>
      <c r="T347" s="927" t="str">
        <f t="shared" ref="T347:V347" si="410">R186</f>
        <v>-</v>
      </c>
      <c r="U347" s="927">
        <f t="shared" si="410"/>
        <v>-0.6</v>
      </c>
      <c r="V347" s="927">
        <f t="shared" si="410"/>
        <v>0</v>
      </c>
      <c r="W347" s="927">
        <f>U186</f>
        <v>0</v>
      </c>
      <c r="AE347" s="740"/>
    </row>
    <row r="348" spans="1:31" ht="13" x14ac:dyDescent="0.3">
      <c r="A348" s="1456"/>
      <c r="B348" s="926">
        <v>18</v>
      </c>
      <c r="C348" s="926">
        <f>C197</f>
        <v>37</v>
      </c>
      <c r="D348" s="926">
        <f t="shared" ref="D348:F348" si="411">D197</f>
        <v>0.4</v>
      </c>
      <c r="E348" s="926">
        <f t="shared" si="411"/>
        <v>-0.3</v>
      </c>
      <c r="F348" s="926">
        <f t="shared" si="411"/>
        <v>0</v>
      </c>
      <c r="G348" s="926">
        <f>G197</f>
        <v>0.35</v>
      </c>
      <c r="I348" s="1456"/>
      <c r="J348" s="926">
        <v>18</v>
      </c>
      <c r="K348" s="926">
        <f>J197</f>
        <v>80</v>
      </c>
      <c r="L348" s="926">
        <f t="shared" ref="L348:N348" si="412">K197</f>
        <v>-2.4</v>
      </c>
      <c r="M348" s="926">
        <f t="shared" si="412"/>
        <v>-0.5</v>
      </c>
      <c r="N348" s="926">
        <f t="shared" si="412"/>
        <v>0</v>
      </c>
      <c r="O348" s="926">
        <f>N197</f>
        <v>0.95</v>
      </c>
      <c r="Q348" s="1456"/>
      <c r="R348" s="926">
        <v>18</v>
      </c>
      <c r="S348" s="926">
        <f>Q197</f>
        <v>1005</v>
      </c>
      <c r="T348" s="927" t="str">
        <f t="shared" ref="T348:V348" si="413">R197</f>
        <v>-</v>
      </c>
      <c r="U348" s="927">
        <f t="shared" si="413"/>
        <v>-0.7</v>
      </c>
      <c r="V348" s="927">
        <f t="shared" si="413"/>
        <v>0</v>
      </c>
      <c r="W348" s="927">
        <f>U197</f>
        <v>0</v>
      </c>
      <c r="AE348" s="740"/>
    </row>
    <row r="349" spans="1:31" ht="13" x14ac:dyDescent="0.3">
      <c r="A349" s="1456"/>
      <c r="B349" s="926">
        <v>19</v>
      </c>
      <c r="C349" s="926">
        <f>C208</f>
        <v>37</v>
      </c>
      <c r="D349" s="926">
        <f t="shared" ref="D349:F349" si="414">D208</f>
        <v>9.9999999999999995E-7</v>
      </c>
      <c r="E349" s="926" t="str">
        <f t="shared" si="414"/>
        <v>-</v>
      </c>
      <c r="F349" s="926">
        <f t="shared" si="414"/>
        <v>0</v>
      </c>
      <c r="G349" s="926">
        <f>G208</f>
        <v>0</v>
      </c>
      <c r="I349" s="1456"/>
      <c r="J349" s="926">
        <v>19</v>
      </c>
      <c r="K349" s="926">
        <f>J208</f>
        <v>80</v>
      </c>
      <c r="L349" s="926">
        <f t="shared" ref="L349:N349" si="415">K208</f>
        <v>-0.9</v>
      </c>
      <c r="M349" s="926" t="str">
        <f t="shared" si="415"/>
        <v>-</v>
      </c>
      <c r="N349" s="926">
        <f t="shared" si="415"/>
        <v>0</v>
      </c>
      <c r="O349" s="926">
        <f>N208</f>
        <v>0</v>
      </c>
      <c r="Q349" s="1456"/>
      <c r="R349" s="926">
        <v>19</v>
      </c>
      <c r="S349" s="926">
        <f>Q208</f>
        <v>1005</v>
      </c>
      <c r="T349" s="927">
        <f t="shared" ref="T349:V349" si="416">R208</f>
        <v>2.2000000000000002</v>
      </c>
      <c r="U349" s="927" t="str">
        <f t="shared" si="416"/>
        <v>-</v>
      </c>
      <c r="V349" s="927">
        <f t="shared" si="416"/>
        <v>0</v>
      </c>
      <c r="W349" s="927">
        <f>U208</f>
        <v>0</v>
      </c>
      <c r="AE349" s="740"/>
    </row>
    <row r="350" spans="1:31" ht="13.5" thickBot="1" x14ac:dyDescent="0.35">
      <c r="A350" s="1456"/>
      <c r="B350" s="926">
        <v>20</v>
      </c>
      <c r="C350" s="926">
        <f>C219</f>
        <v>39.5</v>
      </c>
      <c r="D350" s="926">
        <f t="shared" ref="D350:F350" si="417">D219</f>
        <v>9.9999999999999995E-7</v>
      </c>
      <c r="E350" s="926" t="str">
        <f t="shared" si="417"/>
        <v>-</v>
      </c>
      <c r="F350" s="926">
        <f t="shared" si="417"/>
        <v>9.9999999999999995E-7</v>
      </c>
      <c r="G350" s="926">
        <f>G219</f>
        <v>0</v>
      </c>
      <c r="I350" s="1456"/>
      <c r="J350" s="926">
        <v>20</v>
      </c>
      <c r="K350" s="926">
        <f>J219</f>
        <v>88.7</v>
      </c>
      <c r="L350" s="926">
        <f t="shared" ref="L350:N350" si="418">K219</f>
        <v>9.9999999999999995E-7</v>
      </c>
      <c r="M350" s="926" t="str">
        <f t="shared" si="418"/>
        <v>-</v>
      </c>
      <c r="N350" s="926">
        <f t="shared" si="418"/>
        <v>0</v>
      </c>
      <c r="O350" s="926">
        <f>N219</f>
        <v>0</v>
      </c>
      <c r="Q350" s="1458"/>
      <c r="R350" s="935">
        <v>20</v>
      </c>
      <c r="S350" s="935">
        <f>Q219</f>
        <v>1005</v>
      </c>
      <c r="T350" s="947" t="str">
        <f t="shared" ref="T350:V350" si="419">R219</f>
        <v>-</v>
      </c>
      <c r="U350" s="947" t="str">
        <f t="shared" si="419"/>
        <v>-</v>
      </c>
      <c r="V350" s="947">
        <f t="shared" si="419"/>
        <v>0</v>
      </c>
      <c r="W350" s="947">
        <f>U219</f>
        <v>0</v>
      </c>
      <c r="AE350" s="938"/>
    </row>
    <row r="351" spans="1:31" ht="13.5" thickBot="1" x14ac:dyDescent="0.35">
      <c r="A351" s="141"/>
      <c r="B351" s="141"/>
      <c r="C351" s="141"/>
      <c r="D351" s="141"/>
      <c r="E351" s="141"/>
      <c r="F351" s="141"/>
      <c r="G351" s="141"/>
      <c r="I351" s="141"/>
      <c r="J351" s="141"/>
      <c r="K351" s="141"/>
      <c r="L351" s="141"/>
      <c r="M351" s="141"/>
      <c r="N351" s="141"/>
      <c r="O351" s="141"/>
      <c r="Q351" s="143"/>
      <c r="R351" s="939"/>
      <c r="S351" s="536"/>
      <c r="T351" s="537"/>
      <c r="U351" s="537"/>
      <c r="V351" s="537"/>
      <c r="W351" s="537"/>
      <c r="AE351" s="740"/>
    </row>
    <row r="352" spans="1:31" ht="13" x14ac:dyDescent="0.3">
      <c r="A352" s="1456">
        <v>7</v>
      </c>
      <c r="B352" s="926">
        <v>1</v>
      </c>
      <c r="C352" s="926">
        <f>C11</f>
        <v>40</v>
      </c>
      <c r="D352" s="926">
        <f t="shared" ref="D352:F352" si="420">D11</f>
        <v>-0.3</v>
      </c>
      <c r="E352" s="926">
        <f t="shared" si="420"/>
        <v>-0.8</v>
      </c>
      <c r="F352" s="926">
        <f t="shared" si="420"/>
        <v>0</v>
      </c>
      <c r="G352" s="926">
        <f>G11</f>
        <v>0.4</v>
      </c>
      <c r="I352" s="1456">
        <v>7</v>
      </c>
      <c r="J352" s="926">
        <v>1</v>
      </c>
      <c r="K352" s="926">
        <f>J11</f>
        <v>90</v>
      </c>
      <c r="L352" s="926">
        <f t="shared" ref="L352:N352" si="421">K11</f>
        <v>-1.6</v>
      </c>
      <c r="M352" s="926">
        <f t="shared" si="421"/>
        <v>4.5</v>
      </c>
      <c r="N352" s="926">
        <f t="shared" si="421"/>
        <v>0</v>
      </c>
      <c r="O352" s="926">
        <f>N11</f>
        <v>3.05</v>
      </c>
      <c r="Q352" s="1459">
        <v>7</v>
      </c>
      <c r="R352" s="942">
        <v>1</v>
      </c>
      <c r="S352" s="942">
        <f>Q11</f>
        <v>1020</v>
      </c>
      <c r="T352" s="949" t="str">
        <f t="shared" ref="T352:V352" si="422">R11</f>
        <v>-</v>
      </c>
      <c r="U352" s="949" t="str">
        <f t="shared" si="422"/>
        <v>-</v>
      </c>
      <c r="V352" s="949">
        <f t="shared" si="422"/>
        <v>0</v>
      </c>
      <c r="W352" s="949">
        <f>U11</f>
        <v>0</v>
      </c>
      <c r="AE352" s="945"/>
    </row>
    <row r="353" spans="1:31" ht="13" x14ac:dyDescent="0.3">
      <c r="A353" s="1456"/>
      <c r="B353" s="926">
        <v>2</v>
      </c>
      <c r="C353" s="926">
        <f>C22</f>
        <v>40</v>
      </c>
      <c r="D353" s="926">
        <f t="shared" ref="D353:F353" si="423">D22</f>
        <v>0.6</v>
      </c>
      <c r="E353" s="926">
        <f t="shared" si="423"/>
        <v>-0.1</v>
      </c>
      <c r="F353" s="926">
        <f t="shared" si="423"/>
        <v>-0.3</v>
      </c>
      <c r="G353" s="926">
        <f>G22</f>
        <v>0.44999999999999996</v>
      </c>
      <c r="I353" s="1456"/>
      <c r="J353" s="926">
        <v>2</v>
      </c>
      <c r="K353" s="926">
        <f>J22</f>
        <v>90</v>
      </c>
      <c r="L353" s="926">
        <f t="shared" ref="L353:N353" si="424">K22</f>
        <v>1.2</v>
      </c>
      <c r="M353" s="926">
        <f t="shared" si="424"/>
        <v>1.7</v>
      </c>
      <c r="N353" s="926">
        <f t="shared" si="424"/>
        <v>-0.3</v>
      </c>
      <c r="O353" s="926">
        <f>N22</f>
        <v>1</v>
      </c>
      <c r="Q353" s="1460"/>
      <c r="R353" s="926">
        <v>2</v>
      </c>
      <c r="S353" s="926">
        <f>Q22</f>
        <v>1020</v>
      </c>
      <c r="T353" s="927" t="str">
        <f t="shared" ref="T353:V353" si="425">R22</f>
        <v>-</v>
      </c>
      <c r="U353" s="927" t="str">
        <f t="shared" si="425"/>
        <v>-</v>
      </c>
      <c r="V353" s="927">
        <f t="shared" si="425"/>
        <v>0</v>
      </c>
      <c r="W353" s="927">
        <f>U22</f>
        <v>0</v>
      </c>
      <c r="AE353" s="740"/>
    </row>
    <row r="354" spans="1:31" ht="13" x14ac:dyDescent="0.3">
      <c r="A354" s="1456"/>
      <c r="B354" s="926">
        <v>3</v>
      </c>
      <c r="C354" s="926">
        <f>C33</f>
        <v>40</v>
      </c>
      <c r="D354" s="926">
        <f t="shared" ref="D354:F354" si="426">D33</f>
        <v>0.3</v>
      </c>
      <c r="E354" s="926">
        <f t="shared" si="426"/>
        <v>0.2</v>
      </c>
      <c r="F354" s="926">
        <f t="shared" si="426"/>
        <v>-0.7</v>
      </c>
      <c r="G354" s="926">
        <f>G33</f>
        <v>0.5</v>
      </c>
      <c r="I354" s="1456"/>
      <c r="J354" s="926">
        <v>3</v>
      </c>
      <c r="K354" s="926">
        <f>J33</f>
        <v>90</v>
      </c>
      <c r="L354" s="926">
        <f t="shared" ref="L354:N354" si="427">K33</f>
        <v>-0.9</v>
      </c>
      <c r="M354" s="926">
        <f t="shared" si="427"/>
        <v>0.3</v>
      </c>
      <c r="N354" s="926">
        <f t="shared" si="427"/>
        <v>-2</v>
      </c>
      <c r="O354" s="926">
        <f>N33</f>
        <v>1.1499999999999999</v>
      </c>
      <c r="Q354" s="1460"/>
      <c r="R354" s="926">
        <v>3</v>
      </c>
      <c r="S354" s="926">
        <f>Q33</f>
        <v>1020</v>
      </c>
      <c r="T354" s="927" t="str">
        <f t="shared" ref="T354:V354" si="428">R33</f>
        <v>-</v>
      </c>
      <c r="U354" s="927" t="str">
        <f t="shared" si="428"/>
        <v>-</v>
      </c>
      <c r="V354" s="927">
        <f t="shared" si="428"/>
        <v>0</v>
      </c>
      <c r="W354" s="927">
        <f>U33</f>
        <v>0</v>
      </c>
      <c r="AE354" s="740"/>
    </row>
    <row r="355" spans="1:31" ht="13" x14ac:dyDescent="0.3">
      <c r="A355" s="1456"/>
      <c r="B355" s="926">
        <v>4</v>
      </c>
      <c r="C355" s="926">
        <f>C44</f>
        <v>40</v>
      </c>
      <c r="D355" s="926">
        <f t="shared" ref="D355:F355" si="429">D44</f>
        <v>-0.5</v>
      </c>
      <c r="E355" s="926">
        <f t="shared" si="429"/>
        <v>-0.6</v>
      </c>
      <c r="F355" s="926">
        <f t="shared" si="429"/>
        <v>0</v>
      </c>
      <c r="G355" s="926">
        <f>G44</f>
        <v>4.9999999999999989E-2</v>
      </c>
      <c r="I355" s="1456"/>
      <c r="J355" s="926">
        <v>4</v>
      </c>
      <c r="K355" s="926">
        <f>J44</f>
        <v>90</v>
      </c>
      <c r="L355" s="926">
        <f t="shared" ref="L355:N355" si="430">K44</f>
        <v>-3.5</v>
      </c>
      <c r="M355" s="926">
        <f t="shared" si="430"/>
        <v>3.3</v>
      </c>
      <c r="N355" s="926">
        <f t="shared" si="430"/>
        <v>0</v>
      </c>
      <c r="O355" s="926">
        <f>N44</f>
        <v>3.4</v>
      </c>
      <c r="Q355" s="1460"/>
      <c r="R355" s="926">
        <v>4</v>
      </c>
      <c r="S355" s="926">
        <f>Q44</f>
        <v>1020</v>
      </c>
      <c r="T355" s="927" t="str">
        <f t="shared" ref="T355:V355" si="431">R44</f>
        <v>-</v>
      </c>
      <c r="U355" s="927" t="str">
        <f t="shared" si="431"/>
        <v>-</v>
      </c>
      <c r="V355" s="927">
        <f t="shared" si="431"/>
        <v>0</v>
      </c>
      <c r="W355" s="927">
        <f>U44</f>
        <v>0</v>
      </c>
      <c r="AE355" s="740"/>
    </row>
    <row r="356" spans="1:31" ht="13" x14ac:dyDescent="0.3">
      <c r="A356" s="1456"/>
      <c r="B356" s="926">
        <v>5</v>
      </c>
      <c r="C356" s="926">
        <f>C55</f>
        <v>40</v>
      </c>
      <c r="D356" s="926">
        <f t="shared" ref="D356:F356" si="432">D55</f>
        <v>0.3</v>
      </c>
      <c r="E356" s="926">
        <f t="shared" si="432"/>
        <v>0.7</v>
      </c>
      <c r="F356" s="926">
        <f t="shared" si="432"/>
        <v>-0.1</v>
      </c>
      <c r="G356" s="926">
        <f>G55</f>
        <v>0.39999999999999997</v>
      </c>
      <c r="I356" s="1456"/>
      <c r="J356" s="926">
        <v>5</v>
      </c>
      <c r="K356" s="926">
        <f>J55</f>
        <v>90</v>
      </c>
      <c r="L356" s="926">
        <f t="shared" ref="L356:N356" si="433">K55</f>
        <v>-5.4</v>
      </c>
      <c r="M356" s="926">
        <f t="shared" si="433"/>
        <v>-1.8</v>
      </c>
      <c r="N356" s="926">
        <f t="shared" si="433"/>
        <v>2.7</v>
      </c>
      <c r="O356" s="926">
        <f>N55</f>
        <v>4.0500000000000007</v>
      </c>
      <c r="Q356" s="1460"/>
      <c r="R356" s="926">
        <v>5</v>
      </c>
      <c r="S356" s="926">
        <f>Q55</f>
        <v>1020</v>
      </c>
      <c r="T356" s="927" t="str">
        <f t="shared" ref="T356:V356" si="434">R55</f>
        <v>-</v>
      </c>
      <c r="U356" s="927" t="str">
        <f t="shared" si="434"/>
        <v>-</v>
      </c>
      <c r="V356" s="927">
        <f t="shared" si="434"/>
        <v>0</v>
      </c>
      <c r="W356" s="927">
        <f>U55</f>
        <v>0</v>
      </c>
      <c r="AE356" s="740"/>
    </row>
    <row r="357" spans="1:31" ht="13" x14ac:dyDescent="0.3">
      <c r="A357" s="1456"/>
      <c r="B357" s="926">
        <v>6</v>
      </c>
      <c r="C357" s="926">
        <f>C66</f>
        <v>40</v>
      </c>
      <c r="D357" s="926">
        <f t="shared" ref="D357:F357" si="435">D66</f>
        <v>0.1</v>
      </c>
      <c r="E357" s="926">
        <f t="shared" si="435"/>
        <v>-1.4</v>
      </c>
      <c r="F357" s="926">
        <f t="shared" si="435"/>
        <v>0</v>
      </c>
      <c r="G357" s="926">
        <f>G66</f>
        <v>0.75</v>
      </c>
      <c r="I357" s="1456"/>
      <c r="J357" s="926">
        <v>6</v>
      </c>
      <c r="K357" s="926">
        <f>J66</f>
        <v>90</v>
      </c>
      <c r="L357" s="926">
        <f t="shared" ref="L357:N357" si="436">K66</f>
        <v>-5.2</v>
      </c>
      <c r="M357" s="926">
        <f t="shared" si="436"/>
        <v>0.7</v>
      </c>
      <c r="N357" s="926">
        <f t="shared" si="436"/>
        <v>0</v>
      </c>
      <c r="O357" s="926">
        <f>N66</f>
        <v>2.95</v>
      </c>
      <c r="Q357" s="1460"/>
      <c r="R357" s="926">
        <v>6</v>
      </c>
      <c r="S357" s="926">
        <f>Q66</f>
        <v>1020</v>
      </c>
      <c r="T357" s="927">
        <f t="shared" ref="T357:V357" si="437">R66</f>
        <v>0.9</v>
      </c>
      <c r="U357" s="927">
        <f t="shared" si="437"/>
        <v>9.9999999999999995E-7</v>
      </c>
      <c r="V357" s="927">
        <f t="shared" si="437"/>
        <v>0</v>
      </c>
      <c r="W357" s="927">
        <f>U66</f>
        <v>0.4499995</v>
      </c>
      <c r="AE357" s="740"/>
    </row>
    <row r="358" spans="1:31" ht="13" x14ac:dyDescent="0.3">
      <c r="A358" s="1456"/>
      <c r="B358" s="926">
        <v>7</v>
      </c>
      <c r="C358" s="926">
        <f>C77</f>
        <v>40</v>
      </c>
      <c r="D358" s="926">
        <f t="shared" ref="D358:F358" si="438">D77</f>
        <v>-0.5</v>
      </c>
      <c r="E358" s="926">
        <f t="shared" si="438"/>
        <v>0.1</v>
      </c>
      <c r="F358" s="926">
        <f t="shared" si="438"/>
        <v>-1.7</v>
      </c>
      <c r="G358" s="926">
        <f>G77</f>
        <v>0.9</v>
      </c>
      <c r="I358" s="1456"/>
      <c r="J358" s="926">
        <v>7</v>
      </c>
      <c r="K358" s="926">
        <f>J77</f>
        <v>90</v>
      </c>
      <c r="L358" s="926">
        <f t="shared" ref="L358:N358" si="439">K77</f>
        <v>-1.6</v>
      </c>
      <c r="M358" s="926">
        <f t="shared" si="439"/>
        <v>-3</v>
      </c>
      <c r="N358" s="926">
        <f t="shared" si="439"/>
        <v>1.8</v>
      </c>
      <c r="O358" s="926">
        <f>N77</f>
        <v>2.4</v>
      </c>
      <c r="Q358" s="1460"/>
      <c r="R358" s="926">
        <v>7</v>
      </c>
      <c r="S358" s="926">
        <f>Q77</f>
        <v>1020</v>
      </c>
      <c r="T358" s="927">
        <f t="shared" ref="T358:V358" si="440">R77</f>
        <v>0.3</v>
      </c>
      <c r="U358" s="927">
        <f t="shared" si="440"/>
        <v>-3.8</v>
      </c>
      <c r="V358" s="927">
        <f t="shared" si="440"/>
        <v>9.9999999999999995E-7</v>
      </c>
      <c r="W358" s="927">
        <f>U77</f>
        <v>2.0499999999999998</v>
      </c>
      <c r="AE358" s="740"/>
    </row>
    <row r="359" spans="1:31" ht="13" x14ac:dyDescent="0.3">
      <c r="A359" s="1456"/>
      <c r="B359" s="926">
        <v>8</v>
      </c>
      <c r="C359" s="926">
        <f>C88</f>
        <v>40</v>
      </c>
      <c r="D359" s="926">
        <f t="shared" ref="D359:F359" si="441">D88</f>
        <v>9.9999999999999995E-7</v>
      </c>
      <c r="E359" s="926">
        <f t="shared" si="441"/>
        <v>-0.4</v>
      </c>
      <c r="F359" s="926">
        <f t="shared" si="441"/>
        <v>0</v>
      </c>
      <c r="G359" s="926">
        <f>G88</f>
        <v>0.2000005</v>
      </c>
      <c r="I359" s="1456"/>
      <c r="J359" s="926">
        <v>8</v>
      </c>
      <c r="K359" s="926">
        <f>J88</f>
        <v>90</v>
      </c>
      <c r="L359" s="926">
        <f t="shared" ref="L359:N359" si="442">K88</f>
        <v>-4.9000000000000004</v>
      </c>
      <c r="M359" s="926">
        <f t="shared" si="442"/>
        <v>-1.3</v>
      </c>
      <c r="N359" s="926">
        <f t="shared" si="442"/>
        <v>0</v>
      </c>
      <c r="O359" s="926">
        <f>N88</f>
        <v>1.8000000000000003</v>
      </c>
      <c r="Q359" s="1460"/>
      <c r="R359" s="926">
        <v>8</v>
      </c>
      <c r="S359" s="926">
        <f>Q88</f>
        <v>1020</v>
      </c>
      <c r="T359" s="927">
        <f t="shared" ref="T359:V359" si="443">R88</f>
        <v>-3.4</v>
      </c>
      <c r="U359" s="927">
        <f t="shared" si="443"/>
        <v>9.9999999999999995E-7</v>
      </c>
      <c r="V359" s="927">
        <f t="shared" si="443"/>
        <v>0</v>
      </c>
      <c r="W359" s="927">
        <f>U88</f>
        <v>1.7000005</v>
      </c>
      <c r="AE359" s="740"/>
    </row>
    <row r="360" spans="1:31" ht="13" x14ac:dyDescent="0.3">
      <c r="A360" s="1456"/>
      <c r="B360" s="926">
        <v>9</v>
      </c>
      <c r="C360" s="926">
        <f>C99</f>
        <v>40</v>
      </c>
      <c r="D360" s="926">
        <f t="shared" ref="D360:F360" si="444">D99</f>
        <v>-0.4</v>
      </c>
      <c r="E360" s="926" t="str">
        <f t="shared" si="444"/>
        <v>-</v>
      </c>
      <c r="F360" s="926">
        <f t="shared" si="444"/>
        <v>0</v>
      </c>
      <c r="G360" s="926">
        <f>G99</f>
        <v>0</v>
      </c>
      <c r="I360" s="1456"/>
      <c r="J360" s="926">
        <v>9</v>
      </c>
      <c r="K360" s="926">
        <f>J99</f>
        <v>90</v>
      </c>
      <c r="L360" s="926">
        <f t="shared" ref="L360:N360" si="445">K99</f>
        <v>-0.2</v>
      </c>
      <c r="M360" s="926" t="str">
        <f t="shared" si="445"/>
        <v>-</v>
      </c>
      <c r="N360" s="926">
        <f t="shared" si="445"/>
        <v>0</v>
      </c>
      <c r="O360" s="926">
        <f>N99</f>
        <v>0</v>
      </c>
      <c r="Q360" s="1460"/>
      <c r="R360" s="926">
        <v>9</v>
      </c>
      <c r="S360" s="926">
        <f>Q99</f>
        <v>1020</v>
      </c>
      <c r="T360" s="927">
        <f t="shared" ref="T360:V360" si="446">R99</f>
        <v>9.9999999999999995E-7</v>
      </c>
      <c r="U360" s="927" t="str">
        <f t="shared" si="446"/>
        <v>-</v>
      </c>
      <c r="V360" s="927">
        <f t="shared" si="446"/>
        <v>0</v>
      </c>
      <c r="W360" s="927">
        <f>U99</f>
        <v>0</v>
      </c>
      <c r="AE360" s="740"/>
    </row>
    <row r="361" spans="1:31" ht="13" x14ac:dyDescent="0.3">
      <c r="A361" s="1456"/>
      <c r="B361" s="926">
        <v>10</v>
      </c>
      <c r="C361" s="926">
        <f>C110</f>
        <v>40</v>
      </c>
      <c r="D361" s="926">
        <f t="shared" ref="D361:F361" si="447">D110</f>
        <v>0.2</v>
      </c>
      <c r="E361" s="926">
        <f t="shared" si="447"/>
        <v>9.9999999999999995E-7</v>
      </c>
      <c r="F361" s="926">
        <f t="shared" si="447"/>
        <v>0</v>
      </c>
      <c r="G361" s="926">
        <f>G110</f>
        <v>9.9999500000000005E-2</v>
      </c>
      <c r="I361" s="1456"/>
      <c r="J361" s="926">
        <v>10</v>
      </c>
      <c r="K361" s="926">
        <f>J110</f>
        <v>90</v>
      </c>
      <c r="L361" s="926">
        <f t="shared" ref="L361:N361" si="448">K110</f>
        <v>5.4</v>
      </c>
      <c r="M361" s="926">
        <f t="shared" si="448"/>
        <v>9.9999999999999995E-7</v>
      </c>
      <c r="N361" s="926">
        <f t="shared" si="448"/>
        <v>0</v>
      </c>
      <c r="O361" s="926">
        <f>N110</f>
        <v>2.6999995000000001</v>
      </c>
      <c r="Q361" s="1460"/>
      <c r="R361" s="926">
        <v>10</v>
      </c>
      <c r="S361" s="926">
        <f>Q110</f>
        <v>1020</v>
      </c>
      <c r="T361" s="927" t="str">
        <f t="shared" ref="T361:V361" si="449">R110</f>
        <v>-</v>
      </c>
      <c r="U361" s="927" t="str">
        <f t="shared" si="449"/>
        <v>-</v>
      </c>
      <c r="V361" s="927">
        <f t="shared" si="449"/>
        <v>0</v>
      </c>
      <c r="W361" s="927">
        <f>U110</f>
        <v>0</v>
      </c>
      <c r="AE361" s="740"/>
    </row>
    <row r="362" spans="1:31" ht="13" x14ac:dyDescent="0.3">
      <c r="A362" s="1456"/>
      <c r="B362" s="926">
        <v>11</v>
      </c>
      <c r="C362" s="926">
        <f>C121</f>
        <v>40</v>
      </c>
      <c r="D362" s="926">
        <f t="shared" ref="D362:F362" si="450">D121</f>
        <v>0.5</v>
      </c>
      <c r="E362" s="926">
        <f t="shared" si="450"/>
        <v>9.9999999999999995E-7</v>
      </c>
      <c r="F362" s="926">
        <f t="shared" si="450"/>
        <v>0</v>
      </c>
      <c r="G362" s="926">
        <f>G121</f>
        <v>0.24999950000000001</v>
      </c>
      <c r="I362" s="1456"/>
      <c r="J362" s="926">
        <v>11</v>
      </c>
      <c r="K362" s="926">
        <f>J121</f>
        <v>90</v>
      </c>
      <c r="L362" s="926">
        <f t="shared" ref="L362:N362" si="451">K121</f>
        <v>1.3</v>
      </c>
      <c r="M362" s="926">
        <f t="shared" si="451"/>
        <v>9.9999999999999995E-7</v>
      </c>
      <c r="N362" s="926">
        <f t="shared" si="451"/>
        <v>0</v>
      </c>
      <c r="O362" s="926">
        <f>N121</f>
        <v>0.64999950000000006</v>
      </c>
      <c r="Q362" s="1460"/>
      <c r="R362" s="926">
        <v>11</v>
      </c>
      <c r="S362" s="926">
        <f>Q121</f>
        <v>1020</v>
      </c>
      <c r="T362" s="927" t="str">
        <f t="shared" ref="T362:V362" si="452">R121</f>
        <v>-</v>
      </c>
      <c r="U362" s="927" t="str">
        <f t="shared" si="452"/>
        <v>-</v>
      </c>
      <c r="V362" s="927">
        <f t="shared" si="452"/>
        <v>0</v>
      </c>
      <c r="W362" s="927">
        <f>U121</f>
        <v>0</v>
      </c>
      <c r="AE362" s="740"/>
    </row>
    <row r="363" spans="1:31" ht="13" x14ac:dyDescent="0.3">
      <c r="A363" s="1456"/>
      <c r="B363" s="926">
        <v>12</v>
      </c>
      <c r="C363" s="926">
        <f>C132</f>
        <v>40</v>
      </c>
      <c r="D363" s="926">
        <f t="shared" ref="D363:F363" si="453">D132</f>
        <v>-0.4</v>
      </c>
      <c r="E363" s="926" t="str">
        <f t="shared" si="453"/>
        <v>-</v>
      </c>
      <c r="F363" s="926">
        <f t="shared" si="453"/>
        <v>0</v>
      </c>
      <c r="G363" s="926">
        <f>G132</f>
        <v>0</v>
      </c>
      <c r="I363" s="1456"/>
      <c r="J363" s="926">
        <v>12</v>
      </c>
      <c r="K363" s="926">
        <f>J132</f>
        <v>90</v>
      </c>
      <c r="L363" s="926">
        <f t="shared" ref="L363:N363" si="454">K132</f>
        <v>-0.9</v>
      </c>
      <c r="M363" s="926" t="str">
        <f t="shared" si="454"/>
        <v>-</v>
      </c>
      <c r="N363" s="926">
        <f t="shared" si="454"/>
        <v>0</v>
      </c>
      <c r="O363" s="926">
        <f>N132</f>
        <v>0</v>
      </c>
      <c r="Q363" s="1460"/>
      <c r="R363" s="926">
        <v>12</v>
      </c>
      <c r="S363" s="926">
        <f>Q132</f>
        <v>1020</v>
      </c>
      <c r="T363" s="927">
        <f t="shared" ref="T363:V363" si="455">R132</f>
        <v>9.9999999999999995E-7</v>
      </c>
      <c r="U363" s="927" t="str">
        <f t="shared" si="455"/>
        <v>-</v>
      </c>
      <c r="V363" s="927">
        <f t="shared" si="455"/>
        <v>0</v>
      </c>
      <c r="W363" s="927">
        <f>U132</f>
        <v>0</v>
      </c>
      <c r="AE363" s="740"/>
    </row>
    <row r="364" spans="1:31" ht="13" x14ac:dyDescent="0.3">
      <c r="A364" s="1456"/>
      <c r="B364" s="926">
        <v>13</v>
      </c>
      <c r="C364" s="926">
        <f>C143</f>
        <v>40</v>
      </c>
      <c r="D364" s="926">
        <f t="shared" ref="D364:F364" si="456">D143</f>
        <v>-0.2</v>
      </c>
      <c r="E364" s="926">
        <f t="shared" si="456"/>
        <v>0.5</v>
      </c>
      <c r="F364" s="926" t="str">
        <f t="shared" si="456"/>
        <v>-</v>
      </c>
      <c r="G364" s="926">
        <f>G143</f>
        <v>0</v>
      </c>
      <c r="I364" s="1456"/>
      <c r="J364" s="926">
        <v>13</v>
      </c>
      <c r="K364" s="926">
        <f>J143</f>
        <v>90</v>
      </c>
      <c r="L364" s="926">
        <f t="shared" ref="L364:N364" si="457">K143</f>
        <v>-1</v>
      </c>
      <c r="M364" s="926">
        <f t="shared" si="457"/>
        <v>-3.2</v>
      </c>
      <c r="N364" s="926" t="str">
        <f t="shared" si="457"/>
        <v>-</v>
      </c>
      <c r="O364" s="926">
        <f>N143</f>
        <v>0</v>
      </c>
      <c r="Q364" s="1460"/>
      <c r="R364" s="926">
        <v>13</v>
      </c>
      <c r="S364" s="926">
        <f>Q143</f>
        <v>1010</v>
      </c>
      <c r="T364" s="927">
        <f t="shared" ref="T364:V364" si="458">R143</f>
        <v>3.5</v>
      </c>
      <c r="U364" s="927">
        <f t="shared" si="458"/>
        <v>1.1000000000000001</v>
      </c>
      <c r="V364" s="927" t="str">
        <f t="shared" si="458"/>
        <v>-</v>
      </c>
      <c r="W364" s="927">
        <f>U143</f>
        <v>0</v>
      </c>
      <c r="AE364" s="740"/>
    </row>
    <row r="365" spans="1:31" ht="13" x14ac:dyDescent="0.3">
      <c r="A365" s="1456"/>
      <c r="B365" s="926">
        <v>14</v>
      </c>
      <c r="C365" s="926">
        <f>C154</f>
        <v>40</v>
      </c>
      <c r="D365" s="926">
        <f t="shared" ref="D365:F365" si="459">D154</f>
        <v>-0.8</v>
      </c>
      <c r="E365" s="926">
        <f t="shared" si="459"/>
        <v>-1.1000000000000001</v>
      </c>
      <c r="F365" s="926" t="str">
        <f t="shared" si="459"/>
        <v>-</v>
      </c>
      <c r="G365" s="926">
        <f>G154</f>
        <v>0</v>
      </c>
      <c r="I365" s="1456"/>
      <c r="J365" s="926">
        <v>14</v>
      </c>
      <c r="K365" s="926">
        <f>J154</f>
        <v>90</v>
      </c>
      <c r="L365" s="926">
        <f t="shared" ref="L365:N365" si="460">K154</f>
        <v>1.5</v>
      </c>
      <c r="M365" s="926">
        <f t="shared" si="460"/>
        <v>-0.8</v>
      </c>
      <c r="N365" s="926" t="str">
        <f t="shared" si="460"/>
        <v>-</v>
      </c>
      <c r="O365" s="926">
        <f>N154</f>
        <v>0</v>
      </c>
      <c r="Q365" s="1460"/>
      <c r="R365" s="926">
        <v>14</v>
      </c>
      <c r="S365" s="926">
        <f>Q154</f>
        <v>1010</v>
      </c>
      <c r="T365" s="927">
        <f t="shared" ref="T365:V365" si="461">R154</f>
        <v>3.7</v>
      </c>
      <c r="U365" s="927">
        <f t="shared" si="461"/>
        <v>9.9999999999999995E-7</v>
      </c>
      <c r="V365" s="927" t="str">
        <f t="shared" si="461"/>
        <v>-</v>
      </c>
      <c r="W365" s="927">
        <f>U154</f>
        <v>0</v>
      </c>
      <c r="AE365" s="740"/>
    </row>
    <row r="366" spans="1:31" ht="13" x14ac:dyDescent="0.3">
      <c r="A366" s="1456"/>
      <c r="B366" s="926">
        <v>15</v>
      </c>
      <c r="C366" s="926">
        <f>C165</f>
        <v>40</v>
      </c>
      <c r="D366" s="926">
        <f t="shared" ref="D366:F366" si="462">D165</f>
        <v>1.4</v>
      </c>
      <c r="E366" s="926">
        <f t="shared" si="462"/>
        <v>9.9999999999999995E-7</v>
      </c>
      <c r="F366" s="926" t="str">
        <f t="shared" si="462"/>
        <v>-</v>
      </c>
      <c r="G366" s="926">
        <f>G165</f>
        <v>0</v>
      </c>
      <c r="I366" s="1456"/>
      <c r="J366" s="926">
        <v>15</v>
      </c>
      <c r="K366" s="926">
        <f>J165</f>
        <v>90</v>
      </c>
      <c r="L366" s="926">
        <f t="shared" ref="L366:N366" si="463">K165</f>
        <v>-0.1</v>
      </c>
      <c r="M366" s="926">
        <f t="shared" si="463"/>
        <v>-2</v>
      </c>
      <c r="N366" s="926" t="str">
        <f t="shared" si="463"/>
        <v>-</v>
      </c>
      <c r="O366" s="926">
        <f>N165</f>
        <v>0</v>
      </c>
      <c r="Q366" s="1460"/>
      <c r="R366" s="926">
        <v>15</v>
      </c>
      <c r="S366" s="926">
        <f>Q165</f>
        <v>1010</v>
      </c>
      <c r="T366" s="927">
        <f t="shared" ref="T366:V366" si="464">R165</f>
        <v>3.9</v>
      </c>
      <c r="U366" s="927">
        <f t="shared" si="464"/>
        <v>9.9999999999999995E-7</v>
      </c>
      <c r="V366" s="927" t="str">
        <f t="shared" si="464"/>
        <v>-</v>
      </c>
      <c r="W366" s="927">
        <f>U165</f>
        <v>0</v>
      </c>
      <c r="AE366" s="740"/>
    </row>
    <row r="367" spans="1:31" ht="13" x14ac:dyDescent="0.3">
      <c r="A367" s="1456"/>
      <c r="B367" s="926">
        <v>16</v>
      </c>
      <c r="C367" s="926">
        <f>C176</f>
        <v>40</v>
      </c>
      <c r="D367" s="926">
        <f t="shared" ref="D367:F367" si="465">D176</f>
        <v>0.6</v>
      </c>
      <c r="E367" s="926">
        <f t="shared" si="465"/>
        <v>9.9999999999999995E-7</v>
      </c>
      <c r="F367" s="926">
        <f t="shared" si="465"/>
        <v>0</v>
      </c>
      <c r="G367" s="926">
        <f>G176</f>
        <v>0.29999949999999997</v>
      </c>
      <c r="I367" s="1456"/>
      <c r="J367" s="926">
        <v>16</v>
      </c>
      <c r="K367" s="926">
        <f>J176</f>
        <v>90</v>
      </c>
      <c r="L367" s="926">
        <f t="shared" ref="L367:N367" si="466">K176</f>
        <v>-3.1</v>
      </c>
      <c r="M367" s="926">
        <f t="shared" si="466"/>
        <v>-3</v>
      </c>
      <c r="N367" s="926">
        <f t="shared" si="466"/>
        <v>0</v>
      </c>
      <c r="O367" s="926">
        <f>N176</f>
        <v>5.0000000000000044E-2</v>
      </c>
      <c r="Q367" s="1460"/>
      <c r="R367" s="926">
        <v>16</v>
      </c>
      <c r="S367" s="926">
        <f>Q176</f>
        <v>1010</v>
      </c>
      <c r="T367" s="927">
        <f t="shared" ref="T367:V367" si="467">R176</f>
        <v>4.3</v>
      </c>
      <c r="U367" s="927">
        <f t="shared" si="467"/>
        <v>9.9999999999999995E-7</v>
      </c>
      <c r="V367" s="927">
        <f t="shared" si="467"/>
        <v>0</v>
      </c>
      <c r="W367" s="927">
        <f>U176</f>
        <v>2.1499994999999998</v>
      </c>
      <c r="AE367" s="740"/>
    </row>
    <row r="368" spans="1:31" ht="13" x14ac:dyDescent="0.3">
      <c r="A368" s="1456"/>
      <c r="B368" s="926">
        <v>17</v>
      </c>
      <c r="C368" s="926">
        <f>C187</f>
        <v>40</v>
      </c>
      <c r="D368" s="926">
        <f t="shared" ref="D368:F368" si="468">D187</f>
        <v>0.7</v>
      </c>
      <c r="E368" s="926">
        <f t="shared" si="468"/>
        <v>-0.8</v>
      </c>
      <c r="F368" s="926">
        <f t="shared" si="468"/>
        <v>0</v>
      </c>
      <c r="G368" s="926">
        <f>G187</f>
        <v>0.75</v>
      </c>
      <c r="I368" s="1456"/>
      <c r="J368" s="926">
        <v>17</v>
      </c>
      <c r="K368" s="926">
        <f>J187</f>
        <v>90</v>
      </c>
      <c r="L368" s="926">
        <f t="shared" ref="L368:N368" si="469">K187</f>
        <v>-2.9</v>
      </c>
      <c r="M368" s="926">
        <f t="shared" si="469"/>
        <v>-1.4</v>
      </c>
      <c r="N368" s="926">
        <f t="shared" si="469"/>
        <v>0</v>
      </c>
      <c r="O368" s="926">
        <f>N187</f>
        <v>0.75</v>
      </c>
      <c r="Q368" s="1460"/>
      <c r="R368" s="926">
        <v>17</v>
      </c>
      <c r="S368" s="926">
        <f>Q187</f>
        <v>1020</v>
      </c>
      <c r="T368" s="927">
        <f t="shared" ref="T368:V368" si="470">R187</f>
        <v>4.5</v>
      </c>
      <c r="U368" s="927">
        <f t="shared" si="470"/>
        <v>9.9999999999999995E-7</v>
      </c>
      <c r="V368" s="927">
        <f t="shared" si="470"/>
        <v>0</v>
      </c>
      <c r="W368" s="927">
        <f>U187</f>
        <v>2.2499994999999999</v>
      </c>
      <c r="AE368" s="740"/>
    </row>
    <row r="369" spans="1:36" ht="13" x14ac:dyDescent="0.3">
      <c r="A369" s="1456"/>
      <c r="B369" s="926">
        <v>18</v>
      </c>
      <c r="C369" s="926">
        <f>C198</f>
        <v>40</v>
      </c>
      <c r="D369" s="926">
        <f t="shared" ref="D369:F369" si="471">D198</f>
        <v>0.5</v>
      </c>
      <c r="E369" s="926">
        <f t="shared" si="471"/>
        <v>-0.4</v>
      </c>
      <c r="F369" s="926">
        <f t="shared" si="471"/>
        <v>0</v>
      </c>
      <c r="G369" s="926">
        <f>G198</f>
        <v>0.45</v>
      </c>
      <c r="I369" s="1456"/>
      <c r="J369" s="926">
        <v>18</v>
      </c>
      <c r="K369" s="926">
        <f>J198</f>
        <v>90</v>
      </c>
      <c r="L369" s="926">
        <f t="shared" ref="L369:N369" si="472">K198</f>
        <v>-3</v>
      </c>
      <c r="M369" s="926">
        <f t="shared" si="472"/>
        <v>-0.8</v>
      </c>
      <c r="N369" s="926">
        <f t="shared" si="472"/>
        <v>0</v>
      </c>
      <c r="O369" s="926">
        <f>N198</f>
        <v>1.1000000000000001</v>
      </c>
      <c r="Q369" s="1460"/>
      <c r="R369" s="926">
        <v>18</v>
      </c>
      <c r="S369" s="926">
        <f>Q198</f>
        <v>1010</v>
      </c>
      <c r="T369" s="927">
        <f t="shared" ref="T369:V369" si="473">R198</f>
        <v>4.4000000000000004</v>
      </c>
      <c r="U369" s="927">
        <f t="shared" si="473"/>
        <v>9.9999999999999995E-7</v>
      </c>
      <c r="V369" s="927">
        <f t="shared" si="473"/>
        <v>0</v>
      </c>
      <c r="W369" s="927">
        <f>U198</f>
        <v>2.1999995000000001</v>
      </c>
      <c r="AE369" s="740"/>
    </row>
    <row r="370" spans="1:36" ht="13" x14ac:dyDescent="0.3">
      <c r="A370" s="1456"/>
      <c r="B370" s="926">
        <v>19</v>
      </c>
      <c r="C370" s="926">
        <f>C209</f>
        <v>40</v>
      </c>
      <c r="D370" s="926">
        <f t="shared" ref="D370:F370" si="474">D209</f>
        <v>0.2</v>
      </c>
      <c r="E370" s="926" t="str">
        <f t="shared" si="474"/>
        <v>-</v>
      </c>
      <c r="F370" s="926">
        <f t="shared" si="474"/>
        <v>0</v>
      </c>
      <c r="G370" s="926">
        <f>G209</f>
        <v>0</v>
      </c>
      <c r="I370" s="1456"/>
      <c r="J370" s="926">
        <v>19</v>
      </c>
      <c r="K370" s="926">
        <f>J209</f>
        <v>90</v>
      </c>
      <c r="L370" s="926">
        <f t="shared" ref="L370:N370" si="475">K209</f>
        <v>-0.6</v>
      </c>
      <c r="M370" s="926" t="str">
        <f t="shared" si="475"/>
        <v>-</v>
      </c>
      <c r="N370" s="926">
        <f t="shared" si="475"/>
        <v>0</v>
      </c>
      <c r="O370" s="926">
        <f>N209</f>
        <v>0</v>
      </c>
      <c r="Q370" s="1460"/>
      <c r="R370" s="926">
        <v>19</v>
      </c>
      <c r="S370" s="926">
        <f>Q209</f>
        <v>1020</v>
      </c>
      <c r="T370" s="927">
        <f t="shared" ref="T370:V370" si="476">R209</f>
        <v>2.2999999999999998</v>
      </c>
      <c r="U370" s="927" t="str">
        <f t="shared" si="476"/>
        <v>-</v>
      </c>
      <c r="V370" s="927">
        <f t="shared" si="476"/>
        <v>0</v>
      </c>
      <c r="W370" s="927">
        <f>U209</f>
        <v>0</v>
      </c>
      <c r="AE370" s="740"/>
    </row>
    <row r="371" spans="1:36" ht="13.5" thickBot="1" x14ac:dyDescent="0.35">
      <c r="A371" s="1456"/>
      <c r="B371" s="926">
        <v>20</v>
      </c>
      <c r="C371" s="926">
        <f>C220</f>
        <v>40</v>
      </c>
      <c r="D371" s="926">
        <f t="shared" ref="D371:F371" si="477">D220</f>
        <v>9.9999999999999995E-7</v>
      </c>
      <c r="E371" s="926" t="str">
        <f t="shared" si="477"/>
        <v>-</v>
      </c>
      <c r="F371" s="926">
        <f t="shared" si="477"/>
        <v>9.9999999999999995E-7</v>
      </c>
      <c r="G371" s="926">
        <f>G220</f>
        <v>0</v>
      </c>
      <c r="I371" s="1456"/>
      <c r="J371" s="926">
        <v>20</v>
      </c>
      <c r="K371" s="926">
        <f>J220</f>
        <v>90</v>
      </c>
      <c r="L371" s="926">
        <f t="shared" ref="L371:N371" si="478">K220</f>
        <v>9.9999999999999995E-7</v>
      </c>
      <c r="M371" s="926" t="str">
        <f t="shared" si="478"/>
        <v>-</v>
      </c>
      <c r="N371" s="926">
        <f t="shared" si="478"/>
        <v>0</v>
      </c>
      <c r="O371" s="926">
        <f>N220</f>
        <v>0</v>
      </c>
      <c r="Q371" s="1461"/>
      <c r="R371" s="935">
        <v>20</v>
      </c>
      <c r="S371" s="935">
        <f>Q220</f>
        <v>1020</v>
      </c>
      <c r="T371" s="947" t="str">
        <f t="shared" ref="T371:V371" si="479">R220</f>
        <v>-</v>
      </c>
      <c r="U371" s="947" t="str">
        <f t="shared" si="479"/>
        <v>-</v>
      </c>
      <c r="V371" s="947">
        <f t="shared" si="479"/>
        <v>0</v>
      </c>
      <c r="W371" s="947">
        <f>U220</f>
        <v>0</v>
      </c>
      <c r="AE371" s="938"/>
    </row>
    <row r="372" spans="1:36" ht="13.5" thickBot="1" x14ac:dyDescent="0.35">
      <c r="A372" s="951"/>
      <c r="B372" s="81"/>
      <c r="C372" s="711"/>
      <c r="D372" s="711"/>
      <c r="E372" s="711"/>
      <c r="F372" s="711"/>
      <c r="G372" s="711"/>
      <c r="H372" s="740"/>
      <c r="I372" s="826"/>
      <c r="J372" s="81"/>
      <c r="K372" s="711"/>
      <c r="L372" s="711"/>
      <c r="M372" s="711"/>
      <c r="N372" s="711"/>
      <c r="O372" s="711"/>
      <c r="P372" s="740"/>
    </row>
    <row r="373" spans="1:36" ht="29.25" customHeight="1" x14ac:dyDescent="0.25">
      <c r="A373" s="467">
        <f>A410</f>
        <v>19</v>
      </c>
      <c r="B373" s="1453" t="str">
        <f>A389</f>
        <v>Thermohygrobarometer, Merek : EXTECH, Model : SD700, SN : A.100615</v>
      </c>
      <c r="C373" s="1453"/>
      <c r="D373" s="1453"/>
      <c r="E373" s="1453"/>
      <c r="G373" s="467">
        <f>A373</f>
        <v>19</v>
      </c>
      <c r="H373" s="1453" t="str">
        <f>B373</f>
        <v>Thermohygrobarometer, Merek : EXTECH, Model : SD700, SN : A.100615</v>
      </c>
      <c r="I373" s="1453"/>
      <c r="J373" s="1453"/>
      <c r="K373" s="1453"/>
      <c r="M373" s="467">
        <f>G373</f>
        <v>19</v>
      </c>
      <c r="N373" s="1453" t="str">
        <f>H373</f>
        <v>Thermohygrobarometer, Merek : EXTECH, Model : SD700, SN : A.100615</v>
      </c>
      <c r="O373" s="1453"/>
      <c r="P373" s="1453"/>
      <c r="Q373" s="1453"/>
      <c r="S373" s="467">
        <f>A373</f>
        <v>19</v>
      </c>
      <c r="T373" s="1454" t="str">
        <f>H373</f>
        <v>Thermohygrobarometer, Merek : EXTECH, Model : SD700, SN : A.100615</v>
      </c>
      <c r="U373" s="1454"/>
      <c r="V373" s="1454"/>
      <c r="W373" s="1454"/>
      <c r="Z373" s="952"/>
      <c r="AE373" s="714"/>
    </row>
    <row r="374" spans="1:36" ht="13.5" x14ac:dyDescent="0.3">
      <c r="A374" s="808" t="s">
        <v>390</v>
      </c>
      <c r="B374" s="1455" t="s">
        <v>391</v>
      </c>
      <c r="C374" s="1455"/>
      <c r="D374" s="1455"/>
      <c r="E374" s="1455" t="s">
        <v>392</v>
      </c>
      <c r="G374" s="808" t="s">
        <v>393</v>
      </c>
      <c r="H374" s="1455" t="s">
        <v>391</v>
      </c>
      <c r="I374" s="1455"/>
      <c r="J374" s="1455"/>
      <c r="K374" s="1455" t="s">
        <v>392</v>
      </c>
      <c r="M374" s="808" t="s">
        <v>394</v>
      </c>
      <c r="N374" s="1455" t="s">
        <v>391</v>
      </c>
      <c r="O374" s="1455"/>
      <c r="P374" s="1455"/>
      <c r="Q374" s="1455" t="s">
        <v>392</v>
      </c>
      <c r="S374" s="1448"/>
      <c r="T374" s="1448" t="s">
        <v>419</v>
      </c>
      <c r="U374" s="1448" t="s">
        <v>420</v>
      </c>
      <c r="V374" s="1448" t="s">
        <v>421</v>
      </c>
      <c r="W374" s="1449" t="s">
        <v>343</v>
      </c>
      <c r="Z374" s="711"/>
    </row>
    <row r="375" spans="1:36" ht="14" x14ac:dyDescent="0.3">
      <c r="A375" s="731" t="s">
        <v>418</v>
      </c>
      <c r="B375" s="808">
        <f>VLOOKUP(B373,A390:L409,9,FALSE)</f>
        <v>2021</v>
      </c>
      <c r="C375" s="808" t="str">
        <f>VLOOKUP(B373,A390:L409,10,FALSE)</f>
        <v>-</v>
      </c>
      <c r="D375" s="808">
        <f>VLOOKUP(B373,A390:L409,11,FALSE)</f>
        <v>2016</v>
      </c>
      <c r="E375" s="1455"/>
      <c r="G375" s="953" t="s">
        <v>396</v>
      </c>
      <c r="H375" s="808">
        <f>B375</f>
        <v>2021</v>
      </c>
      <c r="I375" s="808" t="str">
        <f>C375</f>
        <v>-</v>
      </c>
      <c r="J375" s="808">
        <f>D375</f>
        <v>2016</v>
      </c>
      <c r="K375" s="1455"/>
      <c r="M375" s="953" t="s">
        <v>397</v>
      </c>
      <c r="N375" s="808">
        <f>H375</f>
        <v>2021</v>
      </c>
      <c r="O375" s="808" t="str">
        <f>I375</f>
        <v>-</v>
      </c>
      <c r="P375" s="808">
        <f>J375</f>
        <v>2016</v>
      </c>
      <c r="Q375" s="1455"/>
      <c r="S375" s="1448"/>
      <c r="T375" s="1448"/>
      <c r="U375" s="1448"/>
      <c r="V375" s="1448"/>
      <c r="W375" s="1449"/>
      <c r="Z375" s="711"/>
    </row>
    <row r="376" spans="1:36" ht="13" x14ac:dyDescent="0.3">
      <c r="A376" s="141">
        <f>VLOOKUP($A$373,$B$226:$G$245,2,FALSE)</f>
        <v>15</v>
      </c>
      <c r="B376" s="141">
        <f>VLOOKUP($A$373,$B$226:$G$245,3,FALSE)</f>
        <v>9.9999999999999995E-7</v>
      </c>
      <c r="C376" s="141" t="str">
        <f>VLOOKUP($A$373,$B$226:$G$245,4,FALSE)</f>
        <v>-</v>
      </c>
      <c r="D376" s="141">
        <f>VLOOKUP($A$373,$B$226:$G$245,5,FALSE)</f>
        <v>0</v>
      </c>
      <c r="E376" s="141">
        <f>VLOOKUP($A$373,$B$226:$G$245,6,FALSE)</f>
        <v>0</v>
      </c>
      <c r="G376" s="141">
        <f>VLOOKUP($G$373,$J$226:$O$245,2,FALSE)</f>
        <v>30</v>
      </c>
      <c r="H376" s="141">
        <f>VLOOKUP($G$373,$J$226:$O$245,3,FALSE)</f>
        <v>-1.5</v>
      </c>
      <c r="I376" s="141" t="str">
        <f>VLOOKUP($G$373,$J$226:$O$245,4,FALSE)</f>
        <v>-</v>
      </c>
      <c r="J376" s="141">
        <f>VLOOKUP($G$373,$J$226:$O$245,5,FALSE)</f>
        <v>0</v>
      </c>
      <c r="K376" s="141">
        <f>VLOOKUP($G$373,$J$226:$O$245,6,FALSE)</f>
        <v>0</v>
      </c>
      <c r="M376" s="141">
        <f>VLOOKUP($M$373,$R$226:$W$245,2,FALSE)</f>
        <v>750</v>
      </c>
      <c r="N376" s="141">
        <f>VLOOKUP($M$373,$R$226:$W$245,3,FALSE)</f>
        <v>2.5</v>
      </c>
      <c r="O376" s="141" t="str">
        <f>VLOOKUP($M$373,$R$226:$W$245,4,FALSE)</f>
        <v>-</v>
      </c>
      <c r="P376" s="141">
        <f>VLOOKUP($M$373,$R$226:$W$245,5,FALSE)</f>
        <v>0</v>
      </c>
      <c r="Q376" s="141">
        <f>VLOOKUP($M$373,$R$226:$W$245,6,FALSE)</f>
        <v>0</v>
      </c>
      <c r="S376" s="1448"/>
      <c r="T376" s="1448"/>
      <c r="U376" s="1448"/>
      <c r="V376" s="1448"/>
      <c r="W376" s="1449"/>
      <c r="Z376" s="711"/>
    </row>
    <row r="377" spans="1:36" ht="13" x14ac:dyDescent="0.3">
      <c r="A377" s="141">
        <f>VLOOKUP($A$373,$B$247:$G$266,2,FALSE)</f>
        <v>20</v>
      </c>
      <c r="B377" s="141">
        <f>VLOOKUP($A$373,$B$247:$G$266,3,FALSE)</f>
        <v>0.1</v>
      </c>
      <c r="C377" s="141" t="str">
        <f>VLOOKUP($A$373,$B$247:$G$266,4,FALSE)</f>
        <v>-</v>
      </c>
      <c r="D377" s="141">
        <f>VLOOKUP($A$373,$B$247:$G$266,5,FALSE)</f>
        <v>0</v>
      </c>
      <c r="E377" s="141">
        <f>VLOOKUP($A$373,$B$247:$G$266,6,FALSE)</f>
        <v>0</v>
      </c>
      <c r="G377" s="141">
        <f>VLOOKUP($G$373,$J$247:$O$266,2,FALSE)</f>
        <v>40</v>
      </c>
      <c r="H377" s="141">
        <f>VLOOKUP($G$373,$J$247:$O$266,3,FALSE)</f>
        <v>-0.8</v>
      </c>
      <c r="I377" s="141" t="str">
        <f>VLOOKUP($G$373,$J$247:$O$266,4,FALSE)</f>
        <v>-</v>
      </c>
      <c r="J377" s="141">
        <f>VLOOKUP($G$373,$J$247:$O$266,5,FALSE)</f>
        <v>0</v>
      </c>
      <c r="K377" s="141">
        <f>VLOOKUP($G$373,$J$247:$O$266,6,FALSE)</f>
        <v>0</v>
      </c>
      <c r="M377" s="141">
        <f>VLOOKUP($M$373,$R$247:$W$266,2,FALSE)</f>
        <v>800</v>
      </c>
      <c r="N377" s="141">
        <f>VLOOKUP($M$373,$R$247:$W$266,3,FALSE)</f>
        <v>2.5</v>
      </c>
      <c r="O377" s="141" t="str">
        <f>VLOOKUP($M$373,$R$247:$W$266,4,FALSE)</f>
        <v>-</v>
      </c>
      <c r="P377" s="141">
        <f>VLOOKUP($M$373,$R$247:$W$266,5,FALSE)</f>
        <v>0</v>
      </c>
      <c r="Q377" s="141">
        <f>VLOOKUP($M$373,$R$247:$W$266,6,FALSE)</f>
        <v>0</v>
      </c>
      <c r="S377" s="535" t="s">
        <v>390</v>
      </c>
      <c r="T377" s="954">
        <f>AVERAGE(ID!E17:F17)</f>
        <v>22</v>
      </c>
      <c r="U377" s="535">
        <f>T377+S386</f>
        <v>22.044950417314094</v>
      </c>
      <c r="V377" s="954">
        <f>STDEV(ID!E17:F17)</f>
        <v>0</v>
      </c>
      <c r="W377" s="955">
        <f>VLOOKUP(S373,Y225:Z244,2,(FALSE))</f>
        <v>0.1</v>
      </c>
      <c r="Z377" s="711"/>
    </row>
    <row r="378" spans="1:36" ht="13" x14ac:dyDescent="0.3">
      <c r="A378" s="141">
        <f>VLOOKUP($A$373,$B$268:$G$287,2,FALSE)</f>
        <v>25</v>
      </c>
      <c r="B378" s="141">
        <f>VLOOKUP($A$373,$B$268:$G$287,3,FALSE)</f>
        <v>0.2</v>
      </c>
      <c r="C378" s="141">
        <f>VLOOKUP($A$373,$B$268:$G$287,4,FALSE)</f>
        <v>-0.2</v>
      </c>
      <c r="D378" s="141">
        <f>VLOOKUP($A$373,$B$268:$G$287,5,FALSE)</f>
        <v>0</v>
      </c>
      <c r="E378" s="141">
        <f>VLOOKUP($A$373,$B$268:$G$287,6,FALSE)</f>
        <v>0.2</v>
      </c>
      <c r="G378" s="141">
        <f>VLOOKUP($G$373,$J$268:$O$287,2,FALSE)</f>
        <v>50</v>
      </c>
      <c r="H378" s="141">
        <f>VLOOKUP($G$373,$J$268:$O$287,3,FALSE)</f>
        <v>-0.2</v>
      </c>
      <c r="I378" s="141" t="str">
        <f>VLOOKUP($G$373,$J$268:$O$287,4,FALSE)</f>
        <v>-</v>
      </c>
      <c r="J378" s="141">
        <f>VLOOKUP($G$373,$J$268:$O$287,5,FALSE)</f>
        <v>0</v>
      </c>
      <c r="K378" s="141">
        <f>VLOOKUP($G$373,$J$268:$O$287,6,FALSE)</f>
        <v>0</v>
      </c>
      <c r="M378" s="141">
        <f>VLOOKUP($M$373,$R$268:$W$287,2,FALSE)</f>
        <v>850</v>
      </c>
      <c r="N378" s="141">
        <f>VLOOKUP($M$373,$R$268:$W$287,3,FALSE)</f>
        <v>2.4</v>
      </c>
      <c r="O378" s="141" t="str">
        <f>VLOOKUP($M$373,$R$268:$W$287,4,FALSE)</f>
        <v>-</v>
      </c>
      <c r="P378" s="141">
        <f>VLOOKUP($M$373,$R$268:$W$287,5,FALSE)</f>
        <v>0</v>
      </c>
      <c r="Q378" s="141">
        <f>VLOOKUP($M$373,$R$268:$W$287,6,FALSE)</f>
        <v>0</v>
      </c>
      <c r="S378" s="535" t="s">
        <v>396</v>
      </c>
      <c r="T378" s="954">
        <f>AVERAGE(ID!E18:F18)</f>
        <v>66</v>
      </c>
      <c r="U378" s="535">
        <f>T378+T386</f>
        <v>65.428571428571431</v>
      </c>
      <c r="V378" s="954">
        <f>STDEV(ID!E18:F18)</f>
        <v>0</v>
      </c>
      <c r="W378" s="955">
        <f>VLOOKUP(S373,Y249:Z268,2,(FALSE))</f>
        <v>1.5</v>
      </c>
      <c r="Z378" s="711"/>
    </row>
    <row r="379" spans="1:36" ht="13" x14ac:dyDescent="0.3">
      <c r="A379" s="141">
        <f>VLOOKUP($A$373,$B$289:$G$308,2,FALSE)</f>
        <v>30</v>
      </c>
      <c r="B379" s="141">
        <f>VLOOKUP($A$373,$B$289:$G$308,3,FALSE)</f>
        <v>-0.1</v>
      </c>
      <c r="C379" s="141" t="str">
        <f>VLOOKUP($A$373,$B$289:$G$308,4,FALSE)</f>
        <v>-</v>
      </c>
      <c r="D379" s="141">
        <f>VLOOKUP($A$373,$B$289:$G$308,5,FALSE)</f>
        <v>0</v>
      </c>
      <c r="E379" s="141">
        <f>VLOOKUP($A$373,$B$289:$G$308,6,FALSE)</f>
        <v>0</v>
      </c>
      <c r="G379" s="141">
        <f>VLOOKUP($G$373,$J$289:$O$308,2,FALSE)</f>
        <v>60</v>
      </c>
      <c r="H379" s="141">
        <f>VLOOKUP($G$373,$J$289:$O$308,3,FALSE)</f>
        <v>0.4</v>
      </c>
      <c r="I379" s="141" t="str">
        <f>VLOOKUP($G$373,$J$289:$O$308,4,FALSE)</f>
        <v>-</v>
      </c>
      <c r="J379" s="141">
        <f>VLOOKUP($G$373,$J$289:$O$308,5,FALSE)</f>
        <v>0</v>
      </c>
      <c r="K379" s="141">
        <f>VLOOKUP($G$373,$J$289:$O$308,6,FALSE)</f>
        <v>0</v>
      </c>
      <c r="M379" s="141">
        <f>VLOOKUP($M$373,$R$289:$W$308,2,FALSE)</f>
        <v>900</v>
      </c>
      <c r="N379" s="141">
        <f>VLOOKUP($M$373,$R$289:$W$308,3,FALSE)</f>
        <v>2.2999999999999998</v>
      </c>
      <c r="O379" s="141" t="str">
        <f>VLOOKUP($M$373,$R$289:$W$308,4,FALSE)</f>
        <v>-</v>
      </c>
      <c r="P379" s="141">
        <f>VLOOKUP($M$373,$R$289:$W$308,5,FALSE)</f>
        <v>0</v>
      </c>
      <c r="Q379" s="141">
        <f>VLOOKUP($M$373,$R$289:$W$308,6,FALSE)</f>
        <v>0</v>
      </c>
      <c r="S379" s="228" t="s">
        <v>397</v>
      </c>
      <c r="T379" s="104">
        <v>1000</v>
      </c>
      <c r="U379" s="213">
        <f>T379+U386</f>
        <v>1002.2378795572256</v>
      </c>
      <c r="V379" s="104" t="s">
        <v>364</v>
      </c>
      <c r="W379" s="955">
        <f>VLOOKUP(S373,Y273:Z292,2,(FALSE))</f>
        <v>0.4</v>
      </c>
      <c r="Z379" s="711"/>
      <c r="AE379" s="956"/>
    </row>
    <row r="380" spans="1:36" ht="13.5" thickBot="1" x14ac:dyDescent="0.35">
      <c r="A380" s="141">
        <f>VLOOKUP($A$373,$B$310:$G$329,2,FALSE)</f>
        <v>35</v>
      </c>
      <c r="B380" s="141">
        <f>VLOOKUP($A$373,$B$310:$G$329,3,FALSE)</f>
        <v>-0.1</v>
      </c>
      <c r="C380" s="141" t="str">
        <f>VLOOKUP($A$373,$B$310:$G$329,4,FALSE)</f>
        <v>-</v>
      </c>
      <c r="D380" s="141">
        <f>VLOOKUP($A$373,$B$310:$G$329,5,FALSE)</f>
        <v>0</v>
      </c>
      <c r="E380" s="141">
        <f>VLOOKUP($A$373,$B$310:$G$329,6,FALSE)</f>
        <v>0</v>
      </c>
      <c r="G380" s="141">
        <f>VLOOKUP($G$373,$J$310:$O$329,2,FALSE)</f>
        <v>70</v>
      </c>
      <c r="H380" s="141">
        <f>VLOOKUP($G$373,$J$310:$O$329,3,FALSE)</f>
        <v>-0.7</v>
      </c>
      <c r="I380" s="141" t="str">
        <f>VLOOKUP($G$373,$J$310:$O$329,4,FALSE)</f>
        <v>-</v>
      </c>
      <c r="J380" s="141">
        <f>VLOOKUP($G$373,$J$310:$O$329,5,FALSE)</f>
        <v>0</v>
      </c>
      <c r="K380" s="141">
        <f>VLOOKUP($G$373,$J$310:$O$329,6,FALSE)</f>
        <v>0</v>
      </c>
      <c r="M380" s="141">
        <f>VLOOKUP($M$373,$R$310:$W$329,2,FALSE)</f>
        <v>1000</v>
      </c>
      <c r="N380" s="141">
        <f>VLOOKUP($M$373,$R$310:$W$329,3,FALSE)</f>
        <v>2.2000000000000002</v>
      </c>
      <c r="O380" s="141" t="str">
        <f>VLOOKUP($M$373,$R$310:$W$329,4,FALSE)</f>
        <v>-</v>
      </c>
      <c r="P380" s="141">
        <f>VLOOKUP($M$373,$R$310:$W$329,5,FALSE)</f>
        <v>0</v>
      </c>
      <c r="Q380" s="141">
        <f>VLOOKUP($M$373,$R$310:$W$329,6,FALSE)</f>
        <v>0</v>
      </c>
      <c r="Z380" s="711"/>
      <c r="AE380" s="957"/>
    </row>
    <row r="381" spans="1:36" ht="14" x14ac:dyDescent="0.3">
      <c r="A381" s="141">
        <f>VLOOKUP($A$373,$B$331:$G$350,2,FALSE)</f>
        <v>37</v>
      </c>
      <c r="B381" s="141">
        <f>VLOOKUP($A$373,$B$331:$G$350,3,FALSE)</f>
        <v>9.9999999999999995E-7</v>
      </c>
      <c r="C381" s="141" t="str">
        <f>VLOOKUP($A$373,$B$331:$G$350,4,FALSE)</f>
        <v>-</v>
      </c>
      <c r="D381" s="141">
        <f>VLOOKUP($A$373,$B$331:$G$350,5,FALSE)</f>
        <v>0</v>
      </c>
      <c r="E381" s="141">
        <f>VLOOKUP($A$373,$B$331:$G$350,6,FALSE)</f>
        <v>0</v>
      </c>
      <c r="G381" s="141">
        <f>VLOOKUP($G$373,$J$331:$O$350,2,FALSE)</f>
        <v>80</v>
      </c>
      <c r="H381" s="141">
        <f>VLOOKUP($G$373,$J$331:$O$350,3,FALSE)</f>
        <v>-0.9</v>
      </c>
      <c r="I381" s="141" t="str">
        <f>VLOOKUP($G$373,$J$331:$O$350,4,FALSE)</f>
        <v>-</v>
      </c>
      <c r="J381" s="141">
        <f>VLOOKUP($G$373,$J$331:$O$350,5,FALSE)</f>
        <v>0</v>
      </c>
      <c r="K381" s="141">
        <f>VLOOKUP($G$373,$J$331:$O$350,6,FALSE)</f>
        <v>0</v>
      </c>
      <c r="M381" s="141">
        <f>VLOOKUP($M$373,$R$331:$W$350,2,FALSE)</f>
        <v>1005</v>
      </c>
      <c r="N381" s="141">
        <f>VLOOKUP($M$373,$R$331:$W$350,3,FALSE)</f>
        <v>2.2000000000000002</v>
      </c>
      <c r="O381" s="141" t="str">
        <f>VLOOKUP($M$373,$R$331:$W$350,4,FALSE)</f>
        <v>-</v>
      </c>
      <c r="P381" s="141">
        <f>VLOOKUP($M$373,$R$331:$W$350,5,FALSE)</f>
        <v>0</v>
      </c>
      <c r="Q381" s="141">
        <f>VLOOKUP($M$373,$R$331:$W$350,6,FALSE)</f>
        <v>0</v>
      </c>
      <c r="S381" s="1450" t="s">
        <v>422</v>
      </c>
      <c r="T381" s="958" t="str">
        <f>N393&amp;N390&amp;O393&amp;O390&amp;P393&amp;P390</f>
        <v>( 22.0 ± 0.1 ) °C</v>
      </c>
      <c r="U381" s="959"/>
      <c r="Z381" s="711"/>
      <c r="AE381" s="960"/>
    </row>
    <row r="382" spans="1:36" ht="14" x14ac:dyDescent="0.3">
      <c r="A382" s="141">
        <f>VLOOKUP($A$373,$B$352:$G$371,2,FALSE)</f>
        <v>40</v>
      </c>
      <c r="B382" s="141">
        <f>VLOOKUP($A$373,$B$352:$G$371,3,FALSE)</f>
        <v>0.2</v>
      </c>
      <c r="C382" s="141" t="str">
        <f>VLOOKUP($A$373,$B$352:$G$371,4,FALSE)</f>
        <v>-</v>
      </c>
      <c r="D382" s="141">
        <f>VLOOKUP($A$373,$B$352:$G$371,5,FALSE)</f>
        <v>0</v>
      </c>
      <c r="E382" s="141">
        <f>VLOOKUP($A$373,$B$352:$G$371,6,FALSE)</f>
        <v>0</v>
      </c>
      <c r="G382" s="141">
        <f>VLOOKUP($G$373,$J$352:$O$371,2,FALSE)</f>
        <v>90</v>
      </c>
      <c r="H382" s="141">
        <f>VLOOKUP($G$373,$J$352:$O$371,3,FALSE)</f>
        <v>-0.6</v>
      </c>
      <c r="I382" s="141" t="str">
        <f>VLOOKUP($G$373,$J$352:$O$371,4,FALSE)</f>
        <v>-</v>
      </c>
      <c r="J382" s="141">
        <f>VLOOKUP($G$373,$J$352:$O$371,5,FALSE)</f>
        <v>0</v>
      </c>
      <c r="K382" s="141">
        <f>VLOOKUP($G$373,$J$352:$O$371,6,FALSE)</f>
        <v>0</v>
      </c>
      <c r="M382" s="141">
        <f>VLOOKUP($M$373,$R$352:$W$371,2,FALSE)</f>
        <v>1020</v>
      </c>
      <c r="N382" s="141">
        <f>VLOOKUP($M$373,$R$352:$W$371,3,FALSE)</f>
        <v>2.2999999999999998</v>
      </c>
      <c r="O382" s="141" t="str">
        <f>VLOOKUP($M$373,$R$352:$W$371,4,FALSE)</f>
        <v>-</v>
      </c>
      <c r="P382" s="141">
        <f>VLOOKUP($M$373,$R$352:$W$371,5,FALSE)</f>
        <v>0</v>
      </c>
      <c r="Q382" s="141">
        <f>VLOOKUP($M$373,$R$352:$W$371,6,FALSE)</f>
        <v>0</v>
      </c>
      <c r="S382" s="1451"/>
      <c r="T382" s="903" t="str">
        <f>N393&amp;N391&amp;O393&amp;O391&amp;P393&amp;P391</f>
        <v>( 65.4 ± 1.5 ) %RH</v>
      </c>
      <c r="U382" s="961"/>
      <c r="Z382" s="711"/>
      <c r="AE382" s="960"/>
    </row>
    <row r="383" spans="1:36" ht="14.5" thickBot="1" x14ac:dyDescent="0.35">
      <c r="A383" s="815"/>
      <c r="B383" s="711"/>
      <c r="C383" s="711"/>
      <c r="D383" s="711"/>
      <c r="E383" s="711"/>
      <c r="G383" s="711"/>
      <c r="H383" s="711"/>
      <c r="I383" s="711"/>
      <c r="J383" s="711"/>
      <c r="M383" s="711"/>
      <c r="N383" s="711"/>
      <c r="O383" s="711"/>
      <c r="P383" s="711"/>
      <c r="S383" s="1452"/>
      <c r="T383" s="962" t="str">
        <f>N393&amp;N392&amp;O393&amp;O392&amp;P393&amp;P392</f>
        <v>( 1002.2 ± 0.4 ) hPa</v>
      </c>
      <c r="U383" s="963"/>
      <c r="Z383" s="711"/>
      <c r="AE383" s="960"/>
    </row>
    <row r="384" spans="1:36" ht="14" x14ac:dyDescent="0.3">
      <c r="D384" s="964"/>
      <c r="E384" s="965"/>
      <c r="G384" s="964"/>
      <c r="H384" s="964"/>
      <c r="I384" s="964"/>
      <c r="J384" s="964"/>
      <c r="M384" s="964"/>
      <c r="N384" s="964"/>
      <c r="O384" s="964"/>
      <c r="P384" s="964"/>
      <c r="Z384" s="711"/>
      <c r="AE384" s="960"/>
      <c r="AF384" s="966"/>
      <c r="AJ384" s="746"/>
    </row>
    <row r="385" spans="1:36" ht="31.5" x14ac:dyDescent="0.3">
      <c r="D385" s="150"/>
      <c r="E385" s="967"/>
      <c r="G385" s="137"/>
      <c r="H385" s="150"/>
      <c r="I385" s="150"/>
      <c r="J385" s="150"/>
      <c r="M385" s="137"/>
      <c r="N385" s="150"/>
      <c r="O385" s="150"/>
      <c r="P385" s="150"/>
      <c r="S385" s="865" t="s">
        <v>423</v>
      </c>
      <c r="T385" s="865" t="s">
        <v>424</v>
      </c>
      <c r="U385" s="865" t="s">
        <v>425</v>
      </c>
      <c r="Z385" s="711"/>
      <c r="AE385" s="711"/>
      <c r="AJ385" s="746"/>
    </row>
    <row r="386" spans="1:36" ht="13.5" x14ac:dyDescent="0.3">
      <c r="A386" s="137"/>
      <c r="B386" s="150"/>
      <c r="C386" s="150"/>
      <c r="D386" s="150"/>
      <c r="E386" s="967"/>
      <c r="G386" s="137"/>
      <c r="H386" s="150"/>
      <c r="I386" s="150"/>
      <c r="J386" s="150"/>
      <c r="M386" s="137"/>
      <c r="N386" s="150"/>
      <c r="O386" s="150"/>
      <c r="P386" s="150"/>
      <c r="S386" s="968">
        <f>FORECAST(T377,B376:B382,A376:A382)</f>
        <v>4.495041731409545E-2</v>
      </c>
      <c r="T386" s="817">
        <f>FORECAST(T378,H376:H382,G376:G382)</f>
        <v>-0.57142857142857129</v>
      </c>
      <c r="U386" s="817">
        <f>FORECAST(T379,N376:N382,M376:M382)</f>
        <v>2.2378795572255505</v>
      </c>
      <c r="Z386" s="711"/>
      <c r="AE386" s="711"/>
      <c r="AJ386" s="746"/>
    </row>
    <row r="387" spans="1:36" ht="13.5" thickBot="1" x14ac:dyDescent="0.35">
      <c r="A387" s="137"/>
      <c r="B387" s="150"/>
      <c r="C387" s="150"/>
      <c r="D387" s="150"/>
      <c r="E387" s="969"/>
      <c r="G387" s="137"/>
      <c r="H387" s="150"/>
      <c r="I387" s="150"/>
      <c r="J387" s="150"/>
      <c r="M387" s="137"/>
      <c r="N387" s="150"/>
      <c r="O387" s="150"/>
      <c r="P387" s="150"/>
      <c r="Z387" s="970"/>
      <c r="AE387" s="970"/>
      <c r="AF387" s="971"/>
      <c r="AG387" s="972"/>
      <c r="AH387" s="972"/>
      <c r="AI387" s="972"/>
      <c r="AJ387" s="973"/>
    </row>
    <row r="388" spans="1:36" ht="13" thickBot="1" x14ac:dyDescent="0.3"/>
    <row r="389" spans="1:36" ht="13" x14ac:dyDescent="0.25">
      <c r="A389" s="1446" t="str">
        <f>ID!B71</f>
        <v>Thermohygrobarometer, Merek : EXTECH, Model : SD700, SN : A.100615</v>
      </c>
      <c r="B389" s="1446"/>
      <c r="C389" s="1446"/>
      <c r="D389" s="1446"/>
      <c r="E389" s="1446"/>
      <c r="F389" s="1446"/>
      <c r="G389" s="1446"/>
      <c r="H389" s="1446"/>
      <c r="I389" s="1446"/>
      <c r="J389" s="1446"/>
      <c r="K389" s="1446"/>
      <c r="L389" s="1446"/>
      <c r="N389" s="1358" t="s">
        <v>318</v>
      </c>
      <c r="O389" s="1359"/>
      <c r="P389" s="1360"/>
    </row>
    <row r="390" spans="1:36" ht="15.5" x14ac:dyDescent="0.25">
      <c r="A390" s="974" t="s">
        <v>426</v>
      </c>
      <c r="B390" s="926"/>
      <c r="C390" s="926"/>
      <c r="D390" s="974"/>
      <c r="E390" s="974"/>
      <c r="F390" s="974"/>
      <c r="G390" s="974"/>
      <c r="H390" s="974"/>
      <c r="I390" s="926">
        <f>D4</f>
        <v>2020</v>
      </c>
      <c r="J390" s="926">
        <f t="shared" ref="J390:K390" si="480">E4</f>
        <v>2017</v>
      </c>
      <c r="K390" s="926">
        <f t="shared" si="480"/>
        <v>2016</v>
      </c>
      <c r="L390" s="926">
        <v>1</v>
      </c>
      <c r="N390" s="975" t="str">
        <f>TEXT(U377,"0.0")</f>
        <v>22.0</v>
      </c>
      <c r="O390" s="465" t="str">
        <f>TEXT(W377,"0.0")</f>
        <v>0.1</v>
      </c>
      <c r="P390" s="976" t="s">
        <v>319</v>
      </c>
    </row>
    <row r="391" spans="1:36" ht="15.5" x14ac:dyDescent="0.25">
      <c r="A391" s="974" t="s">
        <v>427</v>
      </c>
      <c r="B391" s="926"/>
      <c r="C391" s="926"/>
      <c r="D391" s="974"/>
      <c r="E391" s="974"/>
      <c r="F391" s="974"/>
      <c r="G391" s="974"/>
      <c r="H391" s="974"/>
      <c r="I391" s="926">
        <f>D15</f>
        <v>2023</v>
      </c>
      <c r="J391" s="926">
        <f t="shared" ref="J391:K391" si="481">E15</f>
        <v>2021</v>
      </c>
      <c r="K391" s="926">
        <f t="shared" si="481"/>
        <v>2018</v>
      </c>
      <c r="L391" s="926">
        <v>2</v>
      </c>
      <c r="N391" s="975" t="str">
        <f>TEXT(U378,"0.0")</f>
        <v>65.4</v>
      </c>
      <c r="O391" s="465" t="str">
        <f>TEXT(W378,"0.0")</f>
        <v>1.5</v>
      </c>
      <c r="P391" s="976" t="s">
        <v>321</v>
      </c>
    </row>
    <row r="392" spans="1:36" ht="15.5" x14ac:dyDescent="0.25">
      <c r="A392" s="974" t="s">
        <v>428</v>
      </c>
      <c r="B392" s="926"/>
      <c r="C392" s="926"/>
      <c r="D392" s="974"/>
      <c r="E392" s="974"/>
      <c r="F392" s="974"/>
      <c r="G392" s="974"/>
      <c r="H392" s="974"/>
      <c r="I392" s="926">
        <f>D26</f>
        <v>2023</v>
      </c>
      <c r="J392" s="926">
        <f t="shared" ref="J392:K392" si="482">E26</f>
        <v>2021</v>
      </c>
      <c r="K392" s="926">
        <f t="shared" si="482"/>
        <v>2018</v>
      </c>
      <c r="L392" s="926">
        <v>3</v>
      </c>
      <c r="N392" s="975" t="str">
        <f>TEXT(U379,"0.0")</f>
        <v>1002.2</v>
      </c>
      <c r="O392" s="465" t="str">
        <f>TEXT(W379,"0.0")</f>
        <v>0.4</v>
      </c>
      <c r="P392" s="977" t="s">
        <v>429</v>
      </c>
    </row>
    <row r="393" spans="1:36" ht="16" thickBot="1" x14ac:dyDescent="0.35">
      <c r="A393" s="974" t="s">
        <v>430</v>
      </c>
      <c r="B393" s="926"/>
      <c r="C393" s="926"/>
      <c r="D393" s="974"/>
      <c r="E393" s="974"/>
      <c r="F393" s="974"/>
      <c r="G393" s="974"/>
      <c r="H393" s="974"/>
      <c r="I393" s="926">
        <f>D37</f>
        <v>2019</v>
      </c>
      <c r="J393" s="926">
        <f t="shared" ref="J393:K393" si="483">E37</f>
        <v>2017</v>
      </c>
      <c r="K393" s="926">
        <f t="shared" si="483"/>
        <v>2016</v>
      </c>
      <c r="L393" s="926">
        <v>4</v>
      </c>
      <c r="N393" s="978" t="s">
        <v>322</v>
      </c>
      <c r="O393" s="979" t="s">
        <v>323</v>
      </c>
      <c r="P393" s="980" t="s">
        <v>324</v>
      </c>
    </row>
    <row r="394" spans="1:36" ht="13" x14ac:dyDescent="0.25">
      <c r="A394" s="974" t="s">
        <v>431</v>
      </c>
      <c r="B394" s="926"/>
      <c r="C394" s="926"/>
      <c r="D394" s="974"/>
      <c r="E394" s="974"/>
      <c r="F394" s="974"/>
      <c r="G394" s="974"/>
      <c r="H394" s="974"/>
      <c r="I394" s="926">
        <f>D48</f>
        <v>2023</v>
      </c>
      <c r="J394" s="926">
        <f t="shared" ref="J394:K394" si="484">E48</f>
        <v>2020</v>
      </c>
      <c r="K394" s="926">
        <f t="shared" si="484"/>
        <v>2017</v>
      </c>
      <c r="L394" s="926">
        <v>5</v>
      </c>
    </row>
    <row r="395" spans="1:36" ht="13" x14ac:dyDescent="0.25">
      <c r="A395" s="974" t="s">
        <v>432</v>
      </c>
      <c r="B395" s="926"/>
      <c r="C395" s="926"/>
      <c r="D395" s="974"/>
      <c r="E395" s="974"/>
      <c r="F395" s="974"/>
      <c r="G395" s="974"/>
      <c r="H395" s="974"/>
      <c r="I395" s="926">
        <f>D59</f>
        <v>2019</v>
      </c>
      <c r="J395" s="926">
        <f t="shared" ref="J395:K395" si="485">E59</f>
        <v>2018</v>
      </c>
      <c r="K395" s="926">
        <f t="shared" si="485"/>
        <v>2016</v>
      </c>
      <c r="L395" s="926">
        <v>6</v>
      </c>
    </row>
    <row r="396" spans="1:36" ht="13" x14ac:dyDescent="0.25">
      <c r="A396" s="974" t="s">
        <v>433</v>
      </c>
      <c r="B396" s="926"/>
      <c r="C396" s="926"/>
      <c r="D396" s="974"/>
      <c r="E396" s="974"/>
      <c r="F396" s="974"/>
      <c r="G396" s="974"/>
      <c r="H396" s="974"/>
      <c r="I396" s="926">
        <f>D70</f>
        <v>2023</v>
      </c>
      <c r="J396" s="926">
        <f t="shared" ref="J396:K396" si="486">E70</f>
        <v>2021</v>
      </c>
      <c r="K396" s="926">
        <f t="shared" si="486"/>
        <v>2018</v>
      </c>
      <c r="L396" s="926">
        <v>7</v>
      </c>
    </row>
    <row r="397" spans="1:36" ht="13" x14ac:dyDescent="0.25">
      <c r="A397" s="974" t="s">
        <v>434</v>
      </c>
      <c r="B397" s="926"/>
      <c r="C397" s="926"/>
      <c r="D397" s="974"/>
      <c r="E397" s="974"/>
      <c r="F397" s="974"/>
      <c r="G397" s="974"/>
      <c r="H397" s="974"/>
      <c r="I397" s="926">
        <f>D81</f>
        <v>2021</v>
      </c>
      <c r="J397" s="926">
        <f t="shared" ref="J397:K397" si="487">E81</f>
        <v>2019</v>
      </c>
      <c r="K397" s="926">
        <f t="shared" si="487"/>
        <v>2016</v>
      </c>
      <c r="L397" s="926">
        <v>8</v>
      </c>
    </row>
    <row r="398" spans="1:36" ht="13" x14ac:dyDescent="0.25">
      <c r="A398" s="974" t="s">
        <v>435</v>
      </c>
      <c r="B398" s="926"/>
      <c r="C398" s="926"/>
      <c r="D398" s="974"/>
      <c r="E398" s="974"/>
      <c r="F398" s="974"/>
      <c r="G398" s="974"/>
      <c r="H398" s="974"/>
      <c r="I398" s="926">
        <f>D92</f>
        <v>2019</v>
      </c>
      <c r="J398" s="926" t="str">
        <f t="shared" ref="J398:K398" si="488">E92</f>
        <v>-</v>
      </c>
      <c r="K398" s="926">
        <f t="shared" si="488"/>
        <v>2016</v>
      </c>
      <c r="L398" s="926">
        <v>9</v>
      </c>
    </row>
    <row r="399" spans="1:36" ht="13" x14ac:dyDescent="0.25">
      <c r="A399" s="974" t="s">
        <v>436</v>
      </c>
      <c r="B399" s="926"/>
      <c r="C399" s="926"/>
      <c r="D399" s="974"/>
      <c r="E399" s="974"/>
      <c r="F399" s="974"/>
      <c r="G399" s="974"/>
      <c r="H399" s="974"/>
      <c r="I399" s="926">
        <f>D103</f>
        <v>2019</v>
      </c>
      <c r="J399" s="926">
        <f t="shared" ref="J399:K399" si="489">E103</f>
        <v>2016</v>
      </c>
      <c r="K399" s="926">
        <f t="shared" si="489"/>
        <v>2016</v>
      </c>
      <c r="L399" s="926">
        <v>10</v>
      </c>
    </row>
    <row r="400" spans="1:36" ht="13" x14ac:dyDescent="0.25">
      <c r="A400" s="974" t="s">
        <v>437</v>
      </c>
      <c r="B400" s="926"/>
      <c r="C400" s="926"/>
      <c r="D400" s="974"/>
      <c r="E400" s="974"/>
      <c r="F400" s="974"/>
      <c r="G400" s="974"/>
      <c r="H400" s="974"/>
      <c r="I400" s="926">
        <f>D114</f>
        <v>2020</v>
      </c>
      <c r="J400" s="926">
        <f t="shared" ref="J400:K400" si="490">E114</f>
        <v>2016</v>
      </c>
      <c r="K400" s="926">
        <f t="shared" si="490"/>
        <v>2016</v>
      </c>
      <c r="L400" s="926">
        <v>11</v>
      </c>
    </row>
    <row r="401" spans="1:12" ht="13" x14ac:dyDescent="0.25">
      <c r="A401" s="974" t="s">
        <v>438</v>
      </c>
      <c r="B401" s="926"/>
      <c r="C401" s="926"/>
      <c r="D401" s="974"/>
      <c r="E401" s="974"/>
      <c r="F401" s="974"/>
      <c r="G401" s="974"/>
      <c r="H401" s="974"/>
      <c r="I401" s="926">
        <f>D125</f>
        <v>2020</v>
      </c>
      <c r="J401" s="926" t="str">
        <f t="shared" ref="J401:K401" si="491">E125</f>
        <v>-</v>
      </c>
      <c r="K401" s="926">
        <f t="shared" si="491"/>
        <v>2016</v>
      </c>
      <c r="L401" s="926">
        <v>12</v>
      </c>
    </row>
    <row r="402" spans="1:12" ht="13" x14ac:dyDescent="0.25">
      <c r="A402" s="974" t="s">
        <v>439</v>
      </c>
      <c r="B402" s="926"/>
      <c r="C402" s="926"/>
      <c r="D402" s="974"/>
      <c r="E402" s="974"/>
      <c r="F402" s="974"/>
      <c r="G402" s="974"/>
      <c r="H402" s="974"/>
      <c r="I402" s="926">
        <f>D136</f>
        <v>2022</v>
      </c>
      <c r="J402" s="926">
        <f t="shared" ref="J402:K402" si="492">E136</f>
        <v>2020</v>
      </c>
      <c r="K402" s="926" t="str">
        <f t="shared" si="492"/>
        <v>-</v>
      </c>
      <c r="L402" s="926">
        <v>13</v>
      </c>
    </row>
    <row r="403" spans="1:12" ht="13" x14ac:dyDescent="0.25">
      <c r="A403" s="974" t="s">
        <v>440</v>
      </c>
      <c r="B403" s="926"/>
      <c r="C403" s="926"/>
      <c r="D403" s="974"/>
      <c r="E403" s="974"/>
      <c r="F403" s="974"/>
      <c r="G403" s="974"/>
      <c r="H403" s="974"/>
      <c r="I403" s="926">
        <f>D147</f>
        <v>2022</v>
      </c>
      <c r="J403" s="926">
        <f t="shared" ref="J403:K403" si="493">E147</f>
        <v>2020</v>
      </c>
      <c r="K403" s="926" t="str">
        <f t="shared" si="493"/>
        <v>-</v>
      </c>
      <c r="L403" s="926">
        <v>14</v>
      </c>
    </row>
    <row r="404" spans="1:12" ht="13" x14ac:dyDescent="0.25">
      <c r="A404" s="974" t="s">
        <v>441</v>
      </c>
      <c r="B404" s="926"/>
      <c r="C404" s="926"/>
      <c r="D404" s="974"/>
      <c r="E404" s="974"/>
      <c r="F404" s="974"/>
      <c r="G404" s="974"/>
      <c r="H404" s="974"/>
      <c r="I404" s="926">
        <f>D158</f>
        <v>2022</v>
      </c>
      <c r="J404" s="926">
        <f t="shared" ref="J404:K404" si="494">E158</f>
        <v>2020</v>
      </c>
      <c r="K404" s="926" t="str">
        <f t="shared" si="494"/>
        <v>-</v>
      </c>
      <c r="L404" s="926">
        <v>15</v>
      </c>
    </row>
    <row r="405" spans="1:12" ht="13" x14ac:dyDescent="0.25">
      <c r="A405" s="974" t="s">
        <v>442</v>
      </c>
      <c r="B405" s="926"/>
      <c r="C405" s="926"/>
      <c r="D405" s="974"/>
      <c r="E405" s="974"/>
      <c r="F405" s="974"/>
      <c r="G405" s="974"/>
      <c r="H405" s="974"/>
      <c r="I405" s="926">
        <f>D169</f>
        <v>2023</v>
      </c>
      <c r="J405" s="926">
        <f t="shared" ref="J405:K405" si="495">E169</f>
        <v>2020</v>
      </c>
      <c r="K405" s="926">
        <f t="shared" si="495"/>
        <v>2016</v>
      </c>
      <c r="L405" s="926">
        <v>16</v>
      </c>
    </row>
    <row r="406" spans="1:12" ht="13" x14ac:dyDescent="0.25">
      <c r="A406" s="974" t="s">
        <v>443</v>
      </c>
      <c r="B406" s="926"/>
      <c r="C406" s="926"/>
      <c r="D406" s="974"/>
      <c r="E406" s="974"/>
      <c r="F406" s="974"/>
      <c r="G406" s="974"/>
      <c r="H406" s="974"/>
      <c r="I406" s="926">
        <f>D180</f>
        <v>2023</v>
      </c>
      <c r="J406" s="926">
        <f t="shared" ref="J406:K406" si="496">E180</f>
        <v>2020</v>
      </c>
      <c r="K406" s="926">
        <f t="shared" si="496"/>
        <v>2016</v>
      </c>
      <c r="L406" s="926">
        <v>17</v>
      </c>
    </row>
    <row r="407" spans="1:12" ht="13" x14ac:dyDescent="0.25">
      <c r="A407" s="974" t="s">
        <v>444</v>
      </c>
      <c r="B407" s="926"/>
      <c r="C407" s="926"/>
      <c r="D407" s="974"/>
      <c r="E407" s="974"/>
      <c r="F407" s="974"/>
      <c r="G407" s="974"/>
      <c r="H407" s="974"/>
      <c r="I407" s="926">
        <f>D191</f>
        <v>2023</v>
      </c>
      <c r="J407" s="926">
        <f t="shared" ref="J407:K407" si="497">E191</f>
        <v>2020</v>
      </c>
      <c r="K407" s="926">
        <f t="shared" si="497"/>
        <v>2016</v>
      </c>
      <c r="L407" s="926">
        <v>18</v>
      </c>
    </row>
    <row r="408" spans="1:12" ht="13" x14ac:dyDescent="0.25">
      <c r="A408" s="974" t="s">
        <v>175</v>
      </c>
      <c r="B408" s="926"/>
      <c r="C408" s="926"/>
      <c r="D408" s="974"/>
      <c r="E408" s="974"/>
      <c r="F408" s="974"/>
      <c r="G408" s="974"/>
      <c r="H408" s="974"/>
      <c r="I408" s="926">
        <f>D202</f>
        <v>2021</v>
      </c>
      <c r="J408" s="926" t="str">
        <f t="shared" ref="J408:K408" si="498">E202</f>
        <v>-</v>
      </c>
      <c r="K408" s="926">
        <f t="shared" si="498"/>
        <v>2016</v>
      </c>
      <c r="L408" s="926">
        <v>19</v>
      </c>
    </row>
    <row r="409" spans="1:12" ht="13" x14ac:dyDescent="0.25">
      <c r="A409" s="981">
        <v>20</v>
      </c>
      <c r="B409" s="926"/>
      <c r="C409" s="926"/>
      <c r="D409" s="974"/>
      <c r="E409" s="974"/>
      <c r="F409" s="974"/>
      <c r="G409" s="974"/>
      <c r="H409" s="974"/>
      <c r="I409" s="926">
        <f>D213</f>
        <v>2017</v>
      </c>
      <c r="J409" s="926" t="str">
        <f t="shared" ref="J409:K409" si="499">E213</f>
        <v>-</v>
      </c>
      <c r="K409" s="926">
        <f t="shared" si="499"/>
        <v>2016</v>
      </c>
      <c r="L409" s="926">
        <v>20</v>
      </c>
    </row>
    <row r="410" spans="1:12" ht="13" x14ac:dyDescent="0.25">
      <c r="A410" s="1447">
        <f>VLOOKUP(A389,A390:L409,12,(FALSE))</f>
        <v>19</v>
      </c>
      <c r="B410" s="1447"/>
      <c r="C410" s="1447"/>
      <c r="D410" s="1447"/>
      <c r="E410" s="1447"/>
      <c r="F410" s="1447"/>
      <c r="G410" s="1447"/>
      <c r="H410" s="1447"/>
      <c r="I410" s="1447"/>
      <c r="J410" s="1447"/>
      <c r="K410" s="1447"/>
      <c r="L410" s="1447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765C-E6A7-4561-A903-EB5D55AA28D0}">
  <dimension ref="B1:Q7"/>
  <sheetViews>
    <sheetView workbookViewId="0">
      <selection activeCell="G4" sqref="G4"/>
    </sheetView>
  </sheetViews>
  <sheetFormatPr defaultRowHeight="12.5" x14ac:dyDescent="0.25"/>
  <cols>
    <col min="6" max="6" width="9.54296875" customWidth="1"/>
    <col min="7" max="7" width="10.7265625" customWidth="1"/>
    <col min="8" max="8" width="10.453125" customWidth="1"/>
    <col min="10" max="11" width="9.81640625" customWidth="1"/>
  </cols>
  <sheetData>
    <row r="1" spans="2:17" ht="13" thickBot="1" x14ac:dyDescent="0.3"/>
    <row r="2" spans="2:17" ht="37.5" customHeight="1" thickBot="1" x14ac:dyDescent="0.3">
      <c r="B2" s="520" t="str">
        <f>ID!C47</f>
        <v>Km/h</v>
      </c>
      <c r="C2" s="521" t="s">
        <v>445</v>
      </c>
      <c r="D2" s="522" t="s">
        <v>446</v>
      </c>
      <c r="E2" s="521" t="s">
        <v>447</v>
      </c>
      <c r="F2" s="708" t="s">
        <v>448</v>
      </c>
      <c r="G2" s="522" t="s">
        <v>449</v>
      </c>
      <c r="H2" s="522" t="str">
        <f>"Rata-rata Terkoreksi ("&amp;B2&amp;")"</f>
        <v>Rata-rata Terkoreksi (Km/h)</v>
      </c>
      <c r="I2" s="522" t="s">
        <v>421</v>
      </c>
      <c r="J2" s="522" t="s">
        <v>450</v>
      </c>
      <c r="K2" s="522" t="s">
        <v>451</v>
      </c>
      <c r="L2" s="523" t="s">
        <v>452</v>
      </c>
      <c r="M2" s="521" t="str">
        <f>"Koreksi ("&amp;B2&amp;")"</f>
        <v>Koreksi (Km/h)</v>
      </c>
      <c r="N2" s="521" t="s">
        <v>159</v>
      </c>
      <c r="O2" s="709" t="s">
        <v>453</v>
      </c>
      <c r="P2" s="524" t="s">
        <v>454</v>
      </c>
      <c r="Q2" s="709" t="s">
        <v>455</v>
      </c>
    </row>
    <row r="3" spans="2:17" ht="15" customHeight="1" x14ac:dyDescent="0.25">
      <c r="B3" s="862">
        <f>ID!B36</f>
        <v>2.7</v>
      </c>
      <c r="C3" s="871">
        <f>'UB TACHO'!O45</f>
        <v>451.85840324084899</v>
      </c>
      <c r="D3" s="456">
        <f>AVERAGE(ID!C36:H36)</f>
        <v>45</v>
      </c>
      <c r="E3" s="871">
        <f>(D3/60)/('UB TACHO'!$Q$13*0.10472)</f>
        <v>451.85840324084899</v>
      </c>
      <c r="F3" s="875">
        <f>'DB TACHO'!E209</f>
        <v>0.30106309565541367</v>
      </c>
      <c r="G3" s="456">
        <f>E3+F3</f>
        <v>452.15946633650441</v>
      </c>
      <c r="H3" s="707">
        <f>'UB TACHO'!P61</f>
        <v>2.7017989493001338</v>
      </c>
      <c r="I3" s="456">
        <f>STDEV(ID!C36:H36)</f>
        <v>0</v>
      </c>
      <c r="J3" s="456">
        <f>C3-G3</f>
        <v>-0.30106309565542233</v>
      </c>
      <c r="K3" s="456">
        <f>(J3/C3)*100</f>
        <v>-6.6627751856802378E-2</v>
      </c>
      <c r="L3" s="457">
        <f>G3-C3</f>
        <v>0.30106309565542233</v>
      </c>
      <c r="M3" s="707">
        <f>H3-B3</f>
        <v>1.7989493001335788E-3</v>
      </c>
      <c r="N3" s="458">
        <f>(H3-B3)/B3*100</f>
        <v>6.6627751856799214E-2</v>
      </c>
      <c r="O3" s="876">
        <f>'DB TACHO'!N209</f>
        <v>0.13555753110609178</v>
      </c>
      <c r="P3" s="1493">
        <f>1*0.025</f>
        <v>2.5000000000000001E-2</v>
      </c>
      <c r="Q3" s="875">
        <f>'DB TACHO'!P209</f>
        <v>-8.6927544662773207E-2</v>
      </c>
    </row>
    <row r="4" spans="2:17" ht="15" customHeight="1" x14ac:dyDescent="0.25">
      <c r="B4" s="869">
        <f>ID!B37</f>
        <v>4</v>
      </c>
      <c r="C4" s="871">
        <f>'UB TACHO'!O46</f>
        <v>669.4198566531096</v>
      </c>
      <c r="D4" s="460">
        <f>AVERAGE(ID!C37:H37)</f>
        <v>67.149999999999991</v>
      </c>
      <c r="E4" s="872">
        <f>(D4/60)/('UB TACHO'!$Q$13*0.10472)</f>
        <v>674.27315061384456</v>
      </c>
      <c r="F4" s="875">
        <f>'DB TACHO'!E210</f>
        <v>0.27665257284485972</v>
      </c>
      <c r="G4" s="456">
        <f t="shared" ref="G4:G7" si="0">E4+F4</f>
        <v>674.54980318668947</v>
      </c>
      <c r="H4" s="707">
        <f>'UB TACHO'!P62</f>
        <v>4.0306530885368588</v>
      </c>
      <c r="I4" s="460">
        <f>STDEV(ID!C37:H37)</f>
        <v>5.4772255750521283E-2</v>
      </c>
      <c r="J4" s="460">
        <f>C4-G4</f>
        <v>-5.1299465335798686</v>
      </c>
      <c r="K4" s="460">
        <f>(J4/C4)*100</f>
        <v>-0.76632721342148424</v>
      </c>
      <c r="L4" s="461">
        <f>G4-C4</f>
        <v>5.1299465335798686</v>
      </c>
      <c r="M4" s="707">
        <f>H4-B4</f>
        <v>3.0653088536858775E-2</v>
      </c>
      <c r="N4" s="458">
        <f>(H4-B4)/B4*100</f>
        <v>0.76632721342146937</v>
      </c>
      <c r="O4" s="876">
        <f>'DB TACHO'!N210</f>
        <v>0.20228211785905753</v>
      </c>
      <c r="P4" s="1494"/>
      <c r="Q4" s="875">
        <f>'DB TACHO'!P210</f>
        <v>-8.1296756655587207E-2</v>
      </c>
    </row>
    <row r="5" spans="2:17" ht="15" customHeight="1" x14ac:dyDescent="0.25">
      <c r="B5" s="869">
        <f>ID!B38</f>
        <v>5.5</v>
      </c>
      <c r="C5" s="871">
        <f>'UB TACHO'!O47</f>
        <v>920.45230289802566</v>
      </c>
      <c r="D5" s="460">
        <f>AVERAGE(ID!C38:H38)</f>
        <v>91.149999999999991</v>
      </c>
      <c r="E5" s="872">
        <f>(D5/60)/('UB TACHO'!$Q$13*0.10472)</f>
        <v>915.26429900896403</v>
      </c>
      <c r="F5" s="875">
        <f>'DB TACHO'!E211</f>
        <v>0.24848658498652818</v>
      </c>
      <c r="G5" s="456">
        <f t="shared" si="0"/>
        <v>915.51278559395053</v>
      </c>
      <c r="H5" s="707">
        <f>'UB TACHO'!P63</f>
        <v>5.470484787656158</v>
      </c>
      <c r="I5" s="460">
        <f>STDEV(ID!C38:H38)</f>
        <v>5.4772255750521283E-2</v>
      </c>
      <c r="J5" s="460">
        <f>C5-G5</f>
        <v>4.9395173040751388</v>
      </c>
      <c r="K5" s="460">
        <f>(J5/C5)*100</f>
        <v>0.53664022443348425</v>
      </c>
      <c r="L5" s="461">
        <f>G5-C5</f>
        <v>-4.9395173040751388</v>
      </c>
      <c r="M5" s="707">
        <f>H5-B5</f>
        <v>-2.9515212343842023E-2</v>
      </c>
      <c r="N5" s="458">
        <f>(H5-B5)/B5*100</f>
        <v>-0.53664022443349135</v>
      </c>
      <c r="O5" s="876">
        <f>'DB TACHO'!N211</f>
        <v>0.27457912343766694</v>
      </c>
      <c r="P5" s="1494"/>
      <c r="Q5" s="875">
        <f>'DB TACHO'!P211</f>
        <v>-7.5195720564128779E-2</v>
      </c>
    </row>
    <row r="6" spans="2:17" ht="15.75" customHeight="1" x14ac:dyDescent="0.25">
      <c r="B6" s="869">
        <f>ID!B39</f>
        <v>6.8</v>
      </c>
      <c r="C6" s="871">
        <f>'UB TACHO'!O48</f>
        <v>1138.0137563102862</v>
      </c>
      <c r="D6" s="460">
        <f>AVERAGE(ID!C39:H39)</f>
        <v>112.84999999999998</v>
      </c>
      <c r="E6" s="872">
        <f>(D6/60)/('UB TACHO'!$Q$13*0.10472)</f>
        <v>1133.1604623495512</v>
      </c>
      <c r="F6" s="875">
        <f>'DB TACHO'!E212</f>
        <v>0.2240760621759742</v>
      </c>
      <c r="G6" s="456">
        <f t="shared" si="0"/>
        <v>1133.3845384117271</v>
      </c>
      <c r="H6" s="707">
        <f>'UB TACHO'!P64</f>
        <v>6.7723389268928837</v>
      </c>
      <c r="I6" s="460">
        <f>STDEV(ID!C39:H39)</f>
        <v>5.4772255750521283E-2</v>
      </c>
      <c r="J6" s="460">
        <f>C6-G6</f>
        <v>4.6292178985590908</v>
      </c>
      <c r="K6" s="460">
        <f>(J6/C6)*100</f>
        <v>0.40678048686934387</v>
      </c>
      <c r="L6" s="461">
        <f>G6-C6</f>
        <v>-4.6292178985590908</v>
      </c>
      <c r="M6" s="707">
        <f>H6-B6</f>
        <v>-2.7661073107116074E-2</v>
      </c>
      <c r="N6" s="458">
        <f>(H6-B6)/B6*100</f>
        <v>-0.40678048686935403</v>
      </c>
      <c r="O6" s="876">
        <f>'DB TACHO'!N212</f>
        <v>0.33994798288457567</v>
      </c>
      <c r="P6" s="1494"/>
      <c r="Q6" s="875">
        <f>'DB TACHO'!P212</f>
        <v>-6.9679340355139022E-2</v>
      </c>
    </row>
    <row r="7" spans="2:17" ht="15" customHeight="1" thickBot="1" x14ac:dyDescent="0.3">
      <c r="B7" s="870">
        <f>ID!B40</f>
        <v>8</v>
      </c>
      <c r="C7" s="873">
        <f>'UB TACHO'!O49</f>
        <v>1338.8397133062192</v>
      </c>
      <c r="D7" s="462">
        <f>AVERAGE(ID!C40:H40)</f>
        <v>134.25</v>
      </c>
      <c r="E7" s="874">
        <f>(D7/60)/('UB TACHO'!$Q$13*0.10472)</f>
        <v>1348.0442363351995</v>
      </c>
      <c r="F7" s="875">
        <f>'DB TACHO'!E213</f>
        <v>0.20154327188930896</v>
      </c>
      <c r="G7" s="456">
        <f t="shared" si="0"/>
        <v>1348.2457796070887</v>
      </c>
      <c r="H7" s="665">
        <f>'UB TACHO'!P65</f>
        <v>8.0562042861883238</v>
      </c>
      <c r="I7" s="462">
        <f>STDEV(ID!C40:H40)</f>
        <v>5.4772255750529061E-2</v>
      </c>
      <c r="J7" s="462">
        <f>C7-G7</f>
        <v>-9.4060663008694974</v>
      </c>
      <c r="K7" s="462">
        <f>(J7/C7)*100</f>
        <v>-0.702553577354046</v>
      </c>
      <c r="L7" s="463">
        <f>G7-C7</f>
        <v>9.4060663008694974</v>
      </c>
      <c r="M7" s="665">
        <f>H7-B7</f>
        <v>5.6204286188323849E-2</v>
      </c>
      <c r="N7" s="464">
        <f>(H7-B7)/B7*100</f>
        <v>0.70255357735404811</v>
      </c>
      <c r="O7" s="876">
        <f>'DB TACHO'!N213</f>
        <v>0.40441358751040851</v>
      </c>
      <c r="P7" s="1495"/>
      <c r="Q7" s="875">
        <f>'DB TACHO'!P213</f>
        <v>-6.423918446856848E-2</v>
      </c>
    </row>
  </sheetData>
  <sheetProtection algorithmName="SHA-512" hashValue="lrEWE/K2cTpE5EGTs9vxNBH2UNTQFVy0+3AJrYC/BWcIowfKxFOkl1J6Nzj3XqfYW0XmBHXqVRPDL/1mCgElyQ==" saltValue="7QDA8ZTYdAhDjfumzXB7LA==" spinCount="100000" sheet="1" objects="1" scenarios="1"/>
  <mergeCells count="1">
    <mergeCell ref="P3:P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A483-8EE4-4E6C-851E-DD5960A19658}">
  <dimension ref="A1:AF244"/>
  <sheetViews>
    <sheetView topLeftCell="A202" workbookViewId="0">
      <selection activeCell="E209" sqref="E209"/>
    </sheetView>
  </sheetViews>
  <sheetFormatPr defaultColWidth="9.1796875" defaultRowHeight="12.5" x14ac:dyDescent="0.25"/>
  <cols>
    <col min="1" max="1" width="11.7265625" style="713" customWidth="1"/>
    <col min="2" max="2" width="9.1796875" style="713"/>
    <col min="3" max="3" width="9.453125" style="713" customWidth="1"/>
    <col min="4" max="4" width="11" style="713" customWidth="1"/>
    <col min="5" max="6" width="9.81640625" style="713" customWidth="1"/>
    <col min="7" max="7" width="12.1796875" style="713" bestFit="1" customWidth="1"/>
    <col min="8" max="8" width="11.26953125" style="713" customWidth="1"/>
    <col min="9" max="12" width="9.1796875" style="713"/>
    <col min="13" max="13" width="11.81640625" style="713" customWidth="1"/>
    <col min="14" max="14" width="10" style="713" customWidth="1"/>
    <col min="15" max="15" width="12.26953125" style="713" customWidth="1"/>
    <col min="16" max="16" width="9.26953125" style="713" customWidth="1"/>
    <col min="17" max="16384" width="9.1796875" style="713"/>
  </cols>
  <sheetData>
    <row r="1" spans="1:32" ht="13.5" thickBot="1" x14ac:dyDescent="0.35">
      <c r="A1" s="710"/>
      <c r="B1" s="710"/>
      <c r="C1" s="81"/>
      <c r="D1" s="81"/>
      <c r="E1" s="81"/>
      <c r="F1" s="81"/>
      <c r="G1" s="81"/>
      <c r="H1" s="711"/>
      <c r="I1" s="711"/>
      <c r="J1" s="710"/>
      <c r="K1" s="81"/>
      <c r="L1" s="81"/>
      <c r="M1" s="81"/>
      <c r="N1" s="81"/>
      <c r="O1" s="81"/>
      <c r="P1" s="81"/>
      <c r="Q1" s="711"/>
      <c r="R1" s="711"/>
      <c r="S1" s="711"/>
      <c r="T1" s="712"/>
    </row>
    <row r="2" spans="1:32" ht="15" x14ac:dyDescent="0.25">
      <c r="A2" s="1507" t="s">
        <v>456</v>
      </c>
      <c r="B2" s="1508"/>
      <c r="C2" s="1508"/>
      <c r="D2" s="1508"/>
      <c r="E2" s="1508"/>
      <c r="F2" s="1508"/>
      <c r="G2" s="1508"/>
      <c r="H2" s="1508"/>
      <c r="I2" s="1508"/>
      <c r="J2" s="1508"/>
      <c r="K2" s="1508"/>
      <c r="L2" s="1508"/>
      <c r="M2" s="1508"/>
      <c r="N2" s="1508"/>
      <c r="O2" s="1508"/>
      <c r="P2" s="1508"/>
      <c r="Q2" s="1508"/>
      <c r="R2" s="1508"/>
      <c r="S2" s="1508"/>
      <c r="T2" s="1509"/>
      <c r="U2" s="714"/>
      <c r="V2" s="715"/>
      <c r="W2" s="715"/>
      <c r="X2" s="715"/>
      <c r="Y2" s="715"/>
      <c r="Z2" s="715"/>
      <c r="AA2" s="715"/>
      <c r="AB2" s="715"/>
      <c r="AC2" s="715"/>
      <c r="AD2" s="715"/>
      <c r="AE2" s="715"/>
      <c r="AF2" s="715"/>
    </row>
    <row r="3" spans="1:32" ht="15.75" customHeight="1" x14ac:dyDescent="0.3">
      <c r="A3" s="1510" t="s">
        <v>457</v>
      </c>
      <c r="B3" s="1510"/>
      <c r="C3" s="1510"/>
      <c r="D3" s="1510"/>
      <c r="E3" s="1419" t="s">
        <v>392</v>
      </c>
      <c r="F3" s="1396" t="s">
        <v>458</v>
      </c>
      <c r="G3" s="716"/>
      <c r="H3" s="1511" t="s">
        <v>459</v>
      </c>
      <c r="I3" s="1511"/>
      <c r="J3" s="1511"/>
      <c r="K3" s="1511"/>
      <c r="L3" s="1419" t="s">
        <v>392</v>
      </c>
      <c r="M3" s="1396" t="str">
        <f>F3</f>
        <v>U95 STD</v>
      </c>
      <c r="N3" s="717"/>
      <c r="O3" s="1510" t="s">
        <v>460</v>
      </c>
      <c r="P3" s="1510"/>
      <c r="Q3" s="1510"/>
      <c r="R3" s="1510"/>
      <c r="S3" s="1419" t="s">
        <v>392</v>
      </c>
      <c r="T3" s="1512" t="str">
        <f>M3</f>
        <v>U95 STD</v>
      </c>
      <c r="V3" s="718"/>
      <c r="W3" s="718"/>
      <c r="X3" s="718"/>
      <c r="Y3" s="719"/>
      <c r="Z3" s="720"/>
      <c r="AA3" s="721"/>
      <c r="AB3" s="722"/>
      <c r="AC3" s="722"/>
      <c r="AD3" s="722"/>
      <c r="AE3" s="719"/>
      <c r="AF3" s="720"/>
    </row>
    <row r="4" spans="1:32" ht="12.75" customHeight="1" x14ac:dyDescent="0.25">
      <c r="A4" s="723" t="s">
        <v>461</v>
      </c>
      <c r="B4" s="724"/>
      <c r="C4" s="1419" t="s">
        <v>391</v>
      </c>
      <c r="D4" s="1419"/>
      <c r="E4" s="1419"/>
      <c r="F4" s="1396"/>
      <c r="G4" s="725"/>
      <c r="H4" s="726" t="str">
        <f>A4</f>
        <v>Kecepatan</v>
      </c>
      <c r="I4" s="726"/>
      <c r="J4" s="1419" t="s">
        <v>391</v>
      </c>
      <c r="K4" s="1419"/>
      <c r="L4" s="1419"/>
      <c r="M4" s="1396"/>
      <c r="N4" s="717"/>
      <c r="O4" s="726" t="str">
        <f>H4</f>
        <v>Kecepatan</v>
      </c>
      <c r="P4" s="1496" t="s">
        <v>391</v>
      </c>
      <c r="Q4" s="1497"/>
      <c r="R4" s="1498"/>
      <c r="S4" s="1419"/>
      <c r="T4" s="1512"/>
      <c r="V4" s="727"/>
      <c r="W4" s="719"/>
      <c r="X4" s="719"/>
      <c r="Y4" s="719"/>
      <c r="Z4" s="720"/>
      <c r="AA4" s="721"/>
      <c r="AB4" s="727"/>
      <c r="AC4" s="719"/>
      <c r="AD4" s="719"/>
      <c r="AE4" s="719"/>
      <c r="AF4" s="720"/>
    </row>
    <row r="5" spans="1:32" ht="12.75" customHeight="1" x14ac:dyDescent="0.25">
      <c r="A5" s="728" t="s">
        <v>462</v>
      </c>
      <c r="B5" s="729">
        <v>2023</v>
      </c>
      <c r="C5" s="729">
        <v>2022</v>
      </c>
      <c r="D5" s="730">
        <v>2021</v>
      </c>
      <c r="E5" s="1419"/>
      <c r="F5" s="1396"/>
      <c r="G5" s="725"/>
      <c r="H5" s="731" t="str">
        <f>A5</f>
        <v>rpm</v>
      </c>
      <c r="I5" s="729">
        <v>2022</v>
      </c>
      <c r="J5" s="730">
        <v>2019</v>
      </c>
      <c r="K5" s="730">
        <v>2018</v>
      </c>
      <c r="L5" s="1419"/>
      <c r="M5" s="1396"/>
      <c r="N5" s="717"/>
      <c r="O5" s="731" t="str">
        <f>H5</f>
        <v>rpm</v>
      </c>
      <c r="P5" s="729">
        <v>2022</v>
      </c>
      <c r="Q5" s="730">
        <v>2021</v>
      </c>
      <c r="R5" s="730">
        <v>2019</v>
      </c>
      <c r="S5" s="1419"/>
      <c r="T5" s="1512"/>
      <c r="V5" s="732"/>
      <c r="W5" s="727"/>
      <c r="X5" s="733"/>
      <c r="Y5" s="719"/>
      <c r="Z5" s="720"/>
      <c r="AA5" s="721"/>
      <c r="AB5" s="732"/>
      <c r="AC5" s="727"/>
      <c r="AD5" s="727"/>
      <c r="AE5" s="719"/>
      <c r="AF5" s="720"/>
    </row>
    <row r="6" spans="1:32" ht="13.5" customHeight="1" x14ac:dyDescent="0.25">
      <c r="A6" s="734">
        <v>0</v>
      </c>
      <c r="B6" s="701">
        <v>0</v>
      </c>
      <c r="C6" s="701">
        <v>0</v>
      </c>
      <c r="D6" s="99">
        <v>9.9999999999999995E-7</v>
      </c>
      <c r="E6" s="101">
        <f t="shared" ref="E6:E20" si="0">IFERROR(IF(OR(C6="-",D6="-"),1/3*F6,0.5*(MAX(C6:D6)-MIN(C6:D6))),0)</f>
        <v>4.9999999999999998E-7</v>
      </c>
      <c r="F6" s="102">
        <f>0.03%*A6</f>
        <v>0</v>
      </c>
      <c r="G6" s="735"/>
      <c r="H6" s="734">
        <v>0</v>
      </c>
      <c r="I6" s="99" t="s">
        <v>364</v>
      </c>
      <c r="J6" s="99">
        <v>9.9999999999999995E-7</v>
      </c>
      <c r="K6" s="99">
        <v>9.9999999999999995E-7</v>
      </c>
      <c r="L6" s="101">
        <f t="shared" ref="L6:L20" si="1">IFERROR(IF(OR(J6="-",K6="-"),1/3*M6,0.5*(MAX(J6:K6)-MIN(J6:K6))),0)</f>
        <v>0</v>
      </c>
      <c r="M6" s="102">
        <f>0.03%*H6</f>
        <v>0</v>
      </c>
      <c r="N6" s="717"/>
      <c r="O6" s="734">
        <v>0</v>
      </c>
      <c r="P6" s="701">
        <v>0</v>
      </c>
      <c r="Q6" s="99">
        <v>9.9999999999999995E-7</v>
      </c>
      <c r="R6" s="99">
        <v>9.9999999999999995E-7</v>
      </c>
      <c r="S6" s="101">
        <f t="shared" ref="S6:S20" si="2">IFERROR(IF(OR(Q6="-",R6="-"),1/3*T6,0.5*(MAX(Q6:R6)-MIN(Q6:R6))),0)</f>
        <v>0</v>
      </c>
      <c r="T6" s="102">
        <f>0.03%*O6</f>
        <v>0</v>
      </c>
      <c r="V6" s="107"/>
      <c r="W6" s="107"/>
      <c r="X6" s="108"/>
      <c r="Y6" s="109"/>
      <c r="Z6" s="110"/>
      <c r="AA6" s="721"/>
      <c r="AB6" s="107"/>
      <c r="AC6" s="107"/>
      <c r="AD6" s="110"/>
      <c r="AE6" s="109"/>
      <c r="AF6" s="110"/>
    </row>
    <row r="7" spans="1:32" ht="13.5" customHeight="1" x14ac:dyDescent="0.25">
      <c r="A7" s="701">
        <v>50</v>
      </c>
      <c r="B7" s="701">
        <v>0</v>
      </c>
      <c r="C7" s="701">
        <v>0</v>
      </c>
      <c r="D7" s="99">
        <v>9.9999999999999995E-7</v>
      </c>
      <c r="E7" s="101">
        <f>IFERROR(IF(OR(C7="-",D7="-"),1/3*F7,0.5*(MAX(C7:D7)-MIN(C7:D7))),0)</f>
        <v>4.9999999999999998E-7</v>
      </c>
      <c r="F7" s="102">
        <f>0.03%*A7</f>
        <v>1.4999999999999999E-2</v>
      </c>
      <c r="G7" s="735"/>
      <c r="H7" s="701">
        <v>50</v>
      </c>
      <c r="I7" s="99" t="s">
        <v>364</v>
      </c>
      <c r="J7" s="99">
        <v>9.9999999999999995E-7</v>
      </c>
      <c r="K7" s="99">
        <v>9.9999999999999995E-7</v>
      </c>
      <c r="L7" s="101">
        <f t="shared" si="1"/>
        <v>0</v>
      </c>
      <c r="M7" s="102">
        <f>0.03%*H7</f>
        <v>1.4999999999999999E-2</v>
      </c>
      <c r="N7" s="717"/>
      <c r="O7" s="100">
        <v>50</v>
      </c>
      <c r="P7" s="701">
        <v>0</v>
      </c>
      <c r="Q7" s="99">
        <v>9.9999999999999995E-7</v>
      </c>
      <c r="R7" s="99">
        <v>9.9999999999999995E-7</v>
      </c>
      <c r="S7" s="101">
        <f t="shared" si="2"/>
        <v>0</v>
      </c>
      <c r="T7" s="102">
        <f t="shared" ref="T7:T21" si="3">0.03%*O7</f>
        <v>1.4999999999999999E-2</v>
      </c>
      <c r="V7" s="107"/>
      <c r="W7" s="107"/>
      <c r="X7" s="108"/>
      <c r="Y7" s="109"/>
      <c r="Z7" s="110"/>
      <c r="AA7" s="721"/>
      <c r="AB7" s="107"/>
      <c r="AC7" s="107"/>
      <c r="AD7" s="110"/>
      <c r="AE7" s="109"/>
      <c r="AF7" s="110"/>
    </row>
    <row r="8" spans="1:32" ht="13.5" customHeight="1" x14ac:dyDescent="0.25">
      <c r="A8" s="701">
        <v>100</v>
      </c>
      <c r="B8" s="701">
        <v>1</v>
      </c>
      <c r="C8" s="701">
        <v>0</v>
      </c>
      <c r="D8" s="100">
        <v>1</v>
      </c>
      <c r="E8" s="101">
        <f t="shared" si="0"/>
        <v>0.5</v>
      </c>
      <c r="F8" s="102">
        <f>0.03%*A8</f>
        <v>0.03</v>
      </c>
      <c r="G8" s="735"/>
      <c r="H8" s="701">
        <v>100</v>
      </c>
      <c r="I8" s="99" t="s">
        <v>364</v>
      </c>
      <c r="J8" s="100">
        <v>1</v>
      </c>
      <c r="K8" s="99">
        <v>9.9999999999999995E-7</v>
      </c>
      <c r="L8" s="101">
        <f t="shared" si="1"/>
        <v>0.49999949999999999</v>
      </c>
      <c r="M8" s="102">
        <f>0.03%*H8</f>
        <v>0.03</v>
      </c>
      <c r="N8" s="717"/>
      <c r="O8" s="100">
        <v>100</v>
      </c>
      <c r="P8" s="701">
        <v>1</v>
      </c>
      <c r="Q8" s="99">
        <v>9.9999999999999995E-7</v>
      </c>
      <c r="R8" s="99">
        <v>9.9999999999999995E-7</v>
      </c>
      <c r="S8" s="101">
        <f t="shared" si="2"/>
        <v>0</v>
      </c>
      <c r="T8" s="102">
        <f t="shared" si="3"/>
        <v>0.03</v>
      </c>
      <c r="V8" s="107"/>
      <c r="W8" s="107"/>
      <c r="X8" s="108"/>
      <c r="Y8" s="109"/>
      <c r="Z8" s="110"/>
      <c r="AA8" s="721"/>
      <c r="AB8" s="107"/>
      <c r="AC8" s="107"/>
      <c r="AD8" s="110"/>
      <c r="AE8" s="109"/>
      <c r="AF8" s="110"/>
    </row>
    <row r="9" spans="1:32" ht="12.75" customHeight="1" x14ac:dyDescent="0.25">
      <c r="A9" s="100">
        <v>200</v>
      </c>
      <c r="B9" s="701">
        <v>0</v>
      </c>
      <c r="C9" s="701">
        <v>0</v>
      </c>
      <c r="D9" s="99">
        <v>9.9999999999999995E-7</v>
      </c>
      <c r="E9" s="101">
        <f t="shared" si="0"/>
        <v>4.9999999999999998E-7</v>
      </c>
      <c r="F9" s="102">
        <f t="shared" ref="F9:F21" si="4">0.03%*A9</f>
        <v>0.06</v>
      </c>
      <c r="G9" s="735"/>
      <c r="H9" s="100">
        <v>200</v>
      </c>
      <c r="I9" s="99" t="s">
        <v>364</v>
      </c>
      <c r="J9" s="99">
        <v>9.9999999999999995E-7</v>
      </c>
      <c r="K9" s="99">
        <v>9.9999999999999995E-7</v>
      </c>
      <c r="L9" s="101">
        <f t="shared" si="1"/>
        <v>0</v>
      </c>
      <c r="M9" s="102">
        <f>0.03%*H9</f>
        <v>0.06</v>
      </c>
      <c r="N9" s="717"/>
      <c r="O9" s="100">
        <v>200</v>
      </c>
      <c r="P9" s="701">
        <v>0</v>
      </c>
      <c r="Q9" s="99">
        <v>9.9999999999999995E-7</v>
      </c>
      <c r="R9" s="99">
        <v>9.9999999999999995E-7</v>
      </c>
      <c r="S9" s="101">
        <f t="shared" si="2"/>
        <v>0</v>
      </c>
      <c r="T9" s="102">
        <f t="shared" si="3"/>
        <v>0.06</v>
      </c>
      <c r="V9" s="107"/>
      <c r="W9" s="107"/>
      <c r="X9" s="110"/>
      <c r="Y9" s="109"/>
      <c r="Z9" s="110"/>
      <c r="AA9" s="721"/>
      <c r="AB9" s="107"/>
      <c r="AC9" s="107"/>
      <c r="AD9" s="110"/>
      <c r="AE9" s="109"/>
      <c r="AF9" s="110"/>
    </row>
    <row r="10" spans="1:32" ht="12.75" customHeight="1" x14ac:dyDescent="0.25">
      <c r="A10" s="100">
        <v>1000</v>
      </c>
      <c r="B10" s="701">
        <v>0</v>
      </c>
      <c r="C10" s="701">
        <v>0</v>
      </c>
      <c r="D10" s="99">
        <v>9.9999999999999995E-7</v>
      </c>
      <c r="E10" s="101">
        <f t="shared" si="0"/>
        <v>4.9999999999999998E-7</v>
      </c>
      <c r="F10" s="102">
        <f t="shared" si="4"/>
        <v>0.3</v>
      </c>
      <c r="G10" s="735"/>
      <c r="H10" s="100">
        <v>1000</v>
      </c>
      <c r="I10" s="99" t="s">
        <v>364</v>
      </c>
      <c r="J10" s="99">
        <v>9.9999999999999995E-7</v>
      </c>
      <c r="K10" s="99">
        <v>9.9999999999999995E-7</v>
      </c>
      <c r="L10" s="101">
        <f t="shared" si="1"/>
        <v>0</v>
      </c>
      <c r="M10" s="102">
        <f t="shared" ref="M10:M20" si="5">0.03%*H10</f>
        <v>0.3</v>
      </c>
      <c r="N10" s="717"/>
      <c r="O10" s="100">
        <v>1000</v>
      </c>
      <c r="P10" s="701">
        <v>0</v>
      </c>
      <c r="Q10" s="99">
        <v>9.9999999999999995E-7</v>
      </c>
      <c r="R10" s="99">
        <v>9.9999999999999995E-7</v>
      </c>
      <c r="S10" s="101">
        <f t="shared" si="2"/>
        <v>0</v>
      </c>
      <c r="T10" s="102">
        <f t="shared" si="3"/>
        <v>0.3</v>
      </c>
      <c r="V10" s="107"/>
      <c r="W10" s="107"/>
      <c r="X10" s="110"/>
      <c r="Y10" s="109"/>
      <c r="Z10" s="110"/>
      <c r="AA10" s="721"/>
      <c r="AB10" s="107"/>
      <c r="AC10" s="107"/>
      <c r="AD10" s="110"/>
      <c r="AE10" s="109"/>
      <c r="AF10" s="110"/>
    </row>
    <row r="11" spans="1:32" ht="12.75" customHeight="1" x14ac:dyDescent="0.25">
      <c r="A11" s="100">
        <v>2000</v>
      </c>
      <c r="B11" s="701">
        <v>0</v>
      </c>
      <c r="C11" s="701">
        <v>0</v>
      </c>
      <c r="D11" s="99">
        <v>9.9999999999999995E-7</v>
      </c>
      <c r="E11" s="101">
        <f t="shared" si="0"/>
        <v>4.9999999999999998E-7</v>
      </c>
      <c r="F11" s="102">
        <f t="shared" si="4"/>
        <v>0.6</v>
      </c>
      <c r="G11" s="735"/>
      <c r="H11" s="100">
        <v>2000</v>
      </c>
      <c r="I11" s="99" t="s">
        <v>364</v>
      </c>
      <c r="J11" s="99">
        <v>9.9999999999999995E-7</v>
      </c>
      <c r="K11" s="99">
        <v>9.9999999999999995E-7</v>
      </c>
      <c r="L11" s="101">
        <f t="shared" si="1"/>
        <v>0</v>
      </c>
      <c r="M11" s="102">
        <f t="shared" si="5"/>
        <v>0.6</v>
      </c>
      <c r="N11" s="717"/>
      <c r="O11" s="100">
        <v>2000</v>
      </c>
      <c r="P11" s="701">
        <v>0</v>
      </c>
      <c r="Q11" s="99">
        <v>9.9999999999999995E-7</v>
      </c>
      <c r="R11" s="99">
        <v>9.9999999999999995E-7</v>
      </c>
      <c r="S11" s="101">
        <f t="shared" si="2"/>
        <v>0</v>
      </c>
      <c r="T11" s="102">
        <f t="shared" si="3"/>
        <v>0.6</v>
      </c>
      <c r="V11" s="107"/>
      <c r="W11" s="107"/>
      <c r="X11" s="108"/>
      <c r="Y11" s="109"/>
      <c r="Z11" s="110"/>
      <c r="AA11" s="721"/>
      <c r="AB11" s="107"/>
      <c r="AC11" s="107"/>
      <c r="AD11" s="108"/>
      <c r="AE11" s="109"/>
      <c r="AF11" s="110"/>
    </row>
    <row r="12" spans="1:32" ht="12.75" customHeight="1" x14ac:dyDescent="0.25">
      <c r="A12" s="100">
        <v>3000</v>
      </c>
      <c r="B12" s="701" t="s">
        <v>364</v>
      </c>
      <c r="C12" s="701">
        <v>0</v>
      </c>
      <c r="D12" s="99" t="s">
        <v>364</v>
      </c>
      <c r="E12" s="101">
        <f t="shared" si="0"/>
        <v>0.29999999999999993</v>
      </c>
      <c r="F12" s="102">
        <f t="shared" si="4"/>
        <v>0.89999999999999991</v>
      </c>
      <c r="G12" s="735"/>
      <c r="H12" s="100">
        <v>3000</v>
      </c>
      <c r="I12" s="99" t="s">
        <v>364</v>
      </c>
      <c r="J12" s="99" t="s">
        <v>364</v>
      </c>
      <c r="K12" s="99">
        <v>9.9999999999999995E-7</v>
      </c>
      <c r="L12" s="101">
        <f t="shared" si="1"/>
        <v>0.29999999999999993</v>
      </c>
      <c r="M12" s="102">
        <f t="shared" si="5"/>
        <v>0.89999999999999991</v>
      </c>
      <c r="N12" s="717"/>
      <c r="O12" s="100">
        <v>3000</v>
      </c>
      <c r="P12" s="701">
        <v>0</v>
      </c>
      <c r="Q12" s="99">
        <v>9.9999999999999995E-7</v>
      </c>
      <c r="R12" s="99">
        <v>9.9999999999999995E-7</v>
      </c>
      <c r="S12" s="101">
        <f t="shared" si="2"/>
        <v>0</v>
      </c>
      <c r="T12" s="102">
        <f t="shared" si="3"/>
        <v>0.89999999999999991</v>
      </c>
      <c r="V12" s="107"/>
      <c r="W12" s="107"/>
      <c r="X12" s="108"/>
      <c r="Y12" s="109"/>
      <c r="Z12" s="110"/>
      <c r="AA12" s="721"/>
      <c r="AB12" s="107"/>
      <c r="AC12" s="107"/>
      <c r="AD12" s="108"/>
      <c r="AE12" s="109"/>
      <c r="AF12" s="110"/>
    </row>
    <row r="13" spans="1:32" ht="12.75" customHeight="1" x14ac:dyDescent="0.25">
      <c r="A13" s="100">
        <v>4000</v>
      </c>
      <c r="B13" s="701">
        <v>0</v>
      </c>
      <c r="C13" s="701">
        <v>0</v>
      </c>
      <c r="D13" s="99">
        <v>9.9999999999999995E-7</v>
      </c>
      <c r="E13" s="101">
        <f t="shared" si="0"/>
        <v>4.9999999999999998E-7</v>
      </c>
      <c r="F13" s="102">
        <f t="shared" si="4"/>
        <v>1.2</v>
      </c>
      <c r="G13" s="735"/>
      <c r="H13" s="100">
        <v>4000</v>
      </c>
      <c r="I13" s="99" t="s">
        <v>364</v>
      </c>
      <c r="J13" s="99">
        <v>9.9999999999999995E-7</v>
      </c>
      <c r="K13" s="99">
        <v>9.9999999999999995E-7</v>
      </c>
      <c r="L13" s="101">
        <f t="shared" si="1"/>
        <v>0</v>
      </c>
      <c r="M13" s="102">
        <f t="shared" si="5"/>
        <v>1.2</v>
      </c>
      <c r="N13" s="717"/>
      <c r="O13" s="100">
        <v>4000</v>
      </c>
      <c r="P13" s="701">
        <v>0</v>
      </c>
      <c r="Q13" s="99">
        <v>9.9999999999999995E-7</v>
      </c>
      <c r="R13" s="99">
        <v>9.9999999999999995E-7</v>
      </c>
      <c r="S13" s="101">
        <f t="shared" si="2"/>
        <v>0</v>
      </c>
      <c r="T13" s="102">
        <f t="shared" si="3"/>
        <v>1.2</v>
      </c>
      <c r="V13" s="107"/>
      <c r="W13" s="107"/>
      <c r="X13" s="108"/>
      <c r="Y13" s="109"/>
      <c r="Z13" s="110"/>
      <c r="AA13" s="721"/>
      <c r="AB13" s="107"/>
      <c r="AC13" s="107"/>
      <c r="AD13" s="108"/>
      <c r="AE13" s="109"/>
      <c r="AF13" s="110"/>
    </row>
    <row r="14" spans="1:32" ht="12.75" customHeight="1" x14ac:dyDescent="0.25">
      <c r="A14" s="100">
        <v>5000</v>
      </c>
      <c r="B14" s="701">
        <v>0</v>
      </c>
      <c r="C14" s="701">
        <v>0</v>
      </c>
      <c r="D14" s="99">
        <v>9.9999999999999995E-7</v>
      </c>
      <c r="E14" s="101">
        <f t="shared" si="0"/>
        <v>4.9999999999999998E-7</v>
      </c>
      <c r="F14" s="102">
        <f t="shared" si="4"/>
        <v>1.4999999999999998</v>
      </c>
      <c r="G14" s="735"/>
      <c r="H14" s="100">
        <v>5000</v>
      </c>
      <c r="I14" s="99" t="s">
        <v>364</v>
      </c>
      <c r="J14" s="99">
        <v>9.9999999999999995E-7</v>
      </c>
      <c r="K14" s="99">
        <v>9.9999999999999995E-7</v>
      </c>
      <c r="L14" s="101">
        <f t="shared" si="1"/>
        <v>0</v>
      </c>
      <c r="M14" s="102">
        <f t="shared" si="5"/>
        <v>1.4999999999999998</v>
      </c>
      <c r="N14" s="717"/>
      <c r="O14" s="100">
        <v>5000</v>
      </c>
      <c r="P14" s="701">
        <v>0</v>
      </c>
      <c r="Q14" s="99">
        <v>9.9999999999999995E-7</v>
      </c>
      <c r="R14" s="99">
        <v>9.9999999999999995E-7</v>
      </c>
      <c r="S14" s="101">
        <f t="shared" si="2"/>
        <v>0</v>
      </c>
      <c r="T14" s="102">
        <f t="shared" si="3"/>
        <v>1.4999999999999998</v>
      </c>
      <c r="V14" s="107"/>
      <c r="W14" s="107"/>
      <c r="X14" s="108"/>
      <c r="Y14" s="109"/>
      <c r="Z14" s="110"/>
      <c r="AA14" s="721"/>
      <c r="AB14" s="107"/>
      <c r="AC14" s="107"/>
      <c r="AD14" s="108"/>
      <c r="AE14" s="109"/>
      <c r="AF14" s="110"/>
    </row>
    <row r="15" spans="1:32" ht="12.75" customHeight="1" x14ac:dyDescent="0.25">
      <c r="A15" s="100">
        <v>6000</v>
      </c>
      <c r="B15" s="701">
        <v>0</v>
      </c>
      <c r="C15" s="701">
        <v>0</v>
      </c>
      <c r="D15" s="99">
        <v>9.9999999999999995E-7</v>
      </c>
      <c r="E15" s="101">
        <f t="shared" si="0"/>
        <v>4.9999999999999998E-7</v>
      </c>
      <c r="F15" s="102">
        <f t="shared" si="4"/>
        <v>1.7999999999999998</v>
      </c>
      <c r="G15" s="735"/>
      <c r="H15" s="100">
        <v>6000</v>
      </c>
      <c r="I15" s="99" t="s">
        <v>364</v>
      </c>
      <c r="J15" s="99">
        <v>9.9999999999999995E-7</v>
      </c>
      <c r="K15" s="99">
        <v>9.9999999999999995E-7</v>
      </c>
      <c r="L15" s="101">
        <f t="shared" si="1"/>
        <v>0</v>
      </c>
      <c r="M15" s="102">
        <f t="shared" si="5"/>
        <v>1.7999999999999998</v>
      </c>
      <c r="N15" s="717"/>
      <c r="O15" s="100">
        <v>6000</v>
      </c>
      <c r="P15" s="701">
        <v>0</v>
      </c>
      <c r="Q15" s="99">
        <v>9.9999999999999995E-7</v>
      </c>
      <c r="R15" s="99">
        <v>9.9999999999999995E-7</v>
      </c>
      <c r="S15" s="101">
        <f t="shared" si="2"/>
        <v>0</v>
      </c>
      <c r="T15" s="102">
        <f t="shared" si="3"/>
        <v>1.7999999999999998</v>
      </c>
      <c r="V15" s="107"/>
      <c r="W15" s="107"/>
      <c r="X15" s="108"/>
      <c r="Y15" s="109"/>
      <c r="Z15" s="110"/>
      <c r="AA15" s="721"/>
      <c r="AB15" s="107"/>
      <c r="AC15" s="107"/>
      <c r="AD15" s="108"/>
      <c r="AE15" s="109"/>
      <c r="AF15" s="110"/>
    </row>
    <row r="16" spans="1:32" ht="12.75" customHeight="1" x14ac:dyDescent="0.25">
      <c r="A16" s="100">
        <v>7000</v>
      </c>
      <c r="B16" s="701">
        <v>0</v>
      </c>
      <c r="C16" s="701">
        <v>0</v>
      </c>
      <c r="D16" s="99" t="s">
        <v>364</v>
      </c>
      <c r="E16" s="101">
        <f t="shared" si="0"/>
        <v>0.69999999999999984</v>
      </c>
      <c r="F16" s="102">
        <f t="shared" si="4"/>
        <v>2.0999999999999996</v>
      </c>
      <c r="G16" s="735"/>
      <c r="H16" s="100">
        <v>7000</v>
      </c>
      <c r="I16" s="99" t="s">
        <v>364</v>
      </c>
      <c r="J16" s="99" t="s">
        <v>364</v>
      </c>
      <c r="K16" s="99">
        <v>9.9999999999999995E-7</v>
      </c>
      <c r="L16" s="101">
        <f t="shared" si="1"/>
        <v>0.69999999999999984</v>
      </c>
      <c r="M16" s="102">
        <f t="shared" si="5"/>
        <v>2.0999999999999996</v>
      </c>
      <c r="N16" s="717"/>
      <c r="O16" s="100">
        <v>7000</v>
      </c>
      <c r="P16" s="701">
        <v>0</v>
      </c>
      <c r="Q16" s="99">
        <v>9.9999999999999995E-7</v>
      </c>
      <c r="R16" s="99">
        <v>9.9999999999999995E-7</v>
      </c>
      <c r="S16" s="101">
        <f t="shared" si="2"/>
        <v>0</v>
      </c>
      <c r="T16" s="102">
        <f t="shared" si="3"/>
        <v>2.0999999999999996</v>
      </c>
      <c r="V16" s="107"/>
      <c r="W16" s="107"/>
      <c r="X16" s="108"/>
      <c r="Y16" s="109"/>
      <c r="Z16" s="110"/>
      <c r="AA16" s="721"/>
      <c r="AB16" s="107"/>
      <c r="AC16" s="107"/>
      <c r="AD16" s="108"/>
      <c r="AE16" s="109"/>
      <c r="AF16" s="110"/>
    </row>
    <row r="17" spans="1:32" ht="12.75" customHeight="1" x14ac:dyDescent="0.25">
      <c r="A17" s="100">
        <v>8000</v>
      </c>
      <c r="B17" s="701">
        <v>0</v>
      </c>
      <c r="C17" s="701">
        <v>0</v>
      </c>
      <c r="D17" s="99" t="s">
        <v>364</v>
      </c>
      <c r="E17" s="101">
        <f t="shared" si="0"/>
        <v>0.79999999999999993</v>
      </c>
      <c r="F17" s="102">
        <f>0.03%*A17</f>
        <v>2.4</v>
      </c>
      <c r="G17" s="735"/>
      <c r="H17" s="100">
        <v>8000</v>
      </c>
      <c r="I17" s="99" t="s">
        <v>364</v>
      </c>
      <c r="J17" s="99" t="s">
        <v>364</v>
      </c>
      <c r="K17" s="99" t="s">
        <v>364</v>
      </c>
      <c r="L17" s="101">
        <f t="shared" si="1"/>
        <v>0.79999999999999993</v>
      </c>
      <c r="M17" s="102">
        <f t="shared" si="5"/>
        <v>2.4</v>
      </c>
      <c r="N17" s="717"/>
      <c r="O17" s="100">
        <v>8000</v>
      </c>
      <c r="P17" s="701">
        <v>0</v>
      </c>
      <c r="Q17" s="99">
        <v>9.9999999999999995E-7</v>
      </c>
      <c r="R17" s="100" t="s">
        <v>364</v>
      </c>
      <c r="S17" s="101">
        <f t="shared" si="2"/>
        <v>0.79999999999999993</v>
      </c>
      <c r="T17" s="102">
        <f t="shared" si="3"/>
        <v>2.4</v>
      </c>
      <c r="V17" s="107"/>
      <c r="W17" s="107"/>
      <c r="X17" s="108"/>
      <c r="Y17" s="109"/>
      <c r="Z17" s="110"/>
      <c r="AA17" s="721"/>
      <c r="AB17" s="107"/>
      <c r="AC17" s="107"/>
      <c r="AD17" s="108"/>
      <c r="AE17" s="109"/>
      <c r="AF17" s="110"/>
    </row>
    <row r="18" spans="1:32" ht="12.75" customHeight="1" x14ac:dyDescent="0.25">
      <c r="A18" s="100">
        <v>9000</v>
      </c>
      <c r="B18" s="701">
        <v>0</v>
      </c>
      <c r="C18" s="701">
        <v>0</v>
      </c>
      <c r="D18" s="99" t="s">
        <v>364</v>
      </c>
      <c r="E18" s="101">
        <f t="shared" si="0"/>
        <v>0.89999999999999991</v>
      </c>
      <c r="F18" s="102">
        <f t="shared" si="4"/>
        <v>2.6999999999999997</v>
      </c>
      <c r="G18" s="735"/>
      <c r="H18" s="100">
        <v>9000</v>
      </c>
      <c r="I18" s="99" t="s">
        <v>364</v>
      </c>
      <c r="J18" s="99" t="s">
        <v>364</v>
      </c>
      <c r="K18" s="99" t="s">
        <v>364</v>
      </c>
      <c r="L18" s="101">
        <f t="shared" si="1"/>
        <v>0.89999999999999991</v>
      </c>
      <c r="M18" s="102">
        <f t="shared" si="5"/>
        <v>2.6999999999999997</v>
      </c>
      <c r="N18" s="717"/>
      <c r="O18" s="100">
        <v>9000</v>
      </c>
      <c r="P18" s="701">
        <v>0</v>
      </c>
      <c r="Q18" s="99">
        <v>9.9999999999999995E-7</v>
      </c>
      <c r="R18" s="100" t="s">
        <v>364</v>
      </c>
      <c r="S18" s="101">
        <f t="shared" si="2"/>
        <v>0.89999999999999991</v>
      </c>
      <c r="T18" s="102">
        <f t="shared" si="3"/>
        <v>2.6999999999999997</v>
      </c>
      <c r="V18" s="107"/>
      <c r="W18" s="107"/>
      <c r="X18" s="108"/>
      <c r="Y18" s="109"/>
      <c r="Z18" s="110"/>
      <c r="AA18" s="721"/>
      <c r="AB18" s="107"/>
      <c r="AC18" s="107"/>
      <c r="AD18" s="108"/>
      <c r="AE18" s="109"/>
      <c r="AF18" s="110"/>
    </row>
    <row r="19" spans="1:32" ht="12.75" customHeight="1" x14ac:dyDescent="0.25">
      <c r="A19" s="100">
        <v>10000</v>
      </c>
      <c r="B19" s="701">
        <v>0</v>
      </c>
      <c r="C19" s="701">
        <v>0</v>
      </c>
      <c r="D19" s="99" t="s">
        <v>364</v>
      </c>
      <c r="E19" s="101">
        <f t="shared" si="0"/>
        <v>0.99999999999999978</v>
      </c>
      <c r="F19" s="102">
        <f t="shared" si="4"/>
        <v>2.9999999999999996</v>
      </c>
      <c r="G19" s="735"/>
      <c r="H19" s="100">
        <v>10000</v>
      </c>
      <c r="I19" s="99" t="s">
        <v>364</v>
      </c>
      <c r="J19" s="99" t="s">
        <v>364</v>
      </c>
      <c r="K19" s="99">
        <v>9.9999999999999995E-7</v>
      </c>
      <c r="L19" s="101">
        <f t="shared" si="1"/>
        <v>0.99999999999999978</v>
      </c>
      <c r="M19" s="102">
        <f t="shared" si="5"/>
        <v>2.9999999999999996</v>
      </c>
      <c r="N19" s="717"/>
      <c r="O19" s="100">
        <v>10000</v>
      </c>
      <c r="P19" s="701">
        <v>0</v>
      </c>
      <c r="Q19" s="99">
        <v>9.9999999999999995E-7</v>
      </c>
      <c r="R19" s="99">
        <v>9.9999999999999995E-7</v>
      </c>
      <c r="S19" s="101">
        <f t="shared" si="2"/>
        <v>0</v>
      </c>
      <c r="T19" s="102">
        <f t="shared" si="3"/>
        <v>2.9999999999999996</v>
      </c>
      <c r="V19" s="107"/>
      <c r="W19" s="107"/>
      <c r="X19" s="108"/>
      <c r="Y19" s="107"/>
      <c r="Z19" s="107"/>
      <c r="AA19" s="721"/>
      <c r="AB19" s="107"/>
      <c r="AC19" s="107"/>
      <c r="AD19" s="108"/>
      <c r="AE19" s="107"/>
      <c r="AF19" s="107"/>
    </row>
    <row r="20" spans="1:32" ht="12.75" customHeight="1" x14ac:dyDescent="0.25">
      <c r="A20" s="100">
        <v>50000</v>
      </c>
      <c r="B20" s="701">
        <v>0</v>
      </c>
      <c r="C20" s="701">
        <v>0</v>
      </c>
      <c r="D20" s="99">
        <v>9.9999999999999995E-7</v>
      </c>
      <c r="E20" s="101">
        <f t="shared" si="0"/>
        <v>4.9999999999999998E-7</v>
      </c>
      <c r="F20" s="102">
        <f>0.03%*A20</f>
        <v>14.999999999999998</v>
      </c>
      <c r="G20" s="735"/>
      <c r="H20" s="100">
        <v>50000</v>
      </c>
      <c r="I20" s="99" t="s">
        <v>364</v>
      </c>
      <c r="J20" s="99">
        <v>9.9999999999999995E-7</v>
      </c>
      <c r="K20" s="99">
        <v>9.9999999999999995E-7</v>
      </c>
      <c r="L20" s="101">
        <f t="shared" si="1"/>
        <v>0</v>
      </c>
      <c r="M20" s="102">
        <f t="shared" si="5"/>
        <v>14.999999999999998</v>
      </c>
      <c r="N20" s="717"/>
      <c r="O20" s="100">
        <v>50000</v>
      </c>
      <c r="P20" s="701">
        <v>0</v>
      </c>
      <c r="Q20" s="99">
        <v>9.9999999999999995E-7</v>
      </c>
      <c r="R20" s="99">
        <v>9.9999999999999995E-7</v>
      </c>
      <c r="S20" s="101">
        <f t="shared" si="2"/>
        <v>0</v>
      </c>
      <c r="T20" s="102">
        <f t="shared" si="3"/>
        <v>14.999999999999998</v>
      </c>
      <c r="V20" s="107"/>
      <c r="W20" s="107"/>
      <c r="X20" s="108"/>
      <c r="Y20" s="107"/>
      <c r="Z20" s="107"/>
      <c r="AA20" s="721"/>
      <c r="AB20" s="107"/>
      <c r="AC20" s="107"/>
      <c r="AD20" s="108"/>
      <c r="AE20" s="107"/>
      <c r="AF20" s="107"/>
    </row>
    <row r="21" spans="1:32" ht="12.75" customHeight="1" x14ac:dyDescent="0.25">
      <c r="A21" s="487">
        <v>99000</v>
      </c>
      <c r="B21" s="100">
        <v>2</v>
      </c>
      <c r="C21" s="100">
        <v>0</v>
      </c>
      <c r="D21" s="99">
        <v>9.9999999999999995E-7</v>
      </c>
      <c r="E21" s="101">
        <f>IFERROR(IF(OR(C21="-",D21="-"),1/3*F21,0.5*(MAX(C21:D21)-MIN(C21:D21))),0)</f>
        <v>4.9999999999999998E-7</v>
      </c>
      <c r="F21" s="102">
        <f t="shared" si="4"/>
        <v>29.699999999999996</v>
      </c>
      <c r="G21" s="736"/>
      <c r="H21" s="487">
        <v>95000</v>
      </c>
      <c r="I21" s="99" t="s">
        <v>364</v>
      </c>
      <c r="J21" s="99">
        <v>9.9999999999999995E-7</v>
      </c>
      <c r="K21" s="488" t="s">
        <v>364</v>
      </c>
      <c r="L21" s="101">
        <f>IFERROR(IF(OR(J21="-",K21="-"),1/3*M21,0.5*(MAX(J21:K21)-MIN(J21:K21))),0)</f>
        <v>9.4999999999999982</v>
      </c>
      <c r="M21" s="102">
        <f>0.03%*H21</f>
        <v>28.499999999999996</v>
      </c>
      <c r="N21" s="717"/>
      <c r="O21" s="487">
        <v>95000</v>
      </c>
      <c r="P21" s="701">
        <v>0</v>
      </c>
      <c r="Q21" s="99">
        <v>9.9999999999999995E-7</v>
      </c>
      <c r="R21" s="99">
        <v>9.9999999999999995E-7</v>
      </c>
      <c r="S21" s="101">
        <f>IFERROR(IF(OR(Q21="-",R21="-"),1/3*T21,0.5*(MAX(Q21:R21)-MIN(Q21:R21))),0)</f>
        <v>0</v>
      </c>
      <c r="T21" s="102">
        <f t="shared" si="3"/>
        <v>28.499999999999996</v>
      </c>
      <c r="V21" s="107"/>
      <c r="W21" s="107"/>
      <c r="X21" s="108"/>
      <c r="Y21" s="107"/>
      <c r="Z21" s="107"/>
      <c r="AA21" s="721"/>
      <c r="AB21" s="107"/>
      <c r="AC21" s="107"/>
      <c r="AD21" s="108"/>
      <c r="AE21" s="107"/>
      <c r="AF21" s="107"/>
    </row>
    <row r="22" spans="1:32" ht="12.75" customHeight="1" x14ac:dyDescent="0.3">
      <c r="A22" s="1499"/>
      <c r="B22" s="1500"/>
      <c r="C22" s="1500"/>
      <c r="D22" s="1500"/>
      <c r="E22" s="1500"/>
      <c r="F22" s="1501"/>
      <c r="G22" s="725"/>
      <c r="H22" s="1502"/>
      <c r="I22" s="1503"/>
      <c r="J22" s="1503"/>
      <c r="K22" s="1503"/>
      <c r="L22" s="1503"/>
      <c r="M22" s="1504"/>
      <c r="N22" s="711"/>
      <c r="O22" s="1505"/>
      <c r="P22" s="1500"/>
      <c r="Q22" s="1500"/>
      <c r="R22" s="1500"/>
      <c r="S22" s="1500"/>
      <c r="T22" s="1506"/>
      <c r="V22" s="717"/>
      <c r="W22" s="717"/>
      <c r="X22" s="717"/>
      <c r="Y22" s="717"/>
      <c r="Z22" s="717"/>
      <c r="AA22" s="721"/>
      <c r="AB22" s="711"/>
      <c r="AC22" s="711"/>
      <c r="AD22" s="711"/>
      <c r="AE22" s="711"/>
      <c r="AF22" s="711"/>
    </row>
    <row r="23" spans="1:32" ht="15.75" customHeight="1" x14ac:dyDescent="0.3">
      <c r="A23" s="1510" t="s">
        <v>463</v>
      </c>
      <c r="B23" s="1510"/>
      <c r="C23" s="1510"/>
      <c r="D23" s="1510"/>
      <c r="E23" s="1419" t="s">
        <v>392</v>
      </c>
      <c r="F23" s="1396" t="str">
        <f>F3</f>
        <v>U95 STD</v>
      </c>
      <c r="G23" s="725"/>
      <c r="H23" s="1513" t="s">
        <v>464</v>
      </c>
      <c r="I23" s="1514"/>
      <c r="J23" s="1514"/>
      <c r="K23" s="1515"/>
      <c r="L23" s="1419" t="s">
        <v>392</v>
      </c>
      <c r="M23" s="1396" t="str">
        <f>F23</f>
        <v>U95 STD</v>
      </c>
      <c r="N23" s="711"/>
      <c r="O23" s="1513" t="s">
        <v>465</v>
      </c>
      <c r="P23" s="1514"/>
      <c r="Q23" s="1514"/>
      <c r="R23" s="1515"/>
      <c r="S23" s="1419" t="s">
        <v>392</v>
      </c>
      <c r="T23" s="1512" t="str">
        <f>M23</f>
        <v>U95 STD</v>
      </c>
      <c r="V23" s="718"/>
      <c r="W23" s="718"/>
      <c r="X23" s="718"/>
      <c r="Y23" s="719"/>
      <c r="Z23" s="720"/>
      <c r="AA23" s="721"/>
      <c r="AB23" s="718"/>
      <c r="AC23" s="718"/>
      <c r="AD23" s="718"/>
      <c r="AE23" s="719"/>
      <c r="AF23" s="720"/>
    </row>
    <row r="24" spans="1:32" ht="12.75" customHeight="1" x14ac:dyDescent="0.3">
      <c r="A24" s="723" t="str">
        <f>A4</f>
        <v>Kecepatan</v>
      </c>
      <c r="B24" s="724"/>
      <c r="C24" s="1419" t="s">
        <v>391</v>
      </c>
      <c r="D24" s="1419"/>
      <c r="E24" s="1419"/>
      <c r="F24" s="1396"/>
      <c r="G24" s="725"/>
      <c r="H24" s="726" t="str">
        <f>A24</f>
        <v>Kecepatan</v>
      </c>
      <c r="I24" s="726"/>
      <c r="J24" s="1419" t="s">
        <v>391</v>
      </c>
      <c r="K24" s="1419"/>
      <c r="L24" s="1419"/>
      <c r="M24" s="1396"/>
      <c r="N24" s="711"/>
      <c r="O24" s="726" t="str">
        <f>H24</f>
        <v>Kecepatan</v>
      </c>
      <c r="P24" s="726"/>
      <c r="Q24" s="1419" t="s">
        <v>391</v>
      </c>
      <c r="R24" s="1419"/>
      <c r="S24" s="1419"/>
      <c r="T24" s="1512"/>
      <c r="V24" s="727"/>
      <c r="W24" s="719"/>
      <c r="X24" s="719"/>
      <c r="Y24" s="719"/>
      <c r="Z24" s="720"/>
      <c r="AA24" s="721"/>
      <c r="AB24" s="727"/>
      <c r="AC24" s="719"/>
      <c r="AD24" s="719"/>
      <c r="AE24" s="719"/>
      <c r="AF24" s="720"/>
    </row>
    <row r="25" spans="1:32" ht="15" customHeight="1" x14ac:dyDescent="0.3">
      <c r="A25" s="728" t="str">
        <f>A5</f>
        <v>rpm</v>
      </c>
      <c r="B25" s="729">
        <v>2022</v>
      </c>
      <c r="C25" s="730">
        <v>2020</v>
      </c>
      <c r="D25" s="730">
        <v>2018</v>
      </c>
      <c r="E25" s="1419"/>
      <c r="F25" s="1396"/>
      <c r="G25" s="725"/>
      <c r="H25" s="731" t="str">
        <f>A25</f>
        <v>rpm</v>
      </c>
      <c r="I25" s="729">
        <v>2022</v>
      </c>
      <c r="J25" s="730">
        <v>2021</v>
      </c>
      <c r="K25" s="730">
        <v>2019</v>
      </c>
      <c r="L25" s="1419"/>
      <c r="M25" s="1396"/>
      <c r="N25" s="711"/>
      <c r="O25" s="731" t="str">
        <f>H25</f>
        <v>rpm</v>
      </c>
      <c r="P25" s="729">
        <v>2023</v>
      </c>
      <c r="Q25" s="729">
        <v>2022</v>
      </c>
      <c r="R25" s="737">
        <v>2021</v>
      </c>
      <c r="S25" s="1419"/>
      <c r="T25" s="1512"/>
      <c r="V25" s="732"/>
      <c r="W25" s="727"/>
      <c r="X25" s="727"/>
      <c r="Y25" s="719"/>
      <c r="Z25" s="720"/>
      <c r="AA25" s="721"/>
      <c r="AB25" s="732"/>
      <c r="AC25" s="727"/>
      <c r="AD25" s="727"/>
      <c r="AE25" s="719"/>
      <c r="AF25" s="720"/>
    </row>
    <row r="26" spans="1:32" ht="12.75" customHeight="1" x14ac:dyDescent="0.3">
      <c r="A26" s="734">
        <v>0</v>
      </c>
      <c r="B26" s="701">
        <v>0</v>
      </c>
      <c r="C26" s="99">
        <v>9.9999999999999995E-7</v>
      </c>
      <c r="D26" s="99">
        <v>9.9999999999999995E-7</v>
      </c>
      <c r="E26" s="101">
        <f>IFERROR(IF(OR(C26="-",D26="-"),1/3*F26,0.5*(MAX(C26:D26)-MIN(C26:D26))),0)</f>
        <v>0</v>
      </c>
      <c r="F26" s="102">
        <f>0.03%*(A26-B26)</f>
        <v>0</v>
      </c>
      <c r="G26" s="725"/>
      <c r="H26" s="734">
        <v>0</v>
      </c>
      <c r="I26" s="701">
        <v>0</v>
      </c>
      <c r="J26" s="99">
        <v>9.9999999999999995E-7</v>
      </c>
      <c r="K26" s="99">
        <v>9.9999999999999995E-7</v>
      </c>
      <c r="L26" s="101">
        <f>IFERROR(IF(OR(J26="-",K26="-"),1/3*M26,0.5*(MAX(J26:K26)-MIN(J26:K26))),0)</f>
        <v>0</v>
      </c>
      <c r="M26" s="102">
        <f>(H26-I26)*0.03%</f>
        <v>0</v>
      </c>
      <c r="N26" s="711"/>
      <c r="O26" s="734">
        <v>0</v>
      </c>
      <c r="P26" s="701">
        <v>0</v>
      </c>
      <c r="Q26" s="701">
        <v>0</v>
      </c>
      <c r="R26" s="99">
        <v>9.9999999999999995E-7</v>
      </c>
      <c r="S26" s="102">
        <f>IFERROR(IF(OR(Q26="-",R26="-"),1/3*T26,0.5*(MAX(Q26:R26)-MIN(Q26:R26))),0)</f>
        <v>4.9999999999999998E-7</v>
      </c>
      <c r="T26" s="105">
        <f>0.03%*(O26-P26)</f>
        <v>0</v>
      </c>
      <c r="V26" s="107"/>
      <c r="W26" s="107"/>
      <c r="X26" s="110"/>
      <c r="Y26" s="109"/>
      <c r="Z26" s="110"/>
      <c r="AA26" s="721"/>
      <c r="AB26" s="107"/>
      <c r="AC26" s="107"/>
      <c r="AD26" s="110"/>
      <c r="AE26" s="109"/>
      <c r="AF26" s="110"/>
    </row>
    <row r="27" spans="1:32" ht="12.75" customHeight="1" x14ac:dyDescent="0.3">
      <c r="A27" s="701">
        <v>50</v>
      </c>
      <c r="B27" s="701">
        <v>1</v>
      </c>
      <c r="C27" s="100">
        <v>1</v>
      </c>
      <c r="D27" s="100" t="s">
        <v>364</v>
      </c>
      <c r="E27" s="101">
        <f>IFERROR(IF(OR(C27="-",D27="-"),1/3*F27,0.5*(MAX(C27:D27)-MIN(C27:D27))),0)</f>
        <v>4.8999999999999998E-3</v>
      </c>
      <c r="F27" s="102">
        <f t="shared" ref="F27:F41" si="6">0.03%*(A27-B27)</f>
        <v>1.47E-2</v>
      </c>
      <c r="G27" s="725"/>
      <c r="H27" s="734">
        <v>50</v>
      </c>
      <c r="I27" s="701">
        <v>0</v>
      </c>
      <c r="J27" s="99">
        <v>9.9999999999999995E-7</v>
      </c>
      <c r="K27" s="99">
        <v>9.9999999999999995E-7</v>
      </c>
      <c r="L27" s="101">
        <f t="shared" ref="L27:L41" si="7">IFERROR(IF(OR(J27="-",K27="-"),1/3*M27,0.5*(MAX(J27:K27)-MIN(J27:K27))),0)</f>
        <v>0</v>
      </c>
      <c r="M27" s="102">
        <f t="shared" ref="M27:M41" si="8">(H27-I27)*0.03%</f>
        <v>1.4999999999999999E-2</v>
      </c>
      <c r="N27" s="711"/>
      <c r="O27" s="100">
        <v>50</v>
      </c>
      <c r="P27" s="701">
        <v>0</v>
      </c>
      <c r="Q27" s="701">
        <v>0</v>
      </c>
      <c r="R27" s="99">
        <v>9.9999999999999995E-7</v>
      </c>
      <c r="S27" s="102">
        <f t="shared" ref="S27:S41" si="9">IFERROR(IF(OR(Q27="-",R27="-"),1/3*T27,0.5*(MAX(Q27:R27)-MIN(Q27:R27))),0)</f>
        <v>4.9999999999999998E-7</v>
      </c>
      <c r="T27" s="105">
        <f>0.03%*(O27-P27)</f>
        <v>1.4999999999999999E-2</v>
      </c>
      <c r="V27" s="107"/>
      <c r="W27" s="107"/>
      <c r="X27" s="110"/>
      <c r="Y27" s="109"/>
      <c r="Z27" s="110"/>
      <c r="AA27" s="721"/>
      <c r="AB27" s="107"/>
      <c r="AC27" s="107"/>
      <c r="AD27" s="110"/>
      <c r="AE27" s="109"/>
      <c r="AF27" s="110"/>
    </row>
    <row r="28" spans="1:32" ht="12.75" customHeight="1" x14ac:dyDescent="0.3">
      <c r="A28" s="701">
        <v>100</v>
      </c>
      <c r="B28" s="701">
        <v>1</v>
      </c>
      <c r="C28" s="100">
        <v>1</v>
      </c>
      <c r="D28" s="100" t="s">
        <v>364</v>
      </c>
      <c r="E28" s="101">
        <f t="shared" ref="E28:E41" si="10">IFERROR(IF(OR(C28="-",D28="-"),1/3*F28,0.5*(MAX(C28:D28)-MIN(C28:D28))),0)</f>
        <v>9.8999999999999991E-3</v>
      </c>
      <c r="F28" s="102">
        <f t="shared" si="6"/>
        <v>2.9699999999999997E-2</v>
      </c>
      <c r="G28" s="725"/>
      <c r="H28" s="100">
        <v>100</v>
      </c>
      <c r="I28" s="701">
        <v>0</v>
      </c>
      <c r="J28" s="99">
        <v>9.9999999999999995E-7</v>
      </c>
      <c r="K28" s="99">
        <v>9.9999999999999995E-7</v>
      </c>
      <c r="L28" s="101">
        <f t="shared" si="7"/>
        <v>0</v>
      </c>
      <c r="M28" s="102">
        <f t="shared" si="8"/>
        <v>0.03</v>
      </c>
      <c r="N28" s="711"/>
      <c r="O28" s="100">
        <v>100</v>
      </c>
      <c r="P28" s="701">
        <v>0</v>
      </c>
      <c r="Q28" s="701">
        <v>0.1</v>
      </c>
      <c r="R28" s="99">
        <v>9.9999999999999995E-7</v>
      </c>
      <c r="S28" s="102">
        <f t="shared" si="9"/>
        <v>4.9999500000000002E-2</v>
      </c>
      <c r="T28" s="105">
        <f t="shared" ref="T28:T41" si="11">0.03%*(O28-P28)</f>
        <v>0.03</v>
      </c>
      <c r="V28" s="107"/>
      <c r="W28" s="107"/>
      <c r="X28" s="110"/>
      <c r="Y28" s="109"/>
      <c r="Z28" s="110"/>
      <c r="AA28" s="721"/>
      <c r="AB28" s="107"/>
      <c r="AC28" s="107"/>
      <c r="AD28" s="110"/>
      <c r="AE28" s="109"/>
      <c r="AF28" s="110"/>
    </row>
    <row r="29" spans="1:32" ht="12.75" customHeight="1" x14ac:dyDescent="0.3">
      <c r="A29" s="100">
        <v>200</v>
      </c>
      <c r="B29" s="701">
        <v>1</v>
      </c>
      <c r="C29" s="100">
        <v>1</v>
      </c>
      <c r="D29" s="99">
        <v>9.9999999999999995E-7</v>
      </c>
      <c r="E29" s="101">
        <f t="shared" si="10"/>
        <v>0.49999949999999999</v>
      </c>
      <c r="F29" s="102">
        <f t="shared" si="6"/>
        <v>5.9699999999999996E-2</v>
      </c>
      <c r="G29" s="725"/>
      <c r="H29" s="100">
        <v>200</v>
      </c>
      <c r="I29" s="701">
        <v>0</v>
      </c>
      <c r="J29" s="99">
        <v>9.9999999999999995E-7</v>
      </c>
      <c r="K29" s="99">
        <v>9.9999999999999995E-7</v>
      </c>
      <c r="L29" s="101">
        <f t="shared" si="7"/>
        <v>0</v>
      </c>
      <c r="M29" s="102">
        <f t="shared" si="8"/>
        <v>0.06</v>
      </c>
      <c r="N29" s="711"/>
      <c r="O29" s="100">
        <v>200</v>
      </c>
      <c r="P29" s="701">
        <v>0</v>
      </c>
      <c r="Q29" s="701">
        <v>0</v>
      </c>
      <c r="R29" s="99">
        <v>9.9999999999999995E-7</v>
      </c>
      <c r="S29" s="102">
        <f t="shared" si="9"/>
        <v>4.9999999999999998E-7</v>
      </c>
      <c r="T29" s="105">
        <f t="shared" si="11"/>
        <v>0.06</v>
      </c>
      <c r="V29" s="107"/>
      <c r="W29" s="107"/>
      <c r="X29" s="110"/>
      <c r="Y29" s="109"/>
      <c r="Z29" s="110"/>
      <c r="AA29" s="721"/>
      <c r="AB29" s="107"/>
      <c r="AC29" s="107"/>
      <c r="AD29" s="110"/>
      <c r="AE29" s="109"/>
      <c r="AF29" s="110"/>
    </row>
    <row r="30" spans="1:32" ht="12.75" customHeight="1" x14ac:dyDescent="0.3">
      <c r="A30" s="100">
        <v>1000</v>
      </c>
      <c r="B30" s="701">
        <v>1</v>
      </c>
      <c r="C30" s="100">
        <v>1</v>
      </c>
      <c r="D30" s="99">
        <v>9.9999999999999995E-7</v>
      </c>
      <c r="E30" s="101">
        <f t="shared" si="10"/>
        <v>0.49999949999999999</v>
      </c>
      <c r="F30" s="102">
        <f t="shared" si="6"/>
        <v>0.29969999999999997</v>
      </c>
      <c r="G30" s="725"/>
      <c r="H30" s="100">
        <v>1000</v>
      </c>
      <c r="I30" s="701">
        <v>-0.1</v>
      </c>
      <c r="J30" s="99">
        <v>9.9999999999999995E-7</v>
      </c>
      <c r="K30" s="100">
        <v>-0.1</v>
      </c>
      <c r="L30" s="101">
        <f t="shared" si="7"/>
        <v>5.0000500000000003E-2</v>
      </c>
      <c r="M30" s="102">
        <f t="shared" si="8"/>
        <v>0.30002999999999996</v>
      </c>
      <c r="N30" s="711"/>
      <c r="O30" s="100">
        <v>1000</v>
      </c>
      <c r="P30" s="701">
        <v>0</v>
      </c>
      <c r="Q30" s="701">
        <v>0</v>
      </c>
      <c r="R30" s="100">
        <v>-0.1</v>
      </c>
      <c r="S30" s="102">
        <f t="shared" si="9"/>
        <v>0.05</v>
      </c>
      <c r="T30" s="105">
        <f t="shared" si="11"/>
        <v>0.3</v>
      </c>
      <c r="V30" s="107"/>
      <c r="W30" s="107"/>
      <c r="X30" s="110"/>
      <c r="Y30" s="109"/>
      <c r="Z30" s="110"/>
      <c r="AA30" s="721"/>
      <c r="AB30" s="107"/>
      <c r="AC30" s="107"/>
      <c r="AD30" s="110"/>
      <c r="AE30" s="109"/>
      <c r="AF30" s="110"/>
    </row>
    <row r="31" spans="1:32" ht="12.75" customHeight="1" x14ac:dyDescent="0.3">
      <c r="A31" s="100">
        <v>2000</v>
      </c>
      <c r="B31" s="701">
        <v>1</v>
      </c>
      <c r="C31" s="100">
        <v>1</v>
      </c>
      <c r="D31" s="99">
        <v>9.9999999999999995E-7</v>
      </c>
      <c r="E31" s="101">
        <f t="shared" si="10"/>
        <v>0.49999949999999999</v>
      </c>
      <c r="F31" s="102">
        <f t="shared" si="6"/>
        <v>0.5996999999999999</v>
      </c>
      <c r="G31" s="725"/>
      <c r="H31" s="100">
        <v>2000</v>
      </c>
      <c r="I31" s="701">
        <v>-0.1</v>
      </c>
      <c r="J31" s="100">
        <v>-0.1</v>
      </c>
      <c r="K31" s="100">
        <v>-0.1</v>
      </c>
      <c r="L31" s="101">
        <f t="shared" si="7"/>
        <v>0</v>
      </c>
      <c r="M31" s="102">
        <f t="shared" si="8"/>
        <v>0.60002999999999995</v>
      </c>
      <c r="N31" s="711"/>
      <c r="O31" s="100">
        <v>2000</v>
      </c>
      <c r="P31" s="701">
        <v>-0.1</v>
      </c>
      <c r="Q31" s="701">
        <v>-0.1</v>
      </c>
      <c r="R31" s="99">
        <v>-0.1</v>
      </c>
      <c r="S31" s="102">
        <f t="shared" si="9"/>
        <v>0</v>
      </c>
      <c r="T31" s="105">
        <f t="shared" si="11"/>
        <v>0.60002999999999995</v>
      </c>
      <c r="V31" s="107"/>
      <c r="W31" s="107"/>
      <c r="X31" s="108"/>
      <c r="Y31" s="109"/>
      <c r="Z31" s="110"/>
      <c r="AA31" s="721"/>
      <c r="AB31" s="107"/>
      <c r="AC31" s="107"/>
      <c r="AD31" s="108"/>
      <c r="AE31" s="109"/>
      <c r="AF31" s="110"/>
    </row>
    <row r="32" spans="1:32" ht="12.75" customHeight="1" x14ac:dyDescent="0.3">
      <c r="A32" s="100">
        <v>3000</v>
      </c>
      <c r="B32" s="701">
        <v>1</v>
      </c>
      <c r="C32" s="99">
        <v>1</v>
      </c>
      <c r="D32" s="99">
        <v>1</v>
      </c>
      <c r="E32" s="101">
        <f t="shared" si="10"/>
        <v>0</v>
      </c>
      <c r="F32" s="102">
        <f t="shared" si="6"/>
        <v>0.89969999999999994</v>
      </c>
      <c r="G32" s="725"/>
      <c r="H32" s="100">
        <v>3000</v>
      </c>
      <c r="I32" s="701">
        <v>-0.1</v>
      </c>
      <c r="J32" s="100">
        <v>-0.1</v>
      </c>
      <c r="K32" s="100">
        <v>-0.1</v>
      </c>
      <c r="L32" s="101">
        <f t="shared" si="7"/>
        <v>0</v>
      </c>
      <c r="M32" s="102">
        <f t="shared" si="8"/>
        <v>0.90002999999999989</v>
      </c>
      <c r="N32" s="711"/>
      <c r="O32" s="100">
        <v>3000</v>
      </c>
      <c r="P32" s="701">
        <v>-0.3</v>
      </c>
      <c r="Q32" s="701">
        <v>-0.1</v>
      </c>
      <c r="R32" s="99">
        <v>-0.1</v>
      </c>
      <c r="S32" s="102">
        <f t="shared" si="9"/>
        <v>0</v>
      </c>
      <c r="T32" s="105">
        <f t="shared" si="11"/>
        <v>0.90008999999999995</v>
      </c>
      <c r="V32" s="107"/>
      <c r="W32" s="107"/>
      <c r="X32" s="108"/>
      <c r="Y32" s="109"/>
      <c r="Z32" s="110"/>
      <c r="AA32" s="721"/>
      <c r="AB32" s="107"/>
      <c r="AC32" s="107"/>
      <c r="AD32" s="108"/>
      <c r="AE32" s="109"/>
      <c r="AF32" s="110"/>
    </row>
    <row r="33" spans="1:32" ht="12.75" customHeight="1" x14ac:dyDescent="0.3">
      <c r="A33" s="100">
        <v>4000</v>
      </c>
      <c r="B33" s="701">
        <v>1</v>
      </c>
      <c r="C33" s="99">
        <v>1</v>
      </c>
      <c r="D33" s="99">
        <v>1</v>
      </c>
      <c r="E33" s="101">
        <f t="shared" si="10"/>
        <v>0</v>
      </c>
      <c r="F33" s="102">
        <f t="shared" si="6"/>
        <v>1.1997</v>
      </c>
      <c r="G33" s="725"/>
      <c r="H33" s="100">
        <v>4000</v>
      </c>
      <c r="I33" s="701">
        <v>-0.2</v>
      </c>
      <c r="J33" s="100">
        <v>-0.2</v>
      </c>
      <c r="K33" s="100">
        <v>-0.2</v>
      </c>
      <c r="L33" s="101">
        <f t="shared" si="7"/>
        <v>0</v>
      </c>
      <c r="M33" s="102">
        <f t="shared" si="8"/>
        <v>1.2000599999999999</v>
      </c>
      <c r="N33" s="711"/>
      <c r="O33" s="100">
        <v>4000</v>
      </c>
      <c r="P33" s="701">
        <v>-0.2</v>
      </c>
      <c r="Q33" s="701">
        <v>-0.2</v>
      </c>
      <c r="R33" s="99">
        <v>-0.2</v>
      </c>
      <c r="S33" s="102">
        <f t="shared" si="9"/>
        <v>0</v>
      </c>
      <c r="T33" s="105">
        <f t="shared" si="11"/>
        <v>1.2000599999999999</v>
      </c>
      <c r="V33" s="107"/>
      <c r="W33" s="107"/>
      <c r="X33" s="108"/>
      <c r="Y33" s="109"/>
      <c r="Z33" s="110"/>
      <c r="AA33" s="721"/>
      <c r="AB33" s="107"/>
      <c r="AC33" s="107"/>
      <c r="AD33" s="108"/>
      <c r="AE33" s="109"/>
      <c r="AF33" s="110"/>
    </row>
    <row r="34" spans="1:32" ht="12.75" customHeight="1" x14ac:dyDescent="0.3">
      <c r="A34" s="100">
        <v>5000</v>
      </c>
      <c r="B34" s="701">
        <v>1</v>
      </c>
      <c r="C34" s="99">
        <v>1</v>
      </c>
      <c r="D34" s="99">
        <v>1</v>
      </c>
      <c r="E34" s="101">
        <f t="shared" si="10"/>
        <v>0</v>
      </c>
      <c r="F34" s="102">
        <f t="shared" si="6"/>
        <v>1.4996999999999998</v>
      </c>
      <c r="G34" s="725"/>
      <c r="H34" s="100">
        <v>5000</v>
      </c>
      <c r="I34" s="701">
        <v>-0.3</v>
      </c>
      <c r="J34" s="100">
        <v>-0.3</v>
      </c>
      <c r="K34" s="100">
        <v>-0.2</v>
      </c>
      <c r="L34" s="101">
        <f t="shared" si="7"/>
        <v>4.9999999999999989E-2</v>
      </c>
      <c r="M34" s="102">
        <f t="shared" si="8"/>
        <v>1.5000899999999999</v>
      </c>
      <c r="N34" s="711"/>
      <c r="O34" s="100">
        <v>5000</v>
      </c>
      <c r="P34" s="701">
        <v>-0.2</v>
      </c>
      <c r="Q34" s="701">
        <v>-0.2</v>
      </c>
      <c r="R34" s="99">
        <v>-0.3</v>
      </c>
      <c r="S34" s="102">
        <f t="shared" si="9"/>
        <v>4.9999999999999989E-2</v>
      </c>
      <c r="T34" s="105">
        <f t="shared" si="11"/>
        <v>1.5000599999999997</v>
      </c>
      <c r="V34" s="107"/>
      <c r="W34" s="107"/>
      <c r="X34" s="108"/>
      <c r="Y34" s="109"/>
      <c r="Z34" s="110"/>
      <c r="AA34" s="721"/>
      <c r="AB34" s="107"/>
      <c r="AC34" s="107"/>
      <c r="AD34" s="108"/>
      <c r="AE34" s="109"/>
      <c r="AF34" s="110"/>
    </row>
    <row r="35" spans="1:32" ht="12.75" customHeight="1" x14ac:dyDescent="0.3">
      <c r="A35" s="100">
        <v>6000</v>
      </c>
      <c r="B35" s="701">
        <v>1</v>
      </c>
      <c r="C35" s="99">
        <v>1</v>
      </c>
      <c r="D35" s="99" t="s">
        <v>364</v>
      </c>
      <c r="E35" s="101">
        <f t="shared" si="10"/>
        <v>0.59989999999999988</v>
      </c>
      <c r="F35" s="102">
        <f t="shared" si="6"/>
        <v>1.7996999999999999</v>
      </c>
      <c r="G35" s="725"/>
      <c r="H35" s="100">
        <v>6000</v>
      </c>
      <c r="I35" s="701">
        <v>-0.3</v>
      </c>
      <c r="J35" s="100">
        <v>-0.3</v>
      </c>
      <c r="K35" s="100">
        <v>-0.3</v>
      </c>
      <c r="L35" s="101">
        <f t="shared" si="7"/>
        <v>0</v>
      </c>
      <c r="M35" s="102">
        <f t="shared" si="8"/>
        <v>1.80009</v>
      </c>
      <c r="N35" s="711"/>
      <c r="O35" s="100">
        <v>6000</v>
      </c>
      <c r="P35" s="701">
        <v>-0.3</v>
      </c>
      <c r="Q35" s="701">
        <v>-0.3</v>
      </c>
      <c r="R35" s="99">
        <v>-0.3</v>
      </c>
      <c r="S35" s="102">
        <f t="shared" si="9"/>
        <v>0</v>
      </c>
      <c r="T35" s="105">
        <f t="shared" si="11"/>
        <v>1.80009</v>
      </c>
      <c r="V35" s="107"/>
      <c r="W35" s="107"/>
      <c r="X35" s="108"/>
      <c r="Y35" s="109"/>
      <c r="Z35" s="110"/>
      <c r="AA35" s="721"/>
      <c r="AB35" s="107"/>
      <c r="AC35" s="107"/>
      <c r="AD35" s="108"/>
      <c r="AE35" s="109"/>
      <c r="AF35" s="110"/>
    </row>
    <row r="36" spans="1:32" ht="12.75" customHeight="1" x14ac:dyDescent="0.3">
      <c r="A36" s="100">
        <v>7000</v>
      </c>
      <c r="B36" s="701">
        <v>1</v>
      </c>
      <c r="C36" s="99">
        <v>1</v>
      </c>
      <c r="D36" s="99" t="s">
        <v>364</v>
      </c>
      <c r="E36" s="101">
        <f t="shared" si="10"/>
        <v>0.69989999999999997</v>
      </c>
      <c r="F36" s="102">
        <f t="shared" si="6"/>
        <v>2.0996999999999999</v>
      </c>
      <c r="G36" s="725"/>
      <c r="H36" s="100">
        <v>7000</v>
      </c>
      <c r="I36" s="701">
        <v>-0.4</v>
      </c>
      <c r="J36" s="100">
        <v>-0.4</v>
      </c>
      <c r="K36" s="100">
        <v>-0.3</v>
      </c>
      <c r="L36" s="101">
        <f t="shared" si="7"/>
        <v>5.0000000000000017E-2</v>
      </c>
      <c r="M36" s="102">
        <f t="shared" si="8"/>
        <v>2.1001199999999995</v>
      </c>
      <c r="N36" s="711"/>
      <c r="O36" s="100">
        <v>7000</v>
      </c>
      <c r="P36" s="701">
        <v>-0.2</v>
      </c>
      <c r="Q36" s="701">
        <v>-0.4</v>
      </c>
      <c r="R36" s="99">
        <v>-0.3</v>
      </c>
      <c r="S36" s="102">
        <f t="shared" si="9"/>
        <v>5.0000000000000017E-2</v>
      </c>
      <c r="T36" s="105">
        <f t="shared" si="11"/>
        <v>2.1000599999999996</v>
      </c>
      <c r="V36" s="107"/>
      <c r="W36" s="107"/>
      <c r="X36" s="108"/>
      <c r="Y36" s="109"/>
      <c r="Z36" s="110"/>
      <c r="AA36" s="721"/>
      <c r="AB36" s="107"/>
      <c r="AC36" s="107"/>
      <c r="AD36" s="108"/>
      <c r="AE36" s="109"/>
      <c r="AF36" s="110"/>
    </row>
    <row r="37" spans="1:32" ht="12.75" customHeight="1" x14ac:dyDescent="0.3">
      <c r="A37" s="100">
        <v>8000</v>
      </c>
      <c r="B37" s="701">
        <v>1</v>
      </c>
      <c r="C37" s="99">
        <v>1</v>
      </c>
      <c r="D37" s="99" t="s">
        <v>364</v>
      </c>
      <c r="E37" s="101">
        <f t="shared" si="10"/>
        <v>0.79989999999999983</v>
      </c>
      <c r="F37" s="102">
        <f t="shared" si="6"/>
        <v>2.3996999999999997</v>
      </c>
      <c r="G37" s="725"/>
      <c r="H37" s="100">
        <v>8000</v>
      </c>
      <c r="I37" s="701">
        <v>-0.4</v>
      </c>
      <c r="J37" s="100" t="s">
        <v>364</v>
      </c>
      <c r="K37" s="100">
        <v>-0.3</v>
      </c>
      <c r="L37" s="101">
        <f t="shared" si="7"/>
        <v>0.80003999999999986</v>
      </c>
      <c r="M37" s="102">
        <f t="shared" si="8"/>
        <v>2.4001199999999998</v>
      </c>
      <c r="N37" s="711"/>
      <c r="O37" s="100">
        <v>8000</v>
      </c>
      <c r="P37" s="701">
        <v>-0.4</v>
      </c>
      <c r="Q37" s="701">
        <v>-0.4</v>
      </c>
      <c r="R37" s="99" t="s">
        <v>364</v>
      </c>
      <c r="S37" s="102">
        <f t="shared" si="9"/>
        <v>0.80003999999999986</v>
      </c>
      <c r="T37" s="105">
        <f t="shared" si="11"/>
        <v>2.4001199999999998</v>
      </c>
      <c r="V37" s="107"/>
      <c r="W37" s="107"/>
      <c r="X37" s="108"/>
      <c r="Y37" s="109"/>
      <c r="Z37" s="110"/>
      <c r="AA37" s="721"/>
      <c r="AB37" s="107"/>
      <c r="AC37" s="107"/>
      <c r="AD37" s="108"/>
      <c r="AE37" s="109"/>
      <c r="AF37" s="110"/>
    </row>
    <row r="38" spans="1:32" ht="12.75" customHeight="1" x14ac:dyDescent="0.3">
      <c r="A38" s="100">
        <v>9000</v>
      </c>
      <c r="B38" s="701">
        <v>1</v>
      </c>
      <c r="C38" s="99">
        <v>1</v>
      </c>
      <c r="D38" s="99" t="s">
        <v>364</v>
      </c>
      <c r="E38" s="101">
        <f t="shared" si="10"/>
        <v>0.89989999999999981</v>
      </c>
      <c r="F38" s="102">
        <f t="shared" si="6"/>
        <v>2.6996999999999995</v>
      </c>
      <c r="G38" s="725"/>
      <c r="H38" s="100">
        <v>9000</v>
      </c>
      <c r="I38" s="701">
        <v>-0.4</v>
      </c>
      <c r="J38" s="100" t="s">
        <v>364</v>
      </c>
      <c r="K38" s="100">
        <v>-0.3</v>
      </c>
      <c r="L38" s="101">
        <f t="shared" si="7"/>
        <v>0.90003999999999984</v>
      </c>
      <c r="M38" s="102">
        <f>(H38-I38)*0.03%</f>
        <v>2.7001199999999996</v>
      </c>
      <c r="N38" s="711"/>
      <c r="O38" s="100">
        <v>9000</v>
      </c>
      <c r="P38" s="701">
        <v>-0.4</v>
      </c>
      <c r="Q38" s="701">
        <v>-0.5</v>
      </c>
      <c r="R38" s="99" t="s">
        <v>364</v>
      </c>
      <c r="S38" s="102">
        <f t="shared" si="9"/>
        <v>0.90003999999999984</v>
      </c>
      <c r="T38" s="105">
        <f t="shared" si="11"/>
        <v>2.7001199999999996</v>
      </c>
      <c r="V38" s="107"/>
      <c r="W38" s="107"/>
      <c r="X38" s="108"/>
      <c r="Y38" s="109"/>
      <c r="Z38" s="110"/>
      <c r="AA38" s="721"/>
      <c r="AB38" s="107"/>
      <c r="AC38" s="107"/>
      <c r="AD38" s="108"/>
      <c r="AE38" s="109"/>
      <c r="AF38" s="110"/>
    </row>
    <row r="39" spans="1:32" ht="12.75" customHeight="1" x14ac:dyDescent="0.3">
      <c r="A39" s="100">
        <v>10000</v>
      </c>
      <c r="B39" s="701">
        <v>1</v>
      </c>
      <c r="C39" s="99" t="s">
        <v>364</v>
      </c>
      <c r="D39" s="99">
        <v>1</v>
      </c>
      <c r="E39" s="101">
        <f t="shared" si="10"/>
        <v>0.9998999999999999</v>
      </c>
      <c r="F39" s="102">
        <f t="shared" si="6"/>
        <v>2.9996999999999998</v>
      </c>
      <c r="G39" s="725"/>
      <c r="H39" s="100">
        <v>10000</v>
      </c>
      <c r="I39" s="701">
        <v>0</v>
      </c>
      <c r="J39" s="99">
        <v>9.9999999999999995E-7</v>
      </c>
      <c r="K39" s="99">
        <v>9.9999999999999995E-7</v>
      </c>
      <c r="L39" s="101">
        <f t="shared" si="7"/>
        <v>0</v>
      </c>
      <c r="M39" s="102">
        <f t="shared" si="8"/>
        <v>2.9999999999999996</v>
      </c>
      <c r="N39" s="711"/>
      <c r="O39" s="100">
        <v>10000</v>
      </c>
      <c r="P39" s="701">
        <v>0</v>
      </c>
      <c r="Q39" s="701">
        <v>0</v>
      </c>
      <c r="R39" s="99">
        <v>9.9999999999999995E-7</v>
      </c>
      <c r="S39" s="102">
        <f t="shared" si="9"/>
        <v>4.9999999999999998E-7</v>
      </c>
      <c r="T39" s="105">
        <f t="shared" si="11"/>
        <v>2.9999999999999996</v>
      </c>
      <c r="V39" s="107"/>
      <c r="W39" s="107"/>
      <c r="X39" s="108"/>
      <c r="Y39" s="107"/>
      <c r="Z39" s="107"/>
      <c r="AA39" s="721"/>
      <c r="AB39" s="107"/>
      <c r="AC39" s="107"/>
      <c r="AD39" s="108"/>
      <c r="AE39" s="107"/>
      <c r="AF39" s="107"/>
    </row>
    <row r="40" spans="1:32" ht="12.75" customHeight="1" x14ac:dyDescent="0.3">
      <c r="A40" s="100">
        <v>50000</v>
      </c>
      <c r="B40" s="701">
        <v>1</v>
      </c>
      <c r="C40" s="99" t="s">
        <v>364</v>
      </c>
      <c r="D40" s="99">
        <v>1</v>
      </c>
      <c r="E40" s="101">
        <f t="shared" si="10"/>
        <v>4.9998999999999993</v>
      </c>
      <c r="F40" s="102">
        <f t="shared" si="6"/>
        <v>14.999699999999999</v>
      </c>
      <c r="G40" s="725"/>
      <c r="H40" s="100">
        <v>50000</v>
      </c>
      <c r="I40" s="701">
        <v>-2</v>
      </c>
      <c r="J40" s="100">
        <v>-2</v>
      </c>
      <c r="K40" s="100">
        <v>-2</v>
      </c>
      <c r="L40" s="101">
        <f t="shared" si="7"/>
        <v>0</v>
      </c>
      <c r="M40" s="102">
        <f t="shared" si="8"/>
        <v>15.000599999999999</v>
      </c>
      <c r="N40" s="711"/>
      <c r="O40" s="100">
        <v>50000</v>
      </c>
      <c r="P40" s="701">
        <v>-2</v>
      </c>
      <c r="Q40" s="701">
        <v>0</v>
      </c>
      <c r="R40" s="99">
        <v>-2</v>
      </c>
      <c r="S40" s="102">
        <f t="shared" si="9"/>
        <v>1</v>
      </c>
      <c r="T40" s="105">
        <f t="shared" si="11"/>
        <v>15.000599999999999</v>
      </c>
      <c r="V40" s="107"/>
      <c r="W40" s="107"/>
      <c r="X40" s="108"/>
      <c r="Y40" s="107"/>
      <c r="Z40" s="107"/>
      <c r="AA40" s="738"/>
      <c r="AB40" s="107"/>
      <c r="AC40" s="107"/>
      <c r="AD40" s="108"/>
      <c r="AE40" s="107"/>
      <c r="AF40" s="107"/>
    </row>
    <row r="41" spans="1:32" ht="12.75" customHeight="1" x14ac:dyDescent="0.25">
      <c r="A41" s="487">
        <v>99000</v>
      </c>
      <c r="B41" s="701">
        <v>1</v>
      </c>
      <c r="C41" s="100" t="s">
        <v>364</v>
      </c>
      <c r="D41" s="488" t="s">
        <v>364</v>
      </c>
      <c r="E41" s="101">
        <f t="shared" si="10"/>
        <v>9.8998999999999988</v>
      </c>
      <c r="F41" s="102">
        <f t="shared" si="6"/>
        <v>29.699699999999996</v>
      </c>
      <c r="G41" s="107"/>
      <c r="H41" s="487">
        <v>99000</v>
      </c>
      <c r="I41" s="100">
        <v>-5</v>
      </c>
      <c r="J41" s="100">
        <v>-4</v>
      </c>
      <c r="K41" s="488">
        <v>-4</v>
      </c>
      <c r="L41" s="101">
        <f t="shared" si="7"/>
        <v>0</v>
      </c>
      <c r="M41" s="102">
        <f t="shared" si="8"/>
        <v>29.701499999999996</v>
      </c>
      <c r="N41" s="115"/>
      <c r="O41" s="100">
        <v>99000</v>
      </c>
      <c r="P41" s="100">
        <v>-6</v>
      </c>
      <c r="Q41" s="100">
        <v>-4</v>
      </c>
      <c r="R41" s="99">
        <v>-3</v>
      </c>
      <c r="S41" s="102">
        <f t="shared" si="9"/>
        <v>0.5</v>
      </c>
      <c r="T41" s="105">
        <f t="shared" si="11"/>
        <v>29.701799999999999</v>
      </c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</row>
    <row r="42" spans="1:32" ht="13" x14ac:dyDescent="0.3">
      <c r="A42" s="739"/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1"/>
      <c r="V42" s="717"/>
      <c r="W42" s="717"/>
      <c r="X42" s="717"/>
      <c r="Y42" s="717"/>
      <c r="Z42" s="717"/>
      <c r="AA42" s="717"/>
      <c r="AB42" s="717"/>
      <c r="AC42" s="717"/>
      <c r="AD42" s="717"/>
      <c r="AE42" s="717"/>
      <c r="AF42" s="717"/>
    </row>
    <row r="43" spans="1:32" ht="15.75" customHeight="1" x14ac:dyDescent="0.3">
      <c r="A43" s="1513" t="s">
        <v>466</v>
      </c>
      <c r="B43" s="1514"/>
      <c r="C43" s="1514"/>
      <c r="D43" s="1515"/>
      <c r="E43" s="1419" t="s">
        <v>392</v>
      </c>
      <c r="F43" s="1396" t="str">
        <f>F23</f>
        <v>U95 STD</v>
      </c>
      <c r="G43" s="742"/>
      <c r="H43" s="1513" t="s">
        <v>467</v>
      </c>
      <c r="I43" s="1514"/>
      <c r="J43" s="1514"/>
      <c r="K43" s="1515"/>
      <c r="L43" s="1419" t="s">
        <v>392</v>
      </c>
      <c r="M43" s="1396" t="str">
        <f>F43</f>
        <v>U95 STD</v>
      </c>
      <c r="N43" s="740"/>
      <c r="O43" s="1513" t="s">
        <v>468</v>
      </c>
      <c r="P43" s="1514"/>
      <c r="Q43" s="1514"/>
      <c r="R43" s="1515"/>
      <c r="S43" s="1419" t="s">
        <v>392</v>
      </c>
      <c r="T43" s="1396" t="str">
        <f>M43</f>
        <v>U95 STD</v>
      </c>
      <c r="V43" s="718"/>
      <c r="W43" s="718"/>
      <c r="X43" s="718"/>
      <c r="Y43" s="719"/>
      <c r="Z43" s="720"/>
      <c r="AA43" s="721"/>
      <c r="AB43" s="722"/>
      <c r="AC43" s="722"/>
      <c r="AD43" s="722"/>
      <c r="AE43" s="719"/>
      <c r="AF43" s="720"/>
    </row>
    <row r="44" spans="1:32" ht="12.75" customHeight="1" x14ac:dyDescent="0.3">
      <c r="A44" s="723" t="str">
        <f>A24</f>
        <v>Kecepatan</v>
      </c>
      <c r="B44" s="724"/>
      <c r="C44" s="1419" t="s">
        <v>391</v>
      </c>
      <c r="D44" s="1419"/>
      <c r="E44" s="1419"/>
      <c r="F44" s="1396"/>
      <c r="G44" s="743"/>
      <c r="H44" s="726" t="str">
        <f>A44</f>
        <v>Kecepatan</v>
      </c>
      <c r="I44" s="726"/>
      <c r="J44" s="1419" t="s">
        <v>391</v>
      </c>
      <c r="K44" s="1419"/>
      <c r="L44" s="1419"/>
      <c r="M44" s="1396"/>
      <c r="N44" s="740"/>
      <c r="O44" s="726" t="str">
        <f>H44</f>
        <v>Kecepatan</v>
      </c>
      <c r="P44" s="726"/>
      <c r="Q44" s="1419" t="s">
        <v>391</v>
      </c>
      <c r="R44" s="1419"/>
      <c r="S44" s="1419"/>
      <c r="T44" s="1396"/>
      <c r="V44" s="727"/>
      <c r="W44" s="719"/>
      <c r="X44" s="719"/>
      <c r="Y44" s="719"/>
      <c r="Z44" s="720"/>
      <c r="AA44" s="721"/>
      <c r="AB44" s="727"/>
      <c r="AC44" s="719"/>
      <c r="AD44" s="719"/>
      <c r="AE44" s="719"/>
      <c r="AF44" s="720"/>
    </row>
    <row r="45" spans="1:32" ht="15" customHeight="1" x14ac:dyDescent="0.3">
      <c r="A45" s="728" t="str">
        <f>A25</f>
        <v>rpm</v>
      </c>
      <c r="B45" s="729">
        <v>2023</v>
      </c>
      <c r="C45" s="729">
        <v>2022</v>
      </c>
      <c r="D45" s="737">
        <v>2021</v>
      </c>
      <c r="E45" s="1419"/>
      <c r="F45" s="1396"/>
      <c r="G45" s="743"/>
      <c r="H45" s="731" t="str">
        <f>A45</f>
        <v>rpm</v>
      </c>
      <c r="I45" s="744">
        <v>8</v>
      </c>
      <c r="J45" s="730">
        <v>8</v>
      </c>
      <c r="K45" s="737">
        <v>8</v>
      </c>
      <c r="L45" s="1419"/>
      <c r="M45" s="1396"/>
      <c r="N45" s="740"/>
      <c r="O45" s="731" t="str">
        <f>H45</f>
        <v>rpm</v>
      </c>
      <c r="P45" s="744">
        <v>9</v>
      </c>
      <c r="Q45" s="730">
        <v>9</v>
      </c>
      <c r="R45" s="737">
        <v>9</v>
      </c>
      <c r="S45" s="1419"/>
      <c r="T45" s="1396"/>
      <c r="V45" s="732"/>
      <c r="W45" s="727"/>
      <c r="X45" s="733"/>
      <c r="Y45" s="719"/>
      <c r="Z45" s="720"/>
      <c r="AA45" s="721"/>
      <c r="AB45" s="732"/>
      <c r="AC45" s="727"/>
      <c r="AD45" s="727"/>
      <c r="AE45" s="719"/>
      <c r="AF45" s="720"/>
    </row>
    <row r="46" spans="1:32" ht="12.75" customHeight="1" x14ac:dyDescent="0.25">
      <c r="A46" s="734">
        <v>0</v>
      </c>
      <c r="B46" s="701">
        <v>0</v>
      </c>
      <c r="C46" s="701">
        <v>0</v>
      </c>
      <c r="D46" s="99">
        <v>9.9999999999999995E-7</v>
      </c>
      <c r="E46" s="101">
        <f>IFERROR(IF(OR(C46="-",D46="-"),1/3*F46,0.5*(MAX(C46:D46)-MIN(C46:D46))),0)</f>
        <v>4.9999999999999998E-7</v>
      </c>
      <c r="F46" s="102">
        <f>0.03%*(A46-B46)</f>
        <v>0</v>
      </c>
      <c r="G46" s="743"/>
      <c r="H46" s="734">
        <v>0</v>
      </c>
      <c r="I46" s="701" t="s">
        <v>364</v>
      </c>
      <c r="J46" s="100" t="s">
        <v>364</v>
      </c>
      <c r="K46" s="100" t="s">
        <v>364</v>
      </c>
      <c r="L46" s="102" t="s">
        <v>364</v>
      </c>
      <c r="M46" s="102" t="s">
        <v>364</v>
      </c>
      <c r="O46" s="734">
        <v>0</v>
      </c>
      <c r="P46" s="701" t="s">
        <v>364</v>
      </c>
      <c r="Q46" s="100" t="s">
        <v>364</v>
      </c>
      <c r="R46" s="100" t="s">
        <v>364</v>
      </c>
      <c r="S46" s="102" t="s">
        <v>364</v>
      </c>
      <c r="T46" s="102" t="s">
        <v>364</v>
      </c>
      <c r="V46" s="107"/>
      <c r="W46" s="107"/>
      <c r="X46" s="108"/>
      <c r="Y46" s="109"/>
      <c r="Z46" s="110"/>
      <c r="AA46" s="721"/>
      <c r="AB46" s="107"/>
      <c r="AC46" s="107"/>
      <c r="AD46" s="110"/>
      <c r="AE46" s="109"/>
      <c r="AF46" s="110"/>
    </row>
    <row r="47" spans="1:32" ht="12.75" customHeight="1" x14ac:dyDescent="0.25">
      <c r="A47" s="100">
        <v>50</v>
      </c>
      <c r="B47" s="701">
        <v>0</v>
      </c>
      <c r="C47" s="701">
        <v>0</v>
      </c>
      <c r="D47" s="99">
        <v>9.9999999999999995E-7</v>
      </c>
      <c r="E47" s="101">
        <f t="shared" ref="E47:E61" si="12">IFERROR(IF(OR(C47="-",D47="-"),1/3*F47,0.5*(MAX(C47:D47)-MIN(C47:D47))),0)</f>
        <v>4.9999999999999998E-7</v>
      </c>
      <c r="F47" s="102">
        <f>0.03%*(A47-B47)</f>
        <v>1.4999999999999999E-2</v>
      </c>
      <c r="G47" s="743"/>
      <c r="H47" s="100">
        <v>50</v>
      </c>
      <c r="I47" s="701" t="s">
        <v>364</v>
      </c>
      <c r="J47" s="100" t="s">
        <v>364</v>
      </c>
      <c r="K47" s="100" t="s">
        <v>364</v>
      </c>
      <c r="L47" s="102" t="s">
        <v>364</v>
      </c>
      <c r="M47" s="102" t="s">
        <v>364</v>
      </c>
      <c r="O47" s="100">
        <v>50</v>
      </c>
      <c r="P47" s="701" t="s">
        <v>364</v>
      </c>
      <c r="Q47" s="100" t="s">
        <v>364</v>
      </c>
      <c r="R47" s="100" t="s">
        <v>364</v>
      </c>
      <c r="S47" s="102" t="s">
        <v>364</v>
      </c>
      <c r="T47" s="102" t="s">
        <v>364</v>
      </c>
      <c r="V47" s="107"/>
      <c r="W47" s="107"/>
      <c r="X47" s="108"/>
      <c r="Y47" s="109"/>
      <c r="Z47" s="110"/>
      <c r="AA47" s="721"/>
      <c r="AB47" s="107"/>
      <c r="AC47" s="107"/>
      <c r="AD47" s="110"/>
      <c r="AE47" s="109"/>
      <c r="AF47" s="110"/>
    </row>
    <row r="48" spans="1:32" ht="12.75" customHeight="1" x14ac:dyDescent="0.25">
      <c r="A48" s="100">
        <v>100</v>
      </c>
      <c r="B48" s="701">
        <v>0</v>
      </c>
      <c r="C48" s="701">
        <v>0</v>
      </c>
      <c r="D48" s="99">
        <v>9.9999999999999995E-7</v>
      </c>
      <c r="E48" s="101">
        <f t="shared" si="12"/>
        <v>4.9999999999999998E-7</v>
      </c>
      <c r="F48" s="102">
        <f t="shared" ref="F48:F60" si="13">0.03%*(A48-B48)</f>
        <v>0.03</v>
      </c>
      <c r="G48" s="743"/>
      <c r="H48" s="100">
        <v>100</v>
      </c>
      <c r="I48" s="701" t="s">
        <v>364</v>
      </c>
      <c r="J48" s="100" t="s">
        <v>364</v>
      </c>
      <c r="K48" s="100" t="s">
        <v>364</v>
      </c>
      <c r="L48" s="102" t="s">
        <v>364</v>
      </c>
      <c r="M48" s="102" t="s">
        <v>364</v>
      </c>
      <c r="O48" s="100">
        <v>100</v>
      </c>
      <c r="P48" s="701" t="s">
        <v>364</v>
      </c>
      <c r="Q48" s="100" t="s">
        <v>364</v>
      </c>
      <c r="R48" s="100" t="s">
        <v>364</v>
      </c>
      <c r="S48" s="102" t="s">
        <v>364</v>
      </c>
      <c r="T48" s="102" t="s">
        <v>364</v>
      </c>
      <c r="V48" s="107"/>
      <c r="W48" s="107"/>
      <c r="X48" s="108"/>
      <c r="Y48" s="109"/>
      <c r="Z48" s="110"/>
      <c r="AA48" s="721"/>
      <c r="AB48" s="107"/>
      <c r="AC48" s="107"/>
      <c r="AD48" s="110"/>
      <c r="AE48" s="109"/>
      <c r="AF48" s="110"/>
    </row>
    <row r="49" spans="1:32" ht="12.75" customHeight="1" x14ac:dyDescent="0.25">
      <c r="A49" s="100">
        <v>200</v>
      </c>
      <c r="B49" s="701">
        <v>0</v>
      </c>
      <c r="C49" s="701">
        <v>0</v>
      </c>
      <c r="D49" s="99">
        <v>9.9999999999999995E-7</v>
      </c>
      <c r="E49" s="101">
        <f t="shared" si="12"/>
        <v>4.9999999999999998E-7</v>
      </c>
      <c r="F49" s="102">
        <f t="shared" si="13"/>
        <v>0.06</v>
      </c>
      <c r="G49" s="743"/>
      <c r="H49" s="100">
        <v>200</v>
      </c>
      <c r="I49" s="701" t="s">
        <v>364</v>
      </c>
      <c r="J49" s="100" t="s">
        <v>364</v>
      </c>
      <c r="K49" s="100" t="s">
        <v>364</v>
      </c>
      <c r="L49" s="102" t="s">
        <v>364</v>
      </c>
      <c r="M49" s="102" t="s">
        <v>364</v>
      </c>
      <c r="O49" s="100">
        <v>200</v>
      </c>
      <c r="P49" s="701" t="s">
        <v>364</v>
      </c>
      <c r="Q49" s="100" t="s">
        <v>364</v>
      </c>
      <c r="R49" s="100" t="s">
        <v>364</v>
      </c>
      <c r="S49" s="102" t="s">
        <v>364</v>
      </c>
      <c r="T49" s="102" t="s">
        <v>364</v>
      </c>
      <c r="V49" s="107"/>
      <c r="W49" s="107"/>
      <c r="X49" s="110"/>
      <c r="Y49" s="109"/>
      <c r="Z49" s="110"/>
      <c r="AA49" s="721"/>
      <c r="AB49" s="107"/>
      <c r="AC49" s="107"/>
      <c r="AD49" s="110"/>
      <c r="AE49" s="109"/>
      <c r="AF49" s="110"/>
    </row>
    <row r="50" spans="1:32" ht="12.75" customHeight="1" x14ac:dyDescent="0.25">
      <c r="A50" s="100">
        <v>1000</v>
      </c>
      <c r="B50" s="701">
        <v>-0.1</v>
      </c>
      <c r="C50" s="701">
        <v>-0.1</v>
      </c>
      <c r="D50" s="100">
        <v>-0.1</v>
      </c>
      <c r="E50" s="101">
        <f t="shared" si="12"/>
        <v>0</v>
      </c>
      <c r="F50" s="102">
        <f t="shared" si="13"/>
        <v>0.30002999999999996</v>
      </c>
      <c r="G50" s="743"/>
      <c r="H50" s="100">
        <v>1000</v>
      </c>
      <c r="I50" s="701" t="s">
        <v>364</v>
      </c>
      <c r="J50" s="100" t="s">
        <v>364</v>
      </c>
      <c r="K50" s="100" t="s">
        <v>364</v>
      </c>
      <c r="L50" s="102" t="s">
        <v>364</v>
      </c>
      <c r="M50" s="102" t="s">
        <v>364</v>
      </c>
      <c r="O50" s="100">
        <v>1000</v>
      </c>
      <c r="P50" s="701" t="s">
        <v>364</v>
      </c>
      <c r="Q50" s="100" t="s">
        <v>364</v>
      </c>
      <c r="R50" s="100" t="s">
        <v>364</v>
      </c>
      <c r="S50" s="102" t="s">
        <v>364</v>
      </c>
      <c r="T50" s="102" t="s">
        <v>364</v>
      </c>
      <c r="V50" s="107"/>
      <c r="W50" s="107"/>
      <c r="X50" s="110"/>
      <c r="Y50" s="109"/>
      <c r="Z50" s="110"/>
      <c r="AA50" s="721"/>
      <c r="AB50" s="107"/>
      <c r="AC50" s="107"/>
      <c r="AD50" s="110"/>
      <c r="AE50" s="109"/>
      <c r="AF50" s="110"/>
    </row>
    <row r="51" spans="1:32" ht="12.75" customHeight="1" x14ac:dyDescent="0.25">
      <c r="A51" s="100">
        <v>2000</v>
      </c>
      <c r="B51" s="701">
        <v>-0.1</v>
      </c>
      <c r="C51" s="701">
        <v>-0.1</v>
      </c>
      <c r="D51" s="99">
        <v>-0.1</v>
      </c>
      <c r="E51" s="101">
        <f t="shared" si="12"/>
        <v>0</v>
      </c>
      <c r="F51" s="102">
        <f t="shared" si="13"/>
        <v>0.60002999999999995</v>
      </c>
      <c r="G51" s="743"/>
      <c r="H51" s="100">
        <v>2000</v>
      </c>
      <c r="I51" s="701" t="s">
        <v>364</v>
      </c>
      <c r="J51" s="100" t="s">
        <v>364</v>
      </c>
      <c r="K51" s="100" t="s">
        <v>364</v>
      </c>
      <c r="L51" s="102" t="s">
        <v>364</v>
      </c>
      <c r="M51" s="102" t="s">
        <v>364</v>
      </c>
      <c r="O51" s="100">
        <v>2000</v>
      </c>
      <c r="P51" s="701" t="s">
        <v>364</v>
      </c>
      <c r="Q51" s="100" t="s">
        <v>364</v>
      </c>
      <c r="R51" s="100" t="s">
        <v>364</v>
      </c>
      <c r="S51" s="102" t="s">
        <v>364</v>
      </c>
      <c r="T51" s="102" t="s">
        <v>364</v>
      </c>
      <c r="V51" s="107"/>
      <c r="W51" s="107"/>
      <c r="X51" s="108"/>
      <c r="Y51" s="109"/>
      <c r="Z51" s="110"/>
      <c r="AA51" s="721"/>
      <c r="AB51" s="107"/>
      <c r="AC51" s="107"/>
      <c r="AD51" s="108"/>
      <c r="AE51" s="109"/>
      <c r="AF51" s="110"/>
    </row>
    <row r="52" spans="1:32" ht="12.75" customHeight="1" x14ac:dyDescent="0.25">
      <c r="A52" s="100">
        <v>3000</v>
      </c>
      <c r="B52" s="701">
        <v>-0.3</v>
      </c>
      <c r="C52" s="701">
        <v>-0.2</v>
      </c>
      <c r="D52" s="99">
        <v>-0.2</v>
      </c>
      <c r="E52" s="101">
        <f t="shared" si="12"/>
        <v>0</v>
      </c>
      <c r="F52" s="102">
        <f t="shared" si="13"/>
        <v>0.90008999999999995</v>
      </c>
      <c r="G52" s="743"/>
      <c r="H52" s="100">
        <v>3000</v>
      </c>
      <c r="I52" s="701" t="s">
        <v>364</v>
      </c>
      <c r="J52" s="100" t="s">
        <v>364</v>
      </c>
      <c r="K52" s="100" t="s">
        <v>364</v>
      </c>
      <c r="L52" s="102" t="s">
        <v>364</v>
      </c>
      <c r="M52" s="102" t="s">
        <v>364</v>
      </c>
      <c r="O52" s="100">
        <v>3000</v>
      </c>
      <c r="P52" s="701" t="s">
        <v>364</v>
      </c>
      <c r="Q52" s="100" t="s">
        <v>364</v>
      </c>
      <c r="R52" s="100" t="s">
        <v>364</v>
      </c>
      <c r="S52" s="102" t="s">
        <v>364</v>
      </c>
      <c r="T52" s="102" t="s">
        <v>364</v>
      </c>
      <c r="V52" s="107"/>
      <c r="W52" s="107"/>
      <c r="X52" s="108"/>
      <c r="Y52" s="109"/>
      <c r="Z52" s="110"/>
      <c r="AA52" s="721"/>
      <c r="AB52" s="107"/>
      <c r="AC52" s="107"/>
      <c r="AD52" s="108"/>
      <c r="AE52" s="109"/>
      <c r="AF52" s="110"/>
    </row>
    <row r="53" spans="1:32" ht="12.75" customHeight="1" x14ac:dyDescent="0.25">
      <c r="A53" s="100">
        <v>4000</v>
      </c>
      <c r="B53" s="701">
        <v>-0.2</v>
      </c>
      <c r="C53" s="701">
        <v>-0.3</v>
      </c>
      <c r="D53" s="99">
        <v>-0.3</v>
      </c>
      <c r="E53" s="101">
        <f t="shared" si="12"/>
        <v>0</v>
      </c>
      <c r="F53" s="102">
        <f t="shared" si="13"/>
        <v>1.2000599999999999</v>
      </c>
      <c r="G53" s="743"/>
      <c r="H53" s="100">
        <v>4000</v>
      </c>
      <c r="I53" s="701" t="s">
        <v>364</v>
      </c>
      <c r="J53" s="100" t="s">
        <v>364</v>
      </c>
      <c r="K53" s="100" t="s">
        <v>364</v>
      </c>
      <c r="L53" s="102" t="s">
        <v>364</v>
      </c>
      <c r="M53" s="102" t="s">
        <v>364</v>
      </c>
      <c r="O53" s="100">
        <v>4000</v>
      </c>
      <c r="P53" s="701" t="s">
        <v>364</v>
      </c>
      <c r="Q53" s="100" t="s">
        <v>364</v>
      </c>
      <c r="R53" s="100" t="s">
        <v>364</v>
      </c>
      <c r="S53" s="102" t="s">
        <v>364</v>
      </c>
      <c r="T53" s="102" t="s">
        <v>364</v>
      </c>
      <c r="V53" s="107"/>
      <c r="W53" s="107"/>
      <c r="X53" s="108"/>
      <c r="Y53" s="109"/>
      <c r="Z53" s="110"/>
      <c r="AA53" s="721"/>
      <c r="AB53" s="107"/>
      <c r="AC53" s="107"/>
      <c r="AD53" s="108"/>
      <c r="AE53" s="109"/>
      <c r="AF53" s="110"/>
    </row>
    <row r="54" spans="1:32" ht="12.75" customHeight="1" x14ac:dyDescent="0.25">
      <c r="A54" s="100">
        <v>5000</v>
      </c>
      <c r="B54" s="701">
        <v>-0.3</v>
      </c>
      <c r="C54" s="701">
        <v>-0.4</v>
      </c>
      <c r="D54" s="99">
        <v>-0.3</v>
      </c>
      <c r="E54" s="101">
        <f t="shared" si="12"/>
        <v>5.0000000000000017E-2</v>
      </c>
      <c r="F54" s="102">
        <f t="shared" si="13"/>
        <v>1.5000899999999999</v>
      </c>
      <c r="G54" s="743"/>
      <c r="H54" s="100">
        <v>5000</v>
      </c>
      <c r="I54" s="701" t="s">
        <v>364</v>
      </c>
      <c r="J54" s="100" t="s">
        <v>364</v>
      </c>
      <c r="K54" s="100" t="s">
        <v>364</v>
      </c>
      <c r="L54" s="102" t="s">
        <v>364</v>
      </c>
      <c r="M54" s="102" t="s">
        <v>364</v>
      </c>
      <c r="O54" s="100">
        <v>5000</v>
      </c>
      <c r="P54" s="701" t="s">
        <v>364</v>
      </c>
      <c r="Q54" s="100" t="s">
        <v>364</v>
      </c>
      <c r="R54" s="100" t="s">
        <v>364</v>
      </c>
      <c r="S54" s="102" t="s">
        <v>364</v>
      </c>
      <c r="T54" s="102" t="s">
        <v>364</v>
      </c>
      <c r="V54" s="107"/>
      <c r="W54" s="107"/>
      <c r="X54" s="108"/>
      <c r="Y54" s="109"/>
      <c r="Z54" s="110"/>
      <c r="AA54" s="721"/>
      <c r="AB54" s="107"/>
      <c r="AC54" s="107"/>
      <c r="AD54" s="108"/>
      <c r="AE54" s="109"/>
      <c r="AF54" s="110"/>
    </row>
    <row r="55" spans="1:32" ht="12.75" customHeight="1" x14ac:dyDescent="0.25">
      <c r="A55" s="100">
        <v>6000</v>
      </c>
      <c r="B55" s="701">
        <v>-0.3</v>
      </c>
      <c r="C55" s="701">
        <v>-0.4</v>
      </c>
      <c r="D55" s="99">
        <v>-0.4</v>
      </c>
      <c r="E55" s="101">
        <f t="shared" si="12"/>
        <v>0</v>
      </c>
      <c r="F55" s="102">
        <f t="shared" si="13"/>
        <v>1.80009</v>
      </c>
      <c r="G55" s="743"/>
      <c r="H55" s="100">
        <v>6000</v>
      </c>
      <c r="I55" s="701" t="s">
        <v>364</v>
      </c>
      <c r="J55" s="100" t="s">
        <v>364</v>
      </c>
      <c r="K55" s="100" t="s">
        <v>364</v>
      </c>
      <c r="L55" s="102" t="s">
        <v>364</v>
      </c>
      <c r="M55" s="102" t="s">
        <v>364</v>
      </c>
      <c r="O55" s="100">
        <v>6000</v>
      </c>
      <c r="P55" s="701" t="s">
        <v>364</v>
      </c>
      <c r="Q55" s="100" t="s">
        <v>364</v>
      </c>
      <c r="R55" s="100" t="s">
        <v>364</v>
      </c>
      <c r="S55" s="102" t="s">
        <v>364</v>
      </c>
      <c r="T55" s="102" t="s">
        <v>364</v>
      </c>
      <c r="V55" s="107"/>
      <c r="W55" s="107"/>
      <c r="X55" s="108"/>
      <c r="Y55" s="109"/>
      <c r="Z55" s="110"/>
      <c r="AA55" s="721"/>
      <c r="AB55" s="107"/>
      <c r="AC55" s="107"/>
      <c r="AD55" s="108"/>
      <c r="AE55" s="109"/>
      <c r="AF55" s="110"/>
    </row>
    <row r="56" spans="1:32" ht="12.75" customHeight="1" x14ac:dyDescent="0.25">
      <c r="A56" s="100">
        <v>7000</v>
      </c>
      <c r="B56" s="701">
        <v>-0.2</v>
      </c>
      <c r="C56" s="701">
        <v>-0.5</v>
      </c>
      <c r="D56" s="99">
        <v>-0.5</v>
      </c>
      <c r="E56" s="101">
        <f t="shared" si="12"/>
        <v>0</v>
      </c>
      <c r="F56" s="102">
        <f t="shared" si="13"/>
        <v>2.1000599999999996</v>
      </c>
      <c r="G56" s="743"/>
      <c r="H56" s="100">
        <v>7000</v>
      </c>
      <c r="I56" s="701" t="s">
        <v>364</v>
      </c>
      <c r="J56" s="100" t="s">
        <v>364</v>
      </c>
      <c r="K56" s="100" t="s">
        <v>364</v>
      </c>
      <c r="L56" s="102" t="s">
        <v>364</v>
      </c>
      <c r="M56" s="102" t="s">
        <v>364</v>
      </c>
      <c r="O56" s="100">
        <v>7000</v>
      </c>
      <c r="P56" s="701" t="s">
        <v>364</v>
      </c>
      <c r="Q56" s="100" t="s">
        <v>364</v>
      </c>
      <c r="R56" s="100" t="s">
        <v>364</v>
      </c>
      <c r="S56" s="102" t="s">
        <v>364</v>
      </c>
      <c r="T56" s="102" t="s">
        <v>364</v>
      </c>
      <c r="V56" s="107"/>
      <c r="W56" s="107"/>
      <c r="X56" s="108"/>
      <c r="Y56" s="109"/>
      <c r="Z56" s="110"/>
      <c r="AA56" s="721"/>
      <c r="AB56" s="107"/>
      <c r="AC56" s="107"/>
      <c r="AD56" s="108"/>
      <c r="AE56" s="109"/>
      <c r="AF56" s="110"/>
    </row>
    <row r="57" spans="1:32" ht="12.75" customHeight="1" x14ac:dyDescent="0.25">
      <c r="A57" s="100">
        <v>8000</v>
      </c>
      <c r="B57" s="701">
        <v>-0.4</v>
      </c>
      <c r="C57" s="701">
        <v>-0.6</v>
      </c>
      <c r="D57" s="99" t="s">
        <v>364</v>
      </c>
      <c r="E57" s="101">
        <f t="shared" si="12"/>
        <v>0.80003999999999986</v>
      </c>
      <c r="F57" s="102">
        <f t="shared" si="13"/>
        <v>2.4001199999999998</v>
      </c>
      <c r="G57" s="743"/>
      <c r="H57" s="100">
        <v>8000</v>
      </c>
      <c r="I57" s="701" t="s">
        <v>364</v>
      </c>
      <c r="J57" s="100" t="s">
        <v>364</v>
      </c>
      <c r="K57" s="100" t="s">
        <v>364</v>
      </c>
      <c r="L57" s="102" t="s">
        <v>364</v>
      </c>
      <c r="M57" s="102" t="s">
        <v>364</v>
      </c>
      <c r="O57" s="100">
        <v>8000</v>
      </c>
      <c r="P57" s="701" t="s">
        <v>364</v>
      </c>
      <c r="Q57" s="100" t="s">
        <v>364</v>
      </c>
      <c r="R57" s="100" t="s">
        <v>364</v>
      </c>
      <c r="S57" s="102" t="s">
        <v>364</v>
      </c>
      <c r="T57" s="102" t="s">
        <v>364</v>
      </c>
      <c r="V57" s="107"/>
      <c r="W57" s="107"/>
      <c r="X57" s="108"/>
      <c r="Y57" s="109"/>
      <c r="Z57" s="110"/>
      <c r="AA57" s="721"/>
      <c r="AB57" s="107"/>
      <c r="AC57" s="107"/>
      <c r="AD57" s="108"/>
      <c r="AE57" s="109"/>
      <c r="AF57" s="110"/>
    </row>
    <row r="58" spans="1:32" ht="12.75" customHeight="1" x14ac:dyDescent="0.25">
      <c r="A58" s="100">
        <v>9000</v>
      </c>
      <c r="B58" s="701">
        <v>-0.4</v>
      </c>
      <c r="C58" s="701">
        <v>-0.7</v>
      </c>
      <c r="D58" s="99" t="s">
        <v>364</v>
      </c>
      <c r="E58" s="101">
        <f t="shared" si="12"/>
        <v>0.90003999999999984</v>
      </c>
      <c r="F58" s="102">
        <f t="shared" si="13"/>
        <v>2.7001199999999996</v>
      </c>
      <c r="G58" s="743"/>
      <c r="H58" s="100">
        <v>9000</v>
      </c>
      <c r="I58" s="701" t="s">
        <v>364</v>
      </c>
      <c r="J58" s="100" t="s">
        <v>364</v>
      </c>
      <c r="K58" s="100" t="s">
        <v>364</v>
      </c>
      <c r="L58" s="102" t="s">
        <v>364</v>
      </c>
      <c r="M58" s="102" t="s">
        <v>364</v>
      </c>
      <c r="O58" s="100">
        <v>9000</v>
      </c>
      <c r="P58" s="701" t="s">
        <v>364</v>
      </c>
      <c r="Q58" s="100" t="s">
        <v>364</v>
      </c>
      <c r="R58" s="100" t="s">
        <v>364</v>
      </c>
      <c r="S58" s="102" t="s">
        <v>364</v>
      </c>
      <c r="T58" s="102" t="s">
        <v>364</v>
      </c>
      <c r="V58" s="107"/>
      <c r="W58" s="107"/>
      <c r="X58" s="108"/>
      <c r="Y58" s="109"/>
      <c r="Z58" s="110"/>
      <c r="AA58" s="721"/>
      <c r="AB58" s="107"/>
      <c r="AC58" s="107"/>
      <c r="AD58" s="108"/>
      <c r="AE58" s="109"/>
      <c r="AF58" s="110"/>
    </row>
    <row r="59" spans="1:32" ht="13.5" customHeight="1" x14ac:dyDescent="0.25">
      <c r="A59" s="100">
        <v>10000</v>
      </c>
      <c r="B59" s="701">
        <v>0</v>
      </c>
      <c r="C59" s="701">
        <v>0</v>
      </c>
      <c r="D59" s="99">
        <v>9.9999999999999995E-7</v>
      </c>
      <c r="E59" s="101">
        <f t="shared" si="12"/>
        <v>4.9999999999999998E-7</v>
      </c>
      <c r="F59" s="102">
        <f t="shared" si="13"/>
        <v>2.9999999999999996</v>
      </c>
      <c r="G59" s="743"/>
      <c r="H59" s="100">
        <v>10000</v>
      </c>
      <c r="I59" s="701" t="s">
        <v>364</v>
      </c>
      <c r="J59" s="100" t="s">
        <v>364</v>
      </c>
      <c r="K59" s="100" t="s">
        <v>364</v>
      </c>
      <c r="L59" s="102" t="s">
        <v>364</v>
      </c>
      <c r="M59" s="102" t="s">
        <v>364</v>
      </c>
      <c r="O59" s="100">
        <v>10000</v>
      </c>
      <c r="P59" s="701" t="s">
        <v>364</v>
      </c>
      <c r="Q59" s="100" t="s">
        <v>364</v>
      </c>
      <c r="R59" s="100" t="s">
        <v>364</v>
      </c>
      <c r="S59" s="102" t="s">
        <v>364</v>
      </c>
      <c r="T59" s="102" t="s">
        <v>364</v>
      </c>
      <c r="V59" s="107"/>
      <c r="W59" s="107"/>
      <c r="X59" s="108"/>
      <c r="Y59" s="109"/>
      <c r="Z59" s="110"/>
      <c r="AA59" s="721"/>
      <c r="AB59" s="107"/>
      <c r="AC59" s="107"/>
      <c r="AD59" s="108"/>
      <c r="AE59" s="109"/>
      <c r="AF59" s="110"/>
    </row>
    <row r="60" spans="1:32" ht="13.5" customHeight="1" x14ac:dyDescent="0.25">
      <c r="A60" s="100">
        <v>50000</v>
      </c>
      <c r="B60" s="701">
        <v>-3</v>
      </c>
      <c r="C60" s="701">
        <v>-3</v>
      </c>
      <c r="D60" s="99">
        <v>-3</v>
      </c>
      <c r="E60" s="101">
        <f t="shared" si="12"/>
        <v>0</v>
      </c>
      <c r="F60" s="102">
        <f t="shared" si="13"/>
        <v>15.000899999999998</v>
      </c>
      <c r="G60" s="743"/>
      <c r="H60" s="100">
        <v>50000</v>
      </c>
      <c r="I60" s="701" t="s">
        <v>364</v>
      </c>
      <c r="J60" s="100" t="s">
        <v>364</v>
      </c>
      <c r="K60" s="100" t="s">
        <v>364</v>
      </c>
      <c r="L60" s="102" t="s">
        <v>364</v>
      </c>
      <c r="M60" s="102" t="s">
        <v>364</v>
      </c>
      <c r="O60" s="100">
        <v>50000</v>
      </c>
      <c r="P60" s="701" t="s">
        <v>364</v>
      </c>
      <c r="Q60" s="100" t="s">
        <v>364</v>
      </c>
      <c r="R60" s="100" t="s">
        <v>364</v>
      </c>
      <c r="S60" s="102" t="s">
        <v>364</v>
      </c>
      <c r="T60" s="102" t="s">
        <v>364</v>
      </c>
      <c r="V60" s="107"/>
      <c r="W60" s="107"/>
      <c r="X60" s="108"/>
      <c r="Y60" s="109"/>
      <c r="Z60" s="110"/>
      <c r="AA60" s="721"/>
      <c r="AB60" s="107"/>
      <c r="AC60" s="107"/>
      <c r="AD60" s="108"/>
      <c r="AE60" s="109"/>
      <c r="AF60" s="110"/>
    </row>
    <row r="61" spans="1:32" ht="13.5" customHeight="1" x14ac:dyDescent="0.25">
      <c r="A61" s="745">
        <v>99000</v>
      </c>
      <c r="B61" s="100">
        <v>-12</v>
      </c>
      <c r="C61" s="100">
        <v>-7</v>
      </c>
      <c r="D61" s="99">
        <v>-6</v>
      </c>
      <c r="E61" s="101">
        <f t="shared" si="12"/>
        <v>0.5</v>
      </c>
      <c r="F61" s="102">
        <f>0.03%*(A61-B61)</f>
        <v>29.703599999999998</v>
      </c>
      <c r="G61" s="743"/>
      <c r="H61" s="100">
        <v>99000</v>
      </c>
      <c r="I61" s="100" t="s">
        <v>364</v>
      </c>
      <c r="J61" s="100" t="s">
        <v>364</v>
      </c>
      <c r="K61" s="99" t="s">
        <v>364</v>
      </c>
      <c r="L61" s="101" t="s">
        <v>364</v>
      </c>
      <c r="M61" s="489" t="s">
        <v>364</v>
      </c>
      <c r="O61" s="100">
        <v>99000</v>
      </c>
      <c r="P61" s="100" t="s">
        <v>364</v>
      </c>
      <c r="Q61" s="100" t="s">
        <v>364</v>
      </c>
      <c r="R61" s="99" t="s">
        <v>364</v>
      </c>
      <c r="S61" s="101" t="s">
        <v>364</v>
      </c>
      <c r="T61" s="489" t="s">
        <v>364</v>
      </c>
      <c r="V61" s="107"/>
      <c r="W61" s="107"/>
      <c r="X61" s="108"/>
      <c r="Y61" s="109"/>
      <c r="Z61" s="110"/>
      <c r="AA61" s="721"/>
      <c r="AB61" s="107"/>
      <c r="AC61" s="107"/>
      <c r="AD61" s="108"/>
      <c r="AE61" s="109"/>
      <c r="AF61" s="110"/>
    </row>
    <row r="62" spans="1:32" ht="13.5" customHeight="1" x14ac:dyDescent="0.3">
      <c r="A62" s="1516"/>
      <c r="B62" s="1517"/>
      <c r="C62" s="1517"/>
      <c r="D62" s="1517"/>
      <c r="E62" s="1517"/>
      <c r="F62" s="1518"/>
      <c r="G62" s="743"/>
      <c r="H62" s="1519"/>
      <c r="I62" s="1520"/>
      <c r="J62" s="1520"/>
      <c r="K62" s="1520"/>
      <c r="L62" s="1520"/>
      <c r="M62" s="1521"/>
      <c r="T62" s="746"/>
      <c r="V62" s="717"/>
      <c r="W62" s="717"/>
      <c r="X62" s="717"/>
      <c r="Y62" s="717"/>
      <c r="Z62" s="717"/>
      <c r="AA62" s="721"/>
      <c r="AB62" s="711"/>
      <c r="AC62" s="711"/>
      <c r="AD62" s="711"/>
      <c r="AE62" s="711"/>
      <c r="AF62" s="711"/>
    </row>
    <row r="63" spans="1:32" ht="15.75" customHeight="1" x14ac:dyDescent="0.3">
      <c r="A63" s="1513" t="s">
        <v>469</v>
      </c>
      <c r="B63" s="1514"/>
      <c r="C63" s="1514"/>
      <c r="D63" s="1515"/>
      <c r="E63" s="1419" t="s">
        <v>392</v>
      </c>
      <c r="F63" s="1396" t="str">
        <f>F43</f>
        <v>U95 STD</v>
      </c>
      <c r="G63" s="743"/>
      <c r="H63" s="1513" t="s">
        <v>470</v>
      </c>
      <c r="I63" s="1514"/>
      <c r="J63" s="1514"/>
      <c r="K63" s="1515"/>
      <c r="L63" s="1419" t="s">
        <v>392</v>
      </c>
      <c r="M63" s="1396" t="str">
        <f>M43</f>
        <v>U95 STD</v>
      </c>
      <c r="N63" s="740"/>
      <c r="O63" s="747"/>
      <c r="P63" s="747"/>
      <c r="Q63" s="747"/>
      <c r="R63" s="747"/>
      <c r="S63" s="747"/>
      <c r="T63" s="748"/>
      <c r="V63" s="718"/>
      <c r="W63" s="718"/>
      <c r="X63" s="718"/>
      <c r="Y63" s="719"/>
      <c r="Z63" s="720"/>
      <c r="AA63" s="721"/>
      <c r="AB63" s="718"/>
      <c r="AC63" s="718"/>
      <c r="AD63" s="718"/>
      <c r="AE63" s="719"/>
      <c r="AF63" s="720"/>
    </row>
    <row r="64" spans="1:32" ht="12.75" customHeight="1" x14ac:dyDescent="0.3">
      <c r="A64" s="723" t="str">
        <f>A44</f>
        <v>Kecepatan</v>
      </c>
      <c r="B64" s="724"/>
      <c r="C64" s="1419" t="s">
        <v>391</v>
      </c>
      <c r="D64" s="1419"/>
      <c r="E64" s="1419"/>
      <c r="F64" s="1396"/>
      <c r="G64" s="743"/>
      <c r="H64" s="726" t="str">
        <f>H44</f>
        <v>Kecepatan</v>
      </c>
      <c r="I64" s="726"/>
      <c r="J64" s="1419" t="s">
        <v>391</v>
      </c>
      <c r="K64" s="1419"/>
      <c r="L64" s="1419"/>
      <c r="M64" s="1396"/>
      <c r="N64" s="740"/>
      <c r="O64" s="747"/>
      <c r="P64" s="747"/>
      <c r="Q64" s="747"/>
      <c r="R64" s="747"/>
      <c r="S64" s="747"/>
      <c r="T64" s="748"/>
      <c r="V64" s="727"/>
      <c r="W64" s="719"/>
      <c r="X64" s="719"/>
      <c r="Y64" s="719"/>
      <c r="Z64" s="720"/>
      <c r="AA64" s="721"/>
      <c r="AB64" s="727"/>
      <c r="AC64" s="719"/>
      <c r="AD64" s="719"/>
      <c r="AE64" s="719"/>
      <c r="AF64" s="720"/>
    </row>
    <row r="65" spans="1:32" ht="15" customHeight="1" x14ac:dyDescent="0.3">
      <c r="A65" s="728" t="str">
        <f>A45</f>
        <v>rpm</v>
      </c>
      <c r="B65" s="729">
        <v>10</v>
      </c>
      <c r="C65" s="730">
        <v>10</v>
      </c>
      <c r="D65" s="737">
        <v>10</v>
      </c>
      <c r="E65" s="1419"/>
      <c r="F65" s="1396"/>
      <c r="G65" s="743"/>
      <c r="H65" s="731" t="str">
        <f>H45</f>
        <v>rpm</v>
      </c>
      <c r="I65" s="744">
        <v>11</v>
      </c>
      <c r="J65" s="730">
        <v>11</v>
      </c>
      <c r="K65" s="737">
        <v>11</v>
      </c>
      <c r="L65" s="1419"/>
      <c r="M65" s="1396"/>
      <c r="N65" s="740"/>
      <c r="O65" s="747"/>
      <c r="P65" s="747"/>
      <c r="Q65" s="747"/>
      <c r="R65" s="747"/>
      <c r="S65" s="747"/>
      <c r="T65" s="748"/>
      <c r="V65" s="732"/>
      <c r="W65" s="727"/>
      <c r="X65" s="727"/>
      <c r="Y65" s="719"/>
      <c r="Z65" s="720"/>
      <c r="AA65" s="721"/>
      <c r="AB65" s="732"/>
      <c r="AC65" s="727"/>
      <c r="AD65" s="727"/>
      <c r="AE65" s="719"/>
      <c r="AF65" s="720"/>
    </row>
    <row r="66" spans="1:32" ht="12.75" customHeight="1" x14ac:dyDescent="0.3">
      <c r="A66" s="734">
        <v>0</v>
      </c>
      <c r="B66" s="701" t="s">
        <v>364</v>
      </c>
      <c r="C66" s="100" t="s">
        <v>364</v>
      </c>
      <c r="D66" s="100" t="s">
        <v>364</v>
      </c>
      <c r="E66" s="102" t="s">
        <v>364</v>
      </c>
      <c r="F66" s="102" t="s">
        <v>364</v>
      </c>
      <c r="G66" s="743"/>
      <c r="H66" s="734">
        <v>0</v>
      </c>
      <c r="I66" s="701" t="s">
        <v>364</v>
      </c>
      <c r="J66" s="100" t="s">
        <v>364</v>
      </c>
      <c r="K66" s="100" t="s">
        <v>364</v>
      </c>
      <c r="L66" s="102" t="s">
        <v>364</v>
      </c>
      <c r="M66" s="102" t="s">
        <v>364</v>
      </c>
      <c r="N66" s="740"/>
      <c r="O66" s="747"/>
      <c r="P66" s="747"/>
      <c r="Q66" s="747"/>
      <c r="R66" s="747"/>
      <c r="S66" s="747"/>
      <c r="T66" s="748"/>
      <c r="V66" s="107"/>
      <c r="W66" s="107"/>
      <c r="X66" s="110"/>
      <c r="Y66" s="109"/>
      <c r="Z66" s="110"/>
      <c r="AA66" s="721"/>
      <c r="AB66" s="107"/>
      <c r="AC66" s="107"/>
      <c r="AD66" s="110"/>
      <c r="AE66" s="109"/>
      <c r="AF66" s="110"/>
    </row>
    <row r="67" spans="1:32" ht="12.75" customHeight="1" x14ac:dyDescent="0.3">
      <c r="A67" s="100">
        <v>50</v>
      </c>
      <c r="B67" s="701" t="s">
        <v>364</v>
      </c>
      <c r="C67" s="100" t="s">
        <v>364</v>
      </c>
      <c r="D67" s="100" t="s">
        <v>364</v>
      </c>
      <c r="E67" s="102" t="s">
        <v>364</v>
      </c>
      <c r="F67" s="102" t="s">
        <v>364</v>
      </c>
      <c r="G67" s="743"/>
      <c r="H67" s="100">
        <v>50</v>
      </c>
      <c r="I67" s="701" t="s">
        <v>364</v>
      </c>
      <c r="J67" s="100" t="s">
        <v>364</v>
      </c>
      <c r="K67" s="100" t="s">
        <v>364</v>
      </c>
      <c r="L67" s="102" t="s">
        <v>364</v>
      </c>
      <c r="M67" s="102" t="s">
        <v>364</v>
      </c>
      <c r="N67" s="740"/>
      <c r="O67" s="747"/>
      <c r="P67" s="747"/>
      <c r="Q67" s="747"/>
      <c r="R67" s="747"/>
      <c r="S67" s="747"/>
      <c r="T67" s="748"/>
      <c r="V67" s="107"/>
      <c r="W67" s="107"/>
      <c r="X67" s="110"/>
      <c r="Y67" s="109"/>
      <c r="Z67" s="110"/>
      <c r="AA67" s="721"/>
      <c r="AB67" s="107"/>
      <c r="AC67" s="107"/>
      <c r="AD67" s="110"/>
      <c r="AE67" s="109"/>
      <c r="AF67" s="110"/>
    </row>
    <row r="68" spans="1:32" ht="12.75" customHeight="1" x14ac:dyDescent="0.3">
      <c r="A68" s="100">
        <v>100</v>
      </c>
      <c r="B68" s="701" t="s">
        <v>364</v>
      </c>
      <c r="C68" s="100" t="s">
        <v>364</v>
      </c>
      <c r="D68" s="100" t="s">
        <v>364</v>
      </c>
      <c r="E68" s="102" t="s">
        <v>364</v>
      </c>
      <c r="F68" s="102" t="s">
        <v>364</v>
      </c>
      <c r="G68" s="743"/>
      <c r="H68" s="100">
        <v>100</v>
      </c>
      <c r="I68" s="701" t="s">
        <v>364</v>
      </c>
      <c r="J68" s="100" t="s">
        <v>364</v>
      </c>
      <c r="K68" s="100" t="s">
        <v>364</v>
      </c>
      <c r="L68" s="102" t="s">
        <v>364</v>
      </c>
      <c r="M68" s="102" t="s">
        <v>364</v>
      </c>
      <c r="N68" s="740"/>
      <c r="O68" s="747"/>
      <c r="P68" s="747"/>
      <c r="Q68" s="747"/>
      <c r="R68" s="747"/>
      <c r="S68" s="747"/>
      <c r="T68" s="748"/>
      <c r="V68" s="107"/>
      <c r="W68" s="107"/>
      <c r="X68" s="110"/>
      <c r="Y68" s="109"/>
      <c r="Z68" s="110"/>
      <c r="AA68" s="721"/>
      <c r="AB68" s="107"/>
      <c r="AC68" s="107"/>
      <c r="AD68" s="110"/>
      <c r="AE68" s="109"/>
      <c r="AF68" s="110"/>
    </row>
    <row r="69" spans="1:32" ht="12.75" customHeight="1" x14ac:dyDescent="0.3">
      <c r="A69" s="100">
        <v>200</v>
      </c>
      <c r="B69" s="701" t="s">
        <v>364</v>
      </c>
      <c r="C69" s="100" t="s">
        <v>364</v>
      </c>
      <c r="D69" s="100" t="s">
        <v>364</v>
      </c>
      <c r="E69" s="102" t="s">
        <v>364</v>
      </c>
      <c r="F69" s="102" t="s">
        <v>364</v>
      </c>
      <c r="G69" s="743"/>
      <c r="H69" s="100">
        <v>200</v>
      </c>
      <c r="I69" s="701" t="s">
        <v>364</v>
      </c>
      <c r="J69" s="100" t="s">
        <v>364</v>
      </c>
      <c r="K69" s="100" t="s">
        <v>364</v>
      </c>
      <c r="L69" s="102" t="s">
        <v>364</v>
      </c>
      <c r="M69" s="102" t="s">
        <v>364</v>
      </c>
      <c r="N69" s="740"/>
      <c r="O69" s="747"/>
      <c r="P69" s="747"/>
      <c r="Q69" s="747"/>
      <c r="R69" s="747"/>
      <c r="S69" s="747"/>
      <c r="T69" s="748"/>
      <c r="V69" s="107"/>
      <c r="W69" s="107"/>
      <c r="X69" s="110"/>
      <c r="Y69" s="109"/>
      <c r="Z69" s="110"/>
      <c r="AA69" s="721"/>
      <c r="AB69" s="107"/>
      <c r="AC69" s="107"/>
      <c r="AD69" s="110"/>
      <c r="AE69" s="109"/>
      <c r="AF69" s="110"/>
    </row>
    <row r="70" spans="1:32" ht="12.75" customHeight="1" x14ac:dyDescent="0.3">
      <c r="A70" s="100">
        <v>1000</v>
      </c>
      <c r="B70" s="701" t="s">
        <v>364</v>
      </c>
      <c r="C70" s="100" t="s">
        <v>364</v>
      </c>
      <c r="D70" s="100" t="s">
        <v>364</v>
      </c>
      <c r="E70" s="102" t="s">
        <v>364</v>
      </c>
      <c r="F70" s="102" t="s">
        <v>364</v>
      </c>
      <c r="G70" s="743"/>
      <c r="H70" s="100">
        <v>1000</v>
      </c>
      <c r="I70" s="701" t="s">
        <v>364</v>
      </c>
      <c r="J70" s="100" t="s">
        <v>364</v>
      </c>
      <c r="K70" s="100" t="s">
        <v>364</v>
      </c>
      <c r="L70" s="102" t="s">
        <v>364</v>
      </c>
      <c r="M70" s="102" t="s">
        <v>364</v>
      </c>
      <c r="N70" s="740"/>
      <c r="O70" s="747"/>
      <c r="P70" s="747"/>
      <c r="Q70" s="747"/>
      <c r="R70" s="747"/>
      <c r="S70" s="747"/>
      <c r="T70" s="748"/>
      <c r="V70" s="107"/>
      <c r="W70" s="107"/>
      <c r="X70" s="110"/>
      <c r="Y70" s="109"/>
      <c r="Z70" s="110"/>
      <c r="AA70" s="721"/>
      <c r="AB70" s="107"/>
      <c r="AC70" s="107"/>
      <c r="AD70" s="110"/>
      <c r="AE70" s="109"/>
      <c r="AF70" s="110"/>
    </row>
    <row r="71" spans="1:32" ht="12.75" customHeight="1" x14ac:dyDescent="0.3">
      <c r="A71" s="100">
        <v>2000</v>
      </c>
      <c r="B71" s="701" t="s">
        <v>364</v>
      </c>
      <c r="C71" s="100" t="s">
        <v>364</v>
      </c>
      <c r="D71" s="100" t="s">
        <v>364</v>
      </c>
      <c r="E71" s="102" t="s">
        <v>364</v>
      </c>
      <c r="F71" s="102" t="s">
        <v>364</v>
      </c>
      <c r="G71" s="743"/>
      <c r="H71" s="100">
        <v>2000</v>
      </c>
      <c r="I71" s="701" t="s">
        <v>364</v>
      </c>
      <c r="J71" s="100" t="s">
        <v>364</v>
      </c>
      <c r="K71" s="100" t="s">
        <v>364</v>
      </c>
      <c r="L71" s="102" t="s">
        <v>364</v>
      </c>
      <c r="M71" s="102" t="s">
        <v>364</v>
      </c>
      <c r="N71" s="740"/>
      <c r="O71" s="747"/>
      <c r="P71" s="747"/>
      <c r="Q71" s="747"/>
      <c r="R71" s="747"/>
      <c r="S71" s="747"/>
      <c r="T71" s="748"/>
      <c r="V71" s="107"/>
      <c r="W71" s="107"/>
      <c r="X71" s="108"/>
      <c r="Y71" s="109"/>
      <c r="Z71" s="110"/>
      <c r="AA71" s="721"/>
      <c r="AB71" s="107"/>
      <c r="AC71" s="107"/>
      <c r="AD71" s="108"/>
      <c r="AE71" s="109"/>
      <c r="AF71" s="110"/>
    </row>
    <row r="72" spans="1:32" ht="12.75" customHeight="1" x14ac:dyDescent="0.3">
      <c r="A72" s="100">
        <v>3000</v>
      </c>
      <c r="B72" s="701" t="s">
        <v>364</v>
      </c>
      <c r="C72" s="100" t="s">
        <v>364</v>
      </c>
      <c r="D72" s="100" t="s">
        <v>364</v>
      </c>
      <c r="E72" s="102" t="s">
        <v>364</v>
      </c>
      <c r="F72" s="102" t="s">
        <v>364</v>
      </c>
      <c r="G72" s="743"/>
      <c r="H72" s="100">
        <v>3000</v>
      </c>
      <c r="I72" s="701" t="s">
        <v>364</v>
      </c>
      <c r="J72" s="100" t="s">
        <v>364</v>
      </c>
      <c r="K72" s="100" t="s">
        <v>364</v>
      </c>
      <c r="L72" s="102" t="s">
        <v>364</v>
      </c>
      <c r="M72" s="102" t="s">
        <v>364</v>
      </c>
      <c r="N72" s="740"/>
      <c r="O72" s="747"/>
      <c r="P72" s="747"/>
      <c r="Q72" s="747"/>
      <c r="R72" s="747"/>
      <c r="S72" s="747"/>
      <c r="T72" s="748"/>
      <c r="V72" s="107"/>
      <c r="W72" s="107"/>
      <c r="X72" s="108"/>
      <c r="Y72" s="109"/>
      <c r="Z72" s="110"/>
      <c r="AA72" s="721"/>
      <c r="AB72" s="107"/>
      <c r="AC72" s="107"/>
      <c r="AD72" s="108"/>
      <c r="AE72" s="109"/>
      <c r="AF72" s="110"/>
    </row>
    <row r="73" spans="1:32" ht="12.75" customHeight="1" x14ac:dyDescent="0.3">
      <c r="A73" s="100">
        <v>4000</v>
      </c>
      <c r="B73" s="701" t="s">
        <v>364</v>
      </c>
      <c r="C73" s="100" t="s">
        <v>364</v>
      </c>
      <c r="D73" s="100" t="s">
        <v>364</v>
      </c>
      <c r="E73" s="102" t="s">
        <v>364</v>
      </c>
      <c r="F73" s="102" t="s">
        <v>364</v>
      </c>
      <c r="G73" s="743"/>
      <c r="H73" s="100">
        <v>4000</v>
      </c>
      <c r="I73" s="701" t="s">
        <v>364</v>
      </c>
      <c r="J73" s="100" t="s">
        <v>364</v>
      </c>
      <c r="K73" s="100" t="s">
        <v>364</v>
      </c>
      <c r="L73" s="102" t="s">
        <v>364</v>
      </c>
      <c r="M73" s="102" t="s">
        <v>364</v>
      </c>
      <c r="N73" s="740"/>
      <c r="O73" s="747"/>
      <c r="P73" s="747"/>
      <c r="Q73" s="747"/>
      <c r="R73" s="747"/>
      <c r="S73" s="747"/>
      <c r="T73" s="748"/>
      <c r="V73" s="107"/>
      <c r="W73" s="107"/>
      <c r="X73" s="108"/>
      <c r="Y73" s="109"/>
      <c r="Z73" s="110"/>
      <c r="AA73" s="721"/>
      <c r="AB73" s="107"/>
      <c r="AC73" s="107"/>
      <c r="AD73" s="108"/>
      <c r="AE73" s="109"/>
      <c r="AF73" s="110"/>
    </row>
    <row r="74" spans="1:32" ht="12.75" customHeight="1" x14ac:dyDescent="0.3">
      <c r="A74" s="100">
        <v>5000</v>
      </c>
      <c r="B74" s="701" t="s">
        <v>364</v>
      </c>
      <c r="C74" s="100" t="s">
        <v>364</v>
      </c>
      <c r="D74" s="100" t="s">
        <v>364</v>
      </c>
      <c r="E74" s="102" t="s">
        <v>364</v>
      </c>
      <c r="F74" s="102" t="s">
        <v>364</v>
      </c>
      <c r="G74" s="743"/>
      <c r="H74" s="100">
        <v>5000</v>
      </c>
      <c r="I74" s="701" t="s">
        <v>364</v>
      </c>
      <c r="J74" s="100" t="s">
        <v>364</v>
      </c>
      <c r="K74" s="100" t="s">
        <v>364</v>
      </c>
      <c r="L74" s="102" t="s">
        <v>364</v>
      </c>
      <c r="M74" s="102" t="s">
        <v>364</v>
      </c>
      <c r="N74" s="740"/>
      <c r="O74" s="747"/>
      <c r="P74" s="747"/>
      <c r="Q74" s="747"/>
      <c r="R74" s="747"/>
      <c r="S74" s="747"/>
      <c r="T74" s="748"/>
      <c r="V74" s="107"/>
      <c r="W74" s="107"/>
      <c r="X74" s="108"/>
      <c r="Y74" s="109"/>
      <c r="Z74" s="110"/>
      <c r="AA74" s="721"/>
      <c r="AB74" s="107"/>
      <c r="AC74" s="107"/>
      <c r="AD74" s="108"/>
      <c r="AE74" s="109"/>
      <c r="AF74" s="110"/>
    </row>
    <row r="75" spans="1:32" ht="12.75" customHeight="1" x14ac:dyDescent="0.3">
      <c r="A75" s="100">
        <v>6000</v>
      </c>
      <c r="B75" s="701" t="s">
        <v>364</v>
      </c>
      <c r="C75" s="100" t="s">
        <v>364</v>
      </c>
      <c r="D75" s="100" t="s">
        <v>364</v>
      </c>
      <c r="E75" s="102" t="s">
        <v>364</v>
      </c>
      <c r="F75" s="102" t="s">
        <v>364</v>
      </c>
      <c r="G75" s="743"/>
      <c r="H75" s="100">
        <v>6000</v>
      </c>
      <c r="I75" s="701" t="s">
        <v>364</v>
      </c>
      <c r="J75" s="100" t="s">
        <v>364</v>
      </c>
      <c r="K75" s="100" t="s">
        <v>364</v>
      </c>
      <c r="L75" s="102" t="s">
        <v>364</v>
      </c>
      <c r="M75" s="102" t="s">
        <v>364</v>
      </c>
      <c r="N75" s="740"/>
      <c r="O75" s="747"/>
      <c r="P75" s="747"/>
      <c r="Q75" s="747"/>
      <c r="R75" s="747"/>
      <c r="S75" s="747"/>
      <c r="T75" s="748"/>
      <c r="V75" s="107"/>
      <c r="W75" s="107"/>
      <c r="X75" s="108"/>
      <c r="Y75" s="109"/>
      <c r="Z75" s="110"/>
      <c r="AA75" s="721"/>
      <c r="AB75" s="107"/>
      <c r="AC75" s="107"/>
      <c r="AD75" s="108"/>
      <c r="AE75" s="109"/>
      <c r="AF75" s="110"/>
    </row>
    <row r="76" spans="1:32" ht="12.75" customHeight="1" x14ac:dyDescent="0.3">
      <c r="A76" s="100">
        <v>7000</v>
      </c>
      <c r="B76" s="701" t="s">
        <v>364</v>
      </c>
      <c r="C76" s="100" t="s">
        <v>364</v>
      </c>
      <c r="D76" s="100" t="s">
        <v>364</v>
      </c>
      <c r="E76" s="102" t="s">
        <v>364</v>
      </c>
      <c r="F76" s="102" t="s">
        <v>364</v>
      </c>
      <c r="G76" s="743"/>
      <c r="H76" s="100">
        <v>7000</v>
      </c>
      <c r="I76" s="701" t="s">
        <v>364</v>
      </c>
      <c r="J76" s="100" t="s">
        <v>364</v>
      </c>
      <c r="K76" s="100" t="s">
        <v>364</v>
      </c>
      <c r="L76" s="102" t="s">
        <v>364</v>
      </c>
      <c r="M76" s="102" t="s">
        <v>364</v>
      </c>
      <c r="N76" s="740"/>
      <c r="O76" s="747"/>
      <c r="P76" s="747"/>
      <c r="Q76" s="747"/>
      <c r="R76" s="747"/>
      <c r="S76" s="747"/>
      <c r="T76" s="748"/>
      <c r="V76" s="107"/>
      <c r="W76" s="107"/>
      <c r="X76" s="108"/>
      <c r="Y76" s="109"/>
      <c r="Z76" s="110"/>
      <c r="AA76" s="721"/>
      <c r="AB76" s="107"/>
      <c r="AC76" s="107"/>
      <c r="AD76" s="108"/>
      <c r="AE76" s="109"/>
      <c r="AF76" s="110"/>
    </row>
    <row r="77" spans="1:32" ht="12.75" customHeight="1" x14ac:dyDescent="0.3">
      <c r="A77" s="100">
        <v>8000</v>
      </c>
      <c r="B77" s="701" t="s">
        <v>364</v>
      </c>
      <c r="C77" s="100" t="s">
        <v>364</v>
      </c>
      <c r="D77" s="100" t="s">
        <v>364</v>
      </c>
      <c r="E77" s="102" t="s">
        <v>364</v>
      </c>
      <c r="F77" s="102" t="s">
        <v>364</v>
      </c>
      <c r="G77" s="743"/>
      <c r="H77" s="100">
        <v>8000</v>
      </c>
      <c r="I77" s="701" t="s">
        <v>364</v>
      </c>
      <c r="J77" s="100" t="s">
        <v>364</v>
      </c>
      <c r="K77" s="100" t="s">
        <v>364</v>
      </c>
      <c r="L77" s="102" t="s">
        <v>364</v>
      </c>
      <c r="M77" s="102" t="s">
        <v>364</v>
      </c>
      <c r="N77" s="740"/>
      <c r="O77" s="747"/>
      <c r="P77" s="747"/>
      <c r="Q77" s="747"/>
      <c r="R77" s="747"/>
      <c r="S77" s="747"/>
      <c r="T77" s="748"/>
      <c r="V77" s="107"/>
      <c r="W77" s="107"/>
      <c r="X77" s="108"/>
      <c r="Y77" s="109"/>
      <c r="Z77" s="110"/>
      <c r="AA77" s="721"/>
      <c r="AB77" s="107"/>
      <c r="AC77" s="107"/>
      <c r="AD77" s="108"/>
      <c r="AE77" s="109"/>
      <c r="AF77" s="110"/>
    </row>
    <row r="78" spans="1:32" ht="12.75" customHeight="1" x14ac:dyDescent="0.3">
      <c r="A78" s="100">
        <v>9000</v>
      </c>
      <c r="B78" s="701" t="s">
        <v>364</v>
      </c>
      <c r="C78" s="100" t="s">
        <v>364</v>
      </c>
      <c r="D78" s="100" t="s">
        <v>364</v>
      </c>
      <c r="E78" s="102" t="s">
        <v>364</v>
      </c>
      <c r="F78" s="102" t="s">
        <v>364</v>
      </c>
      <c r="G78" s="743"/>
      <c r="H78" s="100">
        <v>9000</v>
      </c>
      <c r="I78" s="701" t="s">
        <v>364</v>
      </c>
      <c r="J78" s="100" t="s">
        <v>364</v>
      </c>
      <c r="K78" s="100" t="s">
        <v>364</v>
      </c>
      <c r="L78" s="102" t="s">
        <v>364</v>
      </c>
      <c r="M78" s="102" t="s">
        <v>364</v>
      </c>
      <c r="N78" s="740"/>
      <c r="O78" s="747"/>
      <c r="P78" s="747"/>
      <c r="Q78" s="747"/>
      <c r="R78" s="747"/>
      <c r="S78" s="747"/>
      <c r="T78" s="748"/>
      <c r="V78" s="107"/>
      <c r="W78" s="107"/>
      <c r="X78" s="108"/>
      <c r="Y78" s="109"/>
      <c r="Z78" s="110"/>
      <c r="AA78" s="721"/>
      <c r="AB78" s="107"/>
      <c r="AC78" s="107"/>
      <c r="AD78" s="108"/>
      <c r="AE78" s="109"/>
      <c r="AF78" s="110"/>
    </row>
    <row r="79" spans="1:32" ht="13.5" customHeight="1" x14ac:dyDescent="0.3">
      <c r="A79" s="100">
        <v>10000</v>
      </c>
      <c r="B79" s="701" t="s">
        <v>364</v>
      </c>
      <c r="C79" s="100" t="s">
        <v>364</v>
      </c>
      <c r="D79" s="100" t="s">
        <v>364</v>
      </c>
      <c r="E79" s="102" t="s">
        <v>364</v>
      </c>
      <c r="F79" s="102" t="s">
        <v>364</v>
      </c>
      <c r="G79" s="743"/>
      <c r="H79" s="100">
        <v>10000</v>
      </c>
      <c r="I79" s="701" t="s">
        <v>364</v>
      </c>
      <c r="J79" s="100" t="s">
        <v>364</v>
      </c>
      <c r="K79" s="100" t="s">
        <v>364</v>
      </c>
      <c r="L79" s="102" t="s">
        <v>364</v>
      </c>
      <c r="M79" s="102" t="s">
        <v>364</v>
      </c>
      <c r="N79" s="740"/>
      <c r="O79" s="747"/>
      <c r="P79" s="747"/>
      <c r="Q79" s="747"/>
      <c r="R79" s="747"/>
      <c r="S79" s="747"/>
      <c r="T79" s="748"/>
      <c r="V79" s="107"/>
      <c r="W79" s="107"/>
      <c r="X79" s="108"/>
      <c r="Y79" s="109"/>
      <c r="Z79" s="110"/>
      <c r="AA79" s="721"/>
      <c r="AB79" s="107"/>
      <c r="AC79" s="107"/>
      <c r="AD79" s="108"/>
      <c r="AE79" s="109"/>
      <c r="AF79" s="110"/>
    </row>
    <row r="80" spans="1:32" ht="13.5" customHeight="1" x14ac:dyDescent="0.3">
      <c r="A80" s="100">
        <v>50000</v>
      </c>
      <c r="B80" s="701" t="s">
        <v>364</v>
      </c>
      <c r="C80" s="100" t="s">
        <v>364</v>
      </c>
      <c r="D80" s="100" t="s">
        <v>364</v>
      </c>
      <c r="E80" s="102" t="s">
        <v>364</v>
      </c>
      <c r="F80" s="102" t="s">
        <v>364</v>
      </c>
      <c r="G80" s="743"/>
      <c r="H80" s="100">
        <v>50000</v>
      </c>
      <c r="I80" s="701" t="s">
        <v>364</v>
      </c>
      <c r="J80" s="100" t="s">
        <v>364</v>
      </c>
      <c r="K80" s="100" t="s">
        <v>364</v>
      </c>
      <c r="L80" s="102" t="s">
        <v>364</v>
      </c>
      <c r="M80" s="102" t="s">
        <v>364</v>
      </c>
      <c r="N80" s="740"/>
      <c r="O80" s="747"/>
      <c r="P80" s="747"/>
      <c r="Q80" s="747"/>
      <c r="R80" s="747"/>
      <c r="S80" s="747"/>
      <c r="T80" s="748"/>
      <c r="V80" s="107"/>
      <c r="W80" s="107"/>
      <c r="X80" s="108"/>
      <c r="Y80" s="109"/>
      <c r="Z80" s="110"/>
      <c r="AA80" s="738"/>
      <c r="AB80" s="107"/>
      <c r="AC80" s="107"/>
      <c r="AD80" s="108"/>
      <c r="AE80" s="109"/>
      <c r="AF80" s="110"/>
    </row>
    <row r="81" spans="1:32" ht="13.5" customHeight="1" x14ac:dyDescent="0.3">
      <c r="A81" s="100">
        <v>99000</v>
      </c>
      <c r="B81" s="100" t="s">
        <v>364</v>
      </c>
      <c r="C81" s="100"/>
      <c r="D81" s="100"/>
      <c r="E81" s="102"/>
      <c r="F81" s="102"/>
      <c r="G81" s="738"/>
      <c r="H81" s="100">
        <v>99000</v>
      </c>
      <c r="I81" s="100" t="s">
        <v>364</v>
      </c>
      <c r="J81" s="100"/>
      <c r="K81" s="100"/>
      <c r="L81" s="102"/>
      <c r="M81" s="102"/>
      <c r="N81" s="740"/>
      <c r="O81" s="747"/>
      <c r="P81" s="747"/>
      <c r="Q81" s="747"/>
      <c r="R81" s="747"/>
      <c r="S81" s="747"/>
      <c r="T81" s="748"/>
      <c r="V81" s="107"/>
      <c r="W81" s="107"/>
      <c r="X81" s="108"/>
      <c r="Y81" s="109"/>
      <c r="Z81" s="110"/>
      <c r="AA81" s="738"/>
      <c r="AB81" s="107"/>
      <c r="AC81" s="107"/>
      <c r="AD81" s="108"/>
      <c r="AE81" s="109"/>
      <c r="AF81" s="110"/>
    </row>
    <row r="82" spans="1:32" ht="13.5" customHeight="1" thickBot="1" x14ac:dyDescent="0.3">
      <c r="A82" s="1534"/>
      <c r="B82" s="1535"/>
      <c r="C82" s="1535"/>
      <c r="D82" s="1535"/>
      <c r="E82" s="1535"/>
      <c r="F82" s="1535"/>
      <c r="G82" s="1535"/>
      <c r="H82" s="1535"/>
      <c r="I82" s="1535"/>
      <c r="J82" s="1535"/>
      <c r="K82" s="1535"/>
      <c r="L82" s="1535"/>
      <c r="M82" s="1535"/>
      <c r="N82" s="1535"/>
      <c r="O82" s="1535"/>
      <c r="P82" s="1535"/>
      <c r="Q82" s="1535"/>
      <c r="R82" s="1535"/>
      <c r="S82" s="1535"/>
      <c r="T82" s="1536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</row>
    <row r="83" spans="1:32" ht="12.75" customHeight="1" x14ac:dyDescent="0.3">
      <c r="A83" s="114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740"/>
      <c r="O83" s="747"/>
      <c r="P83" s="747"/>
      <c r="Q83" s="747"/>
      <c r="R83" s="747"/>
      <c r="S83" s="747"/>
      <c r="T83" s="74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</row>
    <row r="84" spans="1:32" ht="13.5" thickBot="1" x14ac:dyDescent="0.35">
      <c r="A84" s="739"/>
      <c r="B84" s="740"/>
      <c r="C84" s="740"/>
      <c r="D84" s="740"/>
      <c r="E84" s="740"/>
      <c r="F84" s="740"/>
      <c r="G84" s="740"/>
      <c r="H84" s="740"/>
      <c r="I84" s="740"/>
      <c r="J84" s="740"/>
      <c r="K84" s="740"/>
      <c r="L84" s="740"/>
      <c r="M84" s="740"/>
      <c r="N84" s="740"/>
      <c r="O84" s="740"/>
      <c r="P84" s="740"/>
      <c r="Q84" s="740"/>
      <c r="R84" s="740"/>
      <c r="S84" s="740"/>
      <c r="T84" s="740"/>
    </row>
    <row r="85" spans="1:32" ht="12.75" customHeight="1" x14ac:dyDescent="0.25">
      <c r="A85" s="1537" t="s">
        <v>471</v>
      </c>
      <c r="B85" s="1540"/>
      <c r="C85" s="1543" t="s">
        <v>461</v>
      </c>
      <c r="D85" s="1545" t="s">
        <v>391</v>
      </c>
      <c r="E85" s="1546"/>
      <c r="F85" s="1547"/>
      <c r="G85" s="1551" t="s">
        <v>392</v>
      </c>
      <c r="H85" s="1543" t="s">
        <v>472</v>
      </c>
      <c r="I85" s="1555"/>
      <c r="J85" s="749"/>
      <c r="K85" s="1537" t="str">
        <f>A85</f>
        <v>No Urut Titik Ukur</v>
      </c>
      <c r="L85" s="1558"/>
      <c r="M85" s="1522" t="s">
        <v>461</v>
      </c>
      <c r="N85" s="1565" t="s">
        <v>391</v>
      </c>
      <c r="O85" s="1565"/>
      <c r="P85" s="1565"/>
      <c r="Q85" s="1567" t="s">
        <v>392</v>
      </c>
      <c r="R85" s="1522" t="s">
        <v>472</v>
      </c>
      <c r="S85" s="1525"/>
    </row>
    <row r="86" spans="1:32" ht="12.75" customHeight="1" x14ac:dyDescent="0.25">
      <c r="A86" s="1538"/>
      <c r="B86" s="1541"/>
      <c r="C86" s="1544"/>
      <c r="D86" s="1548"/>
      <c r="E86" s="1549"/>
      <c r="F86" s="1550"/>
      <c r="G86" s="1552"/>
      <c r="H86" s="1544"/>
      <c r="I86" s="1556"/>
      <c r="J86" s="750"/>
      <c r="K86" s="1538"/>
      <c r="L86" s="1559"/>
      <c r="M86" s="1523"/>
      <c r="N86" s="1566"/>
      <c r="O86" s="1566"/>
      <c r="P86" s="1566"/>
      <c r="Q86" s="1568"/>
      <c r="R86" s="1523"/>
      <c r="S86" s="1526"/>
    </row>
    <row r="87" spans="1:32" ht="14.5" thickBot="1" x14ac:dyDescent="0.3">
      <c r="A87" s="1539"/>
      <c r="B87" s="1542"/>
      <c r="C87" s="751" t="s">
        <v>462</v>
      </c>
      <c r="D87" s="752"/>
      <c r="E87" s="752"/>
      <c r="F87" s="752"/>
      <c r="G87" s="1553"/>
      <c r="H87" s="1554"/>
      <c r="I87" s="1557"/>
      <c r="J87" s="750"/>
      <c r="K87" s="1539"/>
      <c r="L87" s="1560"/>
      <c r="M87" s="753" t="s">
        <v>462</v>
      </c>
      <c r="N87" s="754"/>
      <c r="O87" s="754"/>
      <c r="P87" s="754"/>
      <c r="Q87" s="1569"/>
      <c r="R87" s="1524"/>
      <c r="S87" s="1527"/>
    </row>
    <row r="88" spans="1:32" ht="13" x14ac:dyDescent="0.25">
      <c r="A88" s="1528" t="s">
        <v>87</v>
      </c>
      <c r="B88" s="755">
        <v>1</v>
      </c>
      <c r="C88" s="453">
        <f t="shared" ref="C88:H88" si="14">A6</f>
        <v>0</v>
      </c>
      <c r="D88" s="453">
        <f t="shared" si="14"/>
        <v>0</v>
      </c>
      <c r="E88" s="453">
        <f t="shared" si="14"/>
        <v>0</v>
      </c>
      <c r="F88" s="453">
        <f t="shared" si="14"/>
        <v>9.9999999999999995E-7</v>
      </c>
      <c r="G88" s="453">
        <f t="shared" si="14"/>
        <v>4.9999999999999998E-7</v>
      </c>
      <c r="H88" s="756">
        <f t="shared" si="14"/>
        <v>0</v>
      </c>
      <c r="I88" s="757"/>
      <c r="J88" s="750"/>
      <c r="K88" s="1531" t="s">
        <v>473</v>
      </c>
      <c r="L88" s="755">
        <v>1</v>
      </c>
      <c r="M88" s="129">
        <f t="shared" ref="M88:R88" si="15">A14</f>
        <v>5000</v>
      </c>
      <c r="N88" s="129">
        <f t="shared" si="15"/>
        <v>0</v>
      </c>
      <c r="O88" s="129">
        <f t="shared" si="15"/>
        <v>0</v>
      </c>
      <c r="P88" s="129">
        <f t="shared" si="15"/>
        <v>9.9999999999999995E-7</v>
      </c>
      <c r="Q88" s="129">
        <f t="shared" si="15"/>
        <v>4.9999999999999998E-7</v>
      </c>
      <c r="R88" s="129">
        <f t="shared" si="15"/>
        <v>1.4999999999999998</v>
      </c>
      <c r="S88" s="758"/>
    </row>
    <row r="89" spans="1:32" ht="13" x14ac:dyDescent="0.25">
      <c r="A89" s="1529"/>
      <c r="B89" s="759">
        <v>2</v>
      </c>
      <c r="C89" s="127">
        <f t="shared" ref="C89:H89" si="16">H6</f>
        <v>0</v>
      </c>
      <c r="D89" s="127" t="str">
        <f t="shared" si="16"/>
        <v>-</v>
      </c>
      <c r="E89" s="127">
        <f t="shared" si="16"/>
        <v>9.9999999999999995E-7</v>
      </c>
      <c r="F89" s="127">
        <f t="shared" si="16"/>
        <v>9.9999999999999995E-7</v>
      </c>
      <c r="G89" s="127">
        <f t="shared" si="16"/>
        <v>0</v>
      </c>
      <c r="H89" s="689">
        <f t="shared" si="16"/>
        <v>0</v>
      </c>
      <c r="I89" s="760"/>
      <c r="J89" s="750"/>
      <c r="K89" s="1532"/>
      <c r="L89" s="759">
        <v>2</v>
      </c>
      <c r="M89" s="127">
        <f t="shared" ref="M89:R89" si="17">H14</f>
        <v>5000</v>
      </c>
      <c r="N89" s="127" t="str">
        <f t="shared" si="17"/>
        <v>-</v>
      </c>
      <c r="O89" s="127">
        <f t="shared" si="17"/>
        <v>9.9999999999999995E-7</v>
      </c>
      <c r="P89" s="127">
        <f t="shared" si="17"/>
        <v>9.9999999999999995E-7</v>
      </c>
      <c r="Q89" s="127">
        <f t="shared" si="17"/>
        <v>0</v>
      </c>
      <c r="R89" s="127">
        <f t="shared" si="17"/>
        <v>1.4999999999999998</v>
      </c>
      <c r="S89" s="758"/>
    </row>
    <row r="90" spans="1:32" ht="13" x14ac:dyDescent="0.25">
      <c r="A90" s="1529"/>
      <c r="B90" s="759">
        <v>3</v>
      </c>
      <c r="C90" s="127">
        <f t="shared" ref="C90:H90" si="18">O6</f>
        <v>0</v>
      </c>
      <c r="D90" s="127">
        <f t="shared" si="18"/>
        <v>0</v>
      </c>
      <c r="E90" s="127">
        <f t="shared" si="18"/>
        <v>9.9999999999999995E-7</v>
      </c>
      <c r="F90" s="127">
        <f t="shared" si="18"/>
        <v>9.9999999999999995E-7</v>
      </c>
      <c r="G90" s="127">
        <f t="shared" si="18"/>
        <v>0</v>
      </c>
      <c r="H90" s="689">
        <f t="shared" si="18"/>
        <v>0</v>
      </c>
      <c r="I90" s="760"/>
      <c r="J90" s="750"/>
      <c r="K90" s="1532"/>
      <c r="L90" s="759">
        <v>3</v>
      </c>
      <c r="M90" s="127">
        <f t="shared" ref="M90:R90" si="19">O14</f>
        <v>5000</v>
      </c>
      <c r="N90" s="127">
        <f t="shared" si="19"/>
        <v>0</v>
      </c>
      <c r="O90" s="127">
        <f t="shared" si="19"/>
        <v>9.9999999999999995E-7</v>
      </c>
      <c r="P90" s="127">
        <f t="shared" si="19"/>
        <v>9.9999999999999995E-7</v>
      </c>
      <c r="Q90" s="127">
        <f t="shared" si="19"/>
        <v>0</v>
      </c>
      <c r="R90" s="127">
        <f t="shared" si="19"/>
        <v>1.4999999999999998</v>
      </c>
      <c r="S90" s="758"/>
    </row>
    <row r="91" spans="1:32" ht="13" x14ac:dyDescent="0.25">
      <c r="A91" s="1529"/>
      <c r="B91" s="759">
        <v>4</v>
      </c>
      <c r="C91" s="127">
        <f t="shared" ref="C91:H91" si="20">A26</f>
        <v>0</v>
      </c>
      <c r="D91" s="127">
        <f t="shared" si="20"/>
        <v>0</v>
      </c>
      <c r="E91" s="127">
        <f t="shared" si="20"/>
        <v>9.9999999999999995E-7</v>
      </c>
      <c r="F91" s="127">
        <f t="shared" si="20"/>
        <v>9.9999999999999995E-7</v>
      </c>
      <c r="G91" s="127">
        <f t="shared" si="20"/>
        <v>0</v>
      </c>
      <c r="H91" s="689">
        <f t="shared" si="20"/>
        <v>0</v>
      </c>
      <c r="I91" s="760"/>
      <c r="J91" s="750"/>
      <c r="K91" s="1532"/>
      <c r="L91" s="759">
        <v>4</v>
      </c>
      <c r="M91" s="127">
        <f t="shared" ref="M91:R91" si="21">A34</f>
        <v>5000</v>
      </c>
      <c r="N91" s="127">
        <f t="shared" si="21"/>
        <v>1</v>
      </c>
      <c r="O91" s="127">
        <f t="shared" si="21"/>
        <v>1</v>
      </c>
      <c r="P91" s="127">
        <f t="shared" si="21"/>
        <v>1</v>
      </c>
      <c r="Q91" s="127">
        <f t="shared" si="21"/>
        <v>0</v>
      </c>
      <c r="R91" s="127">
        <f t="shared" si="21"/>
        <v>1.4996999999999998</v>
      </c>
      <c r="S91" s="758"/>
    </row>
    <row r="92" spans="1:32" ht="13" x14ac:dyDescent="0.25">
      <c r="A92" s="1529"/>
      <c r="B92" s="759">
        <v>5</v>
      </c>
      <c r="C92" s="127">
        <f t="shared" ref="C92:H92" si="22">H26</f>
        <v>0</v>
      </c>
      <c r="D92" s="127">
        <f t="shared" si="22"/>
        <v>0</v>
      </c>
      <c r="E92" s="127">
        <f t="shared" si="22"/>
        <v>9.9999999999999995E-7</v>
      </c>
      <c r="F92" s="127">
        <f t="shared" si="22"/>
        <v>9.9999999999999995E-7</v>
      </c>
      <c r="G92" s="127">
        <f t="shared" si="22"/>
        <v>0</v>
      </c>
      <c r="H92" s="689">
        <f t="shared" si="22"/>
        <v>0</v>
      </c>
      <c r="I92" s="760"/>
      <c r="J92" s="750"/>
      <c r="K92" s="1532"/>
      <c r="L92" s="759">
        <v>5</v>
      </c>
      <c r="M92" s="127">
        <f t="shared" ref="M92:R92" si="23">H34</f>
        <v>5000</v>
      </c>
      <c r="N92" s="127">
        <f t="shared" si="23"/>
        <v>-0.3</v>
      </c>
      <c r="O92" s="127">
        <f t="shared" si="23"/>
        <v>-0.3</v>
      </c>
      <c r="P92" s="127">
        <f t="shared" si="23"/>
        <v>-0.2</v>
      </c>
      <c r="Q92" s="127">
        <f t="shared" si="23"/>
        <v>4.9999999999999989E-2</v>
      </c>
      <c r="R92" s="127">
        <f t="shared" si="23"/>
        <v>1.5000899999999999</v>
      </c>
      <c r="S92" s="758"/>
    </row>
    <row r="93" spans="1:32" ht="13" x14ac:dyDescent="0.25">
      <c r="A93" s="1529"/>
      <c r="B93" s="759">
        <v>6</v>
      </c>
      <c r="C93" s="127">
        <f t="shared" ref="C93:H93" si="24">O$26</f>
        <v>0</v>
      </c>
      <c r="D93" s="127">
        <f t="shared" si="24"/>
        <v>0</v>
      </c>
      <c r="E93" s="127">
        <f t="shared" si="24"/>
        <v>0</v>
      </c>
      <c r="F93" s="127">
        <f t="shared" si="24"/>
        <v>9.9999999999999995E-7</v>
      </c>
      <c r="G93" s="127">
        <f t="shared" si="24"/>
        <v>4.9999999999999998E-7</v>
      </c>
      <c r="H93" s="689">
        <f t="shared" si="24"/>
        <v>0</v>
      </c>
      <c r="I93" s="760"/>
      <c r="J93" s="750"/>
      <c r="K93" s="1532"/>
      <c r="L93" s="759">
        <v>6</v>
      </c>
      <c r="M93" s="127">
        <f t="shared" ref="M93:R93" si="25">O$34</f>
        <v>5000</v>
      </c>
      <c r="N93" s="127">
        <f t="shared" si="25"/>
        <v>-0.2</v>
      </c>
      <c r="O93" s="127">
        <f t="shared" si="25"/>
        <v>-0.2</v>
      </c>
      <c r="P93" s="127">
        <f t="shared" si="25"/>
        <v>-0.3</v>
      </c>
      <c r="Q93" s="127">
        <f t="shared" si="25"/>
        <v>4.9999999999999989E-2</v>
      </c>
      <c r="R93" s="127">
        <f t="shared" si="25"/>
        <v>1.5000599999999997</v>
      </c>
      <c r="S93" s="758"/>
    </row>
    <row r="94" spans="1:32" ht="13" x14ac:dyDescent="0.25">
      <c r="A94" s="1529"/>
      <c r="B94" s="759">
        <v>7</v>
      </c>
      <c r="C94" s="127">
        <f t="shared" ref="C94:H94" si="26">A$46</f>
        <v>0</v>
      </c>
      <c r="D94" s="127">
        <f t="shared" si="26"/>
        <v>0</v>
      </c>
      <c r="E94" s="127">
        <f t="shared" si="26"/>
        <v>0</v>
      </c>
      <c r="F94" s="127">
        <f t="shared" si="26"/>
        <v>9.9999999999999995E-7</v>
      </c>
      <c r="G94" s="127">
        <f t="shared" si="26"/>
        <v>4.9999999999999998E-7</v>
      </c>
      <c r="H94" s="689">
        <f t="shared" si="26"/>
        <v>0</v>
      </c>
      <c r="I94" s="760"/>
      <c r="J94" s="750"/>
      <c r="K94" s="1532"/>
      <c r="L94" s="759">
        <v>7</v>
      </c>
      <c r="M94" s="127">
        <f t="shared" ref="M94:R94" si="27">A$54</f>
        <v>5000</v>
      </c>
      <c r="N94" s="127">
        <f t="shared" si="27"/>
        <v>-0.3</v>
      </c>
      <c r="O94" s="127">
        <f t="shared" si="27"/>
        <v>-0.4</v>
      </c>
      <c r="P94" s="127">
        <f t="shared" si="27"/>
        <v>-0.3</v>
      </c>
      <c r="Q94" s="127">
        <f t="shared" si="27"/>
        <v>5.0000000000000017E-2</v>
      </c>
      <c r="R94" s="127">
        <f t="shared" si="27"/>
        <v>1.5000899999999999</v>
      </c>
      <c r="S94" s="758"/>
    </row>
    <row r="95" spans="1:32" ht="13" x14ac:dyDescent="0.25">
      <c r="A95" s="1529"/>
      <c r="B95" s="759">
        <v>8</v>
      </c>
      <c r="C95" s="127">
        <f t="shared" ref="C95:H95" si="28">H46</f>
        <v>0</v>
      </c>
      <c r="D95" s="127" t="str">
        <f t="shared" si="28"/>
        <v>-</v>
      </c>
      <c r="E95" s="127" t="str">
        <f t="shared" si="28"/>
        <v>-</v>
      </c>
      <c r="F95" s="127" t="str">
        <f t="shared" si="28"/>
        <v>-</v>
      </c>
      <c r="G95" s="127" t="str">
        <f t="shared" si="28"/>
        <v>-</v>
      </c>
      <c r="H95" s="689" t="str">
        <f t="shared" si="28"/>
        <v>-</v>
      </c>
      <c r="I95" s="760"/>
      <c r="J95" s="750"/>
      <c r="K95" s="1532"/>
      <c r="L95" s="759">
        <v>8</v>
      </c>
      <c r="M95" s="127">
        <f t="shared" ref="M95:R95" si="29">H54</f>
        <v>5000</v>
      </c>
      <c r="N95" s="127" t="str">
        <f t="shared" si="29"/>
        <v>-</v>
      </c>
      <c r="O95" s="127" t="str">
        <f t="shared" si="29"/>
        <v>-</v>
      </c>
      <c r="P95" s="127" t="str">
        <f t="shared" si="29"/>
        <v>-</v>
      </c>
      <c r="Q95" s="127" t="str">
        <f t="shared" si="29"/>
        <v>-</v>
      </c>
      <c r="R95" s="127" t="str">
        <f t="shared" si="29"/>
        <v>-</v>
      </c>
      <c r="S95" s="758"/>
    </row>
    <row r="96" spans="1:32" ht="13" x14ac:dyDescent="0.25">
      <c r="A96" s="1529"/>
      <c r="B96" s="759">
        <v>9</v>
      </c>
      <c r="C96" s="127">
        <f>O46</f>
        <v>0</v>
      </c>
      <c r="D96" s="127" t="str">
        <f>B66</f>
        <v>-</v>
      </c>
      <c r="E96" s="127" t="str">
        <f>C66</f>
        <v>-</v>
      </c>
      <c r="F96" s="127" t="str">
        <f>D66</f>
        <v>-</v>
      </c>
      <c r="G96" s="127" t="str">
        <f>E66</f>
        <v>-</v>
      </c>
      <c r="H96" s="689" t="str">
        <f>F66</f>
        <v>-</v>
      </c>
      <c r="I96" s="760"/>
      <c r="J96" s="750"/>
      <c r="K96" s="1532"/>
      <c r="L96" s="759">
        <v>9</v>
      </c>
      <c r="M96" s="127">
        <f t="shared" ref="M96:R96" si="30">A74</f>
        <v>5000</v>
      </c>
      <c r="N96" s="127" t="str">
        <f t="shared" si="30"/>
        <v>-</v>
      </c>
      <c r="O96" s="127" t="str">
        <f t="shared" si="30"/>
        <v>-</v>
      </c>
      <c r="P96" s="127" t="str">
        <f t="shared" si="30"/>
        <v>-</v>
      </c>
      <c r="Q96" s="127" t="str">
        <f t="shared" si="30"/>
        <v>-</v>
      </c>
      <c r="R96" s="127" t="str">
        <f t="shared" si="30"/>
        <v>-</v>
      </c>
      <c r="S96" s="758"/>
    </row>
    <row r="97" spans="1:19" ht="13.5" thickBot="1" x14ac:dyDescent="0.3">
      <c r="A97" s="1530"/>
      <c r="B97" s="761">
        <v>10</v>
      </c>
      <c r="C97" s="454">
        <f>A66</f>
        <v>0</v>
      </c>
      <c r="D97" s="454" t="str">
        <f>I66</f>
        <v>-</v>
      </c>
      <c r="E97" s="454" t="str">
        <f>J66</f>
        <v>-</v>
      </c>
      <c r="F97" s="454" t="str">
        <f>K66</f>
        <v>-</v>
      </c>
      <c r="G97" s="454" t="str">
        <f>L66</f>
        <v>-</v>
      </c>
      <c r="H97" s="762" t="str">
        <f>M66</f>
        <v>-</v>
      </c>
      <c r="I97" s="763"/>
      <c r="J97" s="750"/>
      <c r="K97" s="1533"/>
      <c r="L97" s="761">
        <v>10</v>
      </c>
      <c r="M97" s="454">
        <f t="shared" ref="M97:R97" si="31">H74</f>
        <v>5000</v>
      </c>
      <c r="N97" s="454" t="str">
        <f t="shared" si="31"/>
        <v>-</v>
      </c>
      <c r="O97" s="454" t="str">
        <f t="shared" si="31"/>
        <v>-</v>
      </c>
      <c r="P97" s="454" t="str">
        <f t="shared" si="31"/>
        <v>-</v>
      </c>
      <c r="Q97" s="454" t="str">
        <f t="shared" si="31"/>
        <v>-</v>
      </c>
      <c r="R97" s="454" t="str">
        <f t="shared" si="31"/>
        <v>-</v>
      </c>
      <c r="S97" s="764"/>
    </row>
    <row r="98" spans="1:19" ht="13" x14ac:dyDescent="0.3">
      <c r="A98" s="1531" t="s">
        <v>88</v>
      </c>
      <c r="B98" s="765">
        <v>1</v>
      </c>
      <c r="C98" s="766">
        <f t="shared" ref="C98:H98" si="32">A7</f>
        <v>50</v>
      </c>
      <c r="D98" s="766">
        <f t="shared" si="32"/>
        <v>0</v>
      </c>
      <c r="E98" s="766">
        <f t="shared" si="32"/>
        <v>0</v>
      </c>
      <c r="F98" s="766">
        <f t="shared" si="32"/>
        <v>9.9999999999999995E-7</v>
      </c>
      <c r="G98" s="766">
        <f t="shared" si="32"/>
        <v>4.9999999999999998E-7</v>
      </c>
      <c r="H98" s="767">
        <f t="shared" si="32"/>
        <v>1.4999999999999999E-2</v>
      </c>
      <c r="I98" s="768"/>
      <c r="J98" s="750"/>
      <c r="K98" s="1531" t="s">
        <v>474</v>
      </c>
      <c r="L98" s="759">
        <v>1</v>
      </c>
      <c r="M98" s="284">
        <f t="shared" ref="M98:R98" si="33">A15</f>
        <v>6000</v>
      </c>
      <c r="N98" s="284">
        <f t="shared" si="33"/>
        <v>0</v>
      </c>
      <c r="O98" s="284">
        <f t="shared" si="33"/>
        <v>0</v>
      </c>
      <c r="P98" s="284">
        <f t="shared" si="33"/>
        <v>9.9999999999999995E-7</v>
      </c>
      <c r="Q98" s="284">
        <f t="shared" si="33"/>
        <v>4.9999999999999998E-7</v>
      </c>
      <c r="R98" s="284">
        <f t="shared" si="33"/>
        <v>1.7999999999999998</v>
      </c>
      <c r="S98" s="758"/>
    </row>
    <row r="99" spans="1:19" ht="13" x14ac:dyDescent="0.3">
      <c r="A99" s="1532"/>
      <c r="B99" s="759">
        <v>2</v>
      </c>
      <c r="C99" s="769">
        <f t="shared" ref="C99:H99" si="34">H7</f>
        <v>50</v>
      </c>
      <c r="D99" s="769" t="str">
        <f t="shared" si="34"/>
        <v>-</v>
      </c>
      <c r="E99" s="769">
        <f t="shared" si="34"/>
        <v>9.9999999999999995E-7</v>
      </c>
      <c r="F99" s="769">
        <f t="shared" si="34"/>
        <v>9.9999999999999995E-7</v>
      </c>
      <c r="G99" s="769">
        <f t="shared" si="34"/>
        <v>0</v>
      </c>
      <c r="H99" s="770">
        <f t="shared" si="34"/>
        <v>1.4999999999999999E-2</v>
      </c>
      <c r="I99" s="771"/>
      <c r="J99" s="750"/>
      <c r="K99" s="1532"/>
      <c r="L99" s="759">
        <v>2</v>
      </c>
      <c r="M99" s="256">
        <f t="shared" ref="M99:R99" si="35">H15</f>
        <v>6000</v>
      </c>
      <c r="N99" s="256" t="str">
        <f t="shared" si="35"/>
        <v>-</v>
      </c>
      <c r="O99" s="256">
        <f t="shared" si="35"/>
        <v>9.9999999999999995E-7</v>
      </c>
      <c r="P99" s="256">
        <f t="shared" si="35"/>
        <v>9.9999999999999995E-7</v>
      </c>
      <c r="Q99" s="256">
        <f t="shared" si="35"/>
        <v>0</v>
      </c>
      <c r="R99" s="256">
        <f t="shared" si="35"/>
        <v>1.7999999999999998</v>
      </c>
      <c r="S99" s="758"/>
    </row>
    <row r="100" spans="1:19" ht="13" x14ac:dyDescent="0.3">
      <c r="A100" s="1532"/>
      <c r="B100" s="759">
        <v>3</v>
      </c>
      <c r="C100" s="769">
        <f t="shared" ref="C100:H100" si="36">O7</f>
        <v>50</v>
      </c>
      <c r="D100" s="769">
        <f t="shared" si="36"/>
        <v>0</v>
      </c>
      <c r="E100" s="769">
        <f t="shared" si="36"/>
        <v>9.9999999999999995E-7</v>
      </c>
      <c r="F100" s="769">
        <f t="shared" si="36"/>
        <v>9.9999999999999995E-7</v>
      </c>
      <c r="G100" s="769">
        <f t="shared" si="36"/>
        <v>0</v>
      </c>
      <c r="H100" s="770">
        <f t="shared" si="36"/>
        <v>1.4999999999999999E-2</v>
      </c>
      <c r="I100" s="771"/>
      <c r="J100" s="750"/>
      <c r="K100" s="1532"/>
      <c r="L100" s="759">
        <v>3</v>
      </c>
      <c r="M100" s="256">
        <f t="shared" ref="M100:R100" si="37">O15</f>
        <v>6000</v>
      </c>
      <c r="N100" s="256">
        <f t="shared" si="37"/>
        <v>0</v>
      </c>
      <c r="O100" s="256">
        <f t="shared" si="37"/>
        <v>9.9999999999999995E-7</v>
      </c>
      <c r="P100" s="256">
        <f t="shared" si="37"/>
        <v>9.9999999999999995E-7</v>
      </c>
      <c r="Q100" s="256">
        <f t="shared" si="37"/>
        <v>0</v>
      </c>
      <c r="R100" s="256">
        <f t="shared" si="37"/>
        <v>1.7999999999999998</v>
      </c>
      <c r="S100" s="758"/>
    </row>
    <row r="101" spans="1:19" ht="13" x14ac:dyDescent="0.3">
      <c r="A101" s="1532"/>
      <c r="B101" s="759">
        <v>4</v>
      </c>
      <c r="C101" s="769">
        <f t="shared" ref="C101:H101" si="38">A27</f>
        <v>50</v>
      </c>
      <c r="D101" s="769">
        <f t="shared" si="38"/>
        <v>1</v>
      </c>
      <c r="E101" s="769">
        <f t="shared" si="38"/>
        <v>1</v>
      </c>
      <c r="F101" s="769" t="str">
        <f t="shared" si="38"/>
        <v>-</v>
      </c>
      <c r="G101" s="769">
        <f t="shared" si="38"/>
        <v>4.8999999999999998E-3</v>
      </c>
      <c r="H101" s="770">
        <f t="shared" si="38"/>
        <v>1.47E-2</v>
      </c>
      <c r="I101" s="771"/>
      <c r="J101" s="750"/>
      <c r="K101" s="1532"/>
      <c r="L101" s="759">
        <v>4</v>
      </c>
      <c r="M101" s="256">
        <f t="shared" ref="M101:R101" si="39">A35</f>
        <v>6000</v>
      </c>
      <c r="N101" s="256">
        <f t="shared" si="39"/>
        <v>1</v>
      </c>
      <c r="O101" s="256">
        <f t="shared" si="39"/>
        <v>1</v>
      </c>
      <c r="P101" s="256" t="str">
        <f t="shared" si="39"/>
        <v>-</v>
      </c>
      <c r="Q101" s="256">
        <f t="shared" si="39"/>
        <v>0.59989999999999988</v>
      </c>
      <c r="R101" s="256">
        <f t="shared" si="39"/>
        <v>1.7996999999999999</v>
      </c>
      <c r="S101" s="758"/>
    </row>
    <row r="102" spans="1:19" ht="13" x14ac:dyDescent="0.3">
      <c r="A102" s="1532"/>
      <c r="B102" s="759">
        <v>5</v>
      </c>
      <c r="C102" s="769">
        <f t="shared" ref="C102:H102" si="40">H27</f>
        <v>50</v>
      </c>
      <c r="D102" s="769">
        <f t="shared" si="40"/>
        <v>0</v>
      </c>
      <c r="E102" s="769">
        <f t="shared" si="40"/>
        <v>9.9999999999999995E-7</v>
      </c>
      <c r="F102" s="769">
        <f t="shared" si="40"/>
        <v>9.9999999999999995E-7</v>
      </c>
      <c r="G102" s="769">
        <f t="shared" si="40"/>
        <v>0</v>
      </c>
      <c r="H102" s="770">
        <f t="shared" si="40"/>
        <v>1.4999999999999999E-2</v>
      </c>
      <c r="I102" s="771"/>
      <c r="J102" s="750"/>
      <c r="K102" s="1532"/>
      <c r="L102" s="759">
        <v>5</v>
      </c>
      <c r="M102" s="256">
        <f t="shared" ref="M102:R102" si="41">H35</f>
        <v>6000</v>
      </c>
      <c r="N102" s="256">
        <f t="shared" si="41"/>
        <v>-0.3</v>
      </c>
      <c r="O102" s="256">
        <f t="shared" si="41"/>
        <v>-0.3</v>
      </c>
      <c r="P102" s="256">
        <f t="shared" si="41"/>
        <v>-0.3</v>
      </c>
      <c r="Q102" s="256">
        <f t="shared" si="41"/>
        <v>0</v>
      </c>
      <c r="R102" s="256">
        <f t="shared" si="41"/>
        <v>1.80009</v>
      </c>
      <c r="S102" s="758"/>
    </row>
    <row r="103" spans="1:19" ht="13" x14ac:dyDescent="0.3">
      <c r="A103" s="1532"/>
      <c r="B103" s="759">
        <v>6</v>
      </c>
      <c r="C103" s="769">
        <f t="shared" ref="C103:H103" si="42">O$27</f>
        <v>50</v>
      </c>
      <c r="D103" s="769">
        <f t="shared" si="42"/>
        <v>0</v>
      </c>
      <c r="E103" s="769">
        <f t="shared" si="42"/>
        <v>0</v>
      </c>
      <c r="F103" s="769">
        <f t="shared" si="42"/>
        <v>9.9999999999999995E-7</v>
      </c>
      <c r="G103" s="769">
        <f t="shared" si="42"/>
        <v>4.9999999999999998E-7</v>
      </c>
      <c r="H103" s="770">
        <f t="shared" si="42"/>
        <v>1.4999999999999999E-2</v>
      </c>
      <c r="I103" s="771"/>
      <c r="J103" s="750"/>
      <c r="K103" s="1532"/>
      <c r="L103" s="759">
        <v>6</v>
      </c>
      <c r="M103" s="256">
        <f t="shared" ref="M103:R103" si="43">O$35</f>
        <v>6000</v>
      </c>
      <c r="N103" s="256">
        <f t="shared" si="43"/>
        <v>-0.3</v>
      </c>
      <c r="O103" s="256">
        <f t="shared" si="43"/>
        <v>-0.3</v>
      </c>
      <c r="P103" s="256">
        <f t="shared" si="43"/>
        <v>-0.3</v>
      </c>
      <c r="Q103" s="256">
        <f t="shared" si="43"/>
        <v>0</v>
      </c>
      <c r="R103" s="256">
        <f t="shared" si="43"/>
        <v>1.80009</v>
      </c>
      <c r="S103" s="758"/>
    </row>
    <row r="104" spans="1:19" ht="13" x14ac:dyDescent="0.3">
      <c r="A104" s="1532"/>
      <c r="B104" s="759">
        <v>7</v>
      </c>
      <c r="C104" s="769">
        <f t="shared" ref="C104:H104" si="44">A$47</f>
        <v>50</v>
      </c>
      <c r="D104" s="769">
        <f t="shared" si="44"/>
        <v>0</v>
      </c>
      <c r="E104" s="769">
        <f t="shared" si="44"/>
        <v>0</v>
      </c>
      <c r="F104" s="769">
        <f t="shared" si="44"/>
        <v>9.9999999999999995E-7</v>
      </c>
      <c r="G104" s="769">
        <f t="shared" si="44"/>
        <v>4.9999999999999998E-7</v>
      </c>
      <c r="H104" s="770">
        <f t="shared" si="44"/>
        <v>1.4999999999999999E-2</v>
      </c>
      <c r="I104" s="771"/>
      <c r="J104" s="750"/>
      <c r="K104" s="1532"/>
      <c r="L104" s="759">
        <v>7</v>
      </c>
      <c r="M104" s="256">
        <f t="shared" ref="M104:R104" si="45">A$55</f>
        <v>6000</v>
      </c>
      <c r="N104" s="256">
        <f t="shared" si="45"/>
        <v>-0.3</v>
      </c>
      <c r="O104" s="256">
        <f t="shared" si="45"/>
        <v>-0.4</v>
      </c>
      <c r="P104" s="256">
        <f t="shared" si="45"/>
        <v>-0.4</v>
      </c>
      <c r="Q104" s="256">
        <f t="shared" si="45"/>
        <v>0</v>
      </c>
      <c r="R104" s="256">
        <f t="shared" si="45"/>
        <v>1.80009</v>
      </c>
      <c r="S104" s="758"/>
    </row>
    <row r="105" spans="1:19" ht="13" x14ac:dyDescent="0.3">
      <c r="A105" s="1532"/>
      <c r="B105" s="759">
        <v>8</v>
      </c>
      <c r="C105" s="769">
        <f t="shared" ref="C105:H105" si="46">H47</f>
        <v>50</v>
      </c>
      <c r="D105" s="769" t="str">
        <f t="shared" si="46"/>
        <v>-</v>
      </c>
      <c r="E105" s="769" t="str">
        <f t="shared" si="46"/>
        <v>-</v>
      </c>
      <c r="F105" s="769" t="str">
        <f t="shared" si="46"/>
        <v>-</v>
      </c>
      <c r="G105" s="769" t="str">
        <f t="shared" si="46"/>
        <v>-</v>
      </c>
      <c r="H105" s="770" t="str">
        <f t="shared" si="46"/>
        <v>-</v>
      </c>
      <c r="I105" s="771"/>
      <c r="J105" s="750"/>
      <c r="K105" s="1532"/>
      <c r="L105" s="759">
        <v>8</v>
      </c>
      <c r="M105" s="256">
        <f t="shared" ref="M105:R105" si="47">H55</f>
        <v>6000</v>
      </c>
      <c r="N105" s="256" t="str">
        <f t="shared" si="47"/>
        <v>-</v>
      </c>
      <c r="O105" s="256" t="str">
        <f t="shared" si="47"/>
        <v>-</v>
      </c>
      <c r="P105" s="256" t="str">
        <f t="shared" si="47"/>
        <v>-</v>
      </c>
      <c r="Q105" s="256" t="str">
        <f t="shared" si="47"/>
        <v>-</v>
      </c>
      <c r="R105" s="256" t="str">
        <f t="shared" si="47"/>
        <v>-</v>
      </c>
      <c r="S105" s="758"/>
    </row>
    <row r="106" spans="1:19" ht="13" x14ac:dyDescent="0.3">
      <c r="A106" s="1532"/>
      <c r="B106" s="759">
        <v>9</v>
      </c>
      <c r="C106" s="769">
        <f t="shared" ref="C106:H106" si="48">O47</f>
        <v>50</v>
      </c>
      <c r="D106" s="769" t="str">
        <f t="shared" si="48"/>
        <v>-</v>
      </c>
      <c r="E106" s="769" t="str">
        <f t="shared" si="48"/>
        <v>-</v>
      </c>
      <c r="F106" s="769" t="str">
        <f t="shared" si="48"/>
        <v>-</v>
      </c>
      <c r="G106" s="769" t="str">
        <f t="shared" si="48"/>
        <v>-</v>
      </c>
      <c r="H106" s="770" t="str">
        <f t="shared" si="48"/>
        <v>-</v>
      </c>
      <c r="I106" s="771"/>
      <c r="J106" s="750"/>
      <c r="K106" s="1532"/>
      <c r="L106" s="759">
        <v>9</v>
      </c>
      <c r="M106" s="256">
        <f t="shared" ref="M106:R106" si="49">O55</f>
        <v>6000</v>
      </c>
      <c r="N106" s="256" t="str">
        <f t="shared" si="49"/>
        <v>-</v>
      </c>
      <c r="O106" s="256" t="str">
        <f t="shared" si="49"/>
        <v>-</v>
      </c>
      <c r="P106" s="256" t="str">
        <f t="shared" si="49"/>
        <v>-</v>
      </c>
      <c r="Q106" s="256" t="str">
        <f t="shared" si="49"/>
        <v>-</v>
      </c>
      <c r="R106" s="256" t="str">
        <f t="shared" si="49"/>
        <v>-</v>
      </c>
      <c r="S106" s="758"/>
    </row>
    <row r="107" spans="1:19" ht="13.5" thickBot="1" x14ac:dyDescent="0.35">
      <c r="A107" s="1533"/>
      <c r="B107" s="761">
        <v>10</v>
      </c>
      <c r="C107" s="772">
        <f t="shared" ref="C107:H107" si="50">A67</f>
        <v>50</v>
      </c>
      <c r="D107" s="772" t="str">
        <f t="shared" si="50"/>
        <v>-</v>
      </c>
      <c r="E107" s="772" t="str">
        <f t="shared" si="50"/>
        <v>-</v>
      </c>
      <c r="F107" s="772" t="str">
        <f t="shared" si="50"/>
        <v>-</v>
      </c>
      <c r="G107" s="772" t="str">
        <f t="shared" si="50"/>
        <v>-</v>
      </c>
      <c r="H107" s="773" t="str">
        <f t="shared" si="50"/>
        <v>-</v>
      </c>
      <c r="I107" s="774"/>
      <c r="J107" s="750"/>
      <c r="K107" s="1533"/>
      <c r="L107" s="761">
        <v>10</v>
      </c>
      <c r="M107" s="775">
        <f t="shared" ref="M107:R107" si="51">A75</f>
        <v>6000</v>
      </c>
      <c r="N107" s="775" t="str">
        <f t="shared" si="51"/>
        <v>-</v>
      </c>
      <c r="O107" s="775" t="str">
        <f t="shared" si="51"/>
        <v>-</v>
      </c>
      <c r="P107" s="775" t="str">
        <f t="shared" si="51"/>
        <v>-</v>
      </c>
      <c r="Q107" s="775" t="str">
        <f t="shared" si="51"/>
        <v>-</v>
      </c>
      <c r="R107" s="775" t="str">
        <f t="shared" si="51"/>
        <v>-</v>
      </c>
      <c r="S107" s="776"/>
    </row>
    <row r="108" spans="1:19" ht="13" x14ac:dyDescent="0.25">
      <c r="A108" s="1561" t="s">
        <v>89</v>
      </c>
      <c r="B108" s="765">
        <v>1</v>
      </c>
      <c r="C108" s="777">
        <f t="shared" ref="C108:H108" si="52">A8</f>
        <v>100</v>
      </c>
      <c r="D108" s="777">
        <f t="shared" si="52"/>
        <v>1</v>
      </c>
      <c r="E108" s="777">
        <f t="shared" si="52"/>
        <v>0</v>
      </c>
      <c r="F108" s="777">
        <f t="shared" si="52"/>
        <v>1</v>
      </c>
      <c r="G108" s="777">
        <f t="shared" si="52"/>
        <v>0.5</v>
      </c>
      <c r="H108" s="778">
        <f t="shared" si="52"/>
        <v>0.03</v>
      </c>
      <c r="I108" s="779"/>
      <c r="J108" s="750"/>
      <c r="K108" s="1531" t="s">
        <v>475</v>
      </c>
      <c r="L108" s="765">
        <v>1</v>
      </c>
      <c r="M108" s="777">
        <f t="shared" ref="M108:R108" si="53">A16</f>
        <v>7000</v>
      </c>
      <c r="N108" s="777">
        <f t="shared" si="53"/>
        <v>0</v>
      </c>
      <c r="O108" s="777">
        <f t="shared" si="53"/>
        <v>0</v>
      </c>
      <c r="P108" s="777" t="str">
        <f t="shared" si="53"/>
        <v>-</v>
      </c>
      <c r="Q108" s="777">
        <f t="shared" si="53"/>
        <v>0.69999999999999984</v>
      </c>
      <c r="R108" s="777">
        <f t="shared" si="53"/>
        <v>2.0999999999999996</v>
      </c>
      <c r="S108" s="780"/>
    </row>
    <row r="109" spans="1:19" ht="13" x14ac:dyDescent="0.25">
      <c r="A109" s="1562"/>
      <c r="B109" s="759">
        <v>2</v>
      </c>
      <c r="C109" s="485">
        <f t="shared" ref="C109:H109" si="54">H8</f>
        <v>100</v>
      </c>
      <c r="D109" s="485" t="str">
        <f t="shared" si="54"/>
        <v>-</v>
      </c>
      <c r="E109" s="485">
        <f t="shared" si="54"/>
        <v>1</v>
      </c>
      <c r="F109" s="485">
        <f t="shared" si="54"/>
        <v>9.9999999999999995E-7</v>
      </c>
      <c r="G109" s="485">
        <f t="shared" si="54"/>
        <v>0.49999949999999999</v>
      </c>
      <c r="H109" s="781">
        <f t="shared" si="54"/>
        <v>0.03</v>
      </c>
      <c r="I109" s="782"/>
      <c r="J109" s="750"/>
      <c r="K109" s="1532"/>
      <c r="L109" s="759">
        <v>2</v>
      </c>
      <c r="M109" s="485">
        <f t="shared" ref="M109:R109" si="55">H16</f>
        <v>7000</v>
      </c>
      <c r="N109" s="485" t="str">
        <f t="shared" si="55"/>
        <v>-</v>
      </c>
      <c r="O109" s="485" t="str">
        <f t="shared" si="55"/>
        <v>-</v>
      </c>
      <c r="P109" s="485">
        <f t="shared" si="55"/>
        <v>9.9999999999999995E-7</v>
      </c>
      <c r="Q109" s="485">
        <f t="shared" si="55"/>
        <v>0.69999999999999984</v>
      </c>
      <c r="R109" s="485">
        <f t="shared" si="55"/>
        <v>2.0999999999999996</v>
      </c>
      <c r="S109" s="783"/>
    </row>
    <row r="110" spans="1:19" ht="13" x14ac:dyDescent="0.25">
      <c r="A110" s="1562"/>
      <c r="B110" s="759">
        <v>3</v>
      </c>
      <c r="C110" s="485">
        <f t="shared" ref="C110:H110" si="56">O8</f>
        <v>100</v>
      </c>
      <c r="D110" s="485">
        <f t="shared" si="56"/>
        <v>1</v>
      </c>
      <c r="E110" s="485">
        <f t="shared" si="56"/>
        <v>9.9999999999999995E-7</v>
      </c>
      <c r="F110" s="485">
        <f t="shared" si="56"/>
        <v>9.9999999999999995E-7</v>
      </c>
      <c r="G110" s="485">
        <f t="shared" si="56"/>
        <v>0</v>
      </c>
      <c r="H110" s="781">
        <f t="shared" si="56"/>
        <v>0.03</v>
      </c>
      <c r="I110" s="782"/>
      <c r="J110" s="750"/>
      <c r="K110" s="1532"/>
      <c r="L110" s="759">
        <v>3</v>
      </c>
      <c r="M110" s="485">
        <f t="shared" ref="M110:R110" si="57">O16</f>
        <v>7000</v>
      </c>
      <c r="N110" s="485">
        <f t="shared" si="57"/>
        <v>0</v>
      </c>
      <c r="O110" s="485">
        <f t="shared" si="57"/>
        <v>9.9999999999999995E-7</v>
      </c>
      <c r="P110" s="485">
        <f t="shared" si="57"/>
        <v>9.9999999999999995E-7</v>
      </c>
      <c r="Q110" s="485">
        <f t="shared" si="57"/>
        <v>0</v>
      </c>
      <c r="R110" s="485">
        <f t="shared" si="57"/>
        <v>2.0999999999999996</v>
      </c>
      <c r="S110" s="783"/>
    </row>
    <row r="111" spans="1:19" ht="13" x14ac:dyDescent="0.25">
      <c r="A111" s="1562"/>
      <c r="B111" s="759">
        <v>4</v>
      </c>
      <c r="C111" s="485">
        <f t="shared" ref="C111:H111" si="58">A28</f>
        <v>100</v>
      </c>
      <c r="D111" s="485">
        <f t="shared" si="58"/>
        <v>1</v>
      </c>
      <c r="E111" s="485">
        <f t="shared" si="58"/>
        <v>1</v>
      </c>
      <c r="F111" s="485" t="str">
        <f t="shared" si="58"/>
        <v>-</v>
      </c>
      <c r="G111" s="485">
        <f t="shared" si="58"/>
        <v>9.8999999999999991E-3</v>
      </c>
      <c r="H111" s="781">
        <f t="shared" si="58"/>
        <v>2.9699999999999997E-2</v>
      </c>
      <c r="I111" s="782"/>
      <c r="J111" s="750"/>
      <c r="K111" s="1532"/>
      <c r="L111" s="759">
        <v>4</v>
      </c>
      <c r="M111" s="485">
        <f t="shared" ref="M111:R111" si="59">A36</f>
        <v>7000</v>
      </c>
      <c r="N111" s="485">
        <f t="shared" si="59"/>
        <v>1</v>
      </c>
      <c r="O111" s="485">
        <f t="shared" si="59"/>
        <v>1</v>
      </c>
      <c r="P111" s="485" t="str">
        <f t="shared" si="59"/>
        <v>-</v>
      </c>
      <c r="Q111" s="485">
        <f t="shared" si="59"/>
        <v>0.69989999999999997</v>
      </c>
      <c r="R111" s="485">
        <f t="shared" si="59"/>
        <v>2.0996999999999999</v>
      </c>
      <c r="S111" s="783"/>
    </row>
    <row r="112" spans="1:19" ht="13" x14ac:dyDescent="0.25">
      <c r="A112" s="1562"/>
      <c r="B112" s="759">
        <v>5</v>
      </c>
      <c r="C112" s="485">
        <f t="shared" ref="C112:H112" si="60">H28</f>
        <v>100</v>
      </c>
      <c r="D112" s="485">
        <f t="shared" si="60"/>
        <v>0</v>
      </c>
      <c r="E112" s="485">
        <f t="shared" si="60"/>
        <v>9.9999999999999995E-7</v>
      </c>
      <c r="F112" s="485">
        <f t="shared" si="60"/>
        <v>9.9999999999999995E-7</v>
      </c>
      <c r="G112" s="485">
        <f t="shared" si="60"/>
        <v>0</v>
      </c>
      <c r="H112" s="781">
        <f t="shared" si="60"/>
        <v>0.03</v>
      </c>
      <c r="I112" s="782"/>
      <c r="J112" s="750"/>
      <c r="K112" s="1532"/>
      <c r="L112" s="759">
        <v>5</v>
      </c>
      <c r="M112" s="485">
        <f t="shared" ref="M112:R112" si="61">H36</f>
        <v>7000</v>
      </c>
      <c r="N112" s="485">
        <f t="shared" si="61"/>
        <v>-0.4</v>
      </c>
      <c r="O112" s="485">
        <f t="shared" si="61"/>
        <v>-0.4</v>
      </c>
      <c r="P112" s="485">
        <f t="shared" si="61"/>
        <v>-0.3</v>
      </c>
      <c r="Q112" s="485">
        <f t="shared" si="61"/>
        <v>5.0000000000000017E-2</v>
      </c>
      <c r="R112" s="485">
        <f t="shared" si="61"/>
        <v>2.1001199999999995</v>
      </c>
      <c r="S112" s="784"/>
    </row>
    <row r="113" spans="1:19" ht="13" x14ac:dyDescent="0.25">
      <c r="A113" s="1562"/>
      <c r="B113" s="759">
        <v>6</v>
      </c>
      <c r="C113" s="485">
        <f t="shared" ref="C113:H113" si="62">O$28</f>
        <v>100</v>
      </c>
      <c r="D113" s="485">
        <f t="shared" si="62"/>
        <v>0</v>
      </c>
      <c r="E113" s="485">
        <f t="shared" si="62"/>
        <v>0.1</v>
      </c>
      <c r="F113" s="485">
        <f t="shared" si="62"/>
        <v>9.9999999999999995E-7</v>
      </c>
      <c r="G113" s="485">
        <f t="shared" si="62"/>
        <v>4.9999500000000002E-2</v>
      </c>
      <c r="H113" s="781">
        <f t="shared" si="62"/>
        <v>0.03</v>
      </c>
      <c r="I113" s="782"/>
      <c r="J113" s="750"/>
      <c r="K113" s="1532"/>
      <c r="L113" s="759">
        <v>6</v>
      </c>
      <c r="M113" s="485">
        <f t="shared" ref="M113:R113" si="63">O$36</f>
        <v>7000</v>
      </c>
      <c r="N113" s="485">
        <f t="shared" si="63"/>
        <v>-0.2</v>
      </c>
      <c r="O113" s="485">
        <f t="shared" si="63"/>
        <v>-0.4</v>
      </c>
      <c r="P113" s="485">
        <f t="shared" si="63"/>
        <v>-0.3</v>
      </c>
      <c r="Q113" s="485">
        <f t="shared" si="63"/>
        <v>5.0000000000000017E-2</v>
      </c>
      <c r="R113" s="485">
        <f t="shared" si="63"/>
        <v>2.1000599999999996</v>
      </c>
      <c r="S113" s="783"/>
    </row>
    <row r="114" spans="1:19" ht="13" x14ac:dyDescent="0.25">
      <c r="A114" s="1562"/>
      <c r="B114" s="759">
        <v>7</v>
      </c>
      <c r="C114" s="485">
        <f t="shared" ref="C114:H114" si="64">A$48</f>
        <v>100</v>
      </c>
      <c r="D114" s="485">
        <f t="shared" si="64"/>
        <v>0</v>
      </c>
      <c r="E114" s="485">
        <f t="shared" si="64"/>
        <v>0</v>
      </c>
      <c r="F114" s="485">
        <f t="shared" si="64"/>
        <v>9.9999999999999995E-7</v>
      </c>
      <c r="G114" s="485">
        <f t="shared" si="64"/>
        <v>4.9999999999999998E-7</v>
      </c>
      <c r="H114" s="781">
        <f t="shared" si="64"/>
        <v>0.03</v>
      </c>
      <c r="I114" s="782"/>
      <c r="J114" s="750"/>
      <c r="K114" s="1532"/>
      <c r="L114" s="759">
        <v>7</v>
      </c>
      <c r="M114" s="485">
        <f t="shared" ref="M114:R114" si="65">A$56</f>
        <v>7000</v>
      </c>
      <c r="N114" s="485">
        <f t="shared" si="65"/>
        <v>-0.2</v>
      </c>
      <c r="O114" s="485">
        <f t="shared" si="65"/>
        <v>-0.5</v>
      </c>
      <c r="P114" s="485">
        <f t="shared" si="65"/>
        <v>-0.5</v>
      </c>
      <c r="Q114" s="485">
        <f t="shared" si="65"/>
        <v>0</v>
      </c>
      <c r="R114" s="485">
        <f t="shared" si="65"/>
        <v>2.1000599999999996</v>
      </c>
      <c r="S114" s="783"/>
    </row>
    <row r="115" spans="1:19" ht="13" x14ac:dyDescent="0.25">
      <c r="A115" s="1562"/>
      <c r="B115" s="759">
        <v>8</v>
      </c>
      <c r="C115" s="485">
        <f t="shared" ref="C115:H115" si="66">H48</f>
        <v>100</v>
      </c>
      <c r="D115" s="485" t="str">
        <f t="shared" si="66"/>
        <v>-</v>
      </c>
      <c r="E115" s="485" t="str">
        <f t="shared" si="66"/>
        <v>-</v>
      </c>
      <c r="F115" s="485" t="str">
        <f t="shared" si="66"/>
        <v>-</v>
      </c>
      <c r="G115" s="485" t="str">
        <f t="shared" si="66"/>
        <v>-</v>
      </c>
      <c r="H115" s="781" t="str">
        <f t="shared" si="66"/>
        <v>-</v>
      </c>
      <c r="I115" s="782"/>
      <c r="J115" s="750"/>
      <c r="K115" s="1532"/>
      <c r="L115" s="759">
        <v>8</v>
      </c>
      <c r="M115" s="485">
        <f t="shared" ref="M115:R115" si="67">H56</f>
        <v>7000</v>
      </c>
      <c r="N115" s="485" t="str">
        <f t="shared" si="67"/>
        <v>-</v>
      </c>
      <c r="O115" s="485" t="str">
        <f t="shared" si="67"/>
        <v>-</v>
      </c>
      <c r="P115" s="485" t="str">
        <f t="shared" si="67"/>
        <v>-</v>
      </c>
      <c r="Q115" s="485" t="str">
        <f t="shared" si="67"/>
        <v>-</v>
      </c>
      <c r="R115" s="485" t="str">
        <f t="shared" si="67"/>
        <v>-</v>
      </c>
      <c r="S115" s="783"/>
    </row>
    <row r="116" spans="1:19" ht="13" x14ac:dyDescent="0.25">
      <c r="A116" s="1562"/>
      <c r="B116" s="759">
        <v>9</v>
      </c>
      <c r="C116" s="485">
        <f t="shared" ref="C116:H116" si="68">O48</f>
        <v>100</v>
      </c>
      <c r="D116" s="485" t="str">
        <f t="shared" si="68"/>
        <v>-</v>
      </c>
      <c r="E116" s="485" t="str">
        <f t="shared" si="68"/>
        <v>-</v>
      </c>
      <c r="F116" s="485" t="str">
        <f t="shared" si="68"/>
        <v>-</v>
      </c>
      <c r="G116" s="485" t="str">
        <f t="shared" si="68"/>
        <v>-</v>
      </c>
      <c r="H116" s="781" t="str">
        <f t="shared" si="68"/>
        <v>-</v>
      </c>
      <c r="I116" s="782"/>
      <c r="J116" s="750"/>
      <c r="K116" s="1532"/>
      <c r="L116" s="759">
        <v>9</v>
      </c>
      <c r="M116" s="485">
        <f t="shared" ref="M116:R116" si="69">O56</f>
        <v>7000</v>
      </c>
      <c r="N116" s="485" t="str">
        <f t="shared" si="69"/>
        <v>-</v>
      </c>
      <c r="O116" s="485" t="str">
        <f t="shared" si="69"/>
        <v>-</v>
      </c>
      <c r="P116" s="485" t="str">
        <f t="shared" si="69"/>
        <v>-</v>
      </c>
      <c r="Q116" s="485" t="str">
        <f t="shared" si="69"/>
        <v>-</v>
      </c>
      <c r="R116" s="485" t="str">
        <f t="shared" si="69"/>
        <v>-</v>
      </c>
      <c r="S116" s="783"/>
    </row>
    <row r="117" spans="1:19" ht="13.5" thickBot="1" x14ac:dyDescent="0.3">
      <c r="A117" s="1563"/>
      <c r="B117" s="761">
        <v>10</v>
      </c>
      <c r="C117" s="486">
        <f t="shared" ref="C117:H117" si="70">A68</f>
        <v>100</v>
      </c>
      <c r="D117" s="486" t="str">
        <f t="shared" si="70"/>
        <v>-</v>
      </c>
      <c r="E117" s="486" t="str">
        <f t="shared" si="70"/>
        <v>-</v>
      </c>
      <c r="F117" s="486" t="str">
        <f t="shared" si="70"/>
        <v>-</v>
      </c>
      <c r="G117" s="486" t="str">
        <f t="shared" si="70"/>
        <v>-</v>
      </c>
      <c r="H117" s="785" t="str">
        <f t="shared" si="70"/>
        <v>-</v>
      </c>
      <c r="I117" s="786"/>
      <c r="J117" s="750"/>
      <c r="K117" s="1533"/>
      <c r="L117" s="761">
        <v>10</v>
      </c>
      <c r="M117" s="486">
        <f t="shared" ref="M117:R117" si="71">A76</f>
        <v>7000</v>
      </c>
      <c r="N117" s="486" t="str">
        <f t="shared" si="71"/>
        <v>-</v>
      </c>
      <c r="O117" s="486" t="str">
        <f t="shared" si="71"/>
        <v>-</v>
      </c>
      <c r="P117" s="486" t="str">
        <f t="shared" si="71"/>
        <v>-</v>
      </c>
      <c r="Q117" s="486" t="str">
        <f t="shared" si="71"/>
        <v>-</v>
      </c>
      <c r="R117" s="486" t="str">
        <f t="shared" si="71"/>
        <v>-</v>
      </c>
      <c r="S117" s="787"/>
    </row>
    <row r="118" spans="1:19" ht="13" x14ac:dyDescent="0.3">
      <c r="A118" s="1564" t="s">
        <v>90</v>
      </c>
      <c r="B118" s="765">
        <v>1</v>
      </c>
      <c r="C118" s="129">
        <f t="shared" ref="C118:H118" si="72">A9</f>
        <v>200</v>
      </c>
      <c r="D118" s="129">
        <f t="shared" si="72"/>
        <v>0</v>
      </c>
      <c r="E118" s="129">
        <f t="shared" si="72"/>
        <v>0</v>
      </c>
      <c r="F118" s="129">
        <f t="shared" si="72"/>
        <v>9.9999999999999995E-7</v>
      </c>
      <c r="G118" s="129">
        <f t="shared" si="72"/>
        <v>4.9999999999999998E-7</v>
      </c>
      <c r="H118" s="688">
        <f t="shared" si="72"/>
        <v>0.06</v>
      </c>
      <c r="I118" s="788"/>
      <c r="J118" s="750"/>
      <c r="K118" s="1531" t="s">
        <v>476</v>
      </c>
      <c r="L118" s="765">
        <v>1</v>
      </c>
      <c r="M118" s="284">
        <f t="shared" ref="M118:R118" si="73">A17</f>
        <v>8000</v>
      </c>
      <c r="N118" s="284">
        <f t="shared" si="73"/>
        <v>0</v>
      </c>
      <c r="O118" s="284">
        <f t="shared" si="73"/>
        <v>0</v>
      </c>
      <c r="P118" s="284" t="str">
        <f t="shared" si="73"/>
        <v>-</v>
      </c>
      <c r="Q118" s="284">
        <f t="shared" si="73"/>
        <v>0.79999999999999993</v>
      </c>
      <c r="R118" s="284">
        <f t="shared" si="73"/>
        <v>2.4</v>
      </c>
      <c r="S118" s="780"/>
    </row>
    <row r="119" spans="1:19" ht="13" x14ac:dyDescent="0.3">
      <c r="A119" s="1529"/>
      <c r="B119" s="759">
        <v>2</v>
      </c>
      <c r="C119" s="127">
        <f t="shared" ref="C119:H119" si="74">H9</f>
        <v>200</v>
      </c>
      <c r="D119" s="127" t="str">
        <f t="shared" si="74"/>
        <v>-</v>
      </c>
      <c r="E119" s="127">
        <f t="shared" si="74"/>
        <v>9.9999999999999995E-7</v>
      </c>
      <c r="F119" s="127">
        <f t="shared" si="74"/>
        <v>9.9999999999999995E-7</v>
      </c>
      <c r="G119" s="127">
        <f t="shared" si="74"/>
        <v>0</v>
      </c>
      <c r="H119" s="689">
        <f t="shared" si="74"/>
        <v>0.06</v>
      </c>
      <c r="I119" s="760"/>
      <c r="J119" s="750"/>
      <c r="K119" s="1532"/>
      <c r="L119" s="759">
        <v>2</v>
      </c>
      <c r="M119" s="256">
        <f t="shared" ref="M119:R119" si="75">H17</f>
        <v>8000</v>
      </c>
      <c r="N119" s="256" t="str">
        <f t="shared" si="75"/>
        <v>-</v>
      </c>
      <c r="O119" s="256" t="str">
        <f t="shared" si="75"/>
        <v>-</v>
      </c>
      <c r="P119" s="256" t="str">
        <f t="shared" si="75"/>
        <v>-</v>
      </c>
      <c r="Q119" s="256">
        <f t="shared" si="75"/>
        <v>0.79999999999999993</v>
      </c>
      <c r="R119" s="256">
        <f t="shared" si="75"/>
        <v>2.4</v>
      </c>
      <c r="S119" s="783"/>
    </row>
    <row r="120" spans="1:19" ht="13" x14ac:dyDescent="0.3">
      <c r="A120" s="1529"/>
      <c r="B120" s="759">
        <v>3</v>
      </c>
      <c r="C120" s="127">
        <f t="shared" ref="C120:H120" si="76">O9</f>
        <v>200</v>
      </c>
      <c r="D120" s="127">
        <f t="shared" si="76"/>
        <v>0</v>
      </c>
      <c r="E120" s="127">
        <f t="shared" si="76"/>
        <v>9.9999999999999995E-7</v>
      </c>
      <c r="F120" s="127">
        <f t="shared" si="76"/>
        <v>9.9999999999999995E-7</v>
      </c>
      <c r="G120" s="127">
        <f t="shared" si="76"/>
        <v>0</v>
      </c>
      <c r="H120" s="689">
        <f t="shared" si="76"/>
        <v>0.06</v>
      </c>
      <c r="I120" s="760"/>
      <c r="J120" s="750"/>
      <c r="K120" s="1532"/>
      <c r="L120" s="759">
        <v>3</v>
      </c>
      <c r="M120" s="256">
        <f t="shared" ref="M120:R120" si="77">O17</f>
        <v>8000</v>
      </c>
      <c r="N120" s="256">
        <f t="shared" si="77"/>
        <v>0</v>
      </c>
      <c r="O120" s="256">
        <f t="shared" si="77"/>
        <v>9.9999999999999995E-7</v>
      </c>
      <c r="P120" s="256" t="str">
        <f t="shared" si="77"/>
        <v>-</v>
      </c>
      <c r="Q120" s="256">
        <f t="shared" si="77"/>
        <v>0.79999999999999993</v>
      </c>
      <c r="R120" s="256">
        <f t="shared" si="77"/>
        <v>2.4</v>
      </c>
      <c r="S120" s="783"/>
    </row>
    <row r="121" spans="1:19" ht="13" x14ac:dyDescent="0.3">
      <c r="A121" s="1529"/>
      <c r="B121" s="759">
        <v>4</v>
      </c>
      <c r="C121" s="127">
        <f t="shared" ref="C121:H121" si="78">A29</f>
        <v>200</v>
      </c>
      <c r="D121" s="127">
        <f t="shared" si="78"/>
        <v>1</v>
      </c>
      <c r="E121" s="127">
        <f t="shared" si="78"/>
        <v>1</v>
      </c>
      <c r="F121" s="127">
        <f t="shared" si="78"/>
        <v>9.9999999999999995E-7</v>
      </c>
      <c r="G121" s="127">
        <f t="shared" si="78"/>
        <v>0.49999949999999999</v>
      </c>
      <c r="H121" s="689">
        <f t="shared" si="78"/>
        <v>5.9699999999999996E-2</v>
      </c>
      <c r="I121" s="760"/>
      <c r="J121" s="750"/>
      <c r="K121" s="1532"/>
      <c r="L121" s="759">
        <v>4</v>
      </c>
      <c r="M121" s="256">
        <f t="shared" ref="M121:R121" si="79">A37</f>
        <v>8000</v>
      </c>
      <c r="N121" s="256">
        <f t="shared" si="79"/>
        <v>1</v>
      </c>
      <c r="O121" s="256">
        <f t="shared" si="79"/>
        <v>1</v>
      </c>
      <c r="P121" s="256" t="str">
        <f t="shared" si="79"/>
        <v>-</v>
      </c>
      <c r="Q121" s="256">
        <f t="shared" si="79"/>
        <v>0.79989999999999983</v>
      </c>
      <c r="R121" s="256">
        <f t="shared" si="79"/>
        <v>2.3996999999999997</v>
      </c>
      <c r="S121" s="783"/>
    </row>
    <row r="122" spans="1:19" ht="13" x14ac:dyDescent="0.3">
      <c r="A122" s="1529"/>
      <c r="B122" s="759">
        <v>5</v>
      </c>
      <c r="C122" s="127">
        <f t="shared" ref="C122:H122" si="80">H29</f>
        <v>200</v>
      </c>
      <c r="D122" s="127">
        <f t="shared" si="80"/>
        <v>0</v>
      </c>
      <c r="E122" s="127">
        <f t="shared" si="80"/>
        <v>9.9999999999999995E-7</v>
      </c>
      <c r="F122" s="127">
        <f t="shared" si="80"/>
        <v>9.9999999999999995E-7</v>
      </c>
      <c r="G122" s="127">
        <f t="shared" si="80"/>
        <v>0</v>
      </c>
      <c r="H122" s="689">
        <f t="shared" si="80"/>
        <v>0.06</v>
      </c>
      <c r="I122" s="760"/>
      <c r="J122" s="750"/>
      <c r="K122" s="1532"/>
      <c r="L122" s="759">
        <v>5</v>
      </c>
      <c r="M122" s="256">
        <f t="shared" ref="M122:R122" si="81">H37</f>
        <v>8000</v>
      </c>
      <c r="N122" s="256">
        <f t="shared" si="81"/>
        <v>-0.4</v>
      </c>
      <c r="O122" s="256" t="str">
        <f t="shared" si="81"/>
        <v>-</v>
      </c>
      <c r="P122" s="256">
        <f t="shared" si="81"/>
        <v>-0.3</v>
      </c>
      <c r="Q122" s="256">
        <f t="shared" si="81"/>
        <v>0.80003999999999986</v>
      </c>
      <c r="R122" s="256">
        <f t="shared" si="81"/>
        <v>2.4001199999999998</v>
      </c>
      <c r="S122" s="784"/>
    </row>
    <row r="123" spans="1:19" ht="13" x14ac:dyDescent="0.3">
      <c r="A123" s="1529"/>
      <c r="B123" s="759">
        <v>6</v>
      </c>
      <c r="C123" s="127">
        <f t="shared" ref="C123:H123" si="82">O$29</f>
        <v>200</v>
      </c>
      <c r="D123" s="127">
        <f t="shared" si="82"/>
        <v>0</v>
      </c>
      <c r="E123" s="127">
        <f t="shared" si="82"/>
        <v>0</v>
      </c>
      <c r="F123" s="127">
        <f t="shared" si="82"/>
        <v>9.9999999999999995E-7</v>
      </c>
      <c r="G123" s="127">
        <f t="shared" si="82"/>
        <v>4.9999999999999998E-7</v>
      </c>
      <c r="H123" s="689">
        <f t="shared" si="82"/>
        <v>0.06</v>
      </c>
      <c r="I123" s="760"/>
      <c r="J123" s="750"/>
      <c r="K123" s="1532"/>
      <c r="L123" s="759">
        <v>6</v>
      </c>
      <c r="M123" s="256">
        <f t="shared" ref="M123:R123" si="83">O$37</f>
        <v>8000</v>
      </c>
      <c r="N123" s="256">
        <f t="shared" si="83"/>
        <v>-0.4</v>
      </c>
      <c r="O123" s="256">
        <f t="shared" si="83"/>
        <v>-0.4</v>
      </c>
      <c r="P123" s="256" t="str">
        <f t="shared" si="83"/>
        <v>-</v>
      </c>
      <c r="Q123" s="256">
        <f t="shared" si="83"/>
        <v>0.80003999999999986</v>
      </c>
      <c r="R123" s="256">
        <f t="shared" si="83"/>
        <v>2.4001199999999998</v>
      </c>
      <c r="S123" s="783"/>
    </row>
    <row r="124" spans="1:19" ht="13" x14ac:dyDescent="0.3">
      <c r="A124" s="1529"/>
      <c r="B124" s="759">
        <v>7</v>
      </c>
      <c r="C124" s="127">
        <f t="shared" ref="C124:H124" si="84">A$49</f>
        <v>200</v>
      </c>
      <c r="D124" s="127">
        <f t="shared" si="84"/>
        <v>0</v>
      </c>
      <c r="E124" s="127">
        <f t="shared" si="84"/>
        <v>0</v>
      </c>
      <c r="F124" s="127">
        <f t="shared" si="84"/>
        <v>9.9999999999999995E-7</v>
      </c>
      <c r="G124" s="127">
        <f t="shared" si="84"/>
        <v>4.9999999999999998E-7</v>
      </c>
      <c r="H124" s="689">
        <f t="shared" si="84"/>
        <v>0.06</v>
      </c>
      <c r="I124" s="760"/>
      <c r="J124" s="750"/>
      <c r="K124" s="1532"/>
      <c r="L124" s="759">
        <v>7</v>
      </c>
      <c r="M124" s="256">
        <f t="shared" ref="M124:R124" si="85">A$57</f>
        <v>8000</v>
      </c>
      <c r="N124" s="256">
        <f t="shared" si="85"/>
        <v>-0.4</v>
      </c>
      <c r="O124" s="256">
        <f t="shared" si="85"/>
        <v>-0.6</v>
      </c>
      <c r="P124" s="256" t="str">
        <f t="shared" si="85"/>
        <v>-</v>
      </c>
      <c r="Q124" s="256">
        <f t="shared" si="85"/>
        <v>0.80003999999999986</v>
      </c>
      <c r="R124" s="256">
        <f t="shared" si="85"/>
        <v>2.4001199999999998</v>
      </c>
      <c r="S124" s="783"/>
    </row>
    <row r="125" spans="1:19" ht="13" x14ac:dyDescent="0.3">
      <c r="A125" s="1529"/>
      <c r="B125" s="759">
        <v>8</v>
      </c>
      <c r="C125" s="127">
        <f t="shared" ref="C125:H125" si="86">H49</f>
        <v>200</v>
      </c>
      <c r="D125" s="127" t="str">
        <f t="shared" si="86"/>
        <v>-</v>
      </c>
      <c r="E125" s="127" t="str">
        <f t="shared" si="86"/>
        <v>-</v>
      </c>
      <c r="F125" s="127" t="str">
        <f t="shared" si="86"/>
        <v>-</v>
      </c>
      <c r="G125" s="127" t="str">
        <f t="shared" si="86"/>
        <v>-</v>
      </c>
      <c r="H125" s="689" t="str">
        <f t="shared" si="86"/>
        <v>-</v>
      </c>
      <c r="I125" s="760"/>
      <c r="J125" s="750"/>
      <c r="K125" s="1532"/>
      <c r="L125" s="759">
        <v>8</v>
      </c>
      <c r="M125" s="256">
        <f t="shared" ref="M125:R125" si="87">H57</f>
        <v>8000</v>
      </c>
      <c r="N125" s="256" t="str">
        <f t="shared" si="87"/>
        <v>-</v>
      </c>
      <c r="O125" s="256" t="str">
        <f t="shared" si="87"/>
        <v>-</v>
      </c>
      <c r="P125" s="256" t="str">
        <f t="shared" si="87"/>
        <v>-</v>
      </c>
      <c r="Q125" s="256" t="str">
        <f t="shared" si="87"/>
        <v>-</v>
      </c>
      <c r="R125" s="256" t="str">
        <f t="shared" si="87"/>
        <v>-</v>
      </c>
      <c r="S125" s="783"/>
    </row>
    <row r="126" spans="1:19" ht="13" x14ac:dyDescent="0.3">
      <c r="A126" s="1529"/>
      <c r="B126" s="759">
        <v>9</v>
      </c>
      <c r="C126" s="127">
        <f t="shared" ref="C126:H126" si="88">A69</f>
        <v>200</v>
      </c>
      <c r="D126" s="127" t="str">
        <f t="shared" si="88"/>
        <v>-</v>
      </c>
      <c r="E126" s="127" t="str">
        <f t="shared" si="88"/>
        <v>-</v>
      </c>
      <c r="F126" s="127" t="str">
        <f t="shared" si="88"/>
        <v>-</v>
      </c>
      <c r="G126" s="127" t="str">
        <f t="shared" si="88"/>
        <v>-</v>
      </c>
      <c r="H126" s="689" t="str">
        <f t="shared" si="88"/>
        <v>-</v>
      </c>
      <c r="I126" s="760"/>
      <c r="J126" s="750"/>
      <c r="K126" s="1532"/>
      <c r="L126" s="759">
        <v>9</v>
      </c>
      <c r="M126" s="256">
        <f t="shared" ref="M126:R126" si="89">O57</f>
        <v>8000</v>
      </c>
      <c r="N126" s="256" t="str">
        <f t="shared" si="89"/>
        <v>-</v>
      </c>
      <c r="O126" s="256" t="str">
        <f t="shared" si="89"/>
        <v>-</v>
      </c>
      <c r="P126" s="256" t="str">
        <f t="shared" si="89"/>
        <v>-</v>
      </c>
      <c r="Q126" s="256" t="str">
        <f t="shared" si="89"/>
        <v>-</v>
      </c>
      <c r="R126" s="256" t="str">
        <f t="shared" si="89"/>
        <v>-</v>
      </c>
      <c r="S126" s="783"/>
    </row>
    <row r="127" spans="1:19" ht="13.5" thickBot="1" x14ac:dyDescent="0.35">
      <c r="A127" s="1530"/>
      <c r="B127" s="761">
        <v>10</v>
      </c>
      <c r="C127" s="454">
        <f>H69</f>
        <v>200</v>
      </c>
      <c r="D127" s="454">
        <f>AJ69</f>
        <v>0</v>
      </c>
      <c r="E127" s="454">
        <f>AK69</f>
        <v>0</v>
      </c>
      <c r="F127" s="454">
        <f>AL69</f>
        <v>0</v>
      </c>
      <c r="G127" s="454">
        <f>AM69</f>
        <v>0</v>
      </c>
      <c r="H127" s="762">
        <f>AN69</f>
        <v>0</v>
      </c>
      <c r="I127" s="763"/>
      <c r="J127" s="750"/>
      <c r="K127" s="1533"/>
      <c r="L127" s="761">
        <v>10</v>
      </c>
      <c r="M127" s="775">
        <f t="shared" ref="M127:R127" si="90">A77</f>
        <v>8000</v>
      </c>
      <c r="N127" s="775" t="str">
        <f t="shared" si="90"/>
        <v>-</v>
      </c>
      <c r="O127" s="775" t="str">
        <f t="shared" si="90"/>
        <v>-</v>
      </c>
      <c r="P127" s="775" t="str">
        <f t="shared" si="90"/>
        <v>-</v>
      </c>
      <c r="Q127" s="775" t="str">
        <f t="shared" si="90"/>
        <v>-</v>
      </c>
      <c r="R127" s="775" t="str">
        <f t="shared" si="90"/>
        <v>-</v>
      </c>
      <c r="S127" s="787"/>
    </row>
    <row r="128" spans="1:19" ht="13" x14ac:dyDescent="0.3">
      <c r="A128" s="1564" t="s">
        <v>91</v>
      </c>
      <c r="B128" s="765">
        <v>1</v>
      </c>
      <c r="C128" s="129">
        <f t="shared" ref="C128:H128" si="91">A10</f>
        <v>1000</v>
      </c>
      <c r="D128" s="129">
        <f t="shared" si="91"/>
        <v>0</v>
      </c>
      <c r="E128" s="129">
        <f t="shared" si="91"/>
        <v>0</v>
      </c>
      <c r="F128" s="129">
        <f t="shared" si="91"/>
        <v>9.9999999999999995E-7</v>
      </c>
      <c r="G128" s="129">
        <f t="shared" si="91"/>
        <v>4.9999999999999998E-7</v>
      </c>
      <c r="H128" s="688">
        <f t="shared" si="91"/>
        <v>0.3</v>
      </c>
      <c r="I128" s="788"/>
      <c r="J128" s="750"/>
      <c r="K128" s="1537" t="s">
        <v>477</v>
      </c>
      <c r="L128" s="765">
        <v>1</v>
      </c>
      <c r="M128" s="284">
        <f t="shared" ref="M128:R128" si="92">A18</f>
        <v>9000</v>
      </c>
      <c r="N128" s="284">
        <f t="shared" si="92"/>
        <v>0</v>
      </c>
      <c r="O128" s="284">
        <f t="shared" si="92"/>
        <v>0</v>
      </c>
      <c r="P128" s="284" t="str">
        <f t="shared" si="92"/>
        <v>-</v>
      </c>
      <c r="Q128" s="284">
        <f t="shared" si="92"/>
        <v>0.89999999999999991</v>
      </c>
      <c r="R128" s="284">
        <f t="shared" si="92"/>
        <v>2.6999999999999997</v>
      </c>
      <c r="S128" s="789"/>
    </row>
    <row r="129" spans="1:19" ht="13" x14ac:dyDescent="0.3">
      <c r="A129" s="1529"/>
      <c r="B129" s="759">
        <v>2</v>
      </c>
      <c r="C129" s="127">
        <f t="shared" ref="C129:H129" si="93">H10</f>
        <v>1000</v>
      </c>
      <c r="D129" s="127" t="str">
        <f t="shared" si="93"/>
        <v>-</v>
      </c>
      <c r="E129" s="127">
        <f t="shared" si="93"/>
        <v>9.9999999999999995E-7</v>
      </c>
      <c r="F129" s="127">
        <f t="shared" si="93"/>
        <v>9.9999999999999995E-7</v>
      </c>
      <c r="G129" s="127">
        <f t="shared" si="93"/>
        <v>0</v>
      </c>
      <c r="H129" s="689">
        <f t="shared" si="93"/>
        <v>0.3</v>
      </c>
      <c r="I129" s="760"/>
      <c r="J129" s="750"/>
      <c r="K129" s="1538"/>
      <c r="L129" s="759">
        <v>2</v>
      </c>
      <c r="M129" s="256">
        <f t="shared" ref="M129:R129" si="94">H18</f>
        <v>9000</v>
      </c>
      <c r="N129" s="256" t="str">
        <f t="shared" si="94"/>
        <v>-</v>
      </c>
      <c r="O129" s="256" t="str">
        <f t="shared" si="94"/>
        <v>-</v>
      </c>
      <c r="P129" s="256" t="str">
        <f t="shared" si="94"/>
        <v>-</v>
      </c>
      <c r="Q129" s="256">
        <f t="shared" si="94"/>
        <v>0.89999999999999991</v>
      </c>
      <c r="R129" s="256">
        <f t="shared" si="94"/>
        <v>2.6999999999999997</v>
      </c>
      <c r="S129" s="790"/>
    </row>
    <row r="130" spans="1:19" ht="13" x14ac:dyDescent="0.3">
      <c r="A130" s="1529"/>
      <c r="B130" s="759">
        <v>3</v>
      </c>
      <c r="C130" s="127">
        <f t="shared" ref="C130:H130" si="95">O10</f>
        <v>1000</v>
      </c>
      <c r="D130" s="127">
        <f t="shared" si="95"/>
        <v>0</v>
      </c>
      <c r="E130" s="127">
        <f t="shared" si="95"/>
        <v>9.9999999999999995E-7</v>
      </c>
      <c r="F130" s="127">
        <f t="shared" si="95"/>
        <v>9.9999999999999995E-7</v>
      </c>
      <c r="G130" s="127">
        <f t="shared" si="95"/>
        <v>0</v>
      </c>
      <c r="H130" s="689">
        <f t="shared" si="95"/>
        <v>0.3</v>
      </c>
      <c r="I130" s="760"/>
      <c r="J130" s="750"/>
      <c r="K130" s="1538"/>
      <c r="L130" s="759">
        <v>3</v>
      </c>
      <c r="M130" s="256">
        <f t="shared" ref="M130:R130" si="96">O18</f>
        <v>9000</v>
      </c>
      <c r="N130" s="256">
        <f t="shared" si="96"/>
        <v>0</v>
      </c>
      <c r="O130" s="256">
        <f t="shared" si="96"/>
        <v>9.9999999999999995E-7</v>
      </c>
      <c r="P130" s="256" t="str">
        <f t="shared" si="96"/>
        <v>-</v>
      </c>
      <c r="Q130" s="256">
        <f t="shared" si="96"/>
        <v>0.89999999999999991</v>
      </c>
      <c r="R130" s="256">
        <f t="shared" si="96"/>
        <v>2.6999999999999997</v>
      </c>
      <c r="S130" s="790"/>
    </row>
    <row r="131" spans="1:19" ht="13" x14ac:dyDescent="0.3">
      <c r="A131" s="1529"/>
      <c r="B131" s="759">
        <v>4</v>
      </c>
      <c r="C131" s="127">
        <f t="shared" ref="C131:H131" si="97">A30</f>
        <v>1000</v>
      </c>
      <c r="D131" s="127">
        <f t="shared" si="97"/>
        <v>1</v>
      </c>
      <c r="E131" s="127">
        <f t="shared" si="97"/>
        <v>1</v>
      </c>
      <c r="F131" s="127">
        <f t="shared" si="97"/>
        <v>9.9999999999999995E-7</v>
      </c>
      <c r="G131" s="127">
        <f t="shared" si="97"/>
        <v>0.49999949999999999</v>
      </c>
      <c r="H131" s="689">
        <f t="shared" si="97"/>
        <v>0.29969999999999997</v>
      </c>
      <c r="I131" s="760"/>
      <c r="J131" s="750"/>
      <c r="K131" s="1538"/>
      <c r="L131" s="759">
        <v>4</v>
      </c>
      <c r="M131" s="256">
        <f t="shared" ref="M131:R131" si="98">A38</f>
        <v>9000</v>
      </c>
      <c r="N131" s="256">
        <f t="shared" si="98"/>
        <v>1</v>
      </c>
      <c r="O131" s="256">
        <f t="shared" si="98"/>
        <v>1</v>
      </c>
      <c r="P131" s="256" t="str">
        <f t="shared" si="98"/>
        <v>-</v>
      </c>
      <c r="Q131" s="256">
        <f t="shared" si="98"/>
        <v>0.89989999999999981</v>
      </c>
      <c r="R131" s="256">
        <f t="shared" si="98"/>
        <v>2.6996999999999995</v>
      </c>
      <c r="S131" s="790"/>
    </row>
    <row r="132" spans="1:19" ht="13" x14ac:dyDescent="0.3">
      <c r="A132" s="1529"/>
      <c r="B132" s="759">
        <v>5</v>
      </c>
      <c r="C132" s="127">
        <f t="shared" ref="C132:H132" si="99">H30</f>
        <v>1000</v>
      </c>
      <c r="D132" s="127">
        <f t="shared" si="99"/>
        <v>-0.1</v>
      </c>
      <c r="E132" s="127">
        <f t="shared" si="99"/>
        <v>9.9999999999999995E-7</v>
      </c>
      <c r="F132" s="127">
        <f t="shared" si="99"/>
        <v>-0.1</v>
      </c>
      <c r="G132" s="127">
        <f t="shared" si="99"/>
        <v>5.0000500000000003E-2</v>
      </c>
      <c r="H132" s="689">
        <f t="shared" si="99"/>
        <v>0.30002999999999996</v>
      </c>
      <c r="I132" s="760"/>
      <c r="J132" s="750"/>
      <c r="K132" s="1538"/>
      <c r="L132" s="759">
        <v>5</v>
      </c>
      <c r="M132" s="256">
        <f t="shared" ref="M132:R132" si="100">H38</f>
        <v>9000</v>
      </c>
      <c r="N132" s="256">
        <f t="shared" si="100"/>
        <v>-0.4</v>
      </c>
      <c r="O132" s="256" t="str">
        <f t="shared" si="100"/>
        <v>-</v>
      </c>
      <c r="P132" s="256">
        <f t="shared" si="100"/>
        <v>-0.3</v>
      </c>
      <c r="Q132" s="256">
        <f t="shared" si="100"/>
        <v>0.90003999999999984</v>
      </c>
      <c r="R132" s="256">
        <f t="shared" si="100"/>
        <v>2.7001199999999996</v>
      </c>
      <c r="S132" s="784"/>
    </row>
    <row r="133" spans="1:19" ht="13" x14ac:dyDescent="0.3">
      <c r="A133" s="1529"/>
      <c r="B133" s="759">
        <v>6</v>
      </c>
      <c r="C133" s="127">
        <f t="shared" ref="C133:H133" si="101">O$30</f>
        <v>1000</v>
      </c>
      <c r="D133" s="127">
        <f t="shared" si="101"/>
        <v>0</v>
      </c>
      <c r="E133" s="127">
        <f t="shared" si="101"/>
        <v>0</v>
      </c>
      <c r="F133" s="127">
        <f t="shared" si="101"/>
        <v>-0.1</v>
      </c>
      <c r="G133" s="127">
        <f t="shared" si="101"/>
        <v>0.05</v>
      </c>
      <c r="H133" s="689">
        <f t="shared" si="101"/>
        <v>0.3</v>
      </c>
      <c r="I133" s="760"/>
      <c r="J133" s="750"/>
      <c r="K133" s="1538"/>
      <c r="L133" s="759">
        <v>6</v>
      </c>
      <c r="M133" s="256">
        <f t="shared" ref="M133:R133" si="102">O$38</f>
        <v>9000</v>
      </c>
      <c r="N133" s="256">
        <f t="shared" si="102"/>
        <v>-0.4</v>
      </c>
      <c r="O133" s="256">
        <f t="shared" si="102"/>
        <v>-0.5</v>
      </c>
      <c r="P133" s="256" t="str">
        <f t="shared" si="102"/>
        <v>-</v>
      </c>
      <c r="Q133" s="256">
        <f t="shared" si="102"/>
        <v>0.90003999999999984</v>
      </c>
      <c r="R133" s="256">
        <f t="shared" si="102"/>
        <v>2.7001199999999996</v>
      </c>
      <c r="S133" s="790"/>
    </row>
    <row r="134" spans="1:19" ht="13" x14ac:dyDescent="0.3">
      <c r="A134" s="1529"/>
      <c r="B134" s="759">
        <v>7</v>
      </c>
      <c r="C134" s="127">
        <f t="shared" ref="C134:H134" si="103">A$50</f>
        <v>1000</v>
      </c>
      <c r="D134" s="127">
        <f t="shared" si="103"/>
        <v>-0.1</v>
      </c>
      <c r="E134" s="127">
        <f t="shared" si="103"/>
        <v>-0.1</v>
      </c>
      <c r="F134" s="127">
        <f t="shared" si="103"/>
        <v>-0.1</v>
      </c>
      <c r="G134" s="127">
        <f t="shared" si="103"/>
        <v>0</v>
      </c>
      <c r="H134" s="689">
        <f t="shared" si="103"/>
        <v>0.30002999999999996</v>
      </c>
      <c r="I134" s="760"/>
      <c r="J134" s="750"/>
      <c r="K134" s="1538"/>
      <c r="L134" s="759">
        <v>7</v>
      </c>
      <c r="M134" s="256">
        <f t="shared" ref="M134:R134" si="104">A$58</f>
        <v>9000</v>
      </c>
      <c r="N134" s="256">
        <f t="shared" si="104"/>
        <v>-0.4</v>
      </c>
      <c r="O134" s="256">
        <f t="shared" si="104"/>
        <v>-0.7</v>
      </c>
      <c r="P134" s="256" t="str">
        <f t="shared" si="104"/>
        <v>-</v>
      </c>
      <c r="Q134" s="256">
        <f t="shared" si="104"/>
        <v>0.90003999999999984</v>
      </c>
      <c r="R134" s="256">
        <f t="shared" si="104"/>
        <v>2.7001199999999996</v>
      </c>
      <c r="S134" s="790"/>
    </row>
    <row r="135" spans="1:19" ht="13" x14ac:dyDescent="0.3">
      <c r="A135" s="1529"/>
      <c r="B135" s="759">
        <v>8</v>
      </c>
      <c r="C135" s="127">
        <f t="shared" ref="C135:H135" si="105">H50</f>
        <v>1000</v>
      </c>
      <c r="D135" s="127" t="str">
        <f t="shared" si="105"/>
        <v>-</v>
      </c>
      <c r="E135" s="127" t="str">
        <f t="shared" si="105"/>
        <v>-</v>
      </c>
      <c r="F135" s="127" t="str">
        <f t="shared" si="105"/>
        <v>-</v>
      </c>
      <c r="G135" s="127" t="str">
        <f t="shared" si="105"/>
        <v>-</v>
      </c>
      <c r="H135" s="689" t="str">
        <f t="shared" si="105"/>
        <v>-</v>
      </c>
      <c r="I135" s="760"/>
      <c r="J135" s="750"/>
      <c r="K135" s="1538"/>
      <c r="L135" s="759">
        <v>8</v>
      </c>
      <c r="M135" s="256">
        <f t="shared" ref="M135:R135" si="106">H58</f>
        <v>9000</v>
      </c>
      <c r="N135" s="256" t="str">
        <f t="shared" si="106"/>
        <v>-</v>
      </c>
      <c r="O135" s="256" t="str">
        <f t="shared" si="106"/>
        <v>-</v>
      </c>
      <c r="P135" s="256" t="str">
        <f t="shared" si="106"/>
        <v>-</v>
      </c>
      <c r="Q135" s="256" t="str">
        <f t="shared" si="106"/>
        <v>-</v>
      </c>
      <c r="R135" s="256" t="str">
        <f t="shared" si="106"/>
        <v>-</v>
      </c>
      <c r="S135" s="790"/>
    </row>
    <row r="136" spans="1:19" ht="13" x14ac:dyDescent="0.3">
      <c r="A136" s="1529"/>
      <c r="B136" s="759">
        <v>9</v>
      </c>
      <c r="C136" s="127">
        <f t="shared" ref="C136:H136" si="107">A70</f>
        <v>1000</v>
      </c>
      <c r="D136" s="127" t="str">
        <f t="shared" si="107"/>
        <v>-</v>
      </c>
      <c r="E136" s="127" t="str">
        <f t="shared" si="107"/>
        <v>-</v>
      </c>
      <c r="F136" s="127" t="str">
        <f t="shared" si="107"/>
        <v>-</v>
      </c>
      <c r="G136" s="127" t="str">
        <f t="shared" si="107"/>
        <v>-</v>
      </c>
      <c r="H136" s="689" t="str">
        <f t="shared" si="107"/>
        <v>-</v>
      </c>
      <c r="I136" s="760"/>
      <c r="J136" s="750"/>
      <c r="K136" s="1538"/>
      <c r="L136" s="759">
        <v>9</v>
      </c>
      <c r="M136" s="256">
        <f t="shared" ref="M136:R136" si="108">O58</f>
        <v>9000</v>
      </c>
      <c r="N136" s="256" t="str">
        <f t="shared" si="108"/>
        <v>-</v>
      </c>
      <c r="O136" s="256" t="str">
        <f t="shared" si="108"/>
        <v>-</v>
      </c>
      <c r="P136" s="256" t="str">
        <f t="shared" si="108"/>
        <v>-</v>
      </c>
      <c r="Q136" s="256" t="str">
        <f t="shared" si="108"/>
        <v>-</v>
      </c>
      <c r="R136" s="256" t="str">
        <f t="shared" si="108"/>
        <v>-</v>
      </c>
      <c r="S136" s="790"/>
    </row>
    <row r="137" spans="1:19" ht="13.5" thickBot="1" x14ac:dyDescent="0.35">
      <c r="A137" s="1530"/>
      <c r="B137" s="761">
        <v>10</v>
      </c>
      <c r="C137" s="454">
        <f t="shared" ref="C137:H137" si="109">H70</f>
        <v>1000</v>
      </c>
      <c r="D137" s="454" t="str">
        <f t="shared" si="109"/>
        <v>-</v>
      </c>
      <c r="E137" s="454" t="str">
        <f t="shared" si="109"/>
        <v>-</v>
      </c>
      <c r="F137" s="454" t="str">
        <f t="shared" si="109"/>
        <v>-</v>
      </c>
      <c r="G137" s="454" t="str">
        <f t="shared" si="109"/>
        <v>-</v>
      </c>
      <c r="H137" s="762" t="str">
        <f t="shared" si="109"/>
        <v>-</v>
      </c>
      <c r="I137" s="763"/>
      <c r="J137" s="750"/>
      <c r="K137" s="1539"/>
      <c r="L137" s="761">
        <v>10</v>
      </c>
      <c r="M137" s="775">
        <f t="shared" ref="M137:R137" si="110">A78</f>
        <v>9000</v>
      </c>
      <c r="N137" s="775" t="str">
        <f t="shared" si="110"/>
        <v>-</v>
      </c>
      <c r="O137" s="775" t="str">
        <f t="shared" si="110"/>
        <v>-</v>
      </c>
      <c r="P137" s="775" t="str">
        <f t="shared" si="110"/>
        <v>-</v>
      </c>
      <c r="Q137" s="775" t="str">
        <f t="shared" si="110"/>
        <v>-</v>
      </c>
      <c r="R137" s="775" t="str">
        <f t="shared" si="110"/>
        <v>-</v>
      </c>
      <c r="S137" s="787"/>
    </row>
    <row r="138" spans="1:19" ht="13" x14ac:dyDescent="0.3">
      <c r="A138" s="1537" t="s">
        <v>92</v>
      </c>
      <c r="B138" s="765">
        <v>1</v>
      </c>
      <c r="C138" s="129">
        <f t="shared" ref="C138:H138" si="111">A11</f>
        <v>2000</v>
      </c>
      <c r="D138" s="129">
        <f t="shared" si="111"/>
        <v>0</v>
      </c>
      <c r="E138" s="129">
        <f t="shared" si="111"/>
        <v>0</v>
      </c>
      <c r="F138" s="129">
        <f t="shared" si="111"/>
        <v>9.9999999999999995E-7</v>
      </c>
      <c r="G138" s="129">
        <f t="shared" si="111"/>
        <v>4.9999999999999998E-7</v>
      </c>
      <c r="H138" s="688">
        <f t="shared" si="111"/>
        <v>0.6</v>
      </c>
      <c r="I138" s="788"/>
      <c r="J138" s="750"/>
      <c r="K138" s="1537" t="s">
        <v>478</v>
      </c>
      <c r="L138" s="765">
        <v>1</v>
      </c>
      <c r="M138" s="453">
        <f t="shared" ref="M138:R138" si="112">A19</f>
        <v>10000</v>
      </c>
      <c r="N138" s="129">
        <f t="shared" si="112"/>
        <v>0</v>
      </c>
      <c r="O138" s="129">
        <f t="shared" si="112"/>
        <v>0</v>
      </c>
      <c r="P138" s="129" t="str">
        <f t="shared" si="112"/>
        <v>-</v>
      </c>
      <c r="Q138" s="129">
        <f t="shared" si="112"/>
        <v>0.99999999999999978</v>
      </c>
      <c r="R138" s="129">
        <f t="shared" si="112"/>
        <v>2.9999999999999996</v>
      </c>
      <c r="S138" s="791"/>
    </row>
    <row r="139" spans="1:19" ht="13" x14ac:dyDescent="0.3">
      <c r="A139" s="1538"/>
      <c r="B139" s="759">
        <v>2</v>
      </c>
      <c r="C139" s="127">
        <f t="shared" ref="C139:H139" si="113">H11</f>
        <v>2000</v>
      </c>
      <c r="D139" s="127" t="str">
        <f t="shared" si="113"/>
        <v>-</v>
      </c>
      <c r="E139" s="127">
        <f t="shared" si="113"/>
        <v>9.9999999999999995E-7</v>
      </c>
      <c r="F139" s="127">
        <f t="shared" si="113"/>
        <v>9.9999999999999995E-7</v>
      </c>
      <c r="G139" s="127">
        <f t="shared" si="113"/>
        <v>0</v>
      </c>
      <c r="H139" s="689">
        <f t="shared" si="113"/>
        <v>0.6</v>
      </c>
      <c r="I139" s="760"/>
      <c r="J139" s="750"/>
      <c r="K139" s="1538"/>
      <c r="L139" s="759">
        <v>2</v>
      </c>
      <c r="M139" s="127">
        <f t="shared" ref="M139:R139" si="114">H19</f>
        <v>10000</v>
      </c>
      <c r="N139" s="127" t="str">
        <f t="shared" si="114"/>
        <v>-</v>
      </c>
      <c r="O139" s="127" t="str">
        <f t="shared" si="114"/>
        <v>-</v>
      </c>
      <c r="P139" s="127">
        <f t="shared" si="114"/>
        <v>9.9999999999999995E-7</v>
      </c>
      <c r="Q139" s="127">
        <f t="shared" si="114"/>
        <v>0.99999999999999978</v>
      </c>
      <c r="R139" s="127">
        <f t="shared" si="114"/>
        <v>2.9999999999999996</v>
      </c>
      <c r="S139" s="792"/>
    </row>
    <row r="140" spans="1:19" ht="13" x14ac:dyDescent="0.3">
      <c r="A140" s="1538"/>
      <c r="B140" s="759">
        <v>3</v>
      </c>
      <c r="C140" s="127">
        <f t="shared" ref="C140:H140" si="115">O11</f>
        <v>2000</v>
      </c>
      <c r="D140" s="127">
        <f t="shared" si="115"/>
        <v>0</v>
      </c>
      <c r="E140" s="127">
        <f t="shared" si="115"/>
        <v>9.9999999999999995E-7</v>
      </c>
      <c r="F140" s="127">
        <f t="shared" si="115"/>
        <v>9.9999999999999995E-7</v>
      </c>
      <c r="G140" s="127">
        <f t="shared" si="115"/>
        <v>0</v>
      </c>
      <c r="H140" s="689">
        <f t="shared" si="115"/>
        <v>0.6</v>
      </c>
      <c r="I140" s="760"/>
      <c r="J140" s="750"/>
      <c r="K140" s="1538"/>
      <c r="L140" s="759">
        <v>3</v>
      </c>
      <c r="M140" s="127">
        <f t="shared" ref="M140:R140" si="116">O19</f>
        <v>10000</v>
      </c>
      <c r="N140" s="127">
        <f t="shared" si="116"/>
        <v>0</v>
      </c>
      <c r="O140" s="127">
        <f t="shared" si="116"/>
        <v>9.9999999999999995E-7</v>
      </c>
      <c r="P140" s="127">
        <f t="shared" si="116"/>
        <v>9.9999999999999995E-7</v>
      </c>
      <c r="Q140" s="127">
        <f t="shared" si="116"/>
        <v>0</v>
      </c>
      <c r="R140" s="127">
        <f t="shared" si="116"/>
        <v>2.9999999999999996</v>
      </c>
      <c r="S140" s="792"/>
    </row>
    <row r="141" spans="1:19" ht="13" x14ac:dyDescent="0.3">
      <c r="A141" s="1538"/>
      <c r="B141" s="759">
        <v>4</v>
      </c>
      <c r="C141" s="127">
        <f t="shared" ref="C141:H141" si="117">A31</f>
        <v>2000</v>
      </c>
      <c r="D141" s="127">
        <f t="shared" si="117"/>
        <v>1</v>
      </c>
      <c r="E141" s="127">
        <f t="shared" si="117"/>
        <v>1</v>
      </c>
      <c r="F141" s="127">
        <f t="shared" si="117"/>
        <v>9.9999999999999995E-7</v>
      </c>
      <c r="G141" s="127">
        <f t="shared" si="117"/>
        <v>0.49999949999999999</v>
      </c>
      <c r="H141" s="689">
        <f t="shared" si="117"/>
        <v>0.5996999999999999</v>
      </c>
      <c r="I141" s="760"/>
      <c r="J141" s="750"/>
      <c r="K141" s="1538"/>
      <c r="L141" s="759">
        <v>4</v>
      </c>
      <c r="M141" s="127">
        <f t="shared" ref="M141:R141" si="118">A39</f>
        <v>10000</v>
      </c>
      <c r="N141" s="127">
        <f t="shared" si="118"/>
        <v>1</v>
      </c>
      <c r="O141" s="127" t="str">
        <f t="shared" si="118"/>
        <v>-</v>
      </c>
      <c r="P141" s="127">
        <f t="shared" si="118"/>
        <v>1</v>
      </c>
      <c r="Q141" s="127">
        <f t="shared" si="118"/>
        <v>0.9998999999999999</v>
      </c>
      <c r="R141" s="127">
        <f t="shared" si="118"/>
        <v>2.9996999999999998</v>
      </c>
      <c r="S141" s="792"/>
    </row>
    <row r="142" spans="1:19" ht="13" x14ac:dyDescent="0.3">
      <c r="A142" s="1538"/>
      <c r="B142" s="759">
        <v>5</v>
      </c>
      <c r="C142" s="127">
        <f t="shared" ref="C142:H142" si="119">H31</f>
        <v>2000</v>
      </c>
      <c r="D142" s="127">
        <f t="shared" si="119"/>
        <v>-0.1</v>
      </c>
      <c r="E142" s="127">
        <f t="shared" si="119"/>
        <v>-0.1</v>
      </c>
      <c r="F142" s="127">
        <f t="shared" si="119"/>
        <v>-0.1</v>
      </c>
      <c r="G142" s="127">
        <f t="shared" si="119"/>
        <v>0</v>
      </c>
      <c r="H142" s="689">
        <f t="shared" si="119"/>
        <v>0.60002999999999995</v>
      </c>
      <c r="I142" s="760"/>
      <c r="J142" s="750"/>
      <c r="K142" s="1538"/>
      <c r="L142" s="759">
        <v>5</v>
      </c>
      <c r="M142" s="127">
        <f t="shared" ref="M142:R142" si="120">H39</f>
        <v>10000</v>
      </c>
      <c r="N142" s="127">
        <f t="shared" si="120"/>
        <v>0</v>
      </c>
      <c r="O142" s="127">
        <f t="shared" si="120"/>
        <v>9.9999999999999995E-7</v>
      </c>
      <c r="P142" s="127">
        <f t="shared" si="120"/>
        <v>9.9999999999999995E-7</v>
      </c>
      <c r="Q142" s="127">
        <f t="shared" si="120"/>
        <v>0</v>
      </c>
      <c r="R142" s="127">
        <f t="shared" si="120"/>
        <v>2.9999999999999996</v>
      </c>
      <c r="S142" s="792"/>
    </row>
    <row r="143" spans="1:19" ht="13" x14ac:dyDescent="0.3">
      <c r="A143" s="1538"/>
      <c r="B143" s="759">
        <v>6</v>
      </c>
      <c r="C143" s="127">
        <f t="shared" ref="C143:H143" si="121">O$31</f>
        <v>2000</v>
      </c>
      <c r="D143" s="127">
        <f t="shared" si="121"/>
        <v>-0.1</v>
      </c>
      <c r="E143" s="127">
        <f t="shared" si="121"/>
        <v>-0.1</v>
      </c>
      <c r="F143" s="127">
        <f t="shared" si="121"/>
        <v>-0.1</v>
      </c>
      <c r="G143" s="127">
        <f t="shared" si="121"/>
        <v>0</v>
      </c>
      <c r="H143" s="689">
        <f t="shared" si="121"/>
        <v>0.60002999999999995</v>
      </c>
      <c r="I143" s="760"/>
      <c r="J143" s="750"/>
      <c r="K143" s="1538"/>
      <c r="L143" s="759">
        <v>6</v>
      </c>
      <c r="M143" s="127">
        <f t="shared" ref="M143:R143" si="122">O$39</f>
        <v>10000</v>
      </c>
      <c r="N143" s="127">
        <f t="shared" si="122"/>
        <v>0</v>
      </c>
      <c r="O143" s="127">
        <f t="shared" si="122"/>
        <v>0</v>
      </c>
      <c r="P143" s="127">
        <f t="shared" si="122"/>
        <v>9.9999999999999995E-7</v>
      </c>
      <c r="Q143" s="127">
        <f t="shared" si="122"/>
        <v>4.9999999999999998E-7</v>
      </c>
      <c r="R143" s="127">
        <f t="shared" si="122"/>
        <v>2.9999999999999996</v>
      </c>
      <c r="S143" s="792"/>
    </row>
    <row r="144" spans="1:19" ht="13" x14ac:dyDescent="0.3">
      <c r="A144" s="1538"/>
      <c r="B144" s="759">
        <v>7</v>
      </c>
      <c r="C144" s="127">
        <f t="shared" ref="C144:H144" si="123">A$51</f>
        <v>2000</v>
      </c>
      <c r="D144" s="127">
        <f t="shared" si="123"/>
        <v>-0.1</v>
      </c>
      <c r="E144" s="127">
        <f t="shared" si="123"/>
        <v>-0.1</v>
      </c>
      <c r="F144" s="127">
        <f t="shared" si="123"/>
        <v>-0.1</v>
      </c>
      <c r="G144" s="127">
        <f t="shared" si="123"/>
        <v>0</v>
      </c>
      <c r="H144" s="689">
        <f t="shared" si="123"/>
        <v>0.60002999999999995</v>
      </c>
      <c r="I144" s="760"/>
      <c r="J144" s="750"/>
      <c r="K144" s="1538"/>
      <c r="L144" s="759">
        <v>7</v>
      </c>
      <c r="M144" s="127">
        <f t="shared" ref="M144:R144" si="124">A$59</f>
        <v>10000</v>
      </c>
      <c r="N144" s="127">
        <f t="shared" si="124"/>
        <v>0</v>
      </c>
      <c r="O144" s="127">
        <f t="shared" si="124"/>
        <v>0</v>
      </c>
      <c r="P144" s="127">
        <f t="shared" si="124"/>
        <v>9.9999999999999995E-7</v>
      </c>
      <c r="Q144" s="127">
        <f t="shared" si="124"/>
        <v>4.9999999999999998E-7</v>
      </c>
      <c r="R144" s="127">
        <f t="shared" si="124"/>
        <v>2.9999999999999996</v>
      </c>
      <c r="S144" s="792"/>
    </row>
    <row r="145" spans="1:19" ht="13" x14ac:dyDescent="0.3">
      <c r="A145" s="1538"/>
      <c r="B145" s="759">
        <v>8</v>
      </c>
      <c r="C145" s="127">
        <f t="shared" ref="C145:H145" si="125">H51</f>
        <v>2000</v>
      </c>
      <c r="D145" s="127" t="str">
        <f t="shared" si="125"/>
        <v>-</v>
      </c>
      <c r="E145" s="127" t="str">
        <f t="shared" si="125"/>
        <v>-</v>
      </c>
      <c r="F145" s="127" t="str">
        <f t="shared" si="125"/>
        <v>-</v>
      </c>
      <c r="G145" s="127" t="str">
        <f t="shared" si="125"/>
        <v>-</v>
      </c>
      <c r="H145" s="689" t="str">
        <f t="shared" si="125"/>
        <v>-</v>
      </c>
      <c r="I145" s="760"/>
      <c r="J145" s="750"/>
      <c r="K145" s="1538"/>
      <c r="L145" s="759">
        <v>8</v>
      </c>
      <c r="M145" s="127">
        <f t="shared" ref="M145:R145" si="126">H59</f>
        <v>10000</v>
      </c>
      <c r="N145" s="127" t="str">
        <f t="shared" si="126"/>
        <v>-</v>
      </c>
      <c r="O145" s="127" t="str">
        <f t="shared" si="126"/>
        <v>-</v>
      </c>
      <c r="P145" s="127" t="str">
        <f t="shared" si="126"/>
        <v>-</v>
      </c>
      <c r="Q145" s="127" t="str">
        <f t="shared" si="126"/>
        <v>-</v>
      </c>
      <c r="R145" s="127" t="str">
        <f t="shared" si="126"/>
        <v>-</v>
      </c>
      <c r="S145" s="792"/>
    </row>
    <row r="146" spans="1:19" ht="13" x14ac:dyDescent="0.3">
      <c r="A146" s="1538"/>
      <c r="B146" s="759">
        <v>9</v>
      </c>
      <c r="C146" s="127">
        <f t="shared" ref="C146:H146" si="127">A71</f>
        <v>2000</v>
      </c>
      <c r="D146" s="127" t="str">
        <f t="shared" si="127"/>
        <v>-</v>
      </c>
      <c r="E146" s="127" t="str">
        <f t="shared" si="127"/>
        <v>-</v>
      </c>
      <c r="F146" s="127" t="str">
        <f t="shared" si="127"/>
        <v>-</v>
      </c>
      <c r="G146" s="127" t="str">
        <f t="shared" si="127"/>
        <v>-</v>
      </c>
      <c r="H146" s="689" t="str">
        <f t="shared" si="127"/>
        <v>-</v>
      </c>
      <c r="I146" s="760"/>
      <c r="J146" s="750"/>
      <c r="K146" s="1538"/>
      <c r="L146" s="759">
        <v>9</v>
      </c>
      <c r="M146" s="127">
        <f t="shared" ref="M146:R146" si="128">A79</f>
        <v>10000</v>
      </c>
      <c r="N146" s="127" t="str">
        <f t="shared" si="128"/>
        <v>-</v>
      </c>
      <c r="O146" s="127" t="str">
        <f t="shared" si="128"/>
        <v>-</v>
      </c>
      <c r="P146" s="127" t="str">
        <f t="shared" si="128"/>
        <v>-</v>
      </c>
      <c r="Q146" s="127" t="str">
        <f t="shared" si="128"/>
        <v>-</v>
      </c>
      <c r="R146" s="127" t="str">
        <f t="shared" si="128"/>
        <v>-</v>
      </c>
      <c r="S146" s="792"/>
    </row>
    <row r="147" spans="1:19" ht="13.5" thickBot="1" x14ac:dyDescent="0.35">
      <c r="A147" s="1539"/>
      <c r="B147" s="761">
        <v>10</v>
      </c>
      <c r="C147" s="454">
        <f t="shared" ref="C147:H147" si="129">H71</f>
        <v>2000</v>
      </c>
      <c r="D147" s="454" t="str">
        <f t="shared" si="129"/>
        <v>-</v>
      </c>
      <c r="E147" s="454" t="str">
        <f t="shared" si="129"/>
        <v>-</v>
      </c>
      <c r="F147" s="454" t="str">
        <f t="shared" si="129"/>
        <v>-</v>
      </c>
      <c r="G147" s="454" t="str">
        <f t="shared" si="129"/>
        <v>-</v>
      </c>
      <c r="H147" s="762" t="str">
        <f t="shared" si="129"/>
        <v>-</v>
      </c>
      <c r="I147" s="763"/>
      <c r="J147" s="750"/>
      <c r="K147" s="1539"/>
      <c r="L147" s="761">
        <v>10</v>
      </c>
      <c r="M147" s="454">
        <f t="shared" ref="M147:R147" si="130">H79</f>
        <v>10000</v>
      </c>
      <c r="N147" s="454" t="str">
        <f t="shared" si="130"/>
        <v>-</v>
      </c>
      <c r="O147" s="454" t="str">
        <f t="shared" si="130"/>
        <v>-</v>
      </c>
      <c r="P147" s="454" t="str">
        <f t="shared" si="130"/>
        <v>-</v>
      </c>
      <c r="Q147" s="454" t="str">
        <f t="shared" si="130"/>
        <v>-</v>
      </c>
      <c r="R147" s="454" t="str">
        <f t="shared" si="130"/>
        <v>-</v>
      </c>
      <c r="S147" s="793"/>
    </row>
    <row r="148" spans="1:19" ht="13" x14ac:dyDescent="0.25">
      <c r="A148" s="1537" t="s">
        <v>479</v>
      </c>
      <c r="B148" s="765">
        <v>1</v>
      </c>
      <c r="C148" s="129">
        <f t="shared" ref="C148:H148" si="131">A12</f>
        <v>3000</v>
      </c>
      <c r="D148" s="129" t="str">
        <f t="shared" si="131"/>
        <v>-</v>
      </c>
      <c r="E148" s="129">
        <f t="shared" si="131"/>
        <v>0</v>
      </c>
      <c r="F148" s="129" t="str">
        <f t="shared" si="131"/>
        <v>-</v>
      </c>
      <c r="G148" s="129">
        <f t="shared" si="131"/>
        <v>0.29999999999999993</v>
      </c>
      <c r="H148" s="688">
        <f t="shared" si="131"/>
        <v>0.89999999999999991</v>
      </c>
      <c r="I148" s="788"/>
      <c r="J148" s="750"/>
      <c r="K148" s="1580" t="s">
        <v>480</v>
      </c>
      <c r="L148" s="765">
        <v>1</v>
      </c>
      <c r="M148" s="129">
        <f t="shared" ref="M148:R148" si="132">A20</f>
        <v>50000</v>
      </c>
      <c r="N148" s="129">
        <f t="shared" si="132"/>
        <v>0</v>
      </c>
      <c r="O148" s="129">
        <f t="shared" si="132"/>
        <v>0</v>
      </c>
      <c r="P148" s="129">
        <f t="shared" si="132"/>
        <v>9.9999999999999995E-7</v>
      </c>
      <c r="Q148" s="129">
        <f t="shared" si="132"/>
        <v>4.9999999999999998E-7</v>
      </c>
      <c r="R148" s="129">
        <f t="shared" si="132"/>
        <v>14.999999999999998</v>
      </c>
      <c r="S148" s="789"/>
    </row>
    <row r="149" spans="1:19" ht="13" x14ac:dyDescent="0.25">
      <c r="A149" s="1538"/>
      <c r="B149" s="759">
        <v>2</v>
      </c>
      <c r="C149" s="127">
        <f t="shared" ref="C149:H149" si="133">H12</f>
        <v>3000</v>
      </c>
      <c r="D149" s="127" t="str">
        <f t="shared" si="133"/>
        <v>-</v>
      </c>
      <c r="E149" s="127" t="str">
        <f t="shared" si="133"/>
        <v>-</v>
      </c>
      <c r="F149" s="127">
        <f t="shared" si="133"/>
        <v>9.9999999999999995E-7</v>
      </c>
      <c r="G149" s="127">
        <f t="shared" si="133"/>
        <v>0.29999999999999993</v>
      </c>
      <c r="H149" s="689">
        <f t="shared" si="133"/>
        <v>0.89999999999999991</v>
      </c>
      <c r="I149" s="760"/>
      <c r="J149" s="750"/>
      <c r="K149" s="1581"/>
      <c r="L149" s="759">
        <v>2</v>
      </c>
      <c r="M149" s="127">
        <f t="shared" ref="M149:R149" si="134">H20</f>
        <v>50000</v>
      </c>
      <c r="N149" s="127" t="str">
        <f t="shared" si="134"/>
        <v>-</v>
      </c>
      <c r="O149" s="127">
        <f t="shared" si="134"/>
        <v>9.9999999999999995E-7</v>
      </c>
      <c r="P149" s="127">
        <f t="shared" si="134"/>
        <v>9.9999999999999995E-7</v>
      </c>
      <c r="Q149" s="127">
        <f t="shared" si="134"/>
        <v>0</v>
      </c>
      <c r="R149" s="127">
        <f t="shared" si="134"/>
        <v>14.999999999999998</v>
      </c>
      <c r="S149" s="790"/>
    </row>
    <row r="150" spans="1:19" ht="13" x14ac:dyDescent="0.25">
      <c r="A150" s="1538"/>
      <c r="B150" s="759">
        <v>3</v>
      </c>
      <c r="C150" s="127">
        <f t="shared" ref="C150:H150" si="135">O12</f>
        <v>3000</v>
      </c>
      <c r="D150" s="127">
        <f t="shared" si="135"/>
        <v>0</v>
      </c>
      <c r="E150" s="127">
        <f t="shared" si="135"/>
        <v>9.9999999999999995E-7</v>
      </c>
      <c r="F150" s="127">
        <f t="shared" si="135"/>
        <v>9.9999999999999995E-7</v>
      </c>
      <c r="G150" s="127">
        <f t="shared" si="135"/>
        <v>0</v>
      </c>
      <c r="H150" s="689">
        <f t="shared" si="135"/>
        <v>0.89999999999999991</v>
      </c>
      <c r="I150" s="760"/>
      <c r="J150" s="750"/>
      <c r="K150" s="1581"/>
      <c r="L150" s="759">
        <v>3</v>
      </c>
      <c r="M150" s="127">
        <f t="shared" ref="M150:R150" si="136">O20</f>
        <v>50000</v>
      </c>
      <c r="N150" s="127">
        <f t="shared" si="136"/>
        <v>0</v>
      </c>
      <c r="O150" s="127">
        <f t="shared" si="136"/>
        <v>9.9999999999999995E-7</v>
      </c>
      <c r="P150" s="127">
        <f t="shared" si="136"/>
        <v>9.9999999999999995E-7</v>
      </c>
      <c r="Q150" s="127">
        <f t="shared" si="136"/>
        <v>0</v>
      </c>
      <c r="R150" s="127">
        <f t="shared" si="136"/>
        <v>14.999999999999998</v>
      </c>
      <c r="S150" s="790"/>
    </row>
    <row r="151" spans="1:19" ht="13" x14ac:dyDescent="0.25">
      <c r="A151" s="1538"/>
      <c r="B151" s="759">
        <v>4</v>
      </c>
      <c r="C151" s="127">
        <f t="shared" ref="C151:H151" si="137">A32</f>
        <v>3000</v>
      </c>
      <c r="D151" s="127">
        <f t="shared" si="137"/>
        <v>1</v>
      </c>
      <c r="E151" s="127">
        <f t="shared" si="137"/>
        <v>1</v>
      </c>
      <c r="F151" s="127">
        <f t="shared" si="137"/>
        <v>1</v>
      </c>
      <c r="G151" s="127">
        <f t="shared" si="137"/>
        <v>0</v>
      </c>
      <c r="H151" s="689">
        <f t="shared" si="137"/>
        <v>0.89969999999999994</v>
      </c>
      <c r="I151" s="760"/>
      <c r="J151" s="750"/>
      <c r="K151" s="1581"/>
      <c r="L151" s="759">
        <v>4</v>
      </c>
      <c r="M151" s="127">
        <f t="shared" ref="M151:R151" si="138">A40</f>
        <v>50000</v>
      </c>
      <c r="N151" s="127">
        <f t="shared" si="138"/>
        <v>1</v>
      </c>
      <c r="O151" s="127" t="str">
        <f t="shared" si="138"/>
        <v>-</v>
      </c>
      <c r="P151" s="127">
        <f t="shared" si="138"/>
        <v>1</v>
      </c>
      <c r="Q151" s="127">
        <f t="shared" si="138"/>
        <v>4.9998999999999993</v>
      </c>
      <c r="R151" s="127">
        <f t="shared" si="138"/>
        <v>14.999699999999999</v>
      </c>
      <c r="S151" s="790"/>
    </row>
    <row r="152" spans="1:19" ht="13" x14ac:dyDescent="0.25">
      <c r="A152" s="1538"/>
      <c r="B152" s="759">
        <v>5</v>
      </c>
      <c r="C152" s="127">
        <f t="shared" ref="C152:H152" si="139">H32</f>
        <v>3000</v>
      </c>
      <c r="D152" s="127">
        <f t="shared" si="139"/>
        <v>-0.1</v>
      </c>
      <c r="E152" s="127">
        <f t="shared" si="139"/>
        <v>-0.1</v>
      </c>
      <c r="F152" s="127">
        <f t="shared" si="139"/>
        <v>-0.1</v>
      </c>
      <c r="G152" s="127">
        <f t="shared" si="139"/>
        <v>0</v>
      </c>
      <c r="H152" s="689">
        <f t="shared" si="139"/>
        <v>0.90002999999999989</v>
      </c>
      <c r="I152" s="760"/>
      <c r="J152" s="750"/>
      <c r="K152" s="1581"/>
      <c r="L152" s="759">
        <v>5</v>
      </c>
      <c r="M152" s="127">
        <f t="shared" ref="M152:R152" si="140">H40</f>
        <v>50000</v>
      </c>
      <c r="N152" s="127">
        <f t="shared" si="140"/>
        <v>-2</v>
      </c>
      <c r="O152" s="127">
        <f t="shared" si="140"/>
        <v>-2</v>
      </c>
      <c r="P152" s="127">
        <f t="shared" si="140"/>
        <v>-2</v>
      </c>
      <c r="Q152" s="127">
        <f t="shared" si="140"/>
        <v>0</v>
      </c>
      <c r="R152" s="127">
        <f t="shared" si="140"/>
        <v>15.000599999999999</v>
      </c>
      <c r="S152" s="784"/>
    </row>
    <row r="153" spans="1:19" ht="13" x14ac:dyDescent="0.25">
      <c r="A153" s="1538"/>
      <c r="B153" s="759">
        <v>6</v>
      </c>
      <c r="C153" s="127">
        <f t="shared" ref="C153:H153" si="141">O$32</f>
        <v>3000</v>
      </c>
      <c r="D153" s="127">
        <f t="shared" si="141"/>
        <v>-0.3</v>
      </c>
      <c r="E153" s="127">
        <f t="shared" si="141"/>
        <v>-0.1</v>
      </c>
      <c r="F153" s="127">
        <f t="shared" si="141"/>
        <v>-0.1</v>
      </c>
      <c r="G153" s="127">
        <f t="shared" si="141"/>
        <v>0</v>
      </c>
      <c r="H153" s="689">
        <f t="shared" si="141"/>
        <v>0.90008999999999995</v>
      </c>
      <c r="I153" s="760"/>
      <c r="J153" s="750"/>
      <c r="K153" s="1581"/>
      <c r="L153" s="759">
        <v>6</v>
      </c>
      <c r="M153" s="127">
        <f t="shared" ref="M153:R153" si="142">O$40</f>
        <v>50000</v>
      </c>
      <c r="N153" s="127">
        <f t="shared" si="142"/>
        <v>-2</v>
      </c>
      <c r="O153" s="127">
        <f t="shared" si="142"/>
        <v>0</v>
      </c>
      <c r="P153" s="127">
        <f t="shared" si="142"/>
        <v>-2</v>
      </c>
      <c r="Q153" s="127">
        <f t="shared" si="142"/>
        <v>1</v>
      </c>
      <c r="R153" s="127">
        <f t="shared" si="142"/>
        <v>15.000599999999999</v>
      </c>
      <c r="S153" s="790"/>
    </row>
    <row r="154" spans="1:19" ht="13" x14ac:dyDescent="0.25">
      <c r="A154" s="1538"/>
      <c r="B154" s="759">
        <v>7</v>
      </c>
      <c r="C154" s="127">
        <f t="shared" ref="C154:H154" si="143">A$52</f>
        <v>3000</v>
      </c>
      <c r="D154" s="127">
        <f t="shared" si="143"/>
        <v>-0.3</v>
      </c>
      <c r="E154" s="127">
        <f t="shared" si="143"/>
        <v>-0.2</v>
      </c>
      <c r="F154" s="127">
        <f t="shared" si="143"/>
        <v>-0.2</v>
      </c>
      <c r="G154" s="127">
        <f t="shared" si="143"/>
        <v>0</v>
      </c>
      <c r="H154" s="689">
        <f t="shared" si="143"/>
        <v>0.90008999999999995</v>
      </c>
      <c r="I154" s="760"/>
      <c r="J154" s="750"/>
      <c r="K154" s="1581"/>
      <c r="L154" s="759">
        <v>7</v>
      </c>
      <c r="M154" s="127">
        <f t="shared" ref="M154:R154" si="144">A$60</f>
        <v>50000</v>
      </c>
      <c r="N154" s="127">
        <f t="shared" si="144"/>
        <v>-3</v>
      </c>
      <c r="O154" s="127">
        <f t="shared" si="144"/>
        <v>-3</v>
      </c>
      <c r="P154" s="127">
        <f t="shared" si="144"/>
        <v>-3</v>
      </c>
      <c r="Q154" s="127">
        <f t="shared" si="144"/>
        <v>0</v>
      </c>
      <c r="R154" s="127">
        <f t="shared" si="144"/>
        <v>15.000899999999998</v>
      </c>
      <c r="S154" s="790"/>
    </row>
    <row r="155" spans="1:19" ht="13" x14ac:dyDescent="0.25">
      <c r="A155" s="1538"/>
      <c r="B155" s="759">
        <v>8</v>
      </c>
      <c r="C155" s="127">
        <f t="shared" ref="C155:H155" si="145">H52</f>
        <v>3000</v>
      </c>
      <c r="D155" s="127" t="str">
        <f t="shared" si="145"/>
        <v>-</v>
      </c>
      <c r="E155" s="127" t="str">
        <f t="shared" si="145"/>
        <v>-</v>
      </c>
      <c r="F155" s="127" t="str">
        <f t="shared" si="145"/>
        <v>-</v>
      </c>
      <c r="G155" s="127" t="str">
        <f t="shared" si="145"/>
        <v>-</v>
      </c>
      <c r="H155" s="689" t="str">
        <f t="shared" si="145"/>
        <v>-</v>
      </c>
      <c r="I155" s="760"/>
      <c r="J155" s="750"/>
      <c r="K155" s="1581"/>
      <c r="L155" s="759">
        <v>8</v>
      </c>
      <c r="M155" s="127">
        <f t="shared" ref="M155:R155" si="146">H60</f>
        <v>50000</v>
      </c>
      <c r="N155" s="127" t="str">
        <f t="shared" si="146"/>
        <v>-</v>
      </c>
      <c r="O155" s="127" t="str">
        <f t="shared" si="146"/>
        <v>-</v>
      </c>
      <c r="P155" s="127" t="str">
        <f t="shared" si="146"/>
        <v>-</v>
      </c>
      <c r="Q155" s="127" t="str">
        <f t="shared" si="146"/>
        <v>-</v>
      </c>
      <c r="R155" s="127" t="str">
        <f t="shared" si="146"/>
        <v>-</v>
      </c>
      <c r="S155" s="790"/>
    </row>
    <row r="156" spans="1:19" ht="13" x14ac:dyDescent="0.25">
      <c r="A156" s="1538"/>
      <c r="B156" s="759">
        <v>9</v>
      </c>
      <c r="C156" s="127">
        <f t="shared" ref="C156:H156" si="147">A72</f>
        <v>3000</v>
      </c>
      <c r="D156" s="127" t="str">
        <f t="shared" si="147"/>
        <v>-</v>
      </c>
      <c r="E156" s="127" t="str">
        <f t="shared" si="147"/>
        <v>-</v>
      </c>
      <c r="F156" s="127" t="str">
        <f t="shared" si="147"/>
        <v>-</v>
      </c>
      <c r="G156" s="127" t="str">
        <f t="shared" si="147"/>
        <v>-</v>
      </c>
      <c r="H156" s="689" t="str">
        <f t="shared" si="147"/>
        <v>-</v>
      </c>
      <c r="I156" s="760"/>
      <c r="J156" s="750"/>
      <c r="K156" s="1581"/>
      <c r="L156" s="759">
        <v>9</v>
      </c>
      <c r="M156" s="127">
        <f t="shared" ref="M156:R156" si="148">A80</f>
        <v>50000</v>
      </c>
      <c r="N156" s="127" t="str">
        <f t="shared" si="148"/>
        <v>-</v>
      </c>
      <c r="O156" s="127" t="str">
        <f t="shared" si="148"/>
        <v>-</v>
      </c>
      <c r="P156" s="127" t="str">
        <f t="shared" si="148"/>
        <v>-</v>
      </c>
      <c r="Q156" s="127" t="str">
        <f t="shared" si="148"/>
        <v>-</v>
      </c>
      <c r="R156" s="127" t="str">
        <f t="shared" si="148"/>
        <v>-</v>
      </c>
      <c r="S156" s="790"/>
    </row>
    <row r="157" spans="1:19" ht="13.5" thickBot="1" x14ac:dyDescent="0.3">
      <c r="A157" s="1539"/>
      <c r="B157" s="761">
        <v>10</v>
      </c>
      <c r="C157" s="454">
        <f t="shared" ref="C157:H157" si="149">H72</f>
        <v>3000</v>
      </c>
      <c r="D157" s="454" t="str">
        <f t="shared" si="149"/>
        <v>-</v>
      </c>
      <c r="E157" s="454" t="str">
        <f t="shared" si="149"/>
        <v>-</v>
      </c>
      <c r="F157" s="454" t="str">
        <f t="shared" si="149"/>
        <v>-</v>
      </c>
      <c r="G157" s="454" t="str">
        <f t="shared" si="149"/>
        <v>-</v>
      </c>
      <c r="H157" s="762" t="str">
        <f t="shared" si="149"/>
        <v>-</v>
      </c>
      <c r="I157" s="763"/>
      <c r="J157" s="750"/>
      <c r="K157" s="1581"/>
      <c r="L157" s="794">
        <v>10</v>
      </c>
      <c r="M157" s="490">
        <f t="shared" ref="M157:R157" si="150">H80</f>
        <v>50000</v>
      </c>
      <c r="N157" s="490" t="str">
        <f t="shared" si="150"/>
        <v>-</v>
      </c>
      <c r="O157" s="490" t="str">
        <f t="shared" si="150"/>
        <v>-</v>
      </c>
      <c r="P157" s="490" t="str">
        <f t="shared" si="150"/>
        <v>-</v>
      </c>
      <c r="Q157" s="490" t="str">
        <f t="shared" si="150"/>
        <v>-</v>
      </c>
      <c r="R157" s="490" t="str">
        <f t="shared" si="150"/>
        <v>-</v>
      </c>
      <c r="S157" s="795"/>
    </row>
    <row r="158" spans="1:19" ht="13" x14ac:dyDescent="0.25">
      <c r="A158" s="796"/>
      <c r="B158" s="765">
        <v>1</v>
      </c>
      <c r="C158" s="129">
        <f t="shared" ref="C158:H158" si="151">A13</f>
        <v>4000</v>
      </c>
      <c r="D158" s="129">
        <f t="shared" si="151"/>
        <v>0</v>
      </c>
      <c r="E158" s="129">
        <f t="shared" si="151"/>
        <v>0</v>
      </c>
      <c r="F158" s="129">
        <f t="shared" si="151"/>
        <v>9.9999999999999995E-7</v>
      </c>
      <c r="G158" s="129">
        <f t="shared" si="151"/>
        <v>4.9999999999999998E-7</v>
      </c>
      <c r="H158" s="688">
        <f t="shared" si="151"/>
        <v>1.2</v>
      </c>
      <c r="I158" s="788"/>
      <c r="J158" s="750"/>
      <c r="K158" s="1570" t="s">
        <v>481</v>
      </c>
      <c r="L158" s="765">
        <v>1</v>
      </c>
      <c r="M158" s="129">
        <f t="shared" ref="M158:R158" si="152">A21</f>
        <v>99000</v>
      </c>
      <c r="N158" s="129">
        <f t="shared" si="152"/>
        <v>2</v>
      </c>
      <c r="O158" s="129">
        <f t="shared" si="152"/>
        <v>0</v>
      </c>
      <c r="P158" s="129">
        <f t="shared" si="152"/>
        <v>9.9999999999999995E-7</v>
      </c>
      <c r="Q158" s="129">
        <f t="shared" si="152"/>
        <v>4.9999999999999998E-7</v>
      </c>
      <c r="R158" s="129">
        <f t="shared" si="152"/>
        <v>29.699999999999996</v>
      </c>
      <c r="S158" s="797"/>
    </row>
    <row r="159" spans="1:19" ht="13" x14ac:dyDescent="0.3">
      <c r="A159" s="798"/>
      <c r="B159" s="759">
        <v>2</v>
      </c>
      <c r="C159" s="127">
        <f t="shared" ref="C159:H159" si="153">H13</f>
        <v>4000</v>
      </c>
      <c r="D159" s="127" t="str">
        <f t="shared" si="153"/>
        <v>-</v>
      </c>
      <c r="E159" s="127">
        <f t="shared" si="153"/>
        <v>9.9999999999999995E-7</v>
      </c>
      <c r="F159" s="127">
        <f t="shared" si="153"/>
        <v>9.9999999999999995E-7</v>
      </c>
      <c r="G159" s="127">
        <f t="shared" si="153"/>
        <v>0</v>
      </c>
      <c r="H159" s="689">
        <f t="shared" si="153"/>
        <v>1.2</v>
      </c>
      <c r="I159" s="760"/>
      <c r="J159" s="750"/>
      <c r="K159" s="1571"/>
      <c r="L159" s="759">
        <v>2</v>
      </c>
      <c r="M159" s="256">
        <f t="shared" ref="M159:R159" si="154">H21</f>
        <v>95000</v>
      </c>
      <c r="N159" s="485" t="str">
        <f t="shared" si="154"/>
        <v>-</v>
      </c>
      <c r="O159" s="485">
        <f t="shared" si="154"/>
        <v>9.9999999999999995E-7</v>
      </c>
      <c r="P159" s="485" t="str">
        <f t="shared" si="154"/>
        <v>-</v>
      </c>
      <c r="Q159" s="485">
        <f t="shared" si="154"/>
        <v>9.4999999999999982</v>
      </c>
      <c r="R159" s="127">
        <f t="shared" si="154"/>
        <v>28.499999999999996</v>
      </c>
      <c r="S159" s="799"/>
    </row>
    <row r="160" spans="1:19" ht="13" x14ac:dyDescent="0.3">
      <c r="A160" s="798"/>
      <c r="B160" s="759">
        <v>3</v>
      </c>
      <c r="C160" s="127">
        <f t="shared" ref="C160:H160" si="155">O13</f>
        <v>4000</v>
      </c>
      <c r="D160" s="127">
        <f t="shared" si="155"/>
        <v>0</v>
      </c>
      <c r="E160" s="127">
        <f t="shared" si="155"/>
        <v>9.9999999999999995E-7</v>
      </c>
      <c r="F160" s="127">
        <f t="shared" si="155"/>
        <v>9.9999999999999995E-7</v>
      </c>
      <c r="G160" s="127">
        <f t="shared" si="155"/>
        <v>0</v>
      </c>
      <c r="H160" s="689">
        <f t="shared" si="155"/>
        <v>1.2</v>
      </c>
      <c r="I160" s="760"/>
      <c r="J160" s="750"/>
      <c r="K160" s="1571"/>
      <c r="L160" s="759">
        <v>3</v>
      </c>
      <c r="M160" s="256">
        <f t="shared" ref="M160:R160" si="156">O21</f>
        <v>95000</v>
      </c>
      <c r="N160" s="485">
        <f t="shared" si="156"/>
        <v>0</v>
      </c>
      <c r="O160" s="485">
        <f t="shared" si="156"/>
        <v>9.9999999999999995E-7</v>
      </c>
      <c r="P160" s="485">
        <f t="shared" si="156"/>
        <v>9.9999999999999995E-7</v>
      </c>
      <c r="Q160" s="485">
        <f t="shared" si="156"/>
        <v>0</v>
      </c>
      <c r="R160" s="127">
        <f t="shared" si="156"/>
        <v>28.499999999999996</v>
      </c>
      <c r="S160" s="799"/>
    </row>
    <row r="161" spans="1:27" ht="13" x14ac:dyDescent="0.3">
      <c r="A161" s="798"/>
      <c r="B161" s="759">
        <v>4</v>
      </c>
      <c r="C161" s="127">
        <f t="shared" ref="C161:H161" si="157">A33</f>
        <v>4000</v>
      </c>
      <c r="D161" s="127">
        <f t="shared" si="157"/>
        <v>1</v>
      </c>
      <c r="E161" s="127">
        <f t="shared" si="157"/>
        <v>1</v>
      </c>
      <c r="F161" s="127">
        <f t="shared" si="157"/>
        <v>1</v>
      </c>
      <c r="G161" s="127">
        <f t="shared" si="157"/>
        <v>0</v>
      </c>
      <c r="H161" s="689">
        <f t="shared" si="157"/>
        <v>1.1997</v>
      </c>
      <c r="I161" s="760"/>
      <c r="J161" s="750"/>
      <c r="K161" s="1571"/>
      <c r="L161" s="759">
        <v>4</v>
      </c>
      <c r="M161" s="256">
        <f t="shared" ref="M161:R161" si="158">A41</f>
        <v>99000</v>
      </c>
      <c r="N161" s="485">
        <f t="shared" si="158"/>
        <v>1</v>
      </c>
      <c r="O161" s="485" t="str">
        <f t="shared" si="158"/>
        <v>-</v>
      </c>
      <c r="P161" s="485" t="str">
        <f t="shared" si="158"/>
        <v>-</v>
      </c>
      <c r="Q161" s="485">
        <f t="shared" si="158"/>
        <v>9.8998999999999988</v>
      </c>
      <c r="R161" s="127">
        <f t="shared" si="158"/>
        <v>29.699699999999996</v>
      </c>
      <c r="S161" s="799"/>
    </row>
    <row r="162" spans="1:27" ht="13" x14ac:dyDescent="0.3">
      <c r="A162" s="798" t="s">
        <v>482</v>
      </c>
      <c r="B162" s="759">
        <v>5</v>
      </c>
      <c r="C162" s="127">
        <f t="shared" ref="C162:H162" si="159">H33</f>
        <v>4000</v>
      </c>
      <c r="D162" s="127">
        <f t="shared" si="159"/>
        <v>-0.2</v>
      </c>
      <c r="E162" s="127">
        <f t="shared" si="159"/>
        <v>-0.2</v>
      </c>
      <c r="F162" s="127">
        <f t="shared" si="159"/>
        <v>-0.2</v>
      </c>
      <c r="G162" s="127">
        <f t="shared" si="159"/>
        <v>0</v>
      </c>
      <c r="H162" s="689">
        <f t="shared" si="159"/>
        <v>1.2000599999999999</v>
      </c>
      <c r="I162" s="760"/>
      <c r="J162" s="750"/>
      <c r="K162" s="1571"/>
      <c r="L162" s="759">
        <v>5</v>
      </c>
      <c r="M162" s="256">
        <f t="shared" ref="M162:R162" si="160">H41</f>
        <v>99000</v>
      </c>
      <c r="N162" s="485">
        <f t="shared" si="160"/>
        <v>-5</v>
      </c>
      <c r="O162" s="485">
        <f t="shared" si="160"/>
        <v>-4</v>
      </c>
      <c r="P162" s="485">
        <f t="shared" si="160"/>
        <v>-4</v>
      </c>
      <c r="Q162" s="485">
        <f t="shared" si="160"/>
        <v>0</v>
      </c>
      <c r="R162" s="127">
        <f t="shared" si="160"/>
        <v>29.701499999999996</v>
      </c>
      <c r="S162" s="799"/>
    </row>
    <row r="163" spans="1:27" ht="13" x14ac:dyDescent="0.3">
      <c r="A163" s="798"/>
      <c r="B163" s="759">
        <v>6</v>
      </c>
      <c r="C163" s="127">
        <f t="shared" ref="C163:H163" si="161">O$33</f>
        <v>4000</v>
      </c>
      <c r="D163" s="127">
        <f t="shared" si="161"/>
        <v>-0.2</v>
      </c>
      <c r="E163" s="127">
        <f t="shared" si="161"/>
        <v>-0.2</v>
      </c>
      <c r="F163" s="127">
        <f t="shared" si="161"/>
        <v>-0.2</v>
      </c>
      <c r="G163" s="127">
        <f t="shared" si="161"/>
        <v>0</v>
      </c>
      <c r="H163" s="689">
        <f t="shared" si="161"/>
        <v>1.2000599999999999</v>
      </c>
      <c r="I163" s="760"/>
      <c r="J163" s="750"/>
      <c r="K163" s="1571"/>
      <c r="L163" s="759">
        <v>6</v>
      </c>
      <c r="M163" s="256">
        <f t="shared" ref="M163:R163" si="162">O$41</f>
        <v>99000</v>
      </c>
      <c r="N163" s="256">
        <f t="shared" si="162"/>
        <v>-6</v>
      </c>
      <c r="O163" s="256">
        <f t="shared" si="162"/>
        <v>-4</v>
      </c>
      <c r="P163" s="256">
        <f t="shared" si="162"/>
        <v>-3</v>
      </c>
      <c r="Q163" s="256">
        <f t="shared" si="162"/>
        <v>0.5</v>
      </c>
      <c r="R163" s="256">
        <f t="shared" si="162"/>
        <v>29.701799999999999</v>
      </c>
      <c r="S163" s="799"/>
    </row>
    <row r="164" spans="1:27" ht="13" x14ac:dyDescent="0.3">
      <c r="A164" s="798"/>
      <c r="B164" s="759">
        <v>7</v>
      </c>
      <c r="C164" s="127">
        <f t="shared" ref="C164:H164" si="163">A$53</f>
        <v>4000</v>
      </c>
      <c r="D164" s="127">
        <f t="shared" si="163"/>
        <v>-0.2</v>
      </c>
      <c r="E164" s="127">
        <f t="shared" si="163"/>
        <v>-0.3</v>
      </c>
      <c r="F164" s="127">
        <f t="shared" si="163"/>
        <v>-0.3</v>
      </c>
      <c r="G164" s="127">
        <f t="shared" si="163"/>
        <v>0</v>
      </c>
      <c r="H164" s="689">
        <f t="shared" si="163"/>
        <v>1.2000599999999999</v>
      </c>
      <c r="I164" s="760"/>
      <c r="J164" s="750"/>
      <c r="K164" s="1571"/>
      <c r="L164" s="759">
        <v>7</v>
      </c>
      <c r="M164" s="256">
        <f t="shared" ref="M164:R164" si="164">A$61</f>
        <v>99000</v>
      </c>
      <c r="N164" s="256">
        <f t="shared" si="164"/>
        <v>-12</v>
      </c>
      <c r="O164" s="256">
        <f t="shared" si="164"/>
        <v>-7</v>
      </c>
      <c r="P164" s="256">
        <f t="shared" si="164"/>
        <v>-6</v>
      </c>
      <c r="Q164" s="256">
        <f t="shared" si="164"/>
        <v>0.5</v>
      </c>
      <c r="R164" s="256">
        <f t="shared" si="164"/>
        <v>29.703599999999998</v>
      </c>
      <c r="S164" s="799"/>
    </row>
    <row r="165" spans="1:27" ht="13" x14ac:dyDescent="0.3">
      <c r="A165" s="798"/>
      <c r="B165" s="759">
        <v>8</v>
      </c>
      <c r="C165" s="127">
        <f t="shared" ref="C165:H165" si="165">H53</f>
        <v>4000</v>
      </c>
      <c r="D165" s="127" t="str">
        <f t="shared" si="165"/>
        <v>-</v>
      </c>
      <c r="E165" s="127" t="str">
        <f t="shared" si="165"/>
        <v>-</v>
      </c>
      <c r="F165" s="127" t="str">
        <f t="shared" si="165"/>
        <v>-</v>
      </c>
      <c r="G165" s="127" t="str">
        <f t="shared" si="165"/>
        <v>-</v>
      </c>
      <c r="H165" s="689" t="str">
        <f t="shared" si="165"/>
        <v>-</v>
      </c>
      <c r="I165" s="760"/>
      <c r="J165" s="750"/>
      <c r="K165" s="1571"/>
      <c r="L165" s="759">
        <v>8</v>
      </c>
      <c r="M165" s="256">
        <f t="shared" ref="M165:R165" si="166">H61</f>
        <v>99000</v>
      </c>
      <c r="N165" s="485" t="str">
        <f t="shared" si="166"/>
        <v>-</v>
      </c>
      <c r="O165" s="485" t="str">
        <f t="shared" si="166"/>
        <v>-</v>
      </c>
      <c r="P165" s="485" t="str">
        <f t="shared" si="166"/>
        <v>-</v>
      </c>
      <c r="Q165" s="485" t="str">
        <f t="shared" si="166"/>
        <v>-</v>
      </c>
      <c r="R165" s="127" t="str">
        <f t="shared" si="166"/>
        <v>-</v>
      </c>
      <c r="S165" s="799"/>
    </row>
    <row r="166" spans="1:27" ht="13" x14ac:dyDescent="0.3">
      <c r="A166" s="798"/>
      <c r="B166" s="759">
        <v>9</v>
      </c>
      <c r="C166" s="127">
        <f t="shared" ref="C166:H166" si="167">A73</f>
        <v>4000</v>
      </c>
      <c r="D166" s="127" t="str">
        <f t="shared" si="167"/>
        <v>-</v>
      </c>
      <c r="E166" s="127" t="str">
        <f t="shared" si="167"/>
        <v>-</v>
      </c>
      <c r="F166" s="127" t="str">
        <f t="shared" si="167"/>
        <v>-</v>
      </c>
      <c r="G166" s="127" t="str">
        <f t="shared" si="167"/>
        <v>-</v>
      </c>
      <c r="H166" s="689" t="str">
        <f t="shared" si="167"/>
        <v>-</v>
      </c>
      <c r="I166" s="760"/>
      <c r="J166" s="750"/>
      <c r="K166" s="1571"/>
      <c r="L166" s="759">
        <v>9</v>
      </c>
      <c r="M166" s="256">
        <f t="shared" ref="M166:R166" si="168">O61</f>
        <v>99000</v>
      </c>
      <c r="N166" s="485" t="str">
        <f t="shared" si="168"/>
        <v>-</v>
      </c>
      <c r="O166" s="485" t="str">
        <f t="shared" si="168"/>
        <v>-</v>
      </c>
      <c r="P166" s="485" t="str">
        <f t="shared" si="168"/>
        <v>-</v>
      </c>
      <c r="Q166" s="485" t="str">
        <f t="shared" si="168"/>
        <v>-</v>
      </c>
      <c r="R166" s="127" t="str">
        <f t="shared" si="168"/>
        <v>-</v>
      </c>
      <c r="S166" s="799"/>
    </row>
    <row r="167" spans="1:27" ht="13.5" thickBot="1" x14ac:dyDescent="0.35">
      <c r="A167" s="800"/>
      <c r="B167" s="761">
        <v>10</v>
      </c>
      <c r="C167" s="454">
        <f t="shared" ref="C167:H167" si="169">H73</f>
        <v>4000</v>
      </c>
      <c r="D167" s="454" t="str">
        <f t="shared" si="169"/>
        <v>-</v>
      </c>
      <c r="E167" s="454" t="str">
        <f t="shared" si="169"/>
        <v>-</v>
      </c>
      <c r="F167" s="454" t="str">
        <f t="shared" si="169"/>
        <v>-</v>
      </c>
      <c r="G167" s="454" t="str">
        <f t="shared" si="169"/>
        <v>-</v>
      </c>
      <c r="H167" s="762" t="str">
        <f t="shared" si="169"/>
        <v>-</v>
      </c>
      <c r="I167" s="763"/>
      <c r="J167" s="801"/>
      <c r="K167" s="1572"/>
      <c r="L167" s="761">
        <v>10</v>
      </c>
      <c r="M167" s="775">
        <f t="shared" ref="M167:R167" si="170">A81</f>
        <v>99000</v>
      </c>
      <c r="N167" s="486" t="str">
        <f t="shared" si="170"/>
        <v>-</v>
      </c>
      <c r="O167" s="486">
        <f t="shared" si="170"/>
        <v>0</v>
      </c>
      <c r="P167" s="486">
        <f t="shared" si="170"/>
        <v>0</v>
      </c>
      <c r="Q167" s="486">
        <f t="shared" si="170"/>
        <v>0</v>
      </c>
      <c r="R167" s="454">
        <f t="shared" si="170"/>
        <v>0</v>
      </c>
      <c r="S167" s="802"/>
    </row>
    <row r="168" spans="1:27" ht="13" x14ac:dyDescent="0.25">
      <c r="A168" s="143"/>
      <c r="B168" s="81"/>
      <c r="C168" s="803"/>
      <c r="D168" s="81"/>
      <c r="E168" s="81"/>
      <c r="F168" s="81"/>
      <c r="G168" s="81"/>
      <c r="H168" s="81"/>
      <c r="I168" s="81"/>
    </row>
    <row r="169" spans="1:27" ht="13" x14ac:dyDescent="0.3">
      <c r="A169" s="739" t="s">
        <v>483</v>
      </c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137"/>
      <c r="M169" s="137"/>
      <c r="N169" s="137"/>
      <c r="O169" s="137"/>
      <c r="P169" s="137"/>
      <c r="Q169" s="711"/>
      <c r="R169" s="137"/>
      <c r="S169" s="137"/>
      <c r="T169" s="137"/>
    </row>
    <row r="170" spans="1:27" ht="28.5" customHeight="1" x14ac:dyDescent="0.25">
      <c r="A170" s="804">
        <f>A226</f>
        <v>7</v>
      </c>
      <c r="B170" s="1453" t="str">
        <f>A215</f>
        <v>Digital Tachometer, Merek : Krisbow, Model : KW06-563, SN : 180812206</v>
      </c>
      <c r="C170" s="1453"/>
      <c r="D170" s="1453"/>
      <c r="E170" s="1453"/>
      <c r="F170" s="1453"/>
      <c r="G170" s="1453"/>
      <c r="H170" s="805"/>
      <c r="I170" s="805"/>
      <c r="J170" s="805"/>
      <c r="K170" s="805"/>
      <c r="L170" s="805"/>
      <c r="M170" s="1573"/>
      <c r="N170" s="806"/>
      <c r="O170" s="806"/>
      <c r="P170" s="806"/>
      <c r="Q170" s="806"/>
      <c r="R170" s="137"/>
      <c r="S170" s="137"/>
      <c r="T170" s="137"/>
      <c r="AA170" s="807"/>
    </row>
    <row r="171" spans="1:27" ht="13.5" x14ac:dyDescent="0.25">
      <c r="A171" s="808" t="s">
        <v>461</v>
      </c>
      <c r="B171" s="1574" t="s">
        <v>391</v>
      </c>
      <c r="C171" s="1575"/>
      <c r="D171" s="1576"/>
      <c r="E171" s="1577" t="s">
        <v>484</v>
      </c>
      <c r="F171" s="1455" t="s">
        <v>392</v>
      </c>
      <c r="G171" s="1455"/>
      <c r="H171" s="1579" t="s">
        <v>458</v>
      </c>
      <c r="J171" s="805"/>
      <c r="M171" s="1573"/>
      <c r="N171" s="809"/>
      <c r="O171" s="809"/>
      <c r="P171" s="809"/>
      <c r="Q171" s="455"/>
      <c r="R171" s="137"/>
      <c r="S171" s="137"/>
      <c r="T171" s="137"/>
    </row>
    <row r="172" spans="1:27" ht="15" customHeight="1" x14ac:dyDescent="0.3">
      <c r="A172" s="731" t="s">
        <v>462</v>
      </c>
      <c r="B172" s="808">
        <f>VLOOKUP(B170,A216:M225,10,FALSE)</f>
        <v>2023</v>
      </c>
      <c r="C172" s="808">
        <f>VLOOKUP(B170,A216:M225,11,FALSE)</f>
        <v>2022</v>
      </c>
      <c r="D172" s="808">
        <f>VLOOKUP(B170,A216:M225,12,FALSE)</f>
        <v>2021</v>
      </c>
      <c r="E172" s="1578"/>
      <c r="F172" s="228"/>
      <c r="G172" s="810" t="s">
        <v>485</v>
      </c>
      <c r="H172" s="1579"/>
      <c r="J172" s="805"/>
      <c r="M172" s="811"/>
      <c r="N172" s="806"/>
      <c r="O172" s="806"/>
      <c r="P172" s="806"/>
      <c r="Q172" s="806"/>
      <c r="R172" s="740"/>
      <c r="S172" s="740"/>
      <c r="T172" s="740"/>
    </row>
    <row r="173" spans="1:27" ht="13" x14ac:dyDescent="0.3">
      <c r="A173" s="141">
        <f>VLOOKUP($A$170,$B$88:$H$97,2)</f>
        <v>0</v>
      </c>
      <c r="B173" s="141">
        <f>VLOOKUP($A$170,$B$88:$H$97,3,FALSE)</f>
        <v>0</v>
      </c>
      <c r="C173" s="141">
        <f>VLOOKUP($A$170,$B$88:$H$97,4,FALSE)</f>
        <v>0</v>
      </c>
      <c r="D173" s="141">
        <f>VLOOKUP($A$170,$B$88:$H$97,5,FALSE)</f>
        <v>9.9999999999999995E-7</v>
      </c>
      <c r="E173" s="485">
        <f t="shared" ref="E173:E185" si="171">IF(AND(B173="-",C173="-"),D173,IF(B173="-",C173,B173))</f>
        <v>0</v>
      </c>
      <c r="F173" s="812">
        <f>IFERROR(IF(OR(AND(B173="-",C173="-"),AND(B173="-",D173="-")),G173,0.5*(MAX(B173:D173)-MIN(B173:D173))),0)</f>
        <v>4.9999999999999998E-7</v>
      </c>
      <c r="G173" s="812">
        <f>1/3*H173</f>
        <v>0</v>
      </c>
      <c r="H173" s="141">
        <f>VLOOKUP($A$170,B88:H97,7,FALSE)</f>
        <v>0</v>
      </c>
      <c r="J173" s="805"/>
      <c r="M173" s="811"/>
      <c r="N173" s="806"/>
      <c r="O173" s="806"/>
      <c r="P173" s="806"/>
      <c r="Q173" s="806"/>
      <c r="R173" s="740"/>
      <c r="S173" s="740"/>
      <c r="T173" s="740"/>
    </row>
    <row r="174" spans="1:27" ht="13" x14ac:dyDescent="0.3">
      <c r="A174" s="141">
        <f>VLOOKUP($A$170,$B$98:$H$107,2)</f>
        <v>50</v>
      </c>
      <c r="B174" s="141">
        <f>VLOOKUP($A$170,$B$98:$H$107,3,FALSE)</f>
        <v>0</v>
      </c>
      <c r="C174" s="141">
        <f>VLOOKUP($A$170,$B$98:$H$107,4,FALSE)</f>
        <v>0</v>
      </c>
      <c r="D174" s="141">
        <f>VLOOKUP($A$170,$B$98:$H$107,5,FALSE)</f>
        <v>9.9999999999999995E-7</v>
      </c>
      <c r="E174" s="485">
        <f t="shared" si="171"/>
        <v>0</v>
      </c>
      <c r="F174" s="812">
        <f>IFERROR(IF(OR(AND(B174="-",C174="-"),AND(B174="-",D174="-")),G174,0.5*(MAX(B174:D174)-MIN(B174:D174))),0)</f>
        <v>4.9999999999999998E-7</v>
      </c>
      <c r="G174" s="812">
        <f>1/3*H174</f>
        <v>4.9999999999999992E-3</v>
      </c>
      <c r="H174" s="141">
        <f>VLOOKUP($A$170,$B$98:$H$107,7,FALSE)</f>
        <v>1.4999999999999999E-2</v>
      </c>
      <c r="J174" s="805"/>
      <c r="M174" s="811"/>
      <c r="N174" s="806"/>
      <c r="O174" s="806"/>
      <c r="P174" s="806"/>
      <c r="Q174" s="806"/>
      <c r="R174" s="740"/>
      <c r="S174" s="740"/>
      <c r="T174" s="740"/>
    </row>
    <row r="175" spans="1:27" ht="13" x14ac:dyDescent="0.3">
      <c r="A175" s="141">
        <f>VLOOKUP($A$170,$B$108:$H$117,2)</f>
        <v>100</v>
      </c>
      <c r="B175" s="141">
        <f>VLOOKUP($A$170,$B$108:$H$117,3,FALSE)</f>
        <v>0</v>
      </c>
      <c r="C175" s="141">
        <f>VLOOKUP($A$170,$B$108:$H$117,4,FALSE)</f>
        <v>0</v>
      </c>
      <c r="D175" s="141">
        <f>VLOOKUP($A$170,$B$108:$H$117,5,FALSE)</f>
        <v>9.9999999999999995E-7</v>
      </c>
      <c r="E175" s="485">
        <f t="shared" si="171"/>
        <v>0</v>
      </c>
      <c r="F175" s="812">
        <f t="shared" ref="F175:F188" si="172">IFERROR(IF(OR(AND(B175="-",C175="-"),AND(B175="-",D175="-")),G175,0.5*(MAX(B175:D175)-MIN(B175:D175))),0)</f>
        <v>4.9999999999999998E-7</v>
      </c>
      <c r="G175" s="812">
        <f t="shared" ref="G175:G188" si="173">1/3*H175</f>
        <v>9.9999999999999985E-3</v>
      </c>
      <c r="H175" s="141">
        <f>VLOOKUP($A$170,$B$108:$H$117,7,FALSE)</f>
        <v>0.03</v>
      </c>
      <c r="J175" s="805"/>
      <c r="M175" s="811"/>
      <c r="N175" s="806"/>
      <c r="O175" s="806"/>
      <c r="P175" s="806"/>
      <c r="Q175" s="806"/>
      <c r="R175" s="740"/>
      <c r="S175" s="740"/>
      <c r="T175" s="740"/>
    </row>
    <row r="176" spans="1:27" ht="13" x14ac:dyDescent="0.3">
      <c r="A176" s="141">
        <f>VLOOKUP($A$170,$B$118:$H$127,2)</f>
        <v>200</v>
      </c>
      <c r="B176" s="141">
        <f>VLOOKUP($A$170,$B$118:$H$127,3,FALSE)</f>
        <v>0</v>
      </c>
      <c r="C176" s="141">
        <f>VLOOKUP($A$170,$B$118:$H$127,4,FALSE)</f>
        <v>0</v>
      </c>
      <c r="D176" s="141">
        <f>VLOOKUP($A$170,$B$118:$H$127,5,FALSE)</f>
        <v>9.9999999999999995E-7</v>
      </c>
      <c r="E176" s="485">
        <f t="shared" si="171"/>
        <v>0</v>
      </c>
      <c r="F176" s="812">
        <f t="shared" si="172"/>
        <v>4.9999999999999998E-7</v>
      </c>
      <c r="G176" s="812">
        <f t="shared" si="173"/>
        <v>1.9999999999999997E-2</v>
      </c>
      <c r="H176" s="141">
        <f>VLOOKUP($A$170,$B$118:$H$127,7,FALSE)</f>
        <v>0.06</v>
      </c>
      <c r="J176" s="805"/>
      <c r="M176" s="811"/>
      <c r="N176" s="806"/>
      <c r="O176" s="806"/>
      <c r="P176" s="806"/>
      <c r="Q176" s="806"/>
      <c r="R176" s="740"/>
      <c r="S176" s="740"/>
      <c r="T176" s="740"/>
    </row>
    <row r="177" spans="1:20" ht="13" x14ac:dyDescent="0.3">
      <c r="A177" s="141">
        <f>VLOOKUP($A$170,$B$128:$H$137,2)</f>
        <v>1000</v>
      </c>
      <c r="B177" s="141">
        <f>VLOOKUP($A$170,$B$128:$H$137,3,FALSE)</f>
        <v>-0.1</v>
      </c>
      <c r="C177" s="141">
        <f>VLOOKUP($A$170,$B$128:$H$137,4,FALSE)</f>
        <v>-0.1</v>
      </c>
      <c r="D177" s="141">
        <f>VLOOKUP($A$170,$B$128:$H$137,5,FALSE)</f>
        <v>-0.1</v>
      </c>
      <c r="E177" s="485">
        <f t="shared" si="171"/>
        <v>-0.1</v>
      </c>
      <c r="F177" s="812">
        <f t="shared" si="172"/>
        <v>0</v>
      </c>
      <c r="G177" s="812">
        <f t="shared" si="173"/>
        <v>0.10000999999999999</v>
      </c>
      <c r="H177" s="141">
        <f>VLOOKUP($A$170,$B$128:$H$137,7,FALSE)</f>
        <v>0.30002999999999996</v>
      </c>
      <c r="J177" s="805"/>
      <c r="M177" s="811"/>
      <c r="N177" s="806"/>
      <c r="O177" s="806"/>
      <c r="P177" s="806"/>
      <c r="Q177" s="806"/>
      <c r="R177" s="740"/>
      <c r="S177" s="740"/>
      <c r="T177" s="740"/>
    </row>
    <row r="178" spans="1:20" ht="12.75" customHeight="1" x14ac:dyDescent="0.3">
      <c r="A178" s="141">
        <f>VLOOKUP($A$170,$B$138:$H$147,2)</f>
        <v>2000</v>
      </c>
      <c r="B178" s="141">
        <f>VLOOKUP($A$170,$B$138:$H$147,3,FALSE)</f>
        <v>-0.1</v>
      </c>
      <c r="C178" s="141">
        <f>VLOOKUP($A$170,$B$138:$H$147,4,FALSE)</f>
        <v>-0.1</v>
      </c>
      <c r="D178" s="141">
        <f>VLOOKUP($A$170,$B$138:$H$147,5,FALSE)</f>
        <v>-0.1</v>
      </c>
      <c r="E178" s="485">
        <f t="shared" si="171"/>
        <v>-0.1</v>
      </c>
      <c r="F178" s="812">
        <f t="shared" si="172"/>
        <v>0</v>
      </c>
      <c r="G178" s="812">
        <f t="shared" si="173"/>
        <v>0.20000999999999997</v>
      </c>
      <c r="H178" s="141">
        <f>VLOOKUP($A$170,$B$138:$H$147,7,FALSE)</f>
        <v>0.60002999999999995</v>
      </c>
      <c r="J178" s="805"/>
      <c r="M178" s="811"/>
      <c r="N178" s="806"/>
      <c r="O178" s="1590"/>
      <c r="P178" s="813"/>
      <c r="Q178" s="806"/>
      <c r="R178" s="740"/>
      <c r="S178" s="740"/>
      <c r="T178" s="740"/>
    </row>
    <row r="179" spans="1:20" ht="13" x14ac:dyDescent="0.3">
      <c r="A179" s="141">
        <f>VLOOKUP($A$170,$B$148:$H$157,2)</f>
        <v>3000</v>
      </c>
      <c r="B179" s="141">
        <f>VLOOKUP($A$170,$B$148:$H$157,3,FALSE)</f>
        <v>-0.3</v>
      </c>
      <c r="C179" s="141">
        <f>VLOOKUP($A$170,$B$148:$H$157,4,FALSE)</f>
        <v>-0.2</v>
      </c>
      <c r="D179" s="141">
        <f>VLOOKUP($A$170,$B$148:$H$157,5,FALSE)</f>
        <v>-0.2</v>
      </c>
      <c r="E179" s="485">
        <f t="shared" si="171"/>
        <v>-0.3</v>
      </c>
      <c r="F179" s="812">
        <f t="shared" si="172"/>
        <v>4.9999999999999989E-2</v>
      </c>
      <c r="G179" s="812">
        <f t="shared" si="173"/>
        <v>0.30002999999999996</v>
      </c>
      <c r="H179" s="141">
        <f>VLOOKUP($A$170,$B$148:$H$157,7,FALSE)</f>
        <v>0.90008999999999995</v>
      </c>
      <c r="J179" s="805"/>
      <c r="M179" s="811"/>
      <c r="N179" s="806"/>
      <c r="O179" s="1590"/>
      <c r="P179" s="813"/>
      <c r="Q179" s="455"/>
      <c r="R179" s="740"/>
      <c r="S179" s="740"/>
      <c r="T179" s="740"/>
    </row>
    <row r="180" spans="1:20" ht="13" x14ac:dyDescent="0.3">
      <c r="A180" s="141">
        <f>VLOOKUP($A$170,$B$158:$H$167,2)</f>
        <v>4000</v>
      </c>
      <c r="B180" s="141">
        <f>VLOOKUP($A$170,$B$158:$H$167,3,FALSE)</f>
        <v>-0.2</v>
      </c>
      <c r="C180" s="141">
        <f>VLOOKUP($A$170,$B$158:$H$167,4,FALSE)</f>
        <v>-0.3</v>
      </c>
      <c r="D180" s="141">
        <f>VLOOKUP($A$170,$B$158:$H$167,5,FALSE)</f>
        <v>-0.3</v>
      </c>
      <c r="E180" s="485">
        <f t="shared" si="171"/>
        <v>-0.2</v>
      </c>
      <c r="F180" s="812">
        <f t="shared" si="172"/>
        <v>4.9999999999999989E-2</v>
      </c>
      <c r="G180" s="812">
        <f t="shared" si="173"/>
        <v>0.40001999999999993</v>
      </c>
      <c r="H180" s="141">
        <f>VLOOKUP($A$170,$B$158:$H$167,7,FALSE)</f>
        <v>1.2000599999999999</v>
      </c>
      <c r="J180" s="805"/>
      <c r="M180" s="811"/>
      <c r="N180" s="806"/>
      <c r="O180" s="813"/>
      <c r="P180" s="813"/>
      <c r="Q180" s="455"/>
      <c r="R180" s="740"/>
      <c r="S180" s="740"/>
      <c r="T180" s="740"/>
    </row>
    <row r="181" spans="1:20" ht="13" x14ac:dyDescent="0.3">
      <c r="A181" s="141">
        <f>VLOOKUP($A$170,$L$88:$R$97,2)</f>
        <v>5000</v>
      </c>
      <c r="B181" s="141">
        <f>VLOOKUP($A$170,$L$88:$R$97,3,FALSE)</f>
        <v>-0.3</v>
      </c>
      <c r="C181" s="141">
        <f>VLOOKUP($A$170,$L$88:$R$97,4,FALSE)</f>
        <v>-0.4</v>
      </c>
      <c r="D181" s="141">
        <f>VLOOKUP($A$170,$L$88:$R$97,5,FALSE)</f>
        <v>-0.3</v>
      </c>
      <c r="E181" s="485">
        <f t="shared" si="171"/>
        <v>-0.3</v>
      </c>
      <c r="F181" s="812">
        <f t="shared" si="172"/>
        <v>5.0000000000000017E-2</v>
      </c>
      <c r="G181" s="812">
        <f t="shared" si="173"/>
        <v>0.50002999999999997</v>
      </c>
      <c r="H181" s="141">
        <f>VLOOKUP($A$170,$L$88:$R$97,7,FALSE)</f>
        <v>1.5000899999999999</v>
      </c>
      <c r="J181" s="805"/>
      <c r="M181" s="811"/>
      <c r="N181" s="806"/>
      <c r="O181" s="813"/>
      <c r="P181" s="813"/>
      <c r="Q181" s="455"/>
      <c r="R181" s="740"/>
    </row>
    <row r="182" spans="1:20" ht="13" x14ac:dyDescent="0.3">
      <c r="A182" s="141">
        <f>VLOOKUP($A$170,$L$98:$R$107,2)</f>
        <v>6000</v>
      </c>
      <c r="B182" s="141">
        <f>VLOOKUP($A$170,$L$98:$R$107,3,FALSE)</f>
        <v>-0.3</v>
      </c>
      <c r="C182" s="141">
        <f>VLOOKUP($A$170,$L$98:$R$107,4,FALSE)</f>
        <v>-0.4</v>
      </c>
      <c r="D182" s="141">
        <f>VLOOKUP($A$170,$L$98:$R$107,5,FALSE)</f>
        <v>-0.4</v>
      </c>
      <c r="E182" s="485">
        <f>IF(AND(B182="-",C182="-"),D182,IF(B182="-",C182,B182))</f>
        <v>-0.3</v>
      </c>
      <c r="F182" s="812">
        <f t="shared" si="172"/>
        <v>5.0000000000000017E-2</v>
      </c>
      <c r="G182" s="812">
        <f t="shared" si="173"/>
        <v>0.60002999999999995</v>
      </c>
      <c r="H182" s="141">
        <f>VLOOKUP($A$170,$L$98:$R$107,7,FALSE)</f>
        <v>1.80009</v>
      </c>
      <c r="J182" s="805"/>
      <c r="M182" s="811"/>
      <c r="N182" s="806"/>
      <c r="O182" s="813"/>
      <c r="P182" s="813"/>
      <c r="Q182" s="455"/>
      <c r="R182" s="740"/>
    </row>
    <row r="183" spans="1:20" ht="13" x14ac:dyDescent="0.3">
      <c r="A183" s="141">
        <f>VLOOKUP($A$170,$L$108:$R$117,2)</f>
        <v>7000</v>
      </c>
      <c r="B183" s="141">
        <f>VLOOKUP($A$170,$L$108:$R$117,3,FALSE)</f>
        <v>-0.2</v>
      </c>
      <c r="C183" s="141">
        <f>VLOOKUP($A$170,$L$108:$R$117,4,FALSE)</f>
        <v>-0.5</v>
      </c>
      <c r="D183" s="141">
        <f>VLOOKUP($A$170,$L$108:$R$117,5,FALSE)</f>
        <v>-0.5</v>
      </c>
      <c r="E183" s="485">
        <f t="shared" si="171"/>
        <v>-0.2</v>
      </c>
      <c r="F183" s="812">
        <f t="shared" si="172"/>
        <v>0.15</v>
      </c>
      <c r="G183" s="812">
        <f t="shared" si="173"/>
        <v>0.70001999999999986</v>
      </c>
      <c r="H183" s="141">
        <f>VLOOKUP($A$170,$L$108:$R$117,7,FALSE)</f>
        <v>2.1000599999999996</v>
      </c>
      <c r="J183" s="805"/>
      <c r="M183" s="811"/>
      <c r="N183" s="806"/>
      <c r="O183" s="806"/>
      <c r="P183" s="806"/>
      <c r="Q183" s="806"/>
      <c r="R183" s="740"/>
    </row>
    <row r="184" spans="1:20" ht="13" x14ac:dyDescent="0.3">
      <c r="A184" s="141">
        <f>VLOOKUP($A$170,$L$118:$R$127,2)</f>
        <v>8000</v>
      </c>
      <c r="B184" s="141">
        <f>VLOOKUP($A$170,$L$118:$R$127,3,FALSE)</f>
        <v>-0.4</v>
      </c>
      <c r="C184" s="141">
        <f>VLOOKUP($A$170,$L$118:$R$127,4,FALSE)</f>
        <v>-0.6</v>
      </c>
      <c r="D184" s="141" t="str">
        <f>VLOOKUP($A$170,$L$118:$R$127,5,FALSE)</f>
        <v>-</v>
      </c>
      <c r="E184" s="485">
        <f t="shared" si="171"/>
        <v>-0.4</v>
      </c>
      <c r="F184" s="812">
        <f t="shared" si="172"/>
        <v>9.9999999999999978E-2</v>
      </c>
      <c r="G184" s="812">
        <f t="shared" si="173"/>
        <v>0.80003999999999986</v>
      </c>
      <c r="H184" s="141">
        <f>VLOOKUP($A$170,$L$118:$R$127,7,FALSE)</f>
        <v>2.4001199999999998</v>
      </c>
      <c r="J184" s="805"/>
      <c r="M184" s="811"/>
      <c r="N184" s="806"/>
      <c r="O184" s="806"/>
      <c r="P184" s="806"/>
      <c r="Q184" s="806"/>
      <c r="R184" s="740"/>
    </row>
    <row r="185" spans="1:20" ht="13" x14ac:dyDescent="0.3">
      <c r="A185" s="141">
        <f>VLOOKUP($A$170,$L$128:$R$137,2)</f>
        <v>9000</v>
      </c>
      <c r="B185" s="141">
        <f>VLOOKUP($A$170,$L$128:$R$137,3,FALSE)</f>
        <v>-0.4</v>
      </c>
      <c r="C185" s="141">
        <f>VLOOKUP($A$170,$L$128:$R$137,4,FALSE)</f>
        <v>-0.7</v>
      </c>
      <c r="D185" s="141" t="str">
        <f>VLOOKUP($A$170,$L$128:$R$137,5,FALSE)</f>
        <v>-</v>
      </c>
      <c r="E185" s="485">
        <f t="shared" si="171"/>
        <v>-0.4</v>
      </c>
      <c r="F185" s="812">
        <f t="shared" si="172"/>
        <v>0.14999999999999997</v>
      </c>
      <c r="G185" s="812">
        <f>1/3*H185</f>
        <v>0.90003999999999984</v>
      </c>
      <c r="H185" s="141">
        <f>VLOOKUP($A$170,$L$128:$R$137,7,FALSE)</f>
        <v>2.7001199999999996</v>
      </c>
      <c r="J185" s="805"/>
      <c r="M185" s="811"/>
      <c r="N185" s="806"/>
      <c r="O185" s="806"/>
      <c r="P185" s="806"/>
      <c r="Q185" s="806"/>
      <c r="R185" s="740"/>
    </row>
    <row r="186" spans="1:20" ht="13" x14ac:dyDescent="0.3">
      <c r="A186" s="141">
        <f>VLOOKUP($A$170,$L$138:$R$147,2)</f>
        <v>10000</v>
      </c>
      <c r="B186" s="141">
        <f>VLOOKUP($A$170,$L$138:$R$147,3,FALSE)</f>
        <v>0</v>
      </c>
      <c r="C186" s="141">
        <f>VLOOKUP($A$170,$L$138:$R$147,4,FALSE)</f>
        <v>0</v>
      </c>
      <c r="D186" s="141">
        <f>VLOOKUP($A$170,$L$138:$R$147,5,FALSE)</f>
        <v>9.9999999999999995E-7</v>
      </c>
      <c r="E186" s="485">
        <f>IF(AND(B186="-",C186="-"),D186,IF(B186="-",C186,B186))</f>
        <v>0</v>
      </c>
      <c r="F186" s="812">
        <f t="shared" si="172"/>
        <v>4.9999999999999998E-7</v>
      </c>
      <c r="G186" s="812">
        <f t="shared" si="173"/>
        <v>0.99999999999999978</v>
      </c>
      <c r="H186" s="141">
        <f>VLOOKUP($A$170,$L$138:$R$147,7,FALSE)</f>
        <v>2.9999999999999996</v>
      </c>
      <c r="J186" s="805"/>
      <c r="M186" s="811"/>
      <c r="N186" s="806"/>
      <c r="O186" s="806"/>
      <c r="P186" s="806"/>
      <c r="Q186" s="806"/>
      <c r="R186" s="740"/>
      <c r="S186" s="740"/>
      <c r="T186" s="740"/>
    </row>
    <row r="187" spans="1:20" ht="13" x14ac:dyDescent="0.3">
      <c r="A187" s="141">
        <f>VLOOKUP($A$170,$L$148:$R$157,2)</f>
        <v>50000</v>
      </c>
      <c r="B187" s="141">
        <f>VLOOKUP($A$170,$L$148:$R$157,3,FALSE)</f>
        <v>-3</v>
      </c>
      <c r="C187" s="141">
        <f>VLOOKUP($A$170,$L$148:$R$157,4,FALSE)</f>
        <v>-3</v>
      </c>
      <c r="D187" s="141">
        <f>VLOOKUP($A$170,$L$148:$R$157,5,FALSE)</f>
        <v>-3</v>
      </c>
      <c r="E187" s="485">
        <f>IF(AND(B187="-",C187="-"),D187,IF(B187="-",C187,B187))</f>
        <v>-3</v>
      </c>
      <c r="F187" s="812">
        <f t="shared" si="172"/>
        <v>0</v>
      </c>
      <c r="G187" s="812">
        <f t="shared" si="173"/>
        <v>5.0002999999999993</v>
      </c>
      <c r="H187" s="141">
        <f>VLOOKUP($A$170,$L$148:$R$157,7,FALSE)</f>
        <v>15.000899999999998</v>
      </c>
      <c r="J187" s="805"/>
      <c r="M187" s="811"/>
      <c r="N187" s="806"/>
      <c r="O187" s="806"/>
      <c r="P187" s="806"/>
      <c r="Q187" s="806"/>
      <c r="R187" s="740"/>
      <c r="S187" s="740"/>
      <c r="T187" s="740"/>
    </row>
    <row r="188" spans="1:20" ht="13" x14ac:dyDescent="0.3">
      <c r="A188" s="141">
        <f>VLOOKUP($A$170,$L$158:$R$167,2)</f>
        <v>99000</v>
      </c>
      <c r="B188" s="141">
        <f>VLOOKUP($A$170,$L$158:$R$167,3,FALSE)</f>
        <v>-12</v>
      </c>
      <c r="C188" s="141">
        <f>VLOOKUP($A$170,$L$158:$R$167,4,FALSE)</f>
        <v>-7</v>
      </c>
      <c r="D188" s="141">
        <f>VLOOKUP($A$170,$L$158:$R$167,5,FALSE)</f>
        <v>-6</v>
      </c>
      <c r="E188" s="485">
        <f>IF(AND(B188="-",C188="-"),D188,IF(B188="-",C188,B188))</f>
        <v>-12</v>
      </c>
      <c r="F188" s="812">
        <f t="shared" si="172"/>
        <v>3</v>
      </c>
      <c r="G188" s="812">
        <f t="shared" si="173"/>
        <v>9.9011999999999993</v>
      </c>
      <c r="H188" s="141">
        <f>VLOOKUP($A$170,$L$158:$R$167,7,FALSE)</f>
        <v>29.703599999999998</v>
      </c>
      <c r="J188" s="805"/>
      <c r="M188" s="811"/>
      <c r="N188" s="806"/>
      <c r="O188" s="806"/>
      <c r="P188" s="806"/>
      <c r="Q188" s="806"/>
      <c r="R188" s="740"/>
      <c r="S188" s="740"/>
      <c r="T188" s="740"/>
    </row>
    <row r="189" spans="1:20" ht="13.5" thickBot="1" x14ac:dyDescent="0.35">
      <c r="A189" s="143"/>
      <c r="B189" s="81"/>
      <c r="C189" s="81"/>
      <c r="D189" s="81"/>
      <c r="E189" s="81"/>
      <c r="F189" s="81"/>
      <c r="G189" s="806"/>
      <c r="H189" s="814"/>
      <c r="I189" s="814"/>
      <c r="J189" s="814"/>
      <c r="K189" s="814"/>
      <c r="L189" s="814"/>
      <c r="M189" s="806"/>
      <c r="N189" s="806"/>
      <c r="O189" s="806"/>
      <c r="P189" s="806"/>
      <c r="Q189" s="806"/>
      <c r="R189" s="740"/>
      <c r="S189" s="740"/>
      <c r="T189" s="740"/>
    </row>
    <row r="190" spans="1:20" ht="15" x14ac:dyDescent="0.3">
      <c r="A190" s="1582" t="s">
        <v>486</v>
      </c>
      <c r="B190" s="1583"/>
      <c r="C190" s="1584"/>
      <c r="D190" s="1584"/>
      <c r="E190" s="1585"/>
      <c r="F190" s="815"/>
      <c r="G190" s="1586" t="s">
        <v>487</v>
      </c>
      <c r="H190" s="1587"/>
      <c r="I190" s="1587"/>
      <c r="J190" s="1587"/>
      <c r="K190" s="1588"/>
      <c r="L190" s="711"/>
      <c r="M190" s="1589"/>
      <c r="N190" s="1589"/>
      <c r="O190" s="1589"/>
      <c r="P190" s="1589"/>
      <c r="Q190" s="1589"/>
      <c r="S190" s="740"/>
      <c r="T190" s="740"/>
    </row>
    <row r="191" spans="1:20" ht="13" x14ac:dyDescent="0.3">
      <c r="A191" s="151"/>
      <c r="B191" s="816"/>
      <c r="C191" s="817">
        <f>IF(A192&lt;=$A$176,$A$173,IF(A192&lt;=$A$177,$A$176,IF(A192&lt;=$A$178,$A$177,IF(A192&lt;=$A$179,$A$178,IF(A192&lt;=$A$183,$A$179,IF(A192&lt;=$A$184,$A$183,IF(A192&lt;=$A$185,$A$184,IF(A192&lt;=$A$187,$A$185))))))))</f>
        <v>200</v>
      </c>
      <c r="D191" s="817"/>
      <c r="E191" s="148">
        <f>IF(A192&lt;=$A$176,$C$173,IF(A192&lt;=$A$177,$C$176,IF(A192&lt;=$A$178,$C$177,IF(A192&lt;=$A$179,$C$178,IF(A192&lt;=$A$183,$C$179,IF(A192&lt;=$A$184,$C$183,IF(A192&lt;=$A$185,$C$184,IF(A192&lt;=$A$187,$C$185))))))))</f>
        <v>0</v>
      </c>
      <c r="F191" s="711"/>
      <c r="G191" s="151"/>
      <c r="H191" s="817">
        <f>IF(G192&lt;=$A$176,$A$173,IF(G192&lt;=$A$177,$A$176,IF(G192&lt;=$A$178,$A$177,IF(G192&lt;=$A$179,$A$178,IF(G192&lt;=$A$183,$A$179,IF(G192&lt;=$A$184,$A$183,IF(G192&lt;=$A$185,$A$184,IF(G192&lt;=$A$187,$A$185))))))))</f>
        <v>200</v>
      </c>
      <c r="I191" s="817"/>
      <c r="J191" s="817"/>
      <c r="K191" s="148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711"/>
      <c r="M191" s="137"/>
      <c r="N191" s="150"/>
      <c r="O191" s="150"/>
      <c r="P191" s="150"/>
      <c r="Q191" s="150"/>
      <c r="S191" s="740"/>
      <c r="T191" s="740"/>
    </row>
    <row r="192" spans="1:20" ht="13" x14ac:dyDescent="0.3">
      <c r="A192" s="151">
        <f>B209</f>
        <v>451.85840324084899</v>
      </c>
      <c r="B192" s="816"/>
      <c r="C192" s="817"/>
      <c r="D192" s="817">
        <f>((A192-C191)/(C193-C191)*(E193-E191)+E191)</f>
        <v>-3.1482300405106127E-2</v>
      </c>
      <c r="E192" s="148"/>
      <c r="F192" s="711"/>
      <c r="G192" s="151">
        <f>D209</f>
        <v>451.85840324084899</v>
      </c>
      <c r="H192" s="817"/>
      <c r="I192" s="817"/>
      <c r="J192" s="817" t="str">
        <f>IFERROR((G192-H191)/(H193-H191)*(K193-K191)+K191,"-")</f>
        <v>-</v>
      </c>
      <c r="K192" s="148"/>
      <c r="L192" s="711"/>
      <c r="M192" s="137"/>
      <c r="N192" s="150"/>
      <c r="O192" s="150"/>
      <c r="P192" s="150"/>
      <c r="Q192" s="150"/>
      <c r="S192" s="740"/>
      <c r="T192" s="740"/>
    </row>
    <row r="193" spans="1:20" ht="13.5" thickBot="1" x14ac:dyDescent="0.35">
      <c r="A193" s="151"/>
      <c r="B193" s="816"/>
      <c r="C193" s="817">
        <f>IF(A192&lt;=$A$176,$A$176,IF(A192&lt;=$A$177,$A$177,IF(A192&lt;=$A$178,$A$178,IF(A192&lt;=$A$179,$A$179,IF(A192&lt;=$A$183,$A$183,IF(A192&lt;=$A$184,$A$184,IF(A192&lt;=$A$185,$A$185,IF(A192&lt;=$A$187,$A$187))))))))</f>
        <v>1000</v>
      </c>
      <c r="D193" s="817"/>
      <c r="E193" s="148">
        <f>IF(A192&lt;=$A$176,$C$176,IF(A192&lt;=$A$177,$C$177,IF(A192&lt;=$A$178,$C$178,IF(A192&lt;=$A$179,$C$179,IF(A192&lt;=$A$183,$C$183,IF(A192&lt;=$A$184,$C$184,IF(A192&lt;=$A$185,$C$185,IF(A192&lt;=$A$187,$C$187))))))))</f>
        <v>-0.1</v>
      </c>
      <c r="F193" s="711"/>
      <c r="G193" s="151"/>
      <c r="H193" s="817">
        <f>IF(G192&lt;=$A$176,$A$176,IF(G192&lt;=$A$177,$A$177,IF(G192&lt;=$A$178,$A$178,IF(G192&lt;=$A$179,$A$179,IF(G192&lt;=$A$183,$A$183,IF(G192&lt;=$A$184,$A$184,IF(G192&lt;=$A$185,$A$185,IF(G192&lt;=$A$187,$A$187))))))))</f>
        <v>1000</v>
      </c>
      <c r="I193" s="817"/>
      <c r="J193" s="817"/>
      <c r="K193" s="148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711"/>
      <c r="M193" s="137"/>
      <c r="N193" s="150"/>
      <c r="O193" s="150"/>
      <c r="P193" s="150"/>
      <c r="Q193" s="150"/>
      <c r="S193" s="740"/>
      <c r="T193" s="740"/>
    </row>
    <row r="194" spans="1:20" ht="15" x14ac:dyDescent="0.3">
      <c r="A194" s="1582" t="s">
        <v>486</v>
      </c>
      <c r="B194" s="1583"/>
      <c r="C194" s="1584"/>
      <c r="D194" s="1584"/>
      <c r="E194" s="1585"/>
      <c r="F194" s="711"/>
      <c r="G194" s="1586" t="s">
        <v>487</v>
      </c>
      <c r="H194" s="1587"/>
      <c r="I194" s="1587"/>
      <c r="J194" s="1587"/>
      <c r="K194" s="1588"/>
      <c r="L194" s="711"/>
      <c r="M194" s="1589"/>
      <c r="N194" s="1589"/>
      <c r="O194" s="1589"/>
      <c r="P194" s="1589"/>
      <c r="Q194" s="1589"/>
      <c r="S194" s="740"/>
      <c r="T194" s="740"/>
    </row>
    <row r="195" spans="1:20" ht="13" x14ac:dyDescent="0.3">
      <c r="A195" s="151"/>
      <c r="B195" s="816"/>
      <c r="C195" s="817">
        <f>IF(A196&lt;=$A$176,$A$173,IF(A196&lt;=$A$177,$A$176,IF(A196&lt;=$A$178,$A$177,IF(A196&lt;=$A$179,$A$178,IF(A196&lt;=$A$183,$A$179,IF(A196&lt;=$A$184,$A$183,IF(A196&lt;=$A$185,$A$184,IF(A196&lt;=$A$187,$A$185))))))))</f>
        <v>200</v>
      </c>
      <c r="D195" s="817"/>
      <c r="E195" s="148">
        <f>IF(A196&lt;=$A$176,$C$173,IF(A196&lt;=$A$177,$C$176,IF(A196&lt;=$A$178,$C$177,IF(A196&lt;=$A$179,$C$178,IF(A196&lt;=$A$183,$C$179,IF(A196&lt;=$A$184,$C$183,IF(A196&lt;=$A$185,$C$184,IF(A196&lt;=$A$187,$C$185))))))))</f>
        <v>0</v>
      </c>
      <c r="F195" s="711"/>
      <c r="G195" s="151"/>
      <c r="H195" s="817">
        <f>IF(G196&lt;=$A$176,$A$173,IF(G196&lt;=$A$177,$A$176,IF(G196&lt;=$A$178,$A$177,IF(G196&lt;=$A$179,$A$178,IF(G196&lt;=$A$183,$A$179,IF(G196&lt;=$A$184,$A$183,IF(G196&lt;=$A$185,$A$184,IF(G196&lt;=$A$187,$A$185))))))))</f>
        <v>200</v>
      </c>
      <c r="I195" s="817"/>
      <c r="J195" s="817"/>
      <c r="K195" s="148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711"/>
      <c r="M195" s="137"/>
      <c r="N195" s="150"/>
      <c r="O195" s="150"/>
      <c r="P195" s="150"/>
      <c r="Q195" s="150"/>
      <c r="S195" s="740"/>
      <c r="T195" s="740"/>
    </row>
    <row r="196" spans="1:20" ht="13" x14ac:dyDescent="0.3">
      <c r="A196" s="151">
        <f>B210</f>
        <v>669.4198566531096</v>
      </c>
      <c r="B196" s="816"/>
      <c r="C196" s="817"/>
      <c r="D196" s="817">
        <f>((A196-C195)/(C197-C195)*(E197-E195)+E195)</f>
        <v>-5.8677482081638699E-2</v>
      </c>
      <c r="E196" s="148"/>
      <c r="F196" s="711"/>
      <c r="G196" s="151">
        <f>D210</f>
        <v>674.27315061384456</v>
      </c>
      <c r="H196" s="817"/>
      <c r="I196" s="817"/>
      <c r="J196" s="817" t="str">
        <f>IFERROR((G196-H195)/(H197-H195)*(K197-K195)+K195,"-")</f>
        <v>-</v>
      </c>
      <c r="K196" s="148"/>
      <c r="L196" s="711"/>
      <c r="M196" s="137"/>
      <c r="N196" s="150"/>
      <c r="O196" s="150"/>
      <c r="P196" s="150"/>
      <c r="Q196" s="150"/>
      <c r="S196" s="740"/>
      <c r="T196" s="740"/>
    </row>
    <row r="197" spans="1:20" ht="13.5" thickBot="1" x14ac:dyDescent="0.35">
      <c r="A197" s="151"/>
      <c r="B197" s="816"/>
      <c r="C197" s="817">
        <f>IF(A196&lt;=$A$176,$A$176,IF(A196&lt;=$A$177,$A$177,IF(A196&lt;=$A$178,$A$178,IF(A196&lt;=$A$179,$A$179,IF(A196&lt;=$A$183,$A$183,IF(A196&lt;=$A$184,$A$184,IF(A196&lt;=$A$185,$A$185,IF(A196&lt;=$A$187,$A$187))))))))</f>
        <v>1000</v>
      </c>
      <c r="D197" s="817"/>
      <c r="E197" s="148">
        <f>IF(A196&lt;=$A$176,$C$176,IF(A196&lt;=$A$177,$C$177,IF(A196&lt;=$A$178,$C$178,IF(A196&lt;=$A$179,$C$179,IF(A196&lt;=$A$183,$C$183,IF(A196&lt;=$A$184,$C$184,IF(A196&lt;=$A$185,$C$185,IF(A196&lt;=$A$187,$C$187))))))))</f>
        <v>-0.1</v>
      </c>
      <c r="F197" s="711"/>
      <c r="G197" s="151"/>
      <c r="H197" s="817">
        <f>IF(G196&lt;=$A$176,$A$176,IF(G196&lt;=$A$177,$A$177,IF(G196&lt;=$A$178,$A$178,IF(G196&lt;=$A$179,$A$179,IF(G196&lt;=$A$183,$A$183,IF(G196&lt;=$A$184,$A$184,IF(G196&lt;=$A$185,$A$185,IF(G196&lt;=$A$187,$A$187))))))))</f>
        <v>1000</v>
      </c>
      <c r="I197" s="817"/>
      <c r="J197" s="817"/>
      <c r="K197" s="148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711"/>
      <c r="N197" s="150"/>
      <c r="O197" s="150"/>
      <c r="P197" s="150"/>
      <c r="Q197" s="150"/>
      <c r="S197" s="740"/>
      <c r="T197" s="740"/>
    </row>
    <row r="198" spans="1:20" ht="15" x14ac:dyDescent="0.3">
      <c r="A198" s="1582" t="s">
        <v>486</v>
      </c>
      <c r="B198" s="1583"/>
      <c r="C198" s="1584"/>
      <c r="D198" s="1584"/>
      <c r="E198" s="1585"/>
      <c r="F198" s="711"/>
      <c r="G198" s="1586" t="s">
        <v>487</v>
      </c>
      <c r="H198" s="1587"/>
      <c r="I198" s="1587"/>
      <c r="J198" s="1587"/>
      <c r="K198" s="1588"/>
      <c r="L198" s="711"/>
      <c r="N198" s="715"/>
      <c r="O198" s="715"/>
      <c r="P198" s="715"/>
      <c r="Q198" s="715"/>
      <c r="S198" s="740"/>
      <c r="T198" s="740"/>
    </row>
    <row r="199" spans="1:20" ht="15" x14ac:dyDescent="0.3">
      <c r="A199" s="151"/>
      <c r="B199" s="816"/>
      <c r="C199" s="817">
        <f>IF(A200&lt;=$A$176,$A$173,IF(A200&lt;=$A$177,$A$176,IF(A200&lt;=$A$178,$A$177,IF(A200&lt;=$A$179,$A$178,IF(A200&lt;=$A$183,$A$179,IF(A200&lt;=$A$184,$A$183,IF(A200&lt;=$A$185,$A$184,IF(A200&lt;=$A$187,$A$185))))))))</f>
        <v>200</v>
      </c>
      <c r="D199" s="817"/>
      <c r="E199" s="148">
        <f>IF(A200&lt;=$A$176,$C$173,IF(A200&lt;=$A$177,$C$176,IF(A200&lt;=$A$178,$C$177,IF(A200&lt;=$A$179,$C$178,IF(A200&lt;=$A$183,$C$179,IF(A200&lt;=$A$184,$C$183,IF(A200&lt;=$A$185,$C$184,IF(A200&lt;=$A$187,$C$185))))))))</f>
        <v>0</v>
      </c>
      <c r="F199" s="711"/>
      <c r="G199" s="151"/>
      <c r="H199" s="817">
        <f>IF(G200&lt;=$A$176,$A$173,IF(G200&lt;=$A$177,$A$176,IF(G200&lt;=$A$178,$A$177,IF(G200&lt;=$A$179,$A$178,IF(G200&lt;=$A$183,$A$179,IF(G200&lt;=$A$184,$A$183,IF(G200&lt;=$A$185,$A$184,IF(G200&lt;=$A$187,$A$185))))))))</f>
        <v>200</v>
      </c>
      <c r="I199" s="817"/>
      <c r="J199" s="817"/>
      <c r="K199" s="148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711"/>
      <c r="N199" s="715"/>
      <c r="O199" s="715"/>
      <c r="P199" s="715"/>
      <c r="Q199" s="715"/>
      <c r="S199" s="740"/>
      <c r="T199" s="740"/>
    </row>
    <row r="200" spans="1:20" ht="15" x14ac:dyDescent="0.3">
      <c r="A200" s="151">
        <f>B211</f>
        <v>920.45230289802566</v>
      </c>
      <c r="B200" s="816"/>
      <c r="C200" s="817"/>
      <c r="D200" s="817">
        <f>((A200-C199)/(C201-C199)*(E201-E199)+E199)</f>
        <v>-9.0056537862253205E-2</v>
      </c>
      <c r="E200" s="148"/>
      <c r="F200" s="711"/>
      <c r="G200" s="151">
        <f>D211</f>
        <v>915.26429900896403</v>
      </c>
      <c r="H200" s="817"/>
      <c r="I200" s="817"/>
      <c r="J200" s="817" t="str">
        <f>IFERROR((G200-H199)/(H201-H199)*(K201-K199)+K199,"-")</f>
        <v>-</v>
      </c>
      <c r="K200" s="148"/>
      <c r="L200" s="711"/>
      <c r="N200" s="715"/>
      <c r="O200" s="715"/>
      <c r="P200" s="715"/>
      <c r="Q200" s="715"/>
      <c r="S200" s="740"/>
      <c r="T200" s="740"/>
    </row>
    <row r="201" spans="1:20" ht="15.5" thickBot="1" x14ac:dyDescent="0.35">
      <c r="A201" s="151"/>
      <c r="B201" s="816"/>
      <c r="C201" s="817">
        <f>IF(A200&lt;=$A$176,$A$176,IF(A200&lt;=$A$177,$A$177,IF(A200&lt;=$A$178,$A$178,IF(A200&lt;=$A$179,$A$179,IF(A200&lt;=$A$183,$A$183,IF(A200&lt;=$A$184,$A$184,IF(A200&lt;=$A$185,$A$185,IF(A200&lt;=$A$187,$A$187))))))))</f>
        <v>1000</v>
      </c>
      <c r="D201" s="817"/>
      <c r="E201" s="148">
        <f>IF(A200&lt;=$A$176,$C$176,IF(A200&lt;=$A$177,$C$177,IF(A200&lt;=$A$178,$C$178,IF(A200&lt;=$A$179,$C$179,IF(A200&lt;=$A$183,$C$183,IF(A200&lt;=$A$184,$C$184,IF(A200&lt;=$A$185,$C$185,IF(A200&lt;=$A$187,$C$187))))))))</f>
        <v>-0.1</v>
      </c>
      <c r="F201" s="711"/>
      <c r="G201" s="151"/>
      <c r="H201" s="817">
        <f>IF(G200&lt;=$A$176,$A$176,IF(G200&lt;=$A$177,$A$177,IF(G200&lt;=$A$178,$A$178,IF(G200&lt;=$A$179,$A$179,IF(G200&lt;=$A$183,$A$183,IF(G200&lt;=$A$184,$A$184,IF(G200&lt;=$A$185,$A$185,IF(G200&lt;=$A$187,$A$187))))))))</f>
        <v>1000</v>
      </c>
      <c r="I201" s="817"/>
      <c r="J201" s="817"/>
      <c r="K201" s="148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711"/>
      <c r="M201" s="1589"/>
      <c r="N201" s="1589"/>
      <c r="O201" s="1589"/>
      <c r="P201" s="1589"/>
      <c r="Q201" s="1589"/>
      <c r="S201" s="740"/>
      <c r="T201" s="740"/>
    </row>
    <row r="202" spans="1:20" ht="15" x14ac:dyDescent="0.3">
      <c r="A202" s="1582" t="s">
        <v>486</v>
      </c>
      <c r="B202" s="1583"/>
      <c r="C202" s="1584"/>
      <c r="D202" s="1584"/>
      <c r="E202" s="1585"/>
      <c r="F202" s="815"/>
      <c r="G202" s="1586" t="s">
        <v>487</v>
      </c>
      <c r="H202" s="1587"/>
      <c r="I202" s="1587"/>
      <c r="J202" s="1587"/>
      <c r="K202" s="1588"/>
      <c r="L202" s="711"/>
      <c r="M202" s="137"/>
      <c r="N202" s="150"/>
      <c r="O202" s="150"/>
      <c r="P202" s="150"/>
      <c r="Q202" s="150"/>
      <c r="S202" s="740"/>
      <c r="T202" s="740"/>
    </row>
    <row r="203" spans="1:20" ht="13" x14ac:dyDescent="0.3">
      <c r="A203" s="151"/>
      <c r="B203" s="816"/>
      <c r="C203" s="817">
        <f>IF(A204&lt;=$A$176,$A$173,IF(A204&lt;=$A$177,$A$176,IF(A204&lt;=$A$178,$A$177,IF(A204&lt;=$A$179,$A$178,IF(A204&lt;=$A$183,$A$179,IF(A204&lt;=$A$184,$A$183,IF(A204&lt;=$A$185,$A$184,IF(A204&lt;=$A$187,$A$185))))))))</f>
        <v>1000</v>
      </c>
      <c r="D203" s="817"/>
      <c r="E203" s="148">
        <f>IF(A204&lt;=$A$176,$C$173,IF(A204&lt;=$A$177,$C$176,IF(A204&lt;=$A$178,$C$177,IF(A204&lt;=$A$179,$C$178,IF(A204&lt;=$A$183,$C$179,IF(A204&lt;=$A$184,$C$183,IF(A204&lt;=$A$185,$C$184,IF(A204&lt;=$A$187,$C$185))))))))</f>
        <v>-0.1</v>
      </c>
      <c r="F203" s="711"/>
      <c r="G203" s="151"/>
      <c r="H203" s="817">
        <f>IF(G204&lt;=$A$176,$A$173,IF(G204&lt;=$A$177,$A$176,IF(G204&lt;=$A$178,$A$177,IF(G204&lt;=$A$179,$A$178,IF(G204&lt;=$A$183,$A$179,IF(G204&lt;=$A$184,$A$183,IF(G204&lt;=$A$185,$A$184,IF(G204&lt;=$A$187,$A$185))))))))</f>
        <v>1000</v>
      </c>
      <c r="I203" s="817"/>
      <c r="J203" s="817"/>
      <c r="K203" s="148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711"/>
      <c r="M203" s="137"/>
      <c r="N203" s="150"/>
      <c r="O203" s="150"/>
      <c r="P203" s="150"/>
      <c r="Q203" s="150"/>
      <c r="S203" s="740"/>
      <c r="T203" s="740"/>
    </row>
    <row r="204" spans="1:20" ht="13" x14ac:dyDescent="0.3">
      <c r="A204" s="151">
        <f>B212</f>
        <v>1138.0137563102862</v>
      </c>
      <c r="B204" s="816"/>
      <c r="C204" s="817"/>
      <c r="D204" s="817">
        <f>((A204-C203)/(C205-C203)*(E205-E203)+E203)</f>
        <v>-0.1</v>
      </c>
      <c r="E204" s="148"/>
      <c r="F204" s="711"/>
      <c r="G204" s="151">
        <f>D212</f>
        <v>1133.1604623495512</v>
      </c>
      <c r="H204" s="817"/>
      <c r="I204" s="817"/>
      <c r="J204" s="817" t="str">
        <f>IFERROR((G204-H203)/(H205-H203)*(K205-K203)+K203,"-")</f>
        <v>-</v>
      </c>
      <c r="K204" s="148"/>
      <c r="L204" s="711"/>
      <c r="M204" s="137"/>
      <c r="N204" s="150"/>
      <c r="O204" s="150"/>
      <c r="P204" s="150"/>
      <c r="Q204" s="150"/>
      <c r="S204" s="740"/>
      <c r="T204" s="740"/>
    </row>
    <row r="205" spans="1:20" ht="13.5" thickBot="1" x14ac:dyDescent="0.35">
      <c r="A205" s="818"/>
      <c r="B205" s="819"/>
      <c r="C205" s="820">
        <f>IF(A204&lt;=$A$176,$A$176,IF(A204&lt;=$A$177,$A$177,IF(A204&lt;=$A$178,$A$178,IF(A204&lt;=$A$179,$A$179,IF(A204&lt;=$A$183,$A$183,IF(A204&lt;=$A$184,$A$184,IF(A204&lt;=$A$185,$A$185,IF(A204&lt;=$A$187,$A$187))))))))</f>
        <v>2000</v>
      </c>
      <c r="D205" s="820"/>
      <c r="E205" s="157">
        <f>IF(A204&lt;=$A$176,$C$176,IF(A204&lt;=$A$177,$C$177,IF(A204&lt;=$A$178,$C$178,IF(A204&lt;=$A$179,$C$179,IF(A204&lt;=$A$183,$C$183,IF(A204&lt;=$A$184,$C$184,IF(A204&lt;=$A$185,$C$185,IF(A204&lt;=$A$187,$C$187))))))))</f>
        <v>-0.1</v>
      </c>
      <c r="F205" s="711"/>
      <c r="G205" s="818"/>
      <c r="H205" s="820">
        <f>IF(G204&lt;=$A$176,$A$176,IF(G204&lt;=$A$177,$A$177,IF(G204&lt;=$A$178,$A$178,IF(G204&lt;=$A$179,$A$179,IF(G204&lt;=$A$183,$A$183,IF(G204&lt;=$A$184,$A$184,IF(G204&lt;=$A$185,$A$185,IF(G204&lt;=$A$187,$A$187))))))))</f>
        <v>2000</v>
      </c>
      <c r="I205" s="820"/>
      <c r="J205" s="820"/>
      <c r="K205" s="157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711"/>
      <c r="M205" s="137"/>
      <c r="N205" s="150"/>
      <c r="O205" s="150"/>
      <c r="P205" s="150"/>
      <c r="Q205" s="150"/>
      <c r="S205" s="740"/>
      <c r="T205" s="740"/>
    </row>
    <row r="206" spans="1:20" ht="13" x14ac:dyDescent="0.3">
      <c r="A206" s="821"/>
      <c r="B206" s="137"/>
      <c r="C206" s="150"/>
      <c r="D206" s="150"/>
      <c r="E206" s="150"/>
      <c r="F206" s="711"/>
      <c r="G206" s="137"/>
      <c r="H206" s="150"/>
      <c r="I206" s="150"/>
      <c r="J206" s="150"/>
      <c r="K206" s="150"/>
      <c r="L206" s="711"/>
      <c r="M206" s="137"/>
      <c r="N206" s="150"/>
      <c r="O206" s="150"/>
      <c r="P206" s="150"/>
      <c r="Q206" s="150"/>
      <c r="S206" s="740"/>
      <c r="T206" s="740"/>
    </row>
    <row r="207" spans="1:20" ht="13.5" thickBot="1" x14ac:dyDescent="0.35">
      <c r="A207" s="815"/>
      <c r="B207" s="711"/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N207" s="822"/>
      <c r="O207" s="822"/>
      <c r="P207" s="822"/>
      <c r="S207" s="740"/>
      <c r="T207" s="740"/>
    </row>
    <row r="208" spans="1:20" ht="48.75" customHeight="1" thickBot="1" x14ac:dyDescent="0.3">
      <c r="A208" s="823" t="str">
        <f>'Konversi RPM'!B2</f>
        <v>Km/h</v>
      </c>
      <c r="B208" s="824" t="str">
        <f>'Konversi RPM'!C2</f>
        <v>Setting (RPM)</v>
      </c>
      <c r="C208" s="824" t="str">
        <f>'Konversi RPM'!D2</f>
        <v>Rata-rata (m/mnt)</v>
      </c>
      <c r="D208" s="824" t="str">
        <f>'Konversi RPM'!E2</f>
        <v>Rata-Rata (RPM)</v>
      </c>
      <c r="E208" s="867" t="s">
        <v>448</v>
      </c>
      <c r="F208" s="824" t="str">
        <f>'Konversi RPM'!G2</f>
        <v>Rata-rata Terkoreksi (RPM)</v>
      </c>
      <c r="G208" s="824" t="str">
        <f>'Konversi RPM'!H2</f>
        <v>Rata-rata Terkoreksi (Km/h)</v>
      </c>
      <c r="H208" s="824" t="str">
        <f>'Konversi RPM'!I2</f>
        <v>STDEV</v>
      </c>
      <c r="I208" s="824" t="str">
        <f>'Konversi RPM'!J2</f>
        <v>Kesalahan (RPM)</v>
      </c>
      <c r="J208" s="824" t="str">
        <f>'Konversi RPM'!K2</f>
        <v>Kesalahan Relatif (%)</v>
      </c>
      <c r="K208" s="824" t="str">
        <f>'Konversi RPM'!L2</f>
        <v>Koreksi (RPM)</v>
      </c>
      <c r="L208" s="824" t="str">
        <f>'Konversi RPM'!M2</f>
        <v>Koreksi (Km/h)</v>
      </c>
      <c r="M208" s="824" t="str">
        <f>'Konversi RPM'!N2</f>
        <v>Koreksi Relatif (%)</v>
      </c>
      <c r="N208" s="867" t="s">
        <v>453</v>
      </c>
      <c r="O208" s="868" t="str">
        <f>'Konversi RPM'!P2</f>
        <v>Daya Baca UUT</v>
      </c>
      <c r="P208" s="825" t="s">
        <v>455</v>
      </c>
    </row>
    <row r="209" spans="1:30" ht="13" x14ac:dyDescent="0.25">
      <c r="A209" s="862">
        <f>'Konversi RPM'!B3</f>
        <v>2.7</v>
      </c>
      <c r="B209" s="458">
        <f>'Konversi RPM'!C3</f>
        <v>451.85840324084899</v>
      </c>
      <c r="C209" s="458">
        <f>'Konversi RPM'!D3</f>
        <v>45</v>
      </c>
      <c r="D209" s="458">
        <f>'Konversi RPM'!E3</f>
        <v>451.85840324084899</v>
      </c>
      <c r="E209" s="456">
        <f>FORECAST(B209,$E$173:$E$188,$A$173:$A$188)</f>
        <v>0.30106309565541367</v>
      </c>
      <c r="F209" s="458">
        <f>'Konversi RPM'!G3</f>
        <v>452.15946633650441</v>
      </c>
      <c r="G209" s="458">
        <f>'Konversi RPM'!H3</f>
        <v>2.7017989493001338</v>
      </c>
      <c r="H209" s="458">
        <f>'Konversi RPM'!I3</f>
        <v>0</v>
      </c>
      <c r="I209" s="458">
        <f>'Konversi RPM'!J3</f>
        <v>-0.30106309565542233</v>
      </c>
      <c r="J209" s="458">
        <f>'Konversi RPM'!K3</f>
        <v>-6.6627751856802378E-2</v>
      </c>
      <c r="K209" s="458">
        <f>'Konversi RPM'!L3</f>
        <v>0.30106309565542233</v>
      </c>
      <c r="L209" s="458">
        <f>'Konversi RPM'!M3</f>
        <v>1.7989493001335788E-3</v>
      </c>
      <c r="M209" s="458">
        <f>'Konversi RPM'!N3</f>
        <v>6.6627751856799214E-2</v>
      </c>
      <c r="N209" s="459">
        <f>FORECAST(F209,$H$173:$H$188,$A$173:$A$188)</f>
        <v>0.13555753110609178</v>
      </c>
      <c r="O209" s="1601">
        <f>'Konversi RPM'!P3</f>
        <v>2.5000000000000001E-2</v>
      </c>
      <c r="P209" s="532">
        <f>FORECAST(F209,$F$173:$F$188,$A$173:$A$188)</f>
        <v>-8.6927544662773207E-2</v>
      </c>
    </row>
    <row r="210" spans="1:30" ht="13" x14ac:dyDescent="0.25">
      <c r="A210" s="869">
        <f>'Konversi RPM'!B4</f>
        <v>4</v>
      </c>
      <c r="B210" s="866">
        <f>'Konversi RPM'!C4</f>
        <v>669.4198566531096</v>
      </c>
      <c r="C210" s="866">
        <f>'Konversi RPM'!D4</f>
        <v>67.149999999999991</v>
      </c>
      <c r="D210" s="866">
        <f>'Konversi RPM'!E4</f>
        <v>674.27315061384456</v>
      </c>
      <c r="E210" s="460">
        <f>FORECAST(B210,$E$173:$E$188,$A$173:$A$188)</f>
        <v>0.27665257284485972</v>
      </c>
      <c r="F210" s="866">
        <f>'Konversi RPM'!G4</f>
        <v>674.54980318668947</v>
      </c>
      <c r="G210" s="866">
        <f>'Konversi RPM'!H4</f>
        <v>4.0306530885368588</v>
      </c>
      <c r="H210" s="866">
        <f>'Konversi RPM'!I4</f>
        <v>5.4772255750521283E-2</v>
      </c>
      <c r="I210" s="866">
        <f>'Konversi RPM'!J4</f>
        <v>-5.1299465335798686</v>
      </c>
      <c r="J210" s="866">
        <f>'Konversi RPM'!K4</f>
        <v>-0.76632721342148424</v>
      </c>
      <c r="K210" s="866">
        <f>'Konversi RPM'!L4</f>
        <v>5.1299465335798686</v>
      </c>
      <c r="L210" s="866">
        <f>'Konversi RPM'!M4</f>
        <v>3.0653088536858775E-2</v>
      </c>
      <c r="M210" s="866">
        <f>'Konversi RPM'!N4</f>
        <v>0.76632721342146937</v>
      </c>
      <c r="N210" s="877">
        <f>FORECAST(F210,$H$173:$H$188,$A$173:$A$188)</f>
        <v>0.20228211785905753</v>
      </c>
      <c r="O210" s="1475"/>
      <c r="P210" s="878">
        <f>FORECAST(F210,$F$173:$F$188,$A$173:$A$188)</f>
        <v>-8.1296756655587207E-2</v>
      </c>
    </row>
    <row r="211" spans="1:30" ht="13" x14ac:dyDescent="0.25">
      <c r="A211" s="869">
        <f>'Konversi RPM'!B5</f>
        <v>5.5</v>
      </c>
      <c r="B211" s="866">
        <f>'Konversi RPM'!C5</f>
        <v>920.45230289802566</v>
      </c>
      <c r="C211" s="866">
        <f>'Konversi RPM'!D5</f>
        <v>91.149999999999991</v>
      </c>
      <c r="D211" s="866">
        <f>'Konversi RPM'!E5</f>
        <v>915.26429900896403</v>
      </c>
      <c r="E211" s="460">
        <f>FORECAST(B211,$E$173:$E$188,$A$173:$A$188)</f>
        <v>0.24848658498652818</v>
      </c>
      <c r="F211" s="866">
        <f>'Konversi RPM'!G5</f>
        <v>915.51278559395053</v>
      </c>
      <c r="G211" s="866">
        <f>'Konversi RPM'!H5</f>
        <v>5.470484787656158</v>
      </c>
      <c r="H211" s="866">
        <f>'Konversi RPM'!I5</f>
        <v>5.4772255750521283E-2</v>
      </c>
      <c r="I211" s="866">
        <f>'Konversi RPM'!J5</f>
        <v>4.9395173040751388</v>
      </c>
      <c r="J211" s="866">
        <f>'Konversi RPM'!K5</f>
        <v>0.53664022443348425</v>
      </c>
      <c r="K211" s="866">
        <f>'Konversi RPM'!L5</f>
        <v>-4.9395173040751388</v>
      </c>
      <c r="L211" s="866">
        <f>'Konversi RPM'!M5</f>
        <v>-2.9515212343842023E-2</v>
      </c>
      <c r="M211" s="866">
        <f>'Konversi RPM'!N5</f>
        <v>-0.53664022443349135</v>
      </c>
      <c r="N211" s="877">
        <f t="shared" ref="N211:N212" si="174">FORECAST(F211,$H$173:$H$188,$A$173:$A$188)</f>
        <v>0.27457912343766694</v>
      </c>
      <c r="O211" s="1475"/>
      <c r="P211" s="878">
        <f>FORECAST(F211,$F$173:$F$188,$A$173:$A$188)</f>
        <v>-7.5195720564128779E-2</v>
      </c>
    </row>
    <row r="212" spans="1:30" ht="13" x14ac:dyDescent="0.25">
      <c r="A212" s="869">
        <f>'Konversi RPM'!B6</f>
        <v>6.8</v>
      </c>
      <c r="B212" s="866">
        <f>'Konversi RPM'!C6</f>
        <v>1138.0137563102862</v>
      </c>
      <c r="C212" s="866">
        <f>'Konversi RPM'!D6</f>
        <v>112.84999999999998</v>
      </c>
      <c r="D212" s="866">
        <f>'Konversi RPM'!E6</f>
        <v>1133.1604623495512</v>
      </c>
      <c r="E212" s="460">
        <f>FORECAST(B212,$E$173:$E$188,$A$173:$A$188)</f>
        <v>0.2240760621759742</v>
      </c>
      <c r="F212" s="866">
        <f>'Konversi RPM'!G6</f>
        <v>1133.3845384117271</v>
      </c>
      <c r="G212" s="866">
        <f>'Konversi RPM'!H6</f>
        <v>6.7723389268928837</v>
      </c>
      <c r="H212" s="866">
        <f>'Konversi RPM'!I6</f>
        <v>5.4772255750521283E-2</v>
      </c>
      <c r="I212" s="866">
        <f>'Konversi RPM'!J6</f>
        <v>4.6292178985590908</v>
      </c>
      <c r="J212" s="866">
        <f>'Konversi RPM'!K6</f>
        <v>0.40678048686934387</v>
      </c>
      <c r="K212" s="866">
        <f>'Konversi RPM'!L6</f>
        <v>-4.6292178985590908</v>
      </c>
      <c r="L212" s="866">
        <f>'Konversi RPM'!M6</f>
        <v>-2.7661073107116074E-2</v>
      </c>
      <c r="M212" s="866">
        <f>'Konversi RPM'!N6</f>
        <v>-0.40678048686935403</v>
      </c>
      <c r="N212" s="877">
        <f t="shared" si="174"/>
        <v>0.33994798288457567</v>
      </c>
      <c r="O212" s="1475"/>
      <c r="P212" s="878">
        <f>FORECAST(F212,$F$173:$F$188,$A$173:$A$188)</f>
        <v>-6.9679340355139022E-2</v>
      </c>
    </row>
    <row r="213" spans="1:30" ht="13.5" thickBot="1" x14ac:dyDescent="0.3">
      <c r="A213" s="870">
        <f>'Konversi RPM'!B7</f>
        <v>8</v>
      </c>
      <c r="B213" s="464">
        <f>'Konversi RPM'!C7</f>
        <v>1338.8397133062192</v>
      </c>
      <c r="C213" s="464">
        <f>'Konversi RPM'!D7</f>
        <v>134.25</v>
      </c>
      <c r="D213" s="464">
        <f>'Konversi RPM'!E7</f>
        <v>1348.0442363351995</v>
      </c>
      <c r="E213" s="462">
        <f t="shared" ref="E213" si="175">FORECAST(B213,$E$173:$E$188,$A$173:$A$188)</f>
        <v>0.20154327188930896</v>
      </c>
      <c r="F213" s="464">
        <f>'Konversi RPM'!G7</f>
        <v>1348.2457796070887</v>
      </c>
      <c r="G213" s="464">
        <f>'Konversi RPM'!H7</f>
        <v>8.0562042861883238</v>
      </c>
      <c r="H213" s="464">
        <f>'Konversi RPM'!I7</f>
        <v>5.4772255750529061E-2</v>
      </c>
      <c r="I213" s="464">
        <f>'Konversi RPM'!J7</f>
        <v>-9.4060663008694974</v>
      </c>
      <c r="J213" s="464">
        <f>'Konversi RPM'!K7</f>
        <v>-0.702553577354046</v>
      </c>
      <c r="K213" s="464">
        <f>'Konversi RPM'!L7</f>
        <v>9.4060663008694974</v>
      </c>
      <c r="L213" s="464">
        <f>'Konversi RPM'!M7</f>
        <v>5.6204286188323849E-2</v>
      </c>
      <c r="M213" s="464">
        <f>'Konversi RPM'!N7</f>
        <v>0.70255357735404811</v>
      </c>
      <c r="N213" s="879">
        <f>FORECAST(F213,$H$173:$H$188,$A$173:$A$188)</f>
        <v>0.40441358751040851</v>
      </c>
      <c r="O213" s="1602"/>
      <c r="P213" s="880">
        <f>FORECAST(F213,$F$173:$F$188,$A$173:$A$188)</f>
        <v>-6.423918446856848E-2</v>
      </c>
      <c r="Q213" s="717"/>
    </row>
    <row r="214" spans="1:30" ht="13" thickBot="1" x14ac:dyDescent="0.3"/>
    <row r="215" spans="1:30" ht="15" thickBot="1" x14ac:dyDescent="0.4">
      <c r="A215" s="827" t="str">
        <f>ID!B68</f>
        <v>Digital Tachometer, Merek : Krisbow, Model : KW06-563, SN : 180812206</v>
      </c>
      <c r="B215" s="828"/>
      <c r="C215" s="828"/>
      <c r="D215" s="828"/>
      <c r="E215" s="828"/>
      <c r="F215" s="828"/>
      <c r="G215" s="828"/>
      <c r="H215" s="828"/>
      <c r="I215" s="828"/>
      <c r="J215" s="1605" t="s">
        <v>488</v>
      </c>
      <c r="K215" s="1606"/>
      <c r="L215" s="1607"/>
      <c r="M215" s="829"/>
      <c r="N215" s="1608" t="s">
        <v>489</v>
      </c>
      <c r="O215" s="1609"/>
      <c r="P215" s="830"/>
      <c r="Q215" s="831"/>
      <c r="R215" s="831"/>
      <c r="S215" s="1610">
        <f>A226</f>
        <v>7</v>
      </c>
      <c r="T215" s="1611"/>
      <c r="U215" s="1611"/>
      <c r="V215" s="1611"/>
      <c r="W215" s="1611"/>
      <c r="X215" s="1611"/>
      <c r="Y215" s="1611"/>
      <c r="Z215" s="1611"/>
      <c r="AA215" s="1611"/>
      <c r="AB215" s="1611"/>
      <c r="AC215" s="1611"/>
      <c r="AD215" s="1612"/>
    </row>
    <row r="216" spans="1:30" ht="14" x14ac:dyDescent="0.3">
      <c r="A216" s="832" t="s">
        <v>219</v>
      </c>
      <c r="B216" s="833"/>
      <c r="C216" s="834"/>
      <c r="D216" s="834"/>
      <c r="E216" s="834"/>
      <c r="F216" s="834"/>
      <c r="G216" s="834"/>
      <c r="H216" s="834"/>
      <c r="I216" s="834"/>
      <c r="J216" s="835">
        <f>B5</f>
        <v>2023</v>
      </c>
      <c r="K216" s="836">
        <f>C5</f>
        <v>2022</v>
      </c>
      <c r="L216" s="837">
        <f>D5</f>
        <v>2021</v>
      </c>
      <c r="M216" s="838">
        <v>1</v>
      </c>
      <c r="N216" s="1613">
        <f>0.5*1</f>
        <v>0.5</v>
      </c>
      <c r="O216" s="1614"/>
      <c r="P216" s="109"/>
      <c r="Q216" s="831"/>
      <c r="R216" s="831"/>
      <c r="S216" s="839">
        <v>1</v>
      </c>
      <c r="T216" s="840" t="s">
        <v>490</v>
      </c>
      <c r="U216" s="841"/>
      <c r="V216" s="841"/>
      <c r="W216" s="841"/>
      <c r="X216" s="841"/>
      <c r="Y216" s="841"/>
      <c r="Z216" s="841"/>
      <c r="AA216" s="841"/>
      <c r="AB216" s="841"/>
      <c r="AC216" s="841"/>
      <c r="AD216" s="842"/>
    </row>
    <row r="217" spans="1:30" ht="14" x14ac:dyDescent="0.3">
      <c r="A217" s="832" t="s">
        <v>223</v>
      </c>
      <c r="B217" s="843"/>
      <c r="C217" s="844"/>
      <c r="D217" s="844"/>
      <c r="E217" s="844"/>
      <c r="F217" s="844"/>
      <c r="G217" s="844"/>
      <c r="H217" s="844"/>
      <c r="I217" s="844"/>
      <c r="J217" s="845">
        <f>I5</f>
        <v>2022</v>
      </c>
      <c r="K217" s="685">
        <f>J5</f>
        <v>2019</v>
      </c>
      <c r="L217" s="846">
        <f>K5</f>
        <v>2018</v>
      </c>
      <c r="M217" s="847">
        <v>2</v>
      </c>
      <c r="N217" s="1603">
        <f>0.5*1</f>
        <v>0.5</v>
      </c>
      <c r="O217" s="1604"/>
      <c r="P217" s="109"/>
      <c r="Q217" s="831"/>
      <c r="R217" s="831"/>
      <c r="S217" s="839">
        <v>2</v>
      </c>
      <c r="T217" s="840" t="s">
        <v>490</v>
      </c>
      <c r="U217" s="841"/>
      <c r="V217" s="841"/>
      <c r="W217" s="841"/>
      <c r="X217" s="841"/>
      <c r="Y217" s="841"/>
      <c r="Z217" s="841"/>
      <c r="AA217" s="841"/>
      <c r="AB217" s="841"/>
      <c r="AC217" s="841"/>
      <c r="AD217" s="842"/>
    </row>
    <row r="218" spans="1:30" ht="14" x14ac:dyDescent="0.3">
      <c r="A218" s="832" t="s">
        <v>226</v>
      </c>
      <c r="B218" s="848"/>
      <c r="C218" s="849"/>
      <c r="D218" s="849"/>
      <c r="E218" s="849"/>
      <c r="F218" s="849"/>
      <c r="G218" s="849"/>
      <c r="H218" s="849"/>
      <c r="I218" s="849"/>
      <c r="J218" s="845">
        <f>P5</f>
        <v>2022</v>
      </c>
      <c r="K218" s="685">
        <f>Q5</f>
        <v>2021</v>
      </c>
      <c r="L218" s="846">
        <f>R5</f>
        <v>2019</v>
      </c>
      <c r="M218" s="838">
        <v>3</v>
      </c>
      <c r="N218" s="1603">
        <f>0.5*1</f>
        <v>0.5</v>
      </c>
      <c r="O218" s="1604"/>
      <c r="P218" s="109"/>
      <c r="Q218" s="831"/>
      <c r="R218" s="831"/>
      <c r="S218" s="839">
        <v>3</v>
      </c>
      <c r="T218" s="840" t="s">
        <v>490</v>
      </c>
      <c r="U218" s="841"/>
      <c r="V218" s="841"/>
      <c r="W218" s="841"/>
      <c r="X218" s="841"/>
      <c r="Y218" s="841"/>
      <c r="Z218" s="841"/>
      <c r="AA218" s="841"/>
      <c r="AB218" s="841"/>
      <c r="AC218" s="841"/>
      <c r="AD218" s="842"/>
    </row>
    <row r="219" spans="1:30" ht="14" x14ac:dyDescent="0.3">
      <c r="A219" s="832" t="s">
        <v>231</v>
      </c>
      <c r="B219" s="848"/>
      <c r="C219" s="849"/>
      <c r="D219" s="849"/>
      <c r="E219" s="849"/>
      <c r="F219" s="849"/>
      <c r="G219" s="849"/>
      <c r="H219" s="849"/>
      <c r="I219" s="849"/>
      <c r="J219" s="845">
        <f>B25</f>
        <v>2022</v>
      </c>
      <c r="K219" s="685">
        <f>C25</f>
        <v>2020</v>
      </c>
      <c r="L219" s="846">
        <f>D25</f>
        <v>2018</v>
      </c>
      <c r="M219" s="847">
        <v>4</v>
      </c>
      <c r="N219" s="1603">
        <f>0.5*1</f>
        <v>0.5</v>
      </c>
      <c r="O219" s="1604"/>
      <c r="P219" s="109"/>
      <c r="Q219" s="831"/>
      <c r="R219" s="831"/>
      <c r="S219" s="839">
        <v>4</v>
      </c>
      <c r="T219" s="840" t="s">
        <v>490</v>
      </c>
      <c r="U219" s="841"/>
      <c r="V219" s="841"/>
      <c r="W219" s="841"/>
      <c r="X219" s="841"/>
      <c r="Y219" s="841"/>
      <c r="Z219" s="841"/>
      <c r="AA219" s="841"/>
      <c r="AB219" s="841"/>
      <c r="AC219" s="841"/>
      <c r="AD219" s="842"/>
    </row>
    <row r="220" spans="1:30" ht="14" x14ac:dyDescent="0.3">
      <c r="A220" s="850" t="s">
        <v>233</v>
      </c>
      <c r="B220" s="851"/>
      <c r="C220" s="849"/>
      <c r="D220" s="849"/>
      <c r="E220" s="849"/>
      <c r="F220" s="849"/>
      <c r="G220" s="849"/>
      <c r="H220" s="849"/>
      <c r="I220" s="849"/>
      <c r="J220" s="845">
        <f>I25</f>
        <v>2022</v>
      </c>
      <c r="K220" s="685">
        <f>J25</f>
        <v>2021</v>
      </c>
      <c r="L220" s="846">
        <f>K25</f>
        <v>2019</v>
      </c>
      <c r="M220" s="838">
        <v>5</v>
      </c>
      <c r="N220" s="1603">
        <f>0.5*0.1</f>
        <v>0.05</v>
      </c>
      <c r="O220" s="1604"/>
      <c r="P220" s="109"/>
      <c r="Q220" s="831"/>
      <c r="R220" s="831"/>
      <c r="S220" s="839">
        <v>5</v>
      </c>
      <c r="T220" s="840" t="s">
        <v>490</v>
      </c>
      <c r="U220" s="841"/>
      <c r="V220" s="841"/>
      <c r="W220" s="841"/>
      <c r="X220" s="841"/>
      <c r="Y220" s="841"/>
      <c r="Z220" s="841"/>
      <c r="AA220" s="841"/>
      <c r="AB220" s="841"/>
      <c r="AC220" s="841"/>
      <c r="AD220" s="842"/>
    </row>
    <row r="221" spans="1:30" ht="14" x14ac:dyDescent="0.3">
      <c r="A221" s="850" t="s">
        <v>235</v>
      </c>
      <c r="B221" s="851"/>
      <c r="C221" s="849"/>
      <c r="D221" s="849"/>
      <c r="E221" s="849"/>
      <c r="F221" s="849"/>
      <c r="G221" s="849"/>
      <c r="H221" s="849"/>
      <c r="I221" s="849"/>
      <c r="J221" s="845">
        <f>P25</f>
        <v>2023</v>
      </c>
      <c r="K221" s="685">
        <f>Q25</f>
        <v>2022</v>
      </c>
      <c r="L221" s="846">
        <f>R25</f>
        <v>2021</v>
      </c>
      <c r="M221" s="847">
        <v>6</v>
      </c>
      <c r="N221" s="1603">
        <f>0.5*0.1</f>
        <v>0.05</v>
      </c>
      <c r="O221" s="1604"/>
      <c r="P221" s="109"/>
      <c r="Q221" s="831"/>
      <c r="R221" s="831"/>
      <c r="S221" s="839">
        <v>6</v>
      </c>
      <c r="T221" s="840" t="s">
        <v>490</v>
      </c>
      <c r="U221" s="841"/>
      <c r="V221" s="841"/>
      <c r="W221" s="841"/>
      <c r="X221" s="841"/>
      <c r="Y221" s="841"/>
      <c r="Z221" s="841"/>
      <c r="AA221" s="841"/>
      <c r="AB221" s="841"/>
      <c r="AC221" s="841"/>
      <c r="AD221" s="842"/>
    </row>
    <row r="222" spans="1:30" ht="14" x14ac:dyDescent="0.3">
      <c r="A222" s="850" t="s">
        <v>172</v>
      </c>
      <c r="B222" s="851"/>
      <c r="C222" s="849"/>
      <c r="D222" s="849"/>
      <c r="E222" s="849"/>
      <c r="F222" s="849"/>
      <c r="G222" s="849"/>
      <c r="H222" s="849"/>
      <c r="I222" s="849"/>
      <c r="J222" s="845">
        <f>B45</f>
        <v>2023</v>
      </c>
      <c r="K222" s="685">
        <f>C45</f>
        <v>2022</v>
      </c>
      <c r="L222" s="846">
        <f>D45</f>
        <v>2021</v>
      </c>
      <c r="M222" s="838">
        <v>7</v>
      </c>
      <c r="N222" s="1603">
        <f>0.5*0.1</f>
        <v>0.05</v>
      </c>
      <c r="O222" s="1604"/>
      <c r="P222" s="109"/>
      <c r="Q222" s="831"/>
      <c r="R222" s="831"/>
      <c r="S222" s="839">
        <v>7</v>
      </c>
      <c r="T222" s="840" t="s">
        <v>490</v>
      </c>
      <c r="U222" s="841"/>
      <c r="V222" s="841"/>
      <c r="W222" s="841"/>
      <c r="X222" s="841"/>
      <c r="Y222" s="841"/>
      <c r="Z222" s="841"/>
      <c r="AA222" s="841"/>
      <c r="AB222" s="841"/>
      <c r="AC222" s="841"/>
      <c r="AD222" s="842"/>
    </row>
    <row r="223" spans="1:30" ht="14" x14ac:dyDescent="0.3">
      <c r="A223" s="850" t="s">
        <v>242</v>
      </c>
      <c r="B223" s="851"/>
      <c r="C223" s="849"/>
      <c r="D223" s="849"/>
      <c r="E223" s="849"/>
      <c r="F223" s="849"/>
      <c r="G223" s="849"/>
      <c r="H223" s="849"/>
      <c r="I223" s="849"/>
      <c r="J223" s="845">
        <f>I45</f>
        <v>8</v>
      </c>
      <c r="K223" s="685">
        <f>J45</f>
        <v>8</v>
      </c>
      <c r="L223" s="846">
        <f>K45</f>
        <v>8</v>
      </c>
      <c r="M223" s="847">
        <v>8</v>
      </c>
      <c r="N223" s="1603">
        <v>0</v>
      </c>
      <c r="O223" s="1604"/>
      <c r="P223" s="109"/>
      <c r="Q223" s="831"/>
      <c r="R223" s="831"/>
      <c r="S223" s="839">
        <v>8</v>
      </c>
      <c r="T223" s="840" t="s">
        <v>491</v>
      </c>
      <c r="U223" s="841"/>
      <c r="V223" s="841"/>
      <c r="W223" s="841"/>
      <c r="X223" s="841"/>
      <c r="Y223" s="841"/>
      <c r="Z223" s="841"/>
      <c r="AA223" s="841"/>
      <c r="AB223" s="841"/>
      <c r="AC223" s="841"/>
      <c r="AD223" s="842"/>
    </row>
    <row r="224" spans="1:30" ht="14" x14ac:dyDescent="0.3">
      <c r="A224" s="850" t="s">
        <v>242</v>
      </c>
      <c r="B224" s="851"/>
      <c r="C224" s="849"/>
      <c r="D224" s="849"/>
      <c r="E224" s="849"/>
      <c r="F224" s="849"/>
      <c r="G224" s="849"/>
      <c r="H224" s="849"/>
      <c r="I224" s="849"/>
      <c r="J224" s="845">
        <f>B65</f>
        <v>10</v>
      </c>
      <c r="K224" s="685">
        <f>C65</f>
        <v>10</v>
      </c>
      <c r="L224" s="846">
        <f>D65</f>
        <v>10</v>
      </c>
      <c r="M224" s="838">
        <v>9</v>
      </c>
      <c r="N224" s="1603">
        <v>0</v>
      </c>
      <c r="O224" s="1604"/>
      <c r="P224" s="109"/>
      <c r="Q224" s="831"/>
      <c r="R224" s="831"/>
      <c r="S224" s="839">
        <v>9</v>
      </c>
      <c r="T224" s="840" t="s">
        <v>491</v>
      </c>
      <c r="U224" s="841"/>
      <c r="V224" s="841"/>
      <c r="W224" s="841"/>
      <c r="X224" s="841"/>
      <c r="Y224" s="841"/>
      <c r="Z224" s="841"/>
      <c r="AA224" s="841"/>
      <c r="AB224" s="841"/>
      <c r="AC224" s="841"/>
      <c r="AD224" s="842"/>
    </row>
    <row r="225" spans="1:30" ht="14.5" thickBot="1" x14ac:dyDescent="0.35">
      <c r="A225" s="850" t="s">
        <v>242</v>
      </c>
      <c r="B225" s="851"/>
      <c r="C225" s="849"/>
      <c r="D225" s="849"/>
      <c r="E225" s="849"/>
      <c r="F225" s="849"/>
      <c r="G225" s="849"/>
      <c r="H225" s="849"/>
      <c r="I225" s="849"/>
      <c r="J225" s="852">
        <f>I65</f>
        <v>11</v>
      </c>
      <c r="K225" s="853">
        <f>J65</f>
        <v>11</v>
      </c>
      <c r="L225" s="854">
        <f>K65</f>
        <v>11</v>
      </c>
      <c r="M225" s="847">
        <v>10</v>
      </c>
      <c r="N225" s="1591">
        <v>0</v>
      </c>
      <c r="O225" s="1592"/>
      <c r="P225" s="109"/>
      <c r="Q225" s="831"/>
      <c r="R225" s="831"/>
      <c r="S225" s="839">
        <v>10</v>
      </c>
      <c r="T225" s="840" t="s">
        <v>491</v>
      </c>
      <c r="U225" s="841"/>
      <c r="V225" s="841"/>
      <c r="W225" s="841"/>
      <c r="X225" s="841"/>
      <c r="Y225" s="841"/>
      <c r="Z225" s="841"/>
      <c r="AA225" s="841"/>
      <c r="AB225" s="841"/>
      <c r="AC225" s="841"/>
      <c r="AD225" s="842"/>
    </row>
    <row r="226" spans="1:30" ht="13.5" thickBot="1" x14ac:dyDescent="0.3">
      <c r="A226" s="1593">
        <f>VLOOKUP(A215,A216:M225,13,(FALSE))</f>
        <v>7</v>
      </c>
      <c r="B226" s="1594"/>
      <c r="C226" s="1594"/>
      <c r="D226" s="1594"/>
      <c r="E226" s="1594"/>
      <c r="F226" s="1594"/>
      <c r="G226" s="1594"/>
      <c r="H226" s="1594"/>
      <c r="I226" s="1594"/>
      <c r="J226" s="1279"/>
      <c r="K226" s="1279"/>
      <c r="L226" s="1279"/>
      <c r="M226" s="1595"/>
      <c r="N226" s="1596">
        <f>VLOOKUP(A226,M216:O225,2,FALSE)</f>
        <v>0.05</v>
      </c>
      <c r="O226" s="1597"/>
      <c r="P226" s="855"/>
      <c r="Q226" s="856"/>
      <c r="R226" s="856"/>
      <c r="S226" s="1598" t="str">
        <f>VLOOKUP(S215,S216:AD226,2,FALSE)</f>
        <v>Hasil kalibrasi kecepatan tertelusur ke Satuan Internasional ( SI ) melalui PT KALIMAN</v>
      </c>
      <c r="T226" s="1599"/>
      <c r="U226" s="1599"/>
      <c r="V226" s="1599"/>
      <c r="W226" s="1599"/>
      <c r="X226" s="1599"/>
      <c r="Y226" s="1599"/>
      <c r="Z226" s="1599"/>
      <c r="AA226" s="1599"/>
      <c r="AB226" s="1599"/>
      <c r="AC226" s="1599"/>
      <c r="AD226" s="1600"/>
    </row>
    <row r="227" spans="1:30" ht="14.5" x14ac:dyDescent="0.35">
      <c r="A227" s="107"/>
      <c r="B227" s="107"/>
      <c r="C227" s="857"/>
      <c r="D227" s="711"/>
      <c r="E227" s="711"/>
      <c r="F227" s="711"/>
      <c r="G227" s="711"/>
      <c r="H227" s="717"/>
      <c r="I227" s="717"/>
      <c r="J227" s="717"/>
      <c r="K227" s="717"/>
      <c r="L227" s="717"/>
      <c r="M227" s="107"/>
    </row>
    <row r="229" spans="1:30" ht="14.5" x14ac:dyDescent="0.35">
      <c r="A229" s="858"/>
      <c r="B229" s="858"/>
    </row>
    <row r="230" spans="1:30" ht="13" x14ac:dyDescent="0.3">
      <c r="A230" s="859"/>
      <c r="B230" s="859"/>
      <c r="AB230" s="860"/>
    </row>
    <row r="231" spans="1:30" ht="13" x14ac:dyDescent="0.3">
      <c r="A231" s="822"/>
      <c r="B231" s="822"/>
      <c r="AB231" s="860"/>
    </row>
    <row r="232" spans="1:30" ht="13" x14ac:dyDescent="0.3">
      <c r="A232" s="740"/>
      <c r="B232" s="740"/>
    </row>
    <row r="233" spans="1:30" ht="13" x14ac:dyDescent="0.3">
      <c r="A233" s="739"/>
      <c r="B233" s="740"/>
    </row>
    <row r="234" spans="1:30" ht="13" x14ac:dyDescent="0.3">
      <c r="A234" s="739"/>
      <c r="B234" s="740"/>
    </row>
    <row r="235" spans="1:30" ht="13" x14ac:dyDescent="0.3">
      <c r="A235" s="739"/>
      <c r="B235" s="740"/>
    </row>
    <row r="236" spans="1:30" ht="13" x14ac:dyDescent="0.3">
      <c r="A236" s="739"/>
      <c r="B236" s="740"/>
    </row>
    <row r="237" spans="1:30" ht="13" x14ac:dyDescent="0.3">
      <c r="A237" s="739"/>
      <c r="B237" s="740"/>
    </row>
    <row r="238" spans="1:30" ht="13" x14ac:dyDescent="0.3">
      <c r="A238" s="739"/>
      <c r="B238" s="740"/>
    </row>
    <row r="239" spans="1:30" ht="13" x14ac:dyDescent="0.3">
      <c r="A239" s="739"/>
      <c r="B239" s="740"/>
    </row>
    <row r="240" spans="1:30" ht="13" x14ac:dyDescent="0.3">
      <c r="A240" s="739"/>
      <c r="B240" s="740"/>
      <c r="Q240" s="861"/>
      <c r="R240" s="860"/>
      <c r="S240" s="860"/>
      <c r="T240" s="860"/>
      <c r="U240" s="860"/>
      <c r="V240" s="860"/>
      <c r="W240" s="860"/>
      <c r="X240" s="860"/>
      <c r="Y240" s="860"/>
      <c r="Z240" s="860"/>
    </row>
    <row r="241" spans="1:28" ht="13" x14ac:dyDescent="0.3">
      <c r="A241" s="740"/>
      <c r="B241" s="740"/>
      <c r="Q241" s="861"/>
      <c r="R241" s="860"/>
      <c r="S241" s="717"/>
      <c r="T241" s="717"/>
      <c r="U241" s="717"/>
      <c r="V241" s="717"/>
      <c r="W241" s="717"/>
      <c r="X241" s="717"/>
      <c r="Y241" s="717"/>
      <c r="Z241" s="717"/>
    </row>
    <row r="242" spans="1:28" x14ac:dyDescent="0.25">
      <c r="V242" s="717"/>
      <c r="W242" s="717"/>
      <c r="X242" s="717"/>
      <c r="Y242" s="717"/>
      <c r="Z242" s="717"/>
    </row>
    <row r="243" spans="1:28" x14ac:dyDescent="0.25">
      <c r="V243" s="717"/>
      <c r="W243" s="717"/>
      <c r="X243" s="717"/>
      <c r="Y243" s="717"/>
      <c r="Z243" s="717"/>
    </row>
    <row r="244" spans="1:28" x14ac:dyDescent="0.25">
      <c r="V244" s="717"/>
      <c r="W244" s="717"/>
      <c r="X244" s="717"/>
      <c r="Y244" s="717"/>
      <c r="Z244" s="717"/>
      <c r="AA244" s="717"/>
      <c r="AB244" s="717"/>
    </row>
  </sheetData>
  <mergeCells count="115">
    <mergeCell ref="N225:O225"/>
    <mergeCell ref="A226:M226"/>
    <mergeCell ref="N226:O226"/>
    <mergeCell ref="S226:AD226"/>
    <mergeCell ref="O209:O213"/>
    <mergeCell ref="N219:O219"/>
    <mergeCell ref="N220:O220"/>
    <mergeCell ref="N221:O221"/>
    <mergeCell ref="N222:O222"/>
    <mergeCell ref="N223:O223"/>
    <mergeCell ref="N224:O224"/>
    <mergeCell ref="J215:L215"/>
    <mergeCell ref="N215:O215"/>
    <mergeCell ref="S215:AD215"/>
    <mergeCell ref="N216:O216"/>
    <mergeCell ref="N217:O217"/>
    <mergeCell ref="N218:O218"/>
    <mergeCell ref="A198:E198"/>
    <mergeCell ref="G198:K198"/>
    <mergeCell ref="M201:Q201"/>
    <mergeCell ref="A202:E202"/>
    <mergeCell ref="G202:K202"/>
    <mergeCell ref="O178:O179"/>
    <mergeCell ref="A190:E190"/>
    <mergeCell ref="G190:K190"/>
    <mergeCell ref="M190:Q190"/>
    <mergeCell ref="A194:E194"/>
    <mergeCell ref="G194:K194"/>
    <mergeCell ref="M194:Q194"/>
    <mergeCell ref="K158:K167"/>
    <mergeCell ref="B170:G170"/>
    <mergeCell ref="M170:M171"/>
    <mergeCell ref="B171:D171"/>
    <mergeCell ref="E171:E172"/>
    <mergeCell ref="F171:G171"/>
    <mergeCell ref="H171:H172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D2C8-8F99-4288-A623-BA5B2898B2CC}">
  <sheetPr codeName="Sheet8"/>
  <dimension ref="A1:AC184"/>
  <sheetViews>
    <sheetView topLeftCell="A151" workbookViewId="0">
      <selection activeCell="M157" sqref="M157"/>
    </sheetView>
  </sheetViews>
  <sheetFormatPr defaultRowHeight="12.5" x14ac:dyDescent="0.25"/>
  <cols>
    <col min="1" max="1" width="11.7265625" customWidth="1"/>
    <col min="3" max="3" width="11" customWidth="1"/>
    <col min="4" max="4" width="9.54296875" customWidth="1"/>
    <col min="5" max="5" width="9" customWidth="1"/>
    <col min="6" max="6" width="12.1796875" bestFit="1" customWidth="1"/>
    <col min="7" max="7" width="11.453125" customWidth="1"/>
    <col min="12" max="12" width="10" customWidth="1"/>
    <col min="13" max="13" width="12.26953125" customWidth="1"/>
  </cols>
  <sheetData>
    <row r="1" spans="1:29" ht="13.5" thickBot="1" x14ac:dyDescent="0.35">
      <c r="A1" s="78"/>
      <c r="B1" s="79"/>
      <c r="C1" s="80"/>
      <c r="D1" s="80"/>
      <c r="E1" s="80"/>
      <c r="F1" s="81"/>
      <c r="G1" s="82"/>
      <c r="H1" s="78"/>
      <c r="I1" s="79"/>
      <c r="J1" s="80"/>
      <c r="K1" s="80"/>
      <c r="L1" s="80"/>
      <c r="M1" s="81"/>
      <c r="N1" s="82"/>
      <c r="O1" s="82"/>
      <c r="P1" s="82"/>
      <c r="Q1" s="83"/>
    </row>
    <row r="2" spans="1:29" ht="15" x14ac:dyDescent="0.25">
      <c r="A2" s="1631" t="s">
        <v>492</v>
      </c>
      <c r="B2" s="1632"/>
      <c r="C2" s="1632"/>
      <c r="D2" s="1632"/>
      <c r="E2" s="1632"/>
      <c r="F2" s="1632"/>
      <c r="G2" s="1632"/>
      <c r="H2" s="1632"/>
      <c r="I2" s="1632"/>
      <c r="J2" s="1632"/>
      <c r="K2" s="1632"/>
      <c r="L2" s="1632"/>
      <c r="M2" s="1632"/>
      <c r="N2" s="1632"/>
      <c r="O2" s="1632"/>
      <c r="P2" s="1632"/>
      <c r="Q2" s="1633"/>
      <c r="R2" s="84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spans="1:29" ht="15.75" customHeight="1" x14ac:dyDescent="0.3">
      <c r="A3" s="1634" t="s">
        <v>493</v>
      </c>
      <c r="B3" s="1634"/>
      <c r="C3" s="1634"/>
      <c r="D3" s="1635" t="s">
        <v>392</v>
      </c>
      <c r="E3" s="1636" t="s">
        <v>458</v>
      </c>
      <c r="F3" s="1637"/>
      <c r="G3" s="1639" t="s">
        <v>494</v>
      </c>
      <c r="H3" s="1639"/>
      <c r="I3" s="1639"/>
      <c r="J3" s="1635" t="s">
        <v>392</v>
      </c>
      <c r="K3" s="1636" t="str">
        <f>E3</f>
        <v>U95 STD</v>
      </c>
      <c r="L3" s="86"/>
      <c r="M3" s="1634" t="s">
        <v>495</v>
      </c>
      <c r="N3" s="1634"/>
      <c r="O3" s="1634"/>
      <c r="P3" s="1635" t="s">
        <v>392</v>
      </c>
      <c r="Q3" s="1643" t="str">
        <f>K3</f>
        <v>U95 STD</v>
      </c>
      <c r="S3" s="87"/>
      <c r="T3" s="87"/>
      <c r="U3" s="87"/>
      <c r="V3" s="88"/>
      <c r="W3" s="89"/>
      <c r="X3" s="90"/>
      <c r="Y3" s="91"/>
      <c r="Z3" s="91"/>
      <c r="AA3" s="91"/>
      <c r="AB3" s="88"/>
      <c r="AC3" s="89"/>
    </row>
    <row r="4" spans="1:29" ht="12.75" customHeight="1" x14ac:dyDescent="0.25">
      <c r="A4" s="92" t="s">
        <v>496</v>
      </c>
      <c r="B4" s="1635" t="s">
        <v>391</v>
      </c>
      <c r="C4" s="1635"/>
      <c r="D4" s="1635"/>
      <c r="E4" s="1636"/>
      <c r="F4" s="1638"/>
      <c r="G4" s="210" t="str">
        <f>A4</f>
        <v>ECG</v>
      </c>
      <c r="H4" s="1635" t="s">
        <v>391</v>
      </c>
      <c r="I4" s="1635"/>
      <c r="J4" s="1635"/>
      <c r="K4" s="1636"/>
      <c r="L4" s="86"/>
      <c r="M4" s="210" t="str">
        <f>G4</f>
        <v>ECG</v>
      </c>
      <c r="N4" s="1635" t="s">
        <v>391</v>
      </c>
      <c r="O4" s="1635"/>
      <c r="P4" s="1635"/>
      <c r="Q4" s="1643"/>
      <c r="S4" s="206"/>
      <c r="T4" s="88"/>
      <c r="U4" s="88"/>
      <c r="V4" s="88"/>
      <c r="W4" s="89"/>
      <c r="X4" s="90"/>
      <c r="Y4" s="206"/>
      <c r="Z4" s="88"/>
      <c r="AA4" s="88"/>
      <c r="AB4" s="88"/>
      <c r="AC4" s="89"/>
    </row>
    <row r="5" spans="1:29" ht="12.75" customHeight="1" x14ac:dyDescent="0.25">
      <c r="A5" s="93" t="s">
        <v>44</v>
      </c>
      <c r="B5" s="94">
        <v>2018</v>
      </c>
      <c r="C5" s="95">
        <v>2020</v>
      </c>
      <c r="D5" s="1635"/>
      <c r="E5" s="1636"/>
      <c r="F5" s="1638"/>
      <c r="G5" s="96" t="str">
        <f>A5</f>
        <v>BPM</v>
      </c>
      <c r="H5" s="94">
        <v>2017</v>
      </c>
      <c r="I5" s="94">
        <v>2018</v>
      </c>
      <c r="J5" s="1635"/>
      <c r="K5" s="1636"/>
      <c r="L5" s="86"/>
      <c r="M5" s="96" t="str">
        <f>G5</f>
        <v>BPM</v>
      </c>
      <c r="N5" s="94">
        <v>2015</v>
      </c>
      <c r="O5" s="94">
        <v>2016</v>
      </c>
      <c r="P5" s="1635"/>
      <c r="Q5" s="1643"/>
      <c r="S5" s="97"/>
      <c r="T5" s="206"/>
      <c r="U5" s="98"/>
      <c r="V5" s="88"/>
      <c r="W5" s="89"/>
      <c r="X5" s="90"/>
      <c r="Y5" s="97"/>
      <c r="Z5" s="206"/>
      <c r="AA5" s="206"/>
      <c r="AB5" s="88"/>
      <c r="AC5" s="89"/>
    </row>
    <row r="6" spans="1:29" ht="13.5" customHeight="1" x14ac:dyDescent="0.25">
      <c r="A6" s="217">
        <v>30</v>
      </c>
      <c r="B6" s="218">
        <v>0</v>
      </c>
      <c r="C6" s="218">
        <v>0</v>
      </c>
      <c r="D6" s="219">
        <f>0.5*(MAX(B6:C6)-MIN(B6:C6))</f>
        <v>0</v>
      </c>
      <c r="E6" s="229">
        <f>18*0.01</f>
        <v>0.18</v>
      </c>
      <c r="F6" s="1638"/>
      <c r="G6" s="217">
        <v>30</v>
      </c>
      <c r="H6" s="222">
        <v>0</v>
      </c>
      <c r="I6" s="222">
        <v>0</v>
      </c>
      <c r="J6" s="219">
        <f>0.5*(MAX(H6:I6)-MIN(H6:I6))</f>
        <v>0</v>
      </c>
      <c r="K6" s="220">
        <f>1.86*0.01</f>
        <v>1.8600000000000002E-2</v>
      </c>
      <c r="L6" s="86"/>
      <c r="M6" s="217">
        <v>30</v>
      </c>
      <c r="N6" s="226">
        <v>-0.01</v>
      </c>
      <c r="O6" s="226">
        <v>0</v>
      </c>
      <c r="P6" s="219">
        <f>0.5*(MAX(N6:O6)-MIN(N6:O6))</f>
        <v>5.0000000000000001E-3</v>
      </c>
      <c r="Q6" s="632">
        <f>1.86*0.01</f>
        <v>1.8600000000000002E-2</v>
      </c>
      <c r="S6" s="106"/>
      <c r="T6" s="107"/>
      <c r="U6" s="108"/>
      <c r="V6" s="109"/>
      <c r="W6" s="110"/>
      <c r="X6" s="90"/>
      <c r="Y6" s="106"/>
      <c r="Z6" s="107"/>
      <c r="AA6" s="110"/>
      <c r="AB6" s="109"/>
      <c r="AC6" s="110"/>
    </row>
    <row r="7" spans="1:29" ht="12.75" customHeight="1" x14ac:dyDescent="0.25">
      <c r="A7" s="217">
        <v>60</v>
      </c>
      <c r="B7" s="218">
        <v>0</v>
      </c>
      <c r="C7" s="218">
        <v>-0.18</v>
      </c>
      <c r="D7" s="219">
        <f>0.5*(MAX(B7:C7)-MIN(B7:C7))</f>
        <v>0.09</v>
      </c>
      <c r="E7" s="229">
        <f>18*0.01</f>
        <v>0.18</v>
      </c>
      <c r="F7" s="1638"/>
      <c r="G7" s="217">
        <v>60</v>
      </c>
      <c r="H7" s="222">
        <v>0</v>
      </c>
      <c r="I7" s="222">
        <v>0</v>
      </c>
      <c r="J7" s="219">
        <f>0.5*(MAX(H7:I7)-MIN(H7:I7))</f>
        <v>0</v>
      </c>
      <c r="K7" s="220">
        <f>3.66*0.01</f>
        <v>3.6600000000000001E-2</v>
      </c>
      <c r="L7" s="86"/>
      <c r="M7" s="217">
        <v>60</v>
      </c>
      <c r="N7" s="226">
        <v>-0.03</v>
      </c>
      <c r="O7" s="226">
        <v>0</v>
      </c>
      <c r="P7" s="219">
        <f>0.5*(MAX(N7:O7)-MIN(N7:O7))</f>
        <v>1.4999999999999999E-2</v>
      </c>
      <c r="Q7" s="632">
        <f>3.66*0.01</f>
        <v>3.6600000000000001E-2</v>
      </c>
      <c r="S7" s="106"/>
      <c r="T7" s="107"/>
      <c r="U7" s="110"/>
      <c r="V7" s="109"/>
      <c r="W7" s="110"/>
      <c r="X7" s="90"/>
      <c r="Y7" s="106"/>
      <c r="Z7" s="107"/>
      <c r="AA7" s="110"/>
      <c r="AB7" s="109"/>
      <c r="AC7" s="110"/>
    </row>
    <row r="8" spans="1:29" ht="12.75" customHeight="1" x14ac:dyDescent="0.25">
      <c r="A8" s="217">
        <v>120</v>
      </c>
      <c r="B8" s="218">
        <v>0</v>
      </c>
      <c r="C8" s="218">
        <v>-0.18</v>
      </c>
      <c r="D8" s="219">
        <f>0.5*(MAX(B8:C8)-MIN(B8:C8))</f>
        <v>0.09</v>
      </c>
      <c r="E8" s="229">
        <f>18*0.01</f>
        <v>0.18</v>
      </c>
      <c r="F8" s="1638"/>
      <c r="G8" s="217">
        <v>120</v>
      </c>
      <c r="H8" s="222">
        <v>0</v>
      </c>
      <c r="I8" s="222">
        <v>0</v>
      </c>
      <c r="J8" s="219">
        <f>0.5*(MAX(H8:I8)-MIN(H8:I8))</f>
        <v>0</v>
      </c>
      <c r="K8" s="220">
        <f>7.26*0.01</f>
        <v>7.2599999999999998E-2</v>
      </c>
      <c r="L8" s="86"/>
      <c r="M8" s="217">
        <v>120</v>
      </c>
      <c r="N8" s="226">
        <v>-0.1</v>
      </c>
      <c r="O8" s="226">
        <v>0.06</v>
      </c>
      <c r="P8" s="219">
        <f>0.5*(MAX(N8:O8)-MIN(N8:O8))</f>
        <v>0.08</v>
      </c>
      <c r="Q8" s="632">
        <f>7.26*0.01</f>
        <v>7.2599999999999998E-2</v>
      </c>
      <c r="S8" s="106"/>
      <c r="T8" s="107"/>
      <c r="U8" s="110"/>
      <c r="V8" s="109"/>
      <c r="W8" s="110"/>
      <c r="X8" s="90"/>
      <c r="Y8" s="106"/>
      <c r="Z8" s="107"/>
      <c r="AA8" s="110"/>
      <c r="AB8" s="109"/>
      <c r="AC8" s="110"/>
    </row>
    <row r="9" spans="1:29" ht="12.75" customHeight="1" thickBot="1" x14ac:dyDescent="0.3">
      <c r="A9" s="223">
        <v>180</v>
      </c>
      <c r="B9" s="220">
        <v>0</v>
      </c>
      <c r="C9" s="218">
        <v>0.18</v>
      </c>
      <c r="D9" s="221">
        <f>0.5*(MAX(B9:C9)-MIN(B9:C9))</f>
        <v>0.09</v>
      </c>
      <c r="E9" s="229">
        <f>18*0.01</f>
        <v>0.18</v>
      </c>
      <c r="F9" s="1638"/>
      <c r="G9" s="223">
        <v>180</v>
      </c>
      <c r="H9" s="224">
        <v>0</v>
      </c>
      <c r="I9" s="224">
        <v>0</v>
      </c>
      <c r="J9" s="225">
        <f>0.5*(MAX(H9:I9)-MIN(H9:I9))</f>
        <v>0</v>
      </c>
      <c r="K9" s="220">
        <f>10.86*0.01</f>
        <v>0.1086</v>
      </c>
      <c r="L9" s="86"/>
      <c r="M9" s="223">
        <v>180</v>
      </c>
      <c r="N9" s="227">
        <v>0.1</v>
      </c>
      <c r="O9" s="227">
        <v>0</v>
      </c>
      <c r="P9" s="225">
        <f>0.5*(MAX(N9:O9)-MIN(N9:O9))</f>
        <v>0.05</v>
      </c>
      <c r="Q9" s="632">
        <f>10.86*0.01</f>
        <v>0.1086</v>
      </c>
      <c r="S9" s="106"/>
      <c r="T9" s="107"/>
      <c r="U9" s="108"/>
      <c r="V9" s="109"/>
      <c r="W9" s="110"/>
      <c r="X9" s="90"/>
      <c r="Y9" s="106"/>
      <c r="Z9" s="107"/>
      <c r="AA9" s="108"/>
      <c r="AB9" s="109"/>
      <c r="AC9" s="110"/>
    </row>
    <row r="10" spans="1:29" ht="12.75" customHeight="1" thickBot="1" x14ac:dyDescent="0.3">
      <c r="A10" s="627">
        <v>240</v>
      </c>
      <c r="B10" s="628">
        <v>0</v>
      </c>
      <c r="C10" s="218">
        <v>-0.18</v>
      </c>
      <c r="D10" s="221">
        <f>0.5*(MAX(B10:C10)-MIN(B10:C10))</f>
        <v>0.09</v>
      </c>
      <c r="E10" s="229">
        <f>18*0.01</f>
        <v>0.18</v>
      </c>
      <c r="F10" s="1638"/>
      <c r="G10" s="627">
        <v>240</v>
      </c>
      <c r="H10" s="228">
        <v>0</v>
      </c>
      <c r="I10" s="228">
        <v>0</v>
      </c>
      <c r="J10" s="225">
        <f>0.5*(MAX(H10:I10)-MIN(H10:I10))</f>
        <v>0</v>
      </c>
      <c r="K10" s="531">
        <f>14.46*0.01</f>
        <v>0.14460000000000001</v>
      </c>
      <c r="L10" s="86"/>
      <c r="M10" s="627">
        <v>240</v>
      </c>
      <c r="N10" s="213">
        <v>-7.0000000000000007E-2</v>
      </c>
      <c r="O10" s="213">
        <v>0.06</v>
      </c>
      <c r="P10" s="219">
        <f>0.5*(MAX(N10:O10)-MIN(N10:O10))</f>
        <v>6.5000000000000002E-2</v>
      </c>
      <c r="Q10" s="531">
        <f>14.46*0.01</f>
        <v>0.14460000000000001</v>
      </c>
      <c r="S10" s="106"/>
      <c r="T10" s="107"/>
      <c r="U10" s="108"/>
      <c r="V10" s="109"/>
      <c r="W10" s="110"/>
      <c r="X10" s="90"/>
      <c r="Y10" s="106"/>
      <c r="Z10" s="107"/>
      <c r="AA10" s="108"/>
      <c r="AB10" s="109"/>
      <c r="AC10" s="110"/>
    </row>
    <row r="11" spans="1:29" ht="12.75" customHeight="1" x14ac:dyDescent="0.25">
      <c r="A11" s="103"/>
      <c r="B11" s="99"/>
      <c r="C11" s="100"/>
      <c r="D11" s="101"/>
      <c r="E11" s="102"/>
      <c r="F11" s="1638"/>
      <c r="G11" s="103"/>
      <c r="H11" s="100"/>
      <c r="I11" s="100"/>
      <c r="J11" s="101"/>
      <c r="K11" s="102"/>
      <c r="L11" s="86"/>
      <c r="M11" s="103"/>
      <c r="N11" s="104"/>
      <c r="O11" s="104"/>
      <c r="P11" s="101"/>
      <c r="Q11" s="105"/>
      <c r="S11" s="106"/>
      <c r="T11" s="107"/>
      <c r="U11" s="108"/>
      <c r="V11" s="109"/>
      <c r="W11" s="110"/>
      <c r="X11" s="90"/>
      <c r="Y11" s="106"/>
      <c r="Z11" s="107"/>
      <c r="AA11" s="108"/>
      <c r="AB11" s="109"/>
      <c r="AC11" s="110"/>
    </row>
    <row r="12" spans="1:29" ht="12.75" customHeight="1" x14ac:dyDescent="0.25">
      <c r="A12" s="103"/>
      <c r="B12" s="99"/>
      <c r="C12" s="100"/>
      <c r="D12" s="101"/>
      <c r="E12" s="102"/>
      <c r="F12" s="1638"/>
      <c r="G12" s="103"/>
      <c r="H12" s="100"/>
      <c r="I12" s="100"/>
      <c r="J12" s="101"/>
      <c r="K12" s="102"/>
      <c r="L12" s="86"/>
      <c r="M12" s="103"/>
      <c r="N12" s="104"/>
      <c r="O12" s="104"/>
      <c r="P12" s="101"/>
      <c r="Q12" s="105"/>
      <c r="S12" s="106"/>
      <c r="T12" s="107"/>
      <c r="U12" s="108"/>
      <c r="V12" s="109"/>
      <c r="W12" s="110"/>
      <c r="X12" s="90"/>
      <c r="Y12" s="106"/>
      <c r="Z12" s="107"/>
      <c r="AA12" s="108"/>
      <c r="AB12" s="109"/>
      <c r="AC12" s="110"/>
    </row>
    <row r="13" spans="1:29" ht="12.75" customHeight="1" x14ac:dyDescent="0.25">
      <c r="A13" s="103"/>
      <c r="B13" s="99"/>
      <c r="C13" s="100"/>
      <c r="D13" s="111"/>
      <c r="E13" s="102"/>
      <c r="F13" s="1638"/>
      <c r="G13" s="103"/>
      <c r="H13" s="100"/>
      <c r="I13" s="100"/>
      <c r="J13" s="111"/>
      <c r="K13" s="102"/>
      <c r="L13" s="86"/>
      <c r="M13" s="103"/>
      <c r="N13" s="104"/>
      <c r="O13" s="104"/>
      <c r="P13" s="111"/>
      <c r="Q13" s="105"/>
      <c r="S13" s="106"/>
      <c r="T13" s="107"/>
      <c r="U13" s="108"/>
      <c r="V13" s="107"/>
      <c r="W13" s="107"/>
      <c r="X13" s="90"/>
      <c r="Y13" s="106"/>
      <c r="Z13" s="107"/>
      <c r="AA13" s="108"/>
      <c r="AB13" s="107"/>
      <c r="AC13" s="107"/>
    </row>
    <row r="14" spans="1:29" ht="12.75" customHeight="1" x14ac:dyDescent="0.25">
      <c r="A14" s="103"/>
      <c r="B14" s="100"/>
      <c r="C14" s="99"/>
      <c r="D14" s="112"/>
      <c r="E14" s="102"/>
      <c r="F14" s="1638"/>
      <c r="G14" s="103"/>
      <c r="H14" s="100"/>
      <c r="I14" s="100"/>
      <c r="J14" s="111"/>
      <c r="K14" s="102"/>
      <c r="L14" s="86"/>
      <c r="M14" s="103"/>
      <c r="N14" s="104"/>
      <c r="O14" s="104"/>
      <c r="P14" s="111"/>
      <c r="Q14" s="105"/>
      <c r="S14" s="106"/>
      <c r="T14" s="107"/>
      <c r="U14" s="108"/>
      <c r="V14" s="107"/>
      <c r="W14" s="107"/>
      <c r="X14" s="90"/>
      <c r="Y14" s="106"/>
      <c r="Z14" s="107"/>
      <c r="AA14" s="108"/>
      <c r="AB14" s="107"/>
      <c r="AC14" s="107"/>
    </row>
    <row r="15" spans="1:29" ht="12.75" customHeight="1" x14ac:dyDescent="0.3">
      <c r="A15" s="1644"/>
      <c r="B15" s="1645"/>
      <c r="C15" s="1645"/>
      <c r="D15" s="1645"/>
      <c r="E15" s="1646"/>
      <c r="F15" s="1638"/>
      <c r="G15" s="1647"/>
      <c r="H15" s="1648"/>
      <c r="I15" s="1648"/>
      <c r="J15" s="1648"/>
      <c r="K15" s="1649"/>
      <c r="L15" s="82"/>
      <c r="M15" s="1650"/>
      <c r="N15" s="1645"/>
      <c r="O15" s="1645"/>
      <c r="P15" s="1645"/>
      <c r="Q15" s="1651"/>
      <c r="S15" s="86"/>
      <c r="T15" s="86"/>
      <c r="U15" s="86"/>
      <c r="V15" s="86"/>
      <c r="W15" s="86"/>
      <c r="X15" s="90"/>
      <c r="Y15" s="82"/>
      <c r="Z15" s="82"/>
      <c r="AA15" s="82"/>
      <c r="AB15" s="82"/>
      <c r="AC15" s="82"/>
    </row>
    <row r="16" spans="1:29" ht="15.75" customHeight="1" x14ac:dyDescent="0.3">
      <c r="A16" s="1634" t="s">
        <v>497</v>
      </c>
      <c r="B16" s="1634"/>
      <c r="C16" s="1634"/>
      <c r="D16" s="1635" t="s">
        <v>392</v>
      </c>
      <c r="E16" s="1636" t="str">
        <f>E3</f>
        <v>U95 STD</v>
      </c>
      <c r="F16" s="1638"/>
      <c r="G16" s="1640" t="s">
        <v>498</v>
      </c>
      <c r="H16" s="1641"/>
      <c r="I16" s="1642"/>
      <c r="J16" s="1635" t="s">
        <v>392</v>
      </c>
      <c r="K16" s="1636" t="str">
        <f>E16</f>
        <v>U95 STD</v>
      </c>
      <c r="L16" s="82"/>
      <c r="M16" s="1640" t="s">
        <v>499</v>
      </c>
      <c r="N16" s="1641"/>
      <c r="O16" s="1642"/>
      <c r="P16" s="1635" t="s">
        <v>392</v>
      </c>
      <c r="Q16" s="1643" t="str">
        <f>K16</f>
        <v>U95 STD</v>
      </c>
      <c r="S16" s="87"/>
      <c r="T16" s="87"/>
      <c r="U16" s="87"/>
      <c r="V16" s="88"/>
      <c r="W16" s="89"/>
      <c r="X16" s="90"/>
      <c r="Y16" s="87"/>
      <c r="Z16" s="87"/>
      <c r="AA16" s="87"/>
      <c r="AB16" s="88"/>
      <c r="AC16" s="89"/>
    </row>
    <row r="17" spans="1:29" ht="12.75" customHeight="1" x14ac:dyDescent="0.3">
      <c r="A17" s="92" t="str">
        <f>A4</f>
        <v>ECG</v>
      </c>
      <c r="B17" s="1635" t="s">
        <v>391</v>
      </c>
      <c r="C17" s="1635"/>
      <c r="D17" s="1635"/>
      <c r="E17" s="1636"/>
      <c r="F17" s="1638"/>
      <c r="G17" s="210" t="str">
        <f>A17</f>
        <v>ECG</v>
      </c>
      <c r="H17" s="1635" t="s">
        <v>391</v>
      </c>
      <c r="I17" s="1635"/>
      <c r="J17" s="1635"/>
      <c r="K17" s="1636"/>
      <c r="L17" s="82"/>
      <c r="M17" s="210" t="str">
        <f>G17</f>
        <v>ECG</v>
      </c>
      <c r="N17" s="1635" t="s">
        <v>391</v>
      </c>
      <c r="O17" s="1635"/>
      <c r="P17" s="1635"/>
      <c r="Q17" s="1643"/>
      <c r="S17" s="206"/>
      <c r="T17" s="88"/>
      <c r="U17" s="88"/>
      <c r="V17" s="88"/>
      <c r="W17" s="89"/>
      <c r="X17" s="90"/>
      <c r="Y17" s="206"/>
      <c r="Z17" s="88"/>
      <c r="AA17" s="88"/>
      <c r="AB17" s="88"/>
      <c r="AC17" s="89"/>
    </row>
    <row r="18" spans="1:29" ht="15" customHeight="1" x14ac:dyDescent="0.3">
      <c r="A18" s="93" t="str">
        <f>A5</f>
        <v>BPM</v>
      </c>
      <c r="B18" s="94">
        <v>2014</v>
      </c>
      <c r="C18" s="94">
        <v>2017</v>
      </c>
      <c r="D18" s="1635"/>
      <c r="E18" s="1636"/>
      <c r="F18" s="1638"/>
      <c r="G18" s="96" t="str">
        <f>A18</f>
        <v>BPM</v>
      </c>
      <c r="H18" s="94">
        <v>2017</v>
      </c>
      <c r="I18" s="95">
        <v>2020</v>
      </c>
      <c r="J18" s="1635"/>
      <c r="K18" s="1636"/>
      <c r="L18" s="82"/>
      <c r="M18" s="96" t="str">
        <f>G18</f>
        <v>BPM</v>
      </c>
      <c r="N18" s="94">
        <v>2017</v>
      </c>
      <c r="O18" s="95">
        <v>2020</v>
      </c>
      <c r="P18" s="1635"/>
      <c r="Q18" s="1643"/>
      <c r="S18" s="97"/>
      <c r="T18" s="206"/>
      <c r="U18" s="206"/>
      <c r="V18" s="88"/>
      <c r="W18" s="89"/>
      <c r="X18" s="90"/>
      <c r="Y18" s="97"/>
      <c r="Z18" s="206"/>
      <c r="AA18" s="206"/>
      <c r="AB18" s="88"/>
      <c r="AC18" s="89"/>
    </row>
    <row r="19" spans="1:29" ht="12.75" customHeight="1" x14ac:dyDescent="0.3">
      <c r="A19" s="217">
        <v>30</v>
      </c>
      <c r="B19" s="222">
        <v>0</v>
      </c>
      <c r="C19" s="222">
        <v>0</v>
      </c>
      <c r="D19" s="219">
        <f>0.5*(MAX(B19:C19)-MIN(B19:C19))</f>
        <v>0</v>
      </c>
      <c r="E19" s="632">
        <f>1.86*0.01</f>
        <v>1.8600000000000002E-2</v>
      </c>
      <c r="F19" s="1638"/>
      <c r="G19" s="217">
        <v>30</v>
      </c>
      <c r="H19" s="228">
        <v>0</v>
      </c>
      <c r="I19" s="629">
        <v>0</v>
      </c>
      <c r="J19" s="218" t="s">
        <v>364</v>
      </c>
      <c r="K19" s="229">
        <f>18*0.01</f>
        <v>0.18</v>
      </c>
      <c r="L19" s="82"/>
      <c r="M19" s="217">
        <v>30</v>
      </c>
      <c r="N19" s="218">
        <v>0</v>
      </c>
      <c r="O19" s="222">
        <v>0</v>
      </c>
      <c r="P19" s="219">
        <f>0.5*(MAX(N19:O19)-MIN(N19:O19))</f>
        <v>0</v>
      </c>
      <c r="Q19" s="229">
        <f>18*0.01</f>
        <v>0.18</v>
      </c>
      <c r="S19" s="106"/>
      <c r="T19" s="107"/>
      <c r="U19" s="110"/>
      <c r="V19" s="109"/>
      <c r="W19" s="110"/>
      <c r="X19" s="90"/>
      <c r="Y19" s="106"/>
      <c r="Z19" s="107"/>
      <c r="AA19" s="110"/>
      <c r="AB19" s="109"/>
      <c r="AC19" s="110"/>
    </row>
    <row r="20" spans="1:29" ht="12.75" customHeight="1" x14ac:dyDescent="0.3">
      <c r="A20" s="217">
        <v>60</v>
      </c>
      <c r="B20" s="222">
        <v>0</v>
      </c>
      <c r="C20" s="222">
        <v>0</v>
      </c>
      <c r="D20" s="219">
        <f>0.5*(MAX(B20:C20)-MIN(B20:C20))</f>
        <v>0</v>
      </c>
      <c r="E20" s="632">
        <f>3.66*0.01</f>
        <v>3.6600000000000001E-2</v>
      </c>
      <c r="F20" s="1638"/>
      <c r="G20" s="217">
        <v>60</v>
      </c>
      <c r="H20" s="228">
        <v>0</v>
      </c>
      <c r="I20" s="629">
        <v>-0.12</v>
      </c>
      <c r="J20" s="218" t="s">
        <v>364</v>
      </c>
      <c r="K20" s="229">
        <f>18*0.01</f>
        <v>0.18</v>
      </c>
      <c r="L20" s="82"/>
      <c r="M20" s="217">
        <v>60</v>
      </c>
      <c r="N20" s="218">
        <v>0</v>
      </c>
      <c r="O20" s="222">
        <v>-0.12</v>
      </c>
      <c r="P20" s="219">
        <f>0.5*(MAX(N20:O20)-MIN(N20:O20))</f>
        <v>0.06</v>
      </c>
      <c r="Q20" s="229">
        <f>18*0.01</f>
        <v>0.18</v>
      </c>
      <c r="S20" s="106"/>
      <c r="T20" s="107"/>
      <c r="U20" s="110"/>
      <c r="V20" s="109"/>
      <c r="W20" s="110"/>
      <c r="X20" s="90"/>
      <c r="Y20" s="106"/>
      <c r="Z20" s="107"/>
      <c r="AA20" s="110"/>
      <c r="AB20" s="109"/>
      <c r="AC20" s="110"/>
    </row>
    <row r="21" spans="1:29" ht="12.75" customHeight="1" x14ac:dyDescent="0.3">
      <c r="A21" s="217">
        <v>120</v>
      </c>
      <c r="B21" s="222">
        <v>0.06</v>
      </c>
      <c r="C21" s="222">
        <v>0</v>
      </c>
      <c r="D21" s="219">
        <f>0.5*(MAX(B21:C21)-MIN(B21:C21))</f>
        <v>0.03</v>
      </c>
      <c r="E21" s="632">
        <f>7.26*0.01</f>
        <v>7.2599999999999998E-2</v>
      </c>
      <c r="F21" s="1638"/>
      <c r="G21" s="217">
        <v>120</v>
      </c>
      <c r="H21" s="228">
        <v>0</v>
      </c>
      <c r="I21" s="629">
        <v>-0.12</v>
      </c>
      <c r="J21" s="218" t="s">
        <v>364</v>
      </c>
      <c r="K21" s="229">
        <f>18*0.01</f>
        <v>0.18</v>
      </c>
      <c r="L21" s="82"/>
      <c r="M21" s="217">
        <v>120</v>
      </c>
      <c r="N21" s="218" t="s">
        <v>364</v>
      </c>
      <c r="O21" s="222">
        <v>-0.12</v>
      </c>
      <c r="P21" s="219">
        <f>0.5*(MAX(N21:O21)-MIN(N21:O21))</f>
        <v>0</v>
      </c>
      <c r="Q21" s="229">
        <f>18*0.01</f>
        <v>0.18</v>
      </c>
      <c r="S21" s="106"/>
      <c r="T21" s="107"/>
      <c r="U21" s="110"/>
      <c r="V21" s="109"/>
      <c r="W21" s="110"/>
      <c r="X21" s="90"/>
      <c r="Y21" s="106"/>
      <c r="Z21" s="107"/>
      <c r="AA21" s="110"/>
      <c r="AB21" s="109"/>
      <c r="AC21" s="110"/>
    </row>
    <row r="22" spans="1:29" ht="12.75" customHeight="1" thickBot="1" x14ac:dyDescent="0.35">
      <c r="A22" s="223">
        <v>180</v>
      </c>
      <c r="B22" s="224" t="s">
        <v>364</v>
      </c>
      <c r="C22" s="224">
        <v>0</v>
      </c>
      <c r="D22" s="225">
        <f>0.5*(MAX(B22:C22)-MIN(B22:C22))</f>
        <v>0</v>
      </c>
      <c r="E22" s="632">
        <f>10.86*0.01</f>
        <v>0.1086</v>
      </c>
      <c r="F22" s="1638"/>
      <c r="G22" s="223">
        <v>180</v>
      </c>
      <c r="H22" s="631">
        <v>0</v>
      </c>
      <c r="I22" s="630">
        <v>-0.06</v>
      </c>
      <c r="J22" s="230" t="s">
        <v>364</v>
      </c>
      <c r="K22" s="229">
        <f>18*0.01</f>
        <v>0.18</v>
      </c>
      <c r="L22" s="82"/>
      <c r="M22" s="223">
        <v>180</v>
      </c>
      <c r="N22" s="230" t="s">
        <v>364</v>
      </c>
      <c r="O22" s="224">
        <v>0.06</v>
      </c>
      <c r="P22" s="225">
        <f>0.5*(MAX(N22:O22)-MIN(N22:O22))</f>
        <v>0</v>
      </c>
      <c r="Q22" s="229">
        <f>18*0.01</f>
        <v>0.18</v>
      </c>
      <c r="S22" s="106"/>
      <c r="T22" s="107"/>
      <c r="U22" s="108"/>
      <c r="V22" s="109"/>
      <c r="W22" s="110"/>
      <c r="X22" s="90"/>
      <c r="Y22" s="106"/>
      <c r="Z22" s="107"/>
      <c r="AA22" s="108"/>
      <c r="AB22" s="109"/>
      <c r="AC22" s="110"/>
    </row>
    <row r="23" spans="1:29" ht="12.75" customHeight="1" thickBot="1" x14ac:dyDescent="0.35">
      <c r="A23" s="627">
        <v>240</v>
      </c>
      <c r="B23" s="228">
        <v>0.06</v>
      </c>
      <c r="C23" s="228">
        <v>0</v>
      </c>
      <c r="D23" s="225">
        <f>0.5*(MAX(B23:C23)-MIN(B23:C23))</f>
        <v>0.03</v>
      </c>
      <c r="E23" s="531">
        <f>14.46*0.01</f>
        <v>0.14460000000000001</v>
      </c>
      <c r="F23" s="1638"/>
      <c r="G23" s="627">
        <v>240</v>
      </c>
      <c r="H23" s="631">
        <v>0</v>
      </c>
      <c r="I23" s="228">
        <v>-0.06</v>
      </c>
      <c r="J23" s="230" t="s">
        <v>364</v>
      </c>
      <c r="K23" s="229">
        <f>18*0.01</f>
        <v>0.18</v>
      </c>
      <c r="L23" s="82"/>
      <c r="M23" s="627">
        <v>240</v>
      </c>
      <c r="N23" s="230" t="s">
        <v>364</v>
      </c>
      <c r="O23" s="628">
        <v>-0.12</v>
      </c>
      <c r="P23" s="102">
        <f>0.5*(MAX(N23:O23)-MIN(N23:O23))</f>
        <v>0</v>
      </c>
      <c r="Q23" s="229">
        <f>18*0.01</f>
        <v>0.18</v>
      </c>
      <c r="S23" s="106"/>
      <c r="T23" s="107"/>
      <c r="U23" s="108"/>
      <c r="V23" s="109"/>
      <c r="W23" s="110"/>
      <c r="X23" s="90"/>
      <c r="Y23" s="106"/>
      <c r="Z23" s="107"/>
      <c r="AA23" s="108"/>
      <c r="AB23" s="109"/>
      <c r="AC23" s="110"/>
    </row>
    <row r="24" spans="1:29" ht="12.75" customHeight="1" x14ac:dyDescent="0.3">
      <c r="A24" s="103"/>
      <c r="B24" s="99"/>
      <c r="C24" s="100"/>
      <c r="D24" s="101"/>
      <c r="E24" s="102"/>
      <c r="F24" s="1638"/>
      <c r="G24" s="103"/>
      <c r="H24" s="100"/>
      <c r="I24" s="99"/>
      <c r="J24" s="101"/>
      <c r="K24" s="102"/>
      <c r="L24" s="82"/>
      <c r="M24" s="103"/>
      <c r="N24" s="99"/>
      <c r="O24" s="99"/>
      <c r="P24" s="102"/>
      <c r="Q24" s="105"/>
      <c r="S24" s="106"/>
      <c r="T24" s="107"/>
      <c r="U24" s="108"/>
      <c r="V24" s="109"/>
      <c r="W24" s="110"/>
      <c r="X24" s="90"/>
      <c r="Y24" s="106"/>
      <c r="Z24" s="107"/>
      <c r="AA24" s="108"/>
      <c r="AB24" s="109"/>
      <c r="AC24" s="110"/>
    </row>
    <row r="25" spans="1:29" ht="12.75" customHeight="1" x14ac:dyDescent="0.3">
      <c r="A25" s="103"/>
      <c r="B25" s="99"/>
      <c r="C25" s="100"/>
      <c r="D25" s="101"/>
      <c r="E25" s="102"/>
      <c r="F25" s="1638"/>
      <c r="G25" s="103"/>
      <c r="H25" s="100"/>
      <c r="I25" s="99"/>
      <c r="J25" s="101"/>
      <c r="K25" s="102"/>
      <c r="L25" s="82"/>
      <c r="M25" s="103"/>
      <c r="N25" s="99"/>
      <c r="O25" s="99"/>
      <c r="P25" s="102"/>
      <c r="Q25" s="105"/>
      <c r="S25" s="106"/>
      <c r="T25" s="107"/>
      <c r="U25" s="108"/>
      <c r="V25" s="109"/>
      <c r="W25" s="110"/>
      <c r="X25" s="90"/>
      <c r="Y25" s="106"/>
      <c r="Z25" s="107"/>
      <c r="AA25" s="108"/>
      <c r="AB25" s="109"/>
      <c r="AC25" s="110"/>
    </row>
    <row r="26" spans="1:29" ht="12.75" customHeight="1" x14ac:dyDescent="0.3">
      <c r="A26" s="103"/>
      <c r="B26" s="99"/>
      <c r="C26" s="100"/>
      <c r="D26" s="111"/>
      <c r="E26" s="102"/>
      <c r="F26" s="1638"/>
      <c r="G26" s="103"/>
      <c r="H26" s="100"/>
      <c r="I26" s="99"/>
      <c r="J26" s="111"/>
      <c r="K26" s="102"/>
      <c r="L26" s="82"/>
      <c r="M26" s="103"/>
      <c r="N26" s="99"/>
      <c r="O26" s="99"/>
      <c r="P26" s="102"/>
      <c r="Q26" s="105"/>
      <c r="S26" s="106"/>
      <c r="T26" s="107"/>
      <c r="U26" s="108"/>
      <c r="V26" s="107"/>
      <c r="W26" s="107"/>
      <c r="X26" s="90"/>
      <c r="Y26" s="106"/>
      <c r="Z26" s="107"/>
      <c r="AA26" s="108"/>
      <c r="AB26" s="107"/>
      <c r="AC26" s="107"/>
    </row>
    <row r="27" spans="1:29" ht="12.75" customHeight="1" x14ac:dyDescent="0.3">
      <c r="A27" s="103"/>
      <c r="B27" s="99"/>
      <c r="C27" s="100"/>
      <c r="D27" s="111"/>
      <c r="E27" s="102"/>
      <c r="F27" s="1638"/>
      <c r="G27" s="103"/>
      <c r="H27" s="100"/>
      <c r="I27" s="99"/>
      <c r="J27" s="111"/>
      <c r="K27" s="102"/>
      <c r="L27" s="82"/>
      <c r="M27" s="103"/>
      <c r="N27" s="99"/>
      <c r="O27" s="99"/>
      <c r="P27" s="102"/>
      <c r="Q27" s="105"/>
      <c r="S27" s="106"/>
      <c r="T27" s="107"/>
      <c r="U27" s="108"/>
      <c r="V27" s="107"/>
      <c r="W27" s="107"/>
      <c r="X27" s="113"/>
      <c r="Y27" s="106"/>
      <c r="Z27" s="107"/>
      <c r="AA27" s="108"/>
      <c r="AB27" s="107"/>
      <c r="AC27" s="107"/>
    </row>
    <row r="28" spans="1:29" ht="12.75" customHeight="1" x14ac:dyDescent="0.25">
      <c r="A28" s="114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15"/>
      <c r="M28" s="116"/>
      <c r="N28" s="86"/>
      <c r="O28" s="86"/>
      <c r="P28" s="86"/>
      <c r="Q28" s="11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spans="1:29" ht="13" x14ac:dyDescent="0.3">
      <c r="A29" s="118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0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</row>
    <row r="30" spans="1:29" ht="15.75" customHeight="1" x14ac:dyDescent="0.3">
      <c r="A30" s="1640" t="s">
        <v>500</v>
      </c>
      <c r="B30" s="1641"/>
      <c r="C30" s="1642"/>
      <c r="D30" s="1635" t="s">
        <v>392</v>
      </c>
      <c r="E30" s="1636" t="str">
        <f>E16</f>
        <v>U95 STD</v>
      </c>
      <c r="F30" s="1637"/>
      <c r="G30" s="1640" t="s">
        <v>501</v>
      </c>
      <c r="H30" s="1641"/>
      <c r="I30" s="1642"/>
      <c r="J30" s="1635" t="s">
        <v>392</v>
      </c>
      <c r="K30" s="1636" t="str">
        <f>E30</f>
        <v>U95 STD</v>
      </c>
      <c r="L30" s="119"/>
      <c r="M30" s="1640" t="s">
        <v>502</v>
      </c>
      <c r="N30" s="1641"/>
      <c r="O30" s="1642"/>
      <c r="P30" s="1635" t="s">
        <v>392</v>
      </c>
      <c r="Q30" s="1636" t="str">
        <f>E30</f>
        <v>U95 STD</v>
      </c>
      <c r="S30" s="87"/>
      <c r="T30" s="87"/>
      <c r="U30" s="87"/>
      <c r="V30" s="88"/>
      <c r="W30" s="89"/>
      <c r="X30" s="90"/>
      <c r="Y30" s="91"/>
      <c r="Z30" s="91"/>
      <c r="AA30" s="91"/>
      <c r="AB30" s="88"/>
      <c r="AC30" s="89"/>
    </row>
    <row r="31" spans="1:29" ht="12.75" customHeight="1" x14ac:dyDescent="0.3">
      <c r="A31" s="92" t="str">
        <f>A17</f>
        <v>ECG</v>
      </c>
      <c r="B31" s="1635" t="s">
        <v>391</v>
      </c>
      <c r="C31" s="1635"/>
      <c r="D31" s="1635"/>
      <c r="E31" s="1636"/>
      <c r="F31" s="1638"/>
      <c r="G31" s="210" t="str">
        <f>M18</f>
        <v>BPM</v>
      </c>
      <c r="H31" s="1635" t="s">
        <v>391</v>
      </c>
      <c r="I31" s="1635"/>
      <c r="J31" s="1635"/>
      <c r="K31" s="1636"/>
      <c r="L31" s="119"/>
      <c r="M31" s="210" t="str">
        <f>A31</f>
        <v>ECG</v>
      </c>
      <c r="N31" s="1635" t="s">
        <v>391</v>
      </c>
      <c r="O31" s="1635"/>
      <c r="P31" s="1635"/>
      <c r="Q31" s="1636"/>
      <c r="S31" s="206"/>
      <c r="T31" s="88"/>
      <c r="U31" s="88"/>
      <c r="V31" s="88"/>
      <c r="W31" s="89"/>
      <c r="X31" s="90"/>
      <c r="Y31" s="206"/>
      <c r="Z31" s="88"/>
      <c r="AA31" s="88"/>
      <c r="AB31" s="88"/>
      <c r="AC31" s="89"/>
    </row>
    <row r="32" spans="1:29" ht="15" customHeight="1" x14ac:dyDescent="0.3">
      <c r="A32" s="93" t="str">
        <f>A18</f>
        <v>BPM</v>
      </c>
      <c r="B32" s="94">
        <v>2018</v>
      </c>
      <c r="C32" s="95">
        <v>2020</v>
      </c>
      <c r="D32" s="1635"/>
      <c r="E32" s="1636"/>
      <c r="F32" s="1638"/>
      <c r="G32" s="623" t="s">
        <v>503</v>
      </c>
      <c r="H32" s="94" t="s">
        <v>364</v>
      </c>
      <c r="I32" s="624">
        <v>2020</v>
      </c>
      <c r="J32" s="1635"/>
      <c r="K32" s="1636"/>
      <c r="L32" s="119"/>
      <c r="M32" s="96" t="str">
        <f>A32</f>
        <v>BPM</v>
      </c>
      <c r="N32" s="94" t="s">
        <v>364</v>
      </c>
      <c r="O32" s="95">
        <v>2020</v>
      </c>
      <c r="P32" s="1635"/>
      <c r="Q32" s="1636"/>
      <c r="S32" s="97"/>
      <c r="T32" s="206"/>
      <c r="U32" s="98"/>
      <c r="V32" s="88"/>
      <c r="W32" s="89"/>
      <c r="X32" s="90"/>
      <c r="Y32" s="97"/>
      <c r="Z32" s="206"/>
      <c r="AA32" s="206"/>
      <c r="AB32" s="88"/>
      <c r="AC32" s="89"/>
    </row>
    <row r="33" spans="1:29" ht="12.75" customHeight="1" x14ac:dyDescent="0.3">
      <c r="A33" s="217">
        <v>30</v>
      </c>
      <c r="B33" s="231">
        <v>0</v>
      </c>
      <c r="C33" s="222">
        <v>-0.06</v>
      </c>
      <c r="D33" s="219">
        <f>0.5*(MAX(B33:C33)-MIN(B33:C33))</f>
        <v>0.03</v>
      </c>
      <c r="E33" s="229">
        <f>18*0.01</f>
        <v>0.18</v>
      </c>
      <c r="F33" s="1638"/>
      <c r="G33" s="217">
        <v>30</v>
      </c>
      <c r="H33" s="218" t="s">
        <v>364</v>
      </c>
      <c r="I33" s="222">
        <v>0</v>
      </c>
      <c r="J33" s="219">
        <f>0.5*(MAX(H33:I33)-MIN(H33:I33))</f>
        <v>0</v>
      </c>
      <c r="K33" s="229">
        <f>18*0.01</f>
        <v>0.18</v>
      </c>
      <c r="L33" s="119"/>
      <c r="M33" s="217">
        <v>30</v>
      </c>
      <c r="N33" s="218" t="s">
        <v>364</v>
      </c>
      <c r="O33" s="222">
        <v>0</v>
      </c>
      <c r="P33" s="219">
        <f>0.5*(MAX(N33:O33)-MIN(N33:O33))</f>
        <v>0</v>
      </c>
      <c r="Q33" s="229">
        <f>18*0.01</f>
        <v>0.18</v>
      </c>
      <c r="S33" s="106"/>
      <c r="T33" s="107"/>
      <c r="U33" s="108"/>
      <c r="V33" s="109"/>
      <c r="W33" s="110"/>
      <c r="X33" s="90"/>
      <c r="Y33" s="106"/>
      <c r="Z33" s="107"/>
      <c r="AA33" s="110"/>
      <c r="AB33" s="109"/>
      <c r="AC33" s="110"/>
    </row>
    <row r="34" spans="1:29" ht="12.75" customHeight="1" x14ac:dyDescent="0.3">
      <c r="A34" s="217">
        <v>60</v>
      </c>
      <c r="B34" s="231">
        <v>0</v>
      </c>
      <c r="C34" s="222">
        <v>-0.18</v>
      </c>
      <c r="D34" s="219">
        <f>0.5*(MAX(B34:C34)-MIN(B34:C34))</f>
        <v>0.09</v>
      </c>
      <c r="E34" s="229">
        <f>18*0.01</f>
        <v>0.18</v>
      </c>
      <c r="F34" s="1638"/>
      <c r="G34" s="217">
        <v>60</v>
      </c>
      <c r="H34" s="218" t="s">
        <v>364</v>
      </c>
      <c r="I34" s="222">
        <v>-0.12</v>
      </c>
      <c r="J34" s="219">
        <f>0.5*(MAX(H34:I34)-MIN(H34:I34))</f>
        <v>0</v>
      </c>
      <c r="K34" s="229">
        <f>18*0.01</f>
        <v>0.18</v>
      </c>
      <c r="L34" s="119"/>
      <c r="M34" s="217">
        <v>60</v>
      </c>
      <c r="N34" s="218" t="s">
        <v>364</v>
      </c>
      <c r="O34" s="222">
        <v>-0.12</v>
      </c>
      <c r="P34" s="219">
        <f>0.5*(MAX(N34:O34)-MIN(N34:O34))</f>
        <v>0</v>
      </c>
      <c r="Q34" s="229">
        <f>18*0.01</f>
        <v>0.18</v>
      </c>
      <c r="S34" s="106"/>
      <c r="T34" s="107"/>
      <c r="U34" s="110"/>
      <c r="V34" s="109"/>
      <c r="W34" s="110"/>
      <c r="X34" s="90"/>
      <c r="Y34" s="106"/>
      <c r="Z34" s="107"/>
      <c r="AA34" s="110"/>
      <c r="AB34" s="109"/>
      <c r="AC34" s="110"/>
    </row>
    <row r="35" spans="1:29" ht="12.75" customHeight="1" x14ac:dyDescent="0.3">
      <c r="A35" s="217">
        <v>120</v>
      </c>
      <c r="B35" s="231" t="s">
        <v>364</v>
      </c>
      <c r="C35" s="222">
        <v>-0.12</v>
      </c>
      <c r="D35" s="219">
        <f>0.5*(MAX(B35:C35)-MIN(B35:C35))</f>
        <v>0</v>
      </c>
      <c r="E35" s="229">
        <f>18*0.01</f>
        <v>0.18</v>
      </c>
      <c r="F35" s="1638"/>
      <c r="G35" s="217">
        <v>120</v>
      </c>
      <c r="H35" s="218" t="s">
        <v>364</v>
      </c>
      <c r="I35" s="222">
        <v>-0.12</v>
      </c>
      <c r="J35" s="219">
        <f>0.5*(MAX(H35:I35)-MIN(H35:I35))</f>
        <v>0</v>
      </c>
      <c r="K35" s="229">
        <f>18*0.01</f>
        <v>0.18</v>
      </c>
      <c r="L35" s="119"/>
      <c r="M35" s="217">
        <v>120</v>
      </c>
      <c r="N35" s="218" t="s">
        <v>364</v>
      </c>
      <c r="O35" s="222">
        <v>-0.12</v>
      </c>
      <c r="P35" s="219">
        <f>0.5*(MAX(N35:O35)-MIN(N35:O35))</f>
        <v>0</v>
      </c>
      <c r="Q35" s="229">
        <f>18*0.01</f>
        <v>0.18</v>
      </c>
      <c r="S35" s="106"/>
      <c r="T35" s="107"/>
      <c r="U35" s="110"/>
      <c r="V35" s="109"/>
      <c r="W35" s="110"/>
      <c r="X35" s="90"/>
      <c r="Y35" s="106"/>
      <c r="Z35" s="107"/>
      <c r="AA35" s="110"/>
      <c r="AB35" s="109"/>
      <c r="AC35" s="110"/>
    </row>
    <row r="36" spans="1:29" ht="12.75" customHeight="1" thickBot="1" x14ac:dyDescent="0.35">
      <c r="A36" s="223">
        <v>180</v>
      </c>
      <c r="B36" s="232" t="s">
        <v>364</v>
      </c>
      <c r="C36" s="224">
        <v>0</v>
      </c>
      <c r="D36" s="225">
        <f>0.5*(MAX(B36:C36)-MIN(B36:C36))</f>
        <v>0</v>
      </c>
      <c r="E36" s="633">
        <f>18*0.01</f>
        <v>0.18</v>
      </c>
      <c r="F36" s="1638"/>
      <c r="G36" s="223">
        <v>180</v>
      </c>
      <c r="H36" s="230" t="s">
        <v>364</v>
      </c>
      <c r="I36" s="224">
        <v>0.12</v>
      </c>
      <c r="J36" s="225">
        <f>0.5*(MAX(H36:I36)-MIN(H36:I36))</f>
        <v>0</v>
      </c>
      <c r="K36" s="229">
        <f>18*0.01</f>
        <v>0.18</v>
      </c>
      <c r="L36" s="119"/>
      <c r="M36" s="223">
        <v>180</v>
      </c>
      <c r="N36" s="230" t="s">
        <v>364</v>
      </c>
      <c r="O36" s="224">
        <v>0.12</v>
      </c>
      <c r="P36" s="225">
        <f>0.5*(MAX(N36:O36)-MIN(N36:O36))</f>
        <v>0</v>
      </c>
      <c r="Q36" s="229">
        <f>18*0.01</f>
        <v>0.18</v>
      </c>
      <c r="S36" s="106"/>
      <c r="T36" s="107"/>
      <c r="U36" s="108"/>
      <c r="V36" s="109"/>
      <c r="W36" s="110"/>
      <c r="X36" s="90"/>
      <c r="Y36" s="106"/>
      <c r="Z36" s="107"/>
      <c r="AA36" s="108"/>
      <c r="AB36" s="109"/>
      <c r="AC36" s="110"/>
    </row>
    <row r="37" spans="1:29" ht="12.75" customHeight="1" thickBot="1" x14ac:dyDescent="0.35">
      <c r="A37" s="627">
        <v>240</v>
      </c>
      <c r="B37" s="213" t="s">
        <v>364</v>
      </c>
      <c r="C37" s="628">
        <v>-0.06</v>
      </c>
      <c r="D37" s="101">
        <f>0.5*(MAX(B37:C37)-MIN(B37:C37))</f>
        <v>0</v>
      </c>
      <c r="E37" s="229">
        <f>18*0.01</f>
        <v>0.18</v>
      </c>
      <c r="F37" s="1638"/>
      <c r="G37" s="627">
        <v>240</v>
      </c>
      <c r="H37" s="213" t="s">
        <v>364</v>
      </c>
      <c r="I37" s="628">
        <v>-0.06</v>
      </c>
      <c r="J37" s="101">
        <f>0.5*(MAX(H37:I37)-MIN(H37:I37))</f>
        <v>0</v>
      </c>
      <c r="K37" s="229">
        <f>18*0.01</f>
        <v>0.18</v>
      </c>
      <c r="L37" s="119"/>
      <c r="M37" s="627">
        <v>240</v>
      </c>
      <c r="N37" s="230" t="s">
        <v>364</v>
      </c>
      <c r="O37" s="628">
        <v>-0.12</v>
      </c>
      <c r="P37" s="225">
        <f>0.5*(MAX(N37:O37)-MIN(N37:O37))</f>
        <v>0</v>
      </c>
      <c r="Q37" s="229">
        <f>18*0.01</f>
        <v>0.18</v>
      </c>
      <c r="S37" s="106"/>
      <c r="T37" s="107"/>
      <c r="U37" s="108"/>
      <c r="V37" s="109"/>
      <c r="W37" s="110"/>
      <c r="X37" s="90"/>
      <c r="Y37" s="106"/>
      <c r="Z37" s="107"/>
      <c r="AA37" s="108"/>
      <c r="AB37" s="109"/>
      <c r="AC37" s="110"/>
    </row>
    <row r="38" spans="1:29" ht="12.75" customHeight="1" x14ac:dyDescent="0.3">
      <c r="A38" s="103"/>
      <c r="B38" s="104"/>
      <c r="C38" s="122"/>
      <c r="D38" s="101"/>
      <c r="E38" s="102"/>
      <c r="F38" s="1638"/>
      <c r="G38" s="103"/>
      <c r="H38" s="104"/>
      <c r="I38" s="122"/>
      <c r="J38" s="101"/>
      <c r="K38" s="102"/>
      <c r="L38" s="119"/>
      <c r="Q38" s="121"/>
      <c r="S38" s="106"/>
      <c r="T38" s="107"/>
      <c r="U38" s="108"/>
      <c r="V38" s="109"/>
      <c r="W38" s="110"/>
      <c r="X38" s="90"/>
      <c r="Y38" s="106"/>
      <c r="Z38" s="107"/>
      <c r="AA38" s="108"/>
      <c r="AB38" s="109"/>
      <c r="AC38" s="110"/>
    </row>
    <row r="39" spans="1:29" ht="12.75" customHeight="1" x14ac:dyDescent="0.3">
      <c r="A39" s="103"/>
      <c r="B39" s="104"/>
      <c r="C39" s="122"/>
      <c r="D39" s="101"/>
      <c r="E39" s="102"/>
      <c r="F39" s="1638"/>
      <c r="G39" s="103"/>
      <c r="H39" s="104"/>
      <c r="I39" s="122"/>
      <c r="J39" s="101"/>
      <c r="K39" s="102"/>
      <c r="L39" s="119"/>
      <c r="Q39" s="121"/>
      <c r="S39" s="106"/>
      <c r="T39" s="107"/>
      <c r="U39" s="108"/>
      <c r="V39" s="109"/>
      <c r="W39" s="110"/>
      <c r="X39" s="90"/>
      <c r="Y39" s="106"/>
      <c r="Z39" s="107"/>
      <c r="AA39" s="108"/>
      <c r="AB39" s="109"/>
      <c r="AC39" s="110"/>
    </row>
    <row r="40" spans="1:29" ht="13.5" customHeight="1" x14ac:dyDescent="0.3">
      <c r="A40" s="103"/>
      <c r="B40" s="104"/>
      <c r="C40" s="122"/>
      <c r="D40" s="101"/>
      <c r="E40" s="102"/>
      <c r="F40" s="1638"/>
      <c r="G40" s="103"/>
      <c r="H40" s="104"/>
      <c r="I40" s="122"/>
      <c r="J40" s="101"/>
      <c r="K40" s="102"/>
      <c r="L40" s="119"/>
      <c r="Q40" s="121"/>
      <c r="S40" s="106"/>
      <c r="T40" s="107"/>
      <c r="U40" s="108"/>
      <c r="V40" s="109"/>
      <c r="W40" s="110"/>
      <c r="X40" s="90"/>
      <c r="Y40" s="106"/>
      <c r="Z40" s="107"/>
      <c r="AA40" s="108"/>
      <c r="AB40" s="109"/>
      <c r="AC40" s="110"/>
    </row>
    <row r="41" spans="1:29" ht="13.5" customHeight="1" x14ac:dyDescent="0.3">
      <c r="A41" s="103"/>
      <c r="B41" s="104"/>
      <c r="C41" s="122"/>
      <c r="D41" s="101"/>
      <c r="E41" s="102"/>
      <c r="F41" s="1638"/>
      <c r="G41" s="103"/>
      <c r="H41" s="104"/>
      <c r="I41" s="122"/>
      <c r="J41" s="101"/>
      <c r="K41" s="102"/>
      <c r="L41" s="119"/>
      <c r="Q41" s="121"/>
      <c r="S41" s="106"/>
      <c r="T41" s="107"/>
      <c r="U41" s="108"/>
      <c r="V41" s="109"/>
      <c r="W41" s="110"/>
      <c r="X41" s="90"/>
      <c r="Y41" s="106"/>
      <c r="Z41" s="107"/>
      <c r="AA41" s="108"/>
      <c r="AB41" s="109"/>
      <c r="AC41" s="110"/>
    </row>
    <row r="42" spans="1:29" ht="13.5" customHeight="1" x14ac:dyDescent="0.3">
      <c r="A42" s="1652"/>
      <c r="B42" s="1653"/>
      <c r="C42" s="1653"/>
      <c r="D42" s="1653"/>
      <c r="E42" s="1654"/>
      <c r="F42" s="1638"/>
      <c r="G42" s="1665"/>
      <c r="H42" s="1666"/>
      <c r="I42" s="1666"/>
      <c r="J42" s="1666"/>
      <c r="K42" s="1667"/>
      <c r="L42" s="119"/>
      <c r="Q42" s="121"/>
      <c r="S42" s="86"/>
      <c r="T42" s="86"/>
      <c r="U42" s="86"/>
      <c r="V42" s="86"/>
      <c r="W42" s="86"/>
      <c r="X42" s="90"/>
      <c r="Y42" s="82"/>
      <c r="Z42" s="82"/>
      <c r="AA42" s="82"/>
      <c r="AB42" s="82"/>
      <c r="AC42" s="82"/>
    </row>
    <row r="43" spans="1:29" ht="15.75" customHeight="1" x14ac:dyDescent="0.3">
      <c r="A43" s="1640" t="s">
        <v>504</v>
      </c>
      <c r="B43" s="1641"/>
      <c r="C43" s="1642"/>
      <c r="D43" s="1635" t="s">
        <v>392</v>
      </c>
      <c r="E43" s="1636" t="str">
        <f>K30</f>
        <v>U95 STD</v>
      </c>
      <c r="F43" s="1638"/>
      <c r="G43" s="1640" t="s">
        <v>505</v>
      </c>
      <c r="H43" s="1641"/>
      <c r="I43" s="1642"/>
      <c r="J43" s="1635" t="s">
        <v>392</v>
      </c>
      <c r="K43" s="1636" t="str">
        <f>Q30</f>
        <v>U95 STD</v>
      </c>
      <c r="L43" s="119"/>
      <c r="M43" s="1640" t="s">
        <v>506</v>
      </c>
      <c r="N43" s="1641"/>
      <c r="O43" s="1642"/>
      <c r="P43" s="1635" t="s">
        <v>392</v>
      </c>
      <c r="Q43" s="1636" t="str">
        <f>E43</f>
        <v>U95 STD</v>
      </c>
      <c r="S43" s="87"/>
      <c r="T43" s="87"/>
      <c r="U43" s="87"/>
      <c r="V43" s="88"/>
      <c r="W43" s="89"/>
      <c r="X43" s="90"/>
      <c r="Y43" s="87"/>
      <c r="Z43" s="87"/>
      <c r="AA43" s="87"/>
      <c r="AB43" s="88"/>
      <c r="AC43" s="89"/>
    </row>
    <row r="44" spans="1:29" ht="12.75" customHeight="1" x14ac:dyDescent="0.3">
      <c r="A44" s="210" t="str">
        <f>G31</f>
        <v>BPM</v>
      </c>
      <c r="B44" s="1635" t="s">
        <v>391</v>
      </c>
      <c r="C44" s="1635"/>
      <c r="D44" s="1635"/>
      <c r="E44" s="1636"/>
      <c r="F44" s="1638"/>
      <c r="G44" s="210" t="str">
        <f>M31</f>
        <v>ECG</v>
      </c>
      <c r="H44" s="1635" t="s">
        <v>391</v>
      </c>
      <c r="I44" s="1635"/>
      <c r="J44" s="1635"/>
      <c r="K44" s="1636"/>
      <c r="L44" s="119"/>
      <c r="M44" s="210" t="str">
        <f>A44</f>
        <v>BPM</v>
      </c>
      <c r="N44" s="1635" t="s">
        <v>391</v>
      </c>
      <c r="O44" s="1635"/>
      <c r="P44" s="1635"/>
      <c r="Q44" s="1636"/>
      <c r="S44" s="206"/>
      <c r="T44" s="88"/>
      <c r="U44" s="88"/>
      <c r="V44" s="88"/>
      <c r="W44" s="89"/>
      <c r="X44" s="90"/>
      <c r="Y44" s="206"/>
      <c r="Z44" s="88"/>
      <c r="AA44" s="88"/>
      <c r="AB44" s="88"/>
      <c r="AC44" s="89"/>
    </row>
    <row r="45" spans="1:29" ht="15" customHeight="1" x14ac:dyDescent="0.3">
      <c r="A45" s="96" t="str">
        <f>G32</f>
        <v>( BPM )</v>
      </c>
      <c r="B45" s="94">
        <v>2016</v>
      </c>
      <c r="C45" s="95">
        <v>2018</v>
      </c>
      <c r="D45" s="1635"/>
      <c r="E45" s="1636"/>
      <c r="F45" s="1638"/>
      <c r="G45" s="623" t="s">
        <v>503</v>
      </c>
      <c r="H45" s="94" t="s">
        <v>364</v>
      </c>
      <c r="I45" s="671">
        <v>2018</v>
      </c>
      <c r="J45" s="1635"/>
      <c r="K45" s="1636"/>
      <c r="L45" s="119"/>
      <c r="M45" s="96" t="str">
        <f>A45</f>
        <v>( BPM )</v>
      </c>
      <c r="N45" s="94">
        <v>2015</v>
      </c>
      <c r="O45" s="671">
        <v>2017</v>
      </c>
      <c r="P45" s="1635"/>
      <c r="Q45" s="1636"/>
      <c r="S45" s="97"/>
      <c r="T45" s="206"/>
      <c r="U45" s="206"/>
      <c r="V45" s="88"/>
      <c r="W45" s="89"/>
      <c r="X45" s="90"/>
      <c r="Y45" s="97"/>
      <c r="Z45" s="206"/>
      <c r="AA45" s="206"/>
      <c r="AB45" s="88"/>
      <c r="AC45" s="89"/>
    </row>
    <row r="46" spans="1:29" ht="12.75" customHeight="1" x14ac:dyDescent="0.3">
      <c r="A46" s="217">
        <v>30</v>
      </c>
      <c r="B46" s="226">
        <v>0</v>
      </c>
      <c r="C46" s="226">
        <v>0</v>
      </c>
      <c r="D46" s="219">
        <f>0.5*(MAX(B46:C46)-MIN(B46:C46))</f>
        <v>0</v>
      </c>
      <c r="E46" s="632">
        <f>0.36*0.01</f>
        <v>3.5999999999999999E-3</v>
      </c>
      <c r="F46" s="1638"/>
      <c r="G46" s="217">
        <v>30</v>
      </c>
      <c r="H46" s="218" t="s">
        <v>364</v>
      </c>
      <c r="I46" s="218">
        <v>0</v>
      </c>
      <c r="J46" s="219">
        <f>0.5*(MAX(H46:I46)-MIN(H46:I46))</f>
        <v>0</v>
      </c>
      <c r="K46" s="632">
        <f>0.36*0.01</f>
        <v>3.5999999999999999E-3</v>
      </c>
      <c r="L46" s="119"/>
      <c r="M46" s="217">
        <v>30</v>
      </c>
      <c r="N46" s="218">
        <v>0</v>
      </c>
      <c r="O46" s="218">
        <v>0</v>
      </c>
      <c r="P46" s="219">
        <f>0.5*(MAX(N46:O46)-MIN(N46:O46))</f>
        <v>0</v>
      </c>
      <c r="Q46" s="632">
        <f>0.36*0.01</f>
        <v>3.5999999999999999E-3</v>
      </c>
      <c r="S46" s="106"/>
      <c r="T46" s="107"/>
      <c r="U46" s="110"/>
      <c r="V46" s="109"/>
      <c r="W46" s="110"/>
      <c r="X46" s="90"/>
      <c r="Y46" s="106"/>
      <c r="Z46" s="107"/>
      <c r="AA46" s="110"/>
      <c r="AB46" s="109"/>
      <c r="AC46" s="110"/>
    </row>
    <row r="47" spans="1:29" ht="12.75" customHeight="1" x14ac:dyDescent="0.3">
      <c r="A47" s="217">
        <v>60</v>
      </c>
      <c r="B47" s="226">
        <v>0</v>
      </c>
      <c r="C47" s="226">
        <v>0</v>
      </c>
      <c r="D47" s="219">
        <f>0.5*(MAX(B47:C47)-MIN(B47:C47))</f>
        <v>0</v>
      </c>
      <c r="E47" s="632">
        <f>0.66*0.01</f>
        <v>6.6000000000000008E-3</v>
      </c>
      <c r="F47" s="1638"/>
      <c r="G47" s="217">
        <v>60</v>
      </c>
      <c r="H47" s="218" t="s">
        <v>364</v>
      </c>
      <c r="I47" s="218">
        <v>0</v>
      </c>
      <c r="J47" s="219">
        <f>0.5*(MAX(H47:I47)-MIN(H47:I47))</f>
        <v>0</v>
      </c>
      <c r="K47" s="632">
        <f>0.66*0.01</f>
        <v>6.6000000000000008E-3</v>
      </c>
      <c r="L47" s="119"/>
      <c r="M47" s="217">
        <v>60</v>
      </c>
      <c r="N47" s="218">
        <v>0</v>
      </c>
      <c r="O47" s="218">
        <v>0</v>
      </c>
      <c r="P47" s="219">
        <f>0.5*(MAX(N47:O47)-MIN(N47:O47))</f>
        <v>0</v>
      </c>
      <c r="Q47" s="632">
        <f>0.66*0.01</f>
        <v>6.6000000000000008E-3</v>
      </c>
      <c r="S47" s="106"/>
      <c r="T47" s="107"/>
      <c r="U47" s="110"/>
      <c r="V47" s="109"/>
      <c r="W47" s="110"/>
      <c r="X47" s="90"/>
      <c r="Y47" s="106"/>
      <c r="Z47" s="107"/>
      <c r="AA47" s="110"/>
      <c r="AB47" s="109"/>
      <c r="AC47" s="110"/>
    </row>
    <row r="48" spans="1:29" ht="12.75" customHeight="1" x14ac:dyDescent="0.3">
      <c r="A48" s="217">
        <v>120</v>
      </c>
      <c r="B48" s="226">
        <v>0</v>
      </c>
      <c r="C48" s="226">
        <v>0</v>
      </c>
      <c r="D48" s="219">
        <f>0.5*(MAX(B48:C48)-MIN(B48:C48))</f>
        <v>0</v>
      </c>
      <c r="E48" s="632">
        <f>1.26*0.01</f>
        <v>1.26E-2</v>
      </c>
      <c r="F48" s="1638"/>
      <c r="G48" s="217">
        <v>120</v>
      </c>
      <c r="H48" s="218" t="s">
        <v>364</v>
      </c>
      <c r="I48" s="218">
        <v>0</v>
      </c>
      <c r="J48" s="219">
        <f>0.5*(MAX(H48:I48)-MIN(H48:I48))</f>
        <v>0</v>
      </c>
      <c r="K48" s="632">
        <f>1.26*0.01</f>
        <v>1.26E-2</v>
      </c>
      <c r="L48" s="119"/>
      <c r="M48" s="217">
        <v>120</v>
      </c>
      <c r="N48" s="218" t="s">
        <v>364</v>
      </c>
      <c r="O48" s="218" t="s">
        <v>364</v>
      </c>
      <c r="P48" s="219">
        <f>0.5*(MAX(N48:O48)-MIN(N48:O48))</f>
        <v>0</v>
      </c>
      <c r="Q48" s="229" t="s">
        <v>364</v>
      </c>
      <c r="S48" s="106"/>
      <c r="T48" s="107"/>
      <c r="U48" s="110"/>
      <c r="V48" s="109"/>
      <c r="W48" s="110"/>
      <c r="X48" s="90"/>
      <c r="Y48" s="106"/>
      <c r="Z48" s="107"/>
      <c r="AA48" s="110"/>
      <c r="AB48" s="109"/>
      <c r="AC48" s="110"/>
    </row>
    <row r="49" spans="1:29" ht="12.75" customHeight="1" thickBot="1" x14ac:dyDescent="0.35">
      <c r="A49" s="223">
        <v>180</v>
      </c>
      <c r="B49" s="226">
        <v>0</v>
      </c>
      <c r="C49" s="227">
        <v>0</v>
      </c>
      <c r="D49" s="225">
        <f>0.5*(MAX(B49:C49)-MIN(B49:C49))</f>
        <v>0</v>
      </c>
      <c r="E49" s="632">
        <f>1.86*0.01</f>
        <v>1.8600000000000002E-2</v>
      </c>
      <c r="F49" s="1638"/>
      <c r="G49" s="223">
        <v>180</v>
      </c>
      <c r="H49" s="230" t="s">
        <v>364</v>
      </c>
      <c r="I49" s="218">
        <v>0</v>
      </c>
      <c r="J49" s="225">
        <f>0.5*(MAX(H49:I49)-MIN(H49:I49))</f>
        <v>0</v>
      </c>
      <c r="K49" s="632">
        <f>1.86*0.01</f>
        <v>1.8600000000000002E-2</v>
      </c>
      <c r="L49" s="119"/>
      <c r="M49" s="223">
        <v>180</v>
      </c>
      <c r="N49" s="230" t="s">
        <v>364</v>
      </c>
      <c r="O49" s="218" t="s">
        <v>364</v>
      </c>
      <c r="P49" s="225">
        <f>0.5*(MAX(N49:O49)-MIN(N49:O49))</f>
        <v>0</v>
      </c>
      <c r="Q49" s="229" t="s">
        <v>364</v>
      </c>
      <c r="S49" s="106"/>
      <c r="T49" s="107"/>
      <c r="U49" s="108"/>
      <c r="V49" s="109"/>
      <c r="W49" s="110"/>
      <c r="X49" s="90"/>
      <c r="Y49" s="106"/>
      <c r="Z49" s="107"/>
      <c r="AA49" s="108"/>
      <c r="AB49" s="109"/>
      <c r="AC49" s="110"/>
    </row>
    <row r="50" spans="1:29" ht="12.75" customHeight="1" thickBot="1" x14ac:dyDescent="0.35">
      <c r="A50" s="627">
        <v>240</v>
      </c>
      <c r="B50" s="226">
        <v>0</v>
      </c>
      <c r="C50" s="227">
        <v>0</v>
      </c>
      <c r="D50" s="225">
        <f>0.5*(MAX(B50:C50)-MIN(B50:C50))</f>
        <v>0</v>
      </c>
      <c r="E50" s="531">
        <f>2.46*0.01</f>
        <v>2.46E-2</v>
      </c>
      <c r="F50" s="1638"/>
      <c r="G50" s="627">
        <v>240</v>
      </c>
      <c r="H50" s="100" t="s">
        <v>364</v>
      </c>
      <c r="I50" s="122">
        <v>0</v>
      </c>
      <c r="J50" s="225">
        <f>0.5*(MAX(H50:I50)-MIN(H50:I50))</f>
        <v>0</v>
      </c>
      <c r="K50" s="531">
        <f>2.46*0.01</f>
        <v>2.46E-2</v>
      </c>
      <c r="L50" s="119"/>
      <c r="M50" s="627">
        <v>240</v>
      </c>
      <c r="N50" s="100" t="s">
        <v>364</v>
      </c>
      <c r="O50" s="122" t="s">
        <v>364</v>
      </c>
      <c r="P50" s="225">
        <f>0.5*(MAX(N50:O50)-MIN(N50:O50))</f>
        <v>0</v>
      </c>
      <c r="Q50" s="102" t="s">
        <v>364</v>
      </c>
      <c r="S50" s="106"/>
      <c r="T50" s="107"/>
      <c r="U50" s="108"/>
      <c r="V50" s="109"/>
      <c r="W50" s="110"/>
      <c r="X50" s="90"/>
      <c r="Y50" s="106"/>
      <c r="Z50" s="107"/>
      <c r="AA50" s="108"/>
      <c r="AB50" s="109"/>
      <c r="AC50" s="110"/>
    </row>
    <row r="51" spans="1:29" ht="12.75" customHeight="1" x14ac:dyDescent="0.3">
      <c r="A51" s="103"/>
      <c r="B51" s="104"/>
      <c r="C51" s="99"/>
      <c r="D51" s="101"/>
      <c r="E51" s="102"/>
      <c r="F51" s="1638"/>
      <c r="G51" s="103"/>
      <c r="H51" s="104"/>
      <c r="I51" s="122"/>
      <c r="J51" s="101"/>
      <c r="K51" s="102"/>
      <c r="L51" s="119"/>
      <c r="M51" s="123"/>
      <c r="N51" s="123"/>
      <c r="O51" s="123"/>
      <c r="P51" s="123"/>
      <c r="Q51" s="124"/>
      <c r="S51" s="106"/>
      <c r="T51" s="107"/>
      <c r="U51" s="108"/>
      <c r="V51" s="109"/>
      <c r="W51" s="110"/>
      <c r="X51" s="90"/>
      <c r="Y51" s="106"/>
      <c r="Z51" s="107"/>
      <c r="AA51" s="108"/>
      <c r="AB51" s="109"/>
      <c r="AC51" s="110"/>
    </row>
    <row r="52" spans="1:29" ht="12.75" customHeight="1" x14ac:dyDescent="0.3">
      <c r="A52" s="103"/>
      <c r="B52" s="104"/>
      <c r="C52" s="99"/>
      <c r="D52" s="101"/>
      <c r="E52" s="102"/>
      <c r="F52" s="1638"/>
      <c r="G52" s="103"/>
      <c r="H52" s="104"/>
      <c r="I52" s="122"/>
      <c r="J52" s="101"/>
      <c r="K52" s="102"/>
      <c r="L52" s="119"/>
      <c r="M52" s="123"/>
      <c r="N52" s="123"/>
      <c r="O52" s="123"/>
      <c r="P52" s="123"/>
      <c r="Q52" s="124"/>
      <c r="S52" s="106"/>
      <c r="T52" s="107"/>
      <c r="U52" s="108"/>
      <c r="V52" s="109"/>
      <c r="W52" s="110"/>
      <c r="X52" s="90"/>
      <c r="Y52" s="106"/>
      <c r="Z52" s="107"/>
      <c r="AA52" s="108"/>
      <c r="AB52" s="109"/>
      <c r="AC52" s="110"/>
    </row>
    <row r="53" spans="1:29" ht="13.5" customHeight="1" x14ac:dyDescent="0.3">
      <c r="A53" s="103"/>
      <c r="B53" s="104"/>
      <c r="C53" s="99"/>
      <c r="D53" s="101"/>
      <c r="E53" s="102"/>
      <c r="F53" s="1638"/>
      <c r="G53" s="103"/>
      <c r="H53" s="104"/>
      <c r="I53" s="122"/>
      <c r="J53" s="101"/>
      <c r="K53" s="102"/>
      <c r="L53" s="119"/>
      <c r="M53" s="123"/>
      <c r="N53" s="123"/>
      <c r="O53" s="123"/>
      <c r="P53" s="123"/>
      <c r="Q53" s="124"/>
      <c r="S53" s="106"/>
      <c r="T53" s="107"/>
      <c r="U53" s="108"/>
      <c r="V53" s="109"/>
      <c r="W53" s="110"/>
      <c r="X53" s="90"/>
      <c r="Y53" s="106"/>
      <c r="Z53" s="107"/>
      <c r="AA53" s="108"/>
      <c r="AB53" s="109"/>
      <c r="AC53" s="110"/>
    </row>
    <row r="54" spans="1:29" ht="13.5" customHeight="1" x14ac:dyDescent="0.3">
      <c r="A54" s="103"/>
      <c r="B54" s="104"/>
      <c r="C54" s="99"/>
      <c r="D54" s="101"/>
      <c r="E54" s="102"/>
      <c r="F54" s="1638"/>
      <c r="G54" s="103"/>
      <c r="H54" s="104"/>
      <c r="I54" s="122"/>
      <c r="J54" s="101"/>
      <c r="K54" s="102"/>
      <c r="L54" s="119"/>
      <c r="M54" s="123"/>
      <c r="N54" s="123"/>
      <c r="O54" s="123"/>
      <c r="P54" s="123"/>
      <c r="Q54" s="124"/>
      <c r="S54" s="106"/>
      <c r="T54" s="107"/>
      <c r="U54" s="108"/>
      <c r="V54" s="109"/>
      <c r="W54" s="110"/>
      <c r="X54" s="113"/>
      <c r="Y54" s="106"/>
      <c r="Z54" s="107"/>
      <c r="AA54" s="108"/>
      <c r="AB54" s="109"/>
      <c r="AC54" s="110"/>
    </row>
    <row r="55" spans="1:29" ht="13.5" customHeight="1" thickBot="1" x14ac:dyDescent="0.3">
      <c r="A55" s="1534"/>
      <c r="B55" s="1535"/>
      <c r="C55" s="1535"/>
      <c r="D55" s="1535"/>
      <c r="E55" s="1535"/>
      <c r="F55" s="1535"/>
      <c r="G55" s="1535"/>
      <c r="H55" s="1535"/>
      <c r="I55" s="1535"/>
      <c r="J55" s="1535"/>
      <c r="K55" s="1535"/>
      <c r="L55" s="1535"/>
      <c r="M55" s="1535"/>
      <c r="N55" s="1535"/>
      <c r="O55" s="1535"/>
      <c r="P55" s="1535"/>
      <c r="Q55" s="1536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</row>
    <row r="56" spans="1:29" ht="12.75" customHeight="1" x14ac:dyDescent="0.3">
      <c r="A56" s="114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19"/>
      <c r="M56" s="123"/>
      <c r="N56" s="123"/>
      <c r="O56" s="123"/>
      <c r="P56" s="123"/>
      <c r="Q56" s="123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</row>
    <row r="57" spans="1:29" ht="13.5" thickBot="1" x14ac:dyDescent="0.35">
      <c r="A57" s="118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</row>
    <row r="58" spans="1:29" ht="12.75" customHeight="1" x14ac:dyDescent="0.25">
      <c r="A58" s="1655" t="s">
        <v>471</v>
      </c>
      <c r="B58" s="1657"/>
      <c r="C58" s="1659" t="str">
        <f>A4</f>
        <v>ECG</v>
      </c>
      <c r="D58" s="1661" t="s">
        <v>391</v>
      </c>
      <c r="E58" s="1661"/>
      <c r="F58" s="208" t="s">
        <v>392</v>
      </c>
      <c r="G58" s="1659" t="s">
        <v>472</v>
      </c>
      <c r="H58" s="1663"/>
      <c r="I58" s="84"/>
      <c r="J58" s="1655" t="str">
        <f>A58</f>
        <v>No Urut Titik Ukur</v>
      </c>
      <c r="K58" s="1657"/>
      <c r="L58" s="1659" t="s">
        <v>461</v>
      </c>
      <c r="M58" s="1661" t="s">
        <v>391</v>
      </c>
      <c r="N58" s="1661"/>
      <c r="O58" s="208" t="s">
        <v>392</v>
      </c>
      <c r="P58" s="1659" t="s">
        <v>472</v>
      </c>
      <c r="Q58" s="1663"/>
    </row>
    <row r="59" spans="1:29" ht="12.75" customHeight="1" x14ac:dyDescent="0.25">
      <c r="A59" s="1656"/>
      <c r="B59" s="1658"/>
      <c r="C59" s="1660"/>
      <c r="D59" s="1662"/>
      <c r="E59" s="1662"/>
      <c r="F59" s="209"/>
      <c r="G59" s="1660"/>
      <c r="H59" s="1664"/>
      <c r="J59" s="1656"/>
      <c r="K59" s="1658"/>
      <c r="L59" s="1660"/>
      <c r="M59" s="1662"/>
      <c r="N59" s="1662"/>
      <c r="O59" s="209"/>
      <c r="P59" s="1660"/>
      <c r="Q59" s="1664"/>
    </row>
    <row r="60" spans="1:29" ht="14.5" thickBot="1" x14ac:dyDescent="0.3">
      <c r="A60" s="1656"/>
      <c r="B60" s="1658"/>
      <c r="C60" s="125" t="str">
        <f>A5</f>
        <v>BPM</v>
      </c>
      <c r="D60" s="209"/>
      <c r="E60" s="209"/>
      <c r="F60" s="209"/>
      <c r="G60" s="1660"/>
      <c r="H60" s="1664"/>
      <c r="J60" s="1656"/>
      <c r="K60" s="1658"/>
      <c r="L60" s="125" t="s">
        <v>462</v>
      </c>
      <c r="M60" s="209"/>
      <c r="N60" s="209"/>
      <c r="O60" s="209"/>
      <c r="P60" s="1660"/>
      <c r="Q60" s="1664"/>
    </row>
    <row r="61" spans="1:29" ht="12.75" customHeight="1" x14ac:dyDescent="0.25">
      <c r="A61" s="1615" t="s">
        <v>87</v>
      </c>
      <c r="B61" s="126">
        <v>1</v>
      </c>
      <c r="C61" s="127">
        <f>A6</f>
        <v>30</v>
      </c>
      <c r="D61" s="127">
        <f>B6</f>
        <v>0</v>
      </c>
      <c r="E61" s="127">
        <f>C6</f>
        <v>0</v>
      </c>
      <c r="F61" s="127">
        <f>D6</f>
        <v>0</v>
      </c>
      <c r="G61" s="127">
        <f>E6</f>
        <v>0.18</v>
      </c>
      <c r="H61" s="1627"/>
      <c r="J61" s="1619" t="s">
        <v>92</v>
      </c>
      <c r="K61" s="128">
        <v>1</v>
      </c>
      <c r="L61" s="129">
        <f>A11</f>
        <v>0</v>
      </c>
      <c r="M61" s="129">
        <f>B11</f>
        <v>0</v>
      </c>
      <c r="N61" s="129">
        <f>C11</f>
        <v>0</v>
      </c>
      <c r="O61" s="129">
        <f>D11</f>
        <v>0</v>
      </c>
      <c r="P61" s="129">
        <f>E11</f>
        <v>0</v>
      </c>
      <c r="Q61" s="207"/>
    </row>
    <row r="62" spans="1:29" ht="13" x14ac:dyDescent="0.25">
      <c r="A62" s="1616"/>
      <c r="B62" s="126">
        <v>2</v>
      </c>
      <c r="C62" s="127">
        <f>G6</f>
        <v>30</v>
      </c>
      <c r="D62" s="127">
        <f>H6</f>
        <v>0</v>
      </c>
      <c r="E62" s="127">
        <f>I6</f>
        <v>0</v>
      </c>
      <c r="F62" s="127">
        <f>J6</f>
        <v>0</v>
      </c>
      <c r="G62" s="127">
        <f>K6</f>
        <v>1.8600000000000002E-2</v>
      </c>
      <c r="H62" s="1627"/>
      <c r="J62" s="1620"/>
      <c r="K62" s="126">
        <v>2</v>
      </c>
      <c r="L62" s="127">
        <f>G11</f>
        <v>0</v>
      </c>
      <c r="M62" s="127">
        <f>H11</f>
        <v>0</v>
      </c>
      <c r="N62" s="127">
        <f>I11</f>
        <v>0</v>
      </c>
      <c r="O62" s="127">
        <f>J11</f>
        <v>0</v>
      </c>
      <c r="P62" s="127">
        <f>K11</f>
        <v>0</v>
      </c>
      <c r="Q62" s="205"/>
    </row>
    <row r="63" spans="1:29" ht="13" x14ac:dyDescent="0.25">
      <c r="A63" s="1616"/>
      <c r="B63" s="126">
        <v>3</v>
      </c>
      <c r="C63" s="127">
        <f>M6</f>
        <v>30</v>
      </c>
      <c r="D63" s="127">
        <f>N6</f>
        <v>-0.01</v>
      </c>
      <c r="E63" s="127">
        <f>O6</f>
        <v>0</v>
      </c>
      <c r="F63" s="127">
        <f>P6</f>
        <v>5.0000000000000001E-3</v>
      </c>
      <c r="G63" s="127">
        <f>Q6</f>
        <v>1.8600000000000002E-2</v>
      </c>
      <c r="H63" s="1627"/>
      <c r="J63" s="1620"/>
      <c r="K63" s="126">
        <v>3</v>
      </c>
      <c r="L63" s="127">
        <f>M11</f>
        <v>0</v>
      </c>
      <c r="M63" s="127">
        <f>N11</f>
        <v>0</v>
      </c>
      <c r="N63" s="127">
        <f>O11</f>
        <v>0</v>
      </c>
      <c r="O63" s="127">
        <f>P11</f>
        <v>0</v>
      </c>
      <c r="P63" s="127">
        <f>Q11</f>
        <v>0</v>
      </c>
      <c r="Q63" s="205"/>
    </row>
    <row r="64" spans="1:29" ht="13" x14ac:dyDescent="0.25">
      <c r="A64" s="1616"/>
      <c r="B64" s="126">
        <v>4</v>
      </c>
      <c r="C64" s="127">
        <f>A19</f>
        <v>30</v>
      </c>
      <c r="D64" s="127">
        <f>B19</f>
        <v>0</v>
      </c>
      <c r="E64" s="127">
        <f>C19</f>
        <v>0</v>
      </c>
      <c r="F64" s="127">
        <f>D19</f>
        <v>0</v>
      </c>
      <c r="G64" s="127">
        <f>E19</f>
        <v>1.8600000000000002E-2</v>
      </c>
      <c r="H64" s="1627"/>
      <c r="J64" s="1620"/>
      <c r="K64" s="126">
        <v>4</v>
      </c>
      <c r="L64" s="127">
        <f>A24</f>
        <v>0</v>
      </c>
      <c r="M64" s="127">
        <f>B24</f>
        <v>0</v>
      </c>
      <c r="N64" s="127">
        <f>C24</f>
        <v>0</v>
      </c>
      <c r="O64" s="127">
        <f>D24</f>
        <v>0</v>
      </c>
      <c r="P64" s="127">
        <f>E24</f>
        <v>0</v>
      </c>
      <c r="Q64" s="205"/>
    </row>
    <row r="65" spans="1:17" ht="13" x14ac:dyDescent="0.25">
      <c r="A65" s="1616"/>
      <c r="B65" s="126">
        <v>5</v>
      </c>
      <c r="C65" s="127">
        <f>G19</f>
        <v>30</v>
      </c>
      <c r="D65" s="127">
        <f>H19</f>
        <v>0</v>
      </c>
      <c r="E65" s="127">
        <f>I19</f>
        <v>0</v>
      </c>
      <c r="F65" s="127" t="str">
        <f>J19</f>
        <v>-</v>
      </c>
      <c r="G65" s="127">
        <f>K19</f>
        <v>0.18</v>
      </c>
      <c r="H65" s="130"/>
      <c r="J65" s="1620"/>
      <c r="K65" s="126">
        <v>5</v>
      </c>
      <c r="L65" s="127">
        <f>G24</f>
        <v>0</v>
      </c>
      <c r="M65" s="127">
        <f>H24</f>
        <v>0</v>
      </c>
      <c r="N65" s="127">
        <f>I24</f>
        <v>0</v>
      </c>
      <c r="O65" s="127">
        <f>J24</f>
        <v>0</v>
      </c>
      <c r="P65" s="127">
        <f>K24</f>
        <v>0</v>
      </c>
      <c r="Q65" s="130"/>
    </row>
    <row r="66" spans="1:17" ht="13" x14ac:dyDescent="0.25">
      <c r="A66" s="1616"/>
      <c r="B66" s="126">
        <v>6</v>
      </c>
      <c r="C66" s="127">
        <f>M19</f>
        <v>30</v>
      </c>
      <c r="D66" s="127">
        <f>N19</f>
        <v>0</v>
      </c>
      <c r="E66" s="127">
        <f>O19</f>
        <v>0</v>
      </c>
      <c r="F66" s="127">
        <f>P19</f>
        <v>0</v>
      </c>
      <c r="G66" s="127">
        <f>Q19</f>
        <v>0.18</v>
      </c>
      <c r="H66" s="1627"/>
      <c r="J66" s="1620"/>
      <c r="K66" s="126">
        <v>6</v>
      </c>
      <c r="L66" s="127">
        <f>M24</f>
        <v>0</v>
      </c>
      <c r="M66" s="127">
        <f>N24</f>
        <v>0</v>
      </c>
      <c r="N66" s="127">
        <f>O24</f>
        <v>0</v>
      </c>
      <c r="O66" s="127">
        <f>P24</f>
        <v>0</v>
      </c>
      <c r="P66" s="127">
        <f>Q24</f>
        <v>0</v>
      </c>
      <c r="Q66" s="205"/>
    </row>
    <row r="67" spans="1:17" ht="13" x14ac:dyDescent="0.25">
      <c r="A67" s="1616"/>
      <c r="B67" s="126">
        <v>7</v>
      </c>
      <c r="C67" s="127">
        <f>A33</f>
        <v>30</v>
      </c>
      <c r="D67" s="127">
        <f>B33</f>
        <v>0</v>
      </c>
      <c r="E67" s="127">
        <f>C33</f>
        <v>-0.06</v>
      </c>
      <c r="F67" s="127">
        <f>D33</f>
        <v>0.03</v>
      </c>
      <c r="G67" s="127">
        <f>E33</f>
        <v>0.18</v>
      </c>
      <c r="H67" s="1627"/>
      <c r="J67" s="1620"/>
      <c r="K67" s="126">
        <v>7</v>
      </c>
      <c r="L67" s="127">
        <f>A38</f>
        <v>0</v>
      </c>
      <c r="M67" s="127">
        <f>B38</f>
        <v>0</v>
      </c>
      <c r="N67" s="127">
        <f>C38</f>
        <v>0</v>
      </c>
      <c r="O67" s="127">
        <f>D38</f>
        <v>0</v>
      </c>
      <c r="P67" s="127">
        <f>E38</f>
        <v>0</v>
      </c>
      <c r="Q67" s="205"/>
    </row>
    <row r="68" spans="1:17" ht="13" x14ac:dyDescent="0.25">
      <c r="A68" s="1616"/>
      <c r="B68" s="126">
        <v>8</v>
      </c>
      <c r="C68" s="127">
        <f>G33</f>
        <v>30</v>
      </c>
      <c r="D68" s="127" t="str">
        <f>H33</f>
        <v>-</v>
      </c>
      <c r="E68" s="127">
        <f>I33</f>
        <v>0</v>
      </c>
      <c r="F68" s="127">
        <f>J33</f>
        <v>0</v>
      </c>
      <c r="G68" s="127">
        <f>K33</f>
        <v>0.18</v>
      </c>
      <c r="H68" s="1627"/>
      <c r="J68" s="1620"/>
      <c r="K68" s="126">
        <v>8</v>
      </c>
      <c r="L68" s="127">
        <f>G38</f>
        <v>0</v>
      </c>
      <c r="M68" s="127">
        <f>H38</f>
        <v>0</v>
      </c>
      <c r="N68" s="127">
        <f>I38</f>
        <v>0</v>
      </c>
      <c r="O68" s="127">
        <f>J38</f>
        <v>0</v>
      </c>
      <c r="P68" s="127">
        <f>K38</f>
        <v>0</v>
      </c>
      <c r="Q68" s="205"/>
    </row>
    <row r="69" spans="1:17" ht="13" x14ac:dyDescent="0.25">
      <c r="A69" s="1616"/>
      <c r="B69" s="126">
        <v>9</v>
      </c>
      <c r="C69" s="127">
        <f>M33</f>
        <v>30</v>
      </c>
      <c r="D69" s="127" t="str">
        <f>N33</f>
        <v>-</v>
      </c>
      <c r="E69" s="127">
        <f>O33</f>
        <v>0</v>
      </c>
      <c r="F69" s="127">
        <f>P33</f>
        <v>0</v>
      </c>
      <c r="G69" s="127">
        <f>Q33</f>
        <v>0.18</v>
      </c>
      <c r="H69" s="1627"/>
      <c r="J69" s="1620"/>
      <c r="K69" s="126">
        <v>9</v>
      </c>
      <c r="L69" s="127">
        <f>A51</f>
        <v>0</v>
      </c>
      <c r="M69" s="127">
        <f>B51</f>
        <v>0</v>
      </c>
      <c r="N69" s="127">
        <f>C51</f>
        <v>0</v>
      </c>
      <c r="O69" s="127">
        <f>D51</f>
        <v>0</v>
      </c>
      <c r="P69" s="127">
        <f>E51</f>
        <v>0</v>
      </c>
      <c r="Q69" s="205"/>
    </row>
    <row r="70" spans="1:17" ht="13" x14ac:dyDescent="0.25">
      <c r="A70" s="1616"/>
      <c r="B70" s="126">
        <v>10</v>
      </c>
      <c r="C70" s="127">
        <f>A46</f>
        <v>30</v>
      </c>
      <c r="D70" s="127">
        <f>B46</f>
        <v>0</v>
      </c>
      <c r="E70" s="127">
        <f>C46</f>
        <v>0</v>
      </c>
      <c r="F70" s="127">
        <f>D46</f>
        <v>0</v>
      </c>
      <c r="G70" s="127">
        <f>E46</f>
        <v>3.5999999999999999E-3</v>
      </c>
      <c r="H70" s="205"/>
      <c r="J70" s="1620"/>
      <c r="K70" s="126">
        <v>10</v>
      </c>
      <c r="L70" s="127">
        <f>G51</f>
        <v>0</v>
      </c>
      <c r="M70" s="127">
        <f>H51</f>
        <v>0</v>
      </c>
      <c r="N70" s="127">
        <f>I51</f>
        <v>0</v>
      </c>
      <c r="O70" s="127">
        <f>J51</f>
        <v>0</v>
      </c>
      <c r="P70" s="127">
        <f>K51</f>
        <v>0</v>
      </c>
      <c r="Q70" s="205"/>
    </row>
    <row r="71" spans="1:17" ht="13" x14ac:dyDescent="0.25">
      <c r="A71" s="1616"/>
      <c r="B71" s="452">
        <v>11</v>
      </c>
      <c r="C71" s="453">
        <f>G46</f>
        <v>30</v>
      </c>
      <c r="D71" s="453" t="str">
        <f>H46</f>
        <v>-</v>
      </c>
      <c r="E71" s="453">
        <f>I46</f>
        <v>0</v>
      </c>
      <c r="F71" s="453">
        <f>J46</f>
        <v>0</v>
      </c>
      <c r="G71" s="453">
        <f>K46</f>
        <v>3.5999999999999999E-3</v>
      </c>
      <c r="H71" s="672"/>
      <c r="J71" s="1620"/>
      <c r="K71" s="452">
        <v>11</v>
      </c>
      <c r="L71" s="453"/>
      <c r="M71" s="453"/>
      <c r="N71" s="453"/>
      <c r="O71" s="453"/>
      <c r="P71" s="453"/>
      <c r="Q71" s="672"/>
    </row>
    <row r="72" spans="1:17" ht="13.5" thickBot="1" x14ac:dyDescent="0.3">
      <c r="A72" s="1617"/>
      <c r="B72" s="452">
        <v>12</v>
      </c>
      <c r="C72" s="453">
        <f>M46</f>
        <v>30</v>
      </c>
      <c r="D72" s="453">
        <f>N46</f>
        <v>0</v>
      </c>
      <c r="E72" s="453">
        <f>O46</f>
        <v>0</v>
      </c>
      <c r="F72" s="453">
        <f>P46</f>
        <v>0</v>
      </c>
      <c r="G72" s="453">
        <f>Q46</f>
        <v>3.5999999999999999E-3</v>
      </c>
      <c r="H72" s="672"/>
      <c r="J72" s="1623"/>
      <c r="K72" s="452">
        <v>12</v>
      </c>
      <c r="L72" s="453"/>
      <c r="M72" s="453"/>
      <c r="N72" s="453"/>
      <c r="O72" s="453"/>
      <c r="P72" s="453"/>
      <c r="Q72" s="672"/>
    </row>
    <row r="73" spans="1:17" ht="13" x14ac:dyDescent="0.25">
      <c r="A73" s="1618" t="s">
        <v>88</v>
      </c>
      <c r="B73" s="128">
        <v>1</v>
      </c>
      <c r="C73" s="129">
        <f>A7</f>
        <v>60</v>
      </c>
      <c r="D73" s="129">
        <f>B7</f>
        <v>0</v>
      </c>
      <c r="E73" s="129">
        <f>C7</f>
        <v>-0.18</v>
      </c>
      <c r="F73" s="129">
        <f>D7</f>
        <v>0.09</v>
      </c>
      <c r="G73" s="129">
        <f>E7</f>
        <v>0.18</v>
      </c>
      <c r="H73" s="1628"/>
      <c r="J73" s="1619" t="s">
        <v>479</v>
      </c>
      <c r="K73" s="128">
        <v>1</v>
      </c>
      <c r="L73" s="129">
        <f>A12</f>
        <v>0</v>
      </c>
      <c r="M73" s="129">
        <f>B12</f>
        <v>0</v>
      </c>
      <c r="N73" s="129">
        <f>C12</f>
        <v>0</v>
      </c>
      <c r="O73" s="129">
        <f>D12</f>
        <v>0</v>
      </c>
      <c r="P73" s="129">
        <f>E12</f>
        <v>0</v>
      </c>
      <c r="Q73" s="207"/>
    </row>
    <row r="74" spans="1:17" ht="13" x14ac:dyDescent="0.25">
      <c r="A74" s="1616"/>
      <c r="B74" s="126">
        <v>2</v>
      </c>
      <c r="C74" s="127">
        <f>G7</f>
        <v>60</v>
      </c>
      <c r="D74" s="127">
        <f>H7</f>
        <v>0</v>
      </c>
      <c r="E74" s="127">
        <f>I7</f>
        <v>0</v>
      </c>
      <c r="F74" s="127">
        <f>J7</f>
        <v>0</v>
      </c>
      <c r="G74" s="127">
        <f>K7</f>
        <v>3.6600000000000001E-2</v>
      </c>
      <c r="H74" s="1627"/>
      <c r="J74" s="1620"/>
      <c r="K74" s="126">
        <v>2</v>
      </c>
      <c r="L74" s="127">
        <f>G12</f>
        <v>0</v>
      </c>
      <c r="M74" s="127">
        <f>H12</f>
        <v>0</v>
      </c>
      <c r="N74" s="127">
        <f>I12</f>
        <v>0</v>
      </c>
      <c r="O74" s="127">
        <f>J12</f>
        <v>0</v>
      </c>
      <c r="P74" s="127">
        <f>K12</f>
        <v>0</v>
      </c>
      <c r="Q74" s="205"/>
    </row>
    <row r="75" spans="1:17" ht="13" x14ac:dyDescent="0.25">
      <c r="A75" s="1616"/>
      <c r="B75" s="126">
        <v>3</v>
      </c>
      <c r="C75" s="127">
        <f>M7</f>
        <v>60</v>
      </c>
      <c r="D75" s="127">
        <f>N7</f>
        <v>-0.03</v>
      </c>
      <c r="E75" s="127">
        <f>O7</f>
        <v>0</v>
      </c>
      <c r="F75" s="127">
        <f>P7</f>
        <v>1.4999999999999999E-2</v>
      </c>
      <c r="G75" s="127">
        <f>Q7</f>
        <v>3.6600000000000001E-2</v>
      </c>
      <c r="H75" s="1627"/>
      <c r="J75" s="1620"/>
      <c r="K75" s="126">
        <v>3</v>
      </c>
      <c r="L75" s="127">
        <f>M12</f>
        <v>0</v>
      </c>
      <c r="M75" s="127">
        <f>N12</f>
        <v>0</v>
      </c>
      <c r="N75" s="127">
        <f>O12</f>
        <v>0</v>
      </c>
      <c r="O75" s="127">
        <f>P12</f>
        <v>0</v>
      </c>
      <c r="P75" s="127">
        <f>Q12</f>
        <v>0</v>
      </c>
      <c r="Q75" s="205"/>
    </row>
    <row r="76" spans="1:17" ht="13" x14ac:dyDescent="0.25">
      <c r="A76" s="1616"/>
      <c r="B76" s="126">
        <v>4</v>
      </c>
      <c r="C76" s="127">
        <f>A20</f>
        <v>60</v>
      </c>
      <c r="D76" s="127">
        <f>B20</f>
        <v>0</v>
      </c>
      <c r="E76" s="127">
        <f>C20</f>
        <v>0</v>
      </c>
      <c r="F76" s="127">
        <f>D20</f>
        <v>0</v>
      </c>
      <c r="G76" s="127">
        <f>E20</f>
        <v>3.6600000000000001E-2</v>
      </c>
      <c r="H76" s="1627"/>
      <c r="J76" s="1620"/>
      <c r="K76" s="126">
        <v>4</v>
      </c>
      <c r="L76" s="127">
        <f>A25</f>
        <v>0</v>
      </c>
      <c r="M76" s="127">
        <f>B25</f>
        <v>0</v>
      </c>
      <c r="N76" s="127">
        <f>C25</f>
        <v>0</v>
      </c>
      <c r="O76" s="127">
        <f>D25</f>
        <v>0</v>
      </c>
      <c r="P76" s="127">
        <f>E25</f>
        <v>0</v>
      </c>
      <c r="Q76" s="205"/>
    </row>
    <row r="77" spans="1:17" ht="13" x14ac:dyDescent="0.25">
      <c r="A77" s="1616"/>
      <c r="B77" s="126">
        <v>5</v>
      </c>
      <c r="C77" s="127">
        <f>G20</f>
        <v>60</v>
      </c>
      <c r="D77" s="127">
        <f>H20</f>
        <v>0</v>
      </c>
      <c r="E77" s="127">
        <f>I20</f>
        <v>-0.12</v>
      </c>
      <c r="F77" s="127" t="str">
        <f>J20</f>
        <v>-</v>
      </c>
      <c r="G77" s="127">
        <f>K20</f>
        <v>0.18</v>
      </c>
      <c r="H77" s="130"/>
      <c r="J77" s="1620"/>
      <c r="K77" s="126">
        <v>5</v>
      </c>
      <c r="L77" s="127">
        <f>G25</f>
        <v>0</v>
      </c>
      <c r="M77" s="127">
        <f>H25</f>
        <v>0</v>
      </c>
      <c r="N77" s="127">
        <f>I25</f>
        <v>0</v>
      </c>
      <c r="O77" s="127">
        <f>J25</f>
        <v>0</v>
      </c>
      <c r="P77" s="127">
        <f>K25</f>
        <v>0</v>
      </c>
      <c r="Q77" s="130"/>
    </row>
    <row r="78" spans="1:17" ht="13" x14ac:dyDescent="0.25">
      <c r="A78" s="1616"/>
      <c r="B78" s="126">
        <v>6</v>
      </c>
      <c r="C78" s="127">
        <f>M20</f>
        <v>60</v>
      </c>
      <c r="D78" s="127">
        <f>N20</f>
        <v>0</v>
      </c>
      <c r="E78" s="127">
        <f>O20</f>
        <v>-0.12</v>
      </c>
      <c r="F78" s="127">
        <f>P20</f>
        <v>0.06</v>
      </c>
      <c r="G78" s="127">
        <f>Q20</f>
        <v>0.18</v>
      </c>
      <c r="H78" s="1627"/>
      <c r="J78" s="1620"/>
      <c r="K78" s="126">
        <v>6</v>
      </c>
      <c r="L78" s="127">
        <f>M25</f>
        <v>0</v>
      </c>
      <c r="M78" s="127">
        <f>N25</f>
        <v>0</v>
      </c>
      <c r="N78" s="127">
        <f>O25</f>
        <v>0</v>
      </c>
      <c r="O78" s="127">
        <f>P25</f>
        <v>0</v>
      </c>
      <c r="P78" s="127">
        <f>Q25</f>
        <v>0</v>
      </c>
      <c r="Q78" s="205"/>
    </row>
    <row r="79" spans="1:17" ht="13" x14ac:dyDescent="0.25">
      <c r="A79" s="1616"/>
      <c r="B79" s="126">
        <v>7</v>
      </c>
      <c r="C79" s="127">
        <f>A34</f>
        <v>60</v>
      </c>
      <c r="D79" s="127">
        <f>B34</f>
        <v>0</v>
      </c>
      <c r="E79" s="127">
        <f>C34</f>
        <v>-0.18</v>
      </c>
      <c r="F79" s="127">
        <f>D34</f>
        <v>0.09</v>
      </c>
      <c r="G79" s="127">
        <f>E34</f>
        <v>0.18</v>
      </c>
      <c r="H79" s="1627"/>
      <c r="J79" s="1620"/>
      <c r="K79" s="126">
        <v>7</v>
      </c>
      <c r="L79" s="127">
        <f>A39</f>
        <v>0</v>
      </c>
      <c r="M79" s="127">
        <f>B39</f>
        <v>0</v>
      </c>
      <c r="N79" s="127">
        <f>C39</f>
        <v>0</v>
      </c>
      <c r="O79" s="127">
        <f>D39</f>
        <v>0</v>
      </c>
      <c r="P79" s="127">
        <f>E39</f>
        <v>0</v>
      </c>
      <c r="Q79" s="205"/>
    </row>
    <row r="80" spans="1:17" ht="13" x14ac:dyDescent="0.25">
      <c r="A80" s="1616"/>
      <c r="B80" s="126">
        <v>8</v>
      </c>
      <c r="C80" s="127">
        <f>G34</f>
        <v>60</v>
      </c>
      <c r="D80" s="127" t="str">
        <f>H34</f>
        <v>-</v>
      </c>
      <c r="E80" s="127">
        <f>I34</f>
        <v>-0.12</v>
      </c>
      <c r="F80" s="127">
        <f>J34</f>
        <v>0</v>
      </c>
      <c r="G80" s="127">
        <f>K34</f>
        <v>0.18</v>
      </c>
      <c r="H80" s="1627"/>
      <c r="J80" s="1620"/>
      <c r="K80" s="126">
        <v>8</v>
      </c>
      <c r="L80" s="127">
        <f>G39</f>
        <v>0</v>
      </c>
      <c r="M80" s="127">
        <f>H39</f>
        <v>0</v>
      </c>
      <c r="N80" s="127">
        <f>I39</f>
        <v>0</v>
      </c>
      <c r="O80" s="127">
        <f>J39</f>
        <v>0</v>
      </c>
      <c r="P80" s="127">
        <f>K39</f>
        <v>0</v>
      </c>
      <c r="Q80" s="205"/>
    </row>
    <row r="81" spans="1:17" ht="13" x14ac:dyDescent="0.25">
      <c r="A81" s="1616"/>
      <c r="B81" s="126">
        <v>9</v>
      </c>
      <c r="C81" s="127">
        <f>M34</f>
        <v>60</v>
      </c>
      <c r="D81" s="127" t="str">
        <f>N34</f>
        <v>-</v>
      </c>
      <c r="E81" s="127">
        <f>O34</f>
        <v>-0.12</v>
      </c>
      <c r="F81" s="127">
        <f>P34</f>
        <v>0</v>
      </c>
      <c r="G81" s="127">
        <f>Q34</f>
        <v>0.18</v>
      </c>
      <c r="H81" s="1627"/>
      <c r="J81" s="1620"/>
      <c r="K81" s="126">
        <v>9</v>
      </c>
      <c r="L81" s="127">
        <f>A52</f>
        <v>0</v>
      </c>
      <c r="M81" s="127">
        <f>B52</f>
        <v>0</v>
      </c>
      <c r="N81" s="127">
        <f>C52</f>
        <v>0</v>
      </c>
      <c r="O81" s="127">
        <f>D52</f>
        <v>0</v>
      </c>
      <c r="P81" s="127">
        <f>E52</f>
        <v>0</v>
      </c>
      <c r="Q81" s="205"/>
    </row>
    <row r="82" spans="1:17" ht="13" x14ac:dyDescent="0.25">
      <c r="A82" s="1616"/>
      <c r="B82" s="126">
        <v>10</v>
      </c>
      <c r="C82" s="127">
        <f>A47</f>
        <v>60</v>
      </c>
      <c r="D82" s="127">
        <f>AH47</f>
        <v>0</v>
      </c>
      <c r="E82" s="127">
        <f>AI47</f>
        <v>0</v>
      </c>
      <c r="F82" s="127">
        <f>AJ47</f>
        <v>0</v>
      </c>
      <c r="G82" s="127">
        <f>AK47</f>
        <v>0</v>
      </c>
      <c r="H82" s="205"/>
      <c r="J82" s="1620"/>
      <c r="K82" s="126">
        <v>10</v>
      </c>
      <c r="L82" s="127">
        <f>G52</f>
        <v>0</v>
      </c>
      <c r="M82" s="127">
        <f>H52</f>
        <v>0</v>
      </c>
      <c r="N82" s="127">
        <f>I52</f>
        <v>0</v>
      </c>
      <c r="O82" s="127">
        <f>J52</f>
        <v>0</v>
      </c>
      <c r="P82" s="127">
        <f>K52</f>
        <v>0</v>
      </c>
      <c r="Q82" s="205"/>
    </row>
    <row r="83" spans="1:17" ht="13" x14ac:dyDescent="0.25">
      <c r="A83" s="1616"/>
      <c r="B83" s="452">
        <v>11</v>
      </c>
      <c r="C83" s="453">
        <f>G47</f>
        <v>60</v>
      </c>
      <c r="D83" s="453" t="str">
        <f>H47</f>
        <v>-</v>
      </c>
      <c r="E83" s="453">
        <f>I47</f>
        <v>0</v>
      </c>
      <c r="F83" s="453">
        <f>J47</f>
        <v>0</v>
      </c>
      <c r="G83" s="453">
        <f>K47</f>
        <v>6.6000000000000008E-3</v>
      </c>
      <c r="H83" s="672"/>
      <c r="J83" s="1620"/>
      <c r="K83" s="452">
        <v>11</v>
      </c>
      <c r="L83" s="453"/>
      <c r="M83" s="453"/>
      <c r="N83" s="453"/>
      <c r="O83" s="453"/>
      <c r="P83" s="453"/>
      <c r="Q83" s="672"/>
    </row>
    <row r="84" spans="1:17" ht="13.5" thickBot="1" x14ac:dyDescent="0.3">
      <c r="A84" s="1617"/>
      <c r="B84" s="452">
        <v>12</v>
      </c>
      <c r="C84" s="453">
        <f>M47</f>
        <v>60</v>
      </c>
      <c r="D84" s="453">
        <f>N47</f>
        <v>0</v>
      </c>
      <c r="E84" s="453">
        <f>O47</f>
        <v>0</v>
      </c>
      <c r="F84" s="453">
        <f>P47</f>
        <v>0</v>
      </c>
      <c r="G84" s="453">
        <f>Q47</f>
        <v>6.6000000000000008E-3</v>
      </c>
      <c r="H84" s="672"/>
      <c r="J84" s="1623"/>
      <c r="K84" s="452">
        <v>12</v>
      </c>
      <c r="L84" s="453"/>
      <c r="M84" s="453"/>
      <c r="N84" s="453"/>
      <c r="O84" s="453"/>
      <c r="P84" s="453"/>
      <c r="Q84" s="672"/>
    </row>
    <row r="85" spans="1:17" ht="13" x14ac:dyDescent="0.25">
      <c r="A85" s="1618" t="s">
        <v>89</v>
      </c>
      <c r="B85" s="128">
        <v>1</v>
      </c>
      <c r="C85" s="129">
        <f>A8</f>
        <v>120</v>
      </c>
      <c r="D85" s="129">
        <f>B8</f>
        <v>0</v>
      </c>
      <c r="E85" s="129">
        <f>C8</f>
        <v>-0.18</v>
      </c>
      <c r="F85" s="129">
        <f>D8</f>
        <v>0.09</v>
      </c>
      <c r="G85" s="129">
        <f>E8</f>
        <v>0.18</v>
      </c>
      <c r="H85" s="1628"/>
      <c r="J85" s="1619" t="s">
        <v>482</v>
      </c>
      <c r="K85" s="128">
        <v>1</v>
      </c>
      <c r="L85" s="129">
        <f>A13</f>
        <v>0</v>
      </c>
      <c r="M85" s="129">
        <f>B13</f>
        <v>0</v>
      </c>
      <c r="N85" s="129">
        <f>C13</f>
        <v>0</v>
      </c>
      <c r="O85" s="129">
        <f>D13</f>
        <v>0</v>
      </c>
      <c r="P85" s="129">
        <f>E13</f>
        <v>0</v>
      </c>
      <c r="Q85" s="1628"/>
    </row>
    <row r="86" spans="1:17" ht="13" x14ac:dyDescent="0.25">
      <c r="A86" s="1616"/>
      <c r="B86" s="126">
        <v>2</v>
      </c>
      <c r="C86" s="127">
        <f>G8</f>
        <v>120</v>
      </c>
      <c r="D86" s="127">
        <f>H8</f>
        <v>0</v>
      </c>
      <c r="E86" s="127">
        <f>I8</f>
        <v>0</v>
      </c>
      <c r="F86" s="127">
        <f>J8</f>
        <v>0</v>
      </c>
      <c r="G86" s="127">
        <f>K8</f>
        <v>7.2599999999999998E-2</v>
      </c>
      <c r="H86" s="1627"/>
      <c r="J86" s="1620"/>
      <c r="K86" s="126">
        <v>2</v>
      </c>
      <c r="L86" s="127">
        <f>G13</f>
        <v>0</v>
      </c>
      <c r="M86" s="127">
        <f>H13</f>
        <v>0</v>
      </c>
      <c r="N86" s="127">
        <f>I13</f>
        <v>0</v>
      </c>
      <c r="O86" s="127">
        <f>J13</f>
        <v>0</v>
      </c>
      <c r="P86" s="127">
        <f>K13</f>
        <v>0</v>
      </c>
      <c r="Q86" s="1627"/>
    </row>
    <row r="87" spans="1:17" ht="13" x14ac:dyDescent="0.25">
      <c r="A87" s="1616"/>
      <c r="B87" s="126">
        <v>3</v>
      </c>
      <c r="C87" s="127">
        <f>M8</f>
        <v>120</v>
      </c>
      <c r="D87" s="127">
        <f>N8</f>
        <v>-0.1</v>
      </c>
      <c r="E87" s="127">
        <f>O8</f>
        <v>0.06</v>
      </c>
      <c r="F87" s="127">
        <f>P8</f>
        <v>0.08</v>
      </c>
      <c r="G87" s="127">
        <f>Q8</f>
        <v>7.2599999999999998E-2</v>
      </c>
      <c r="H87" s="1627"/>
      <c r="J87" s="1620"/>
      <c r="K87" s="126">
        <v>3</v>
      </c>
      <c r="L87" s="127">
        <f>M13</f>
        <v>0</v>
      </c>
      <c r="M87" s="127">
        <f>N13</f>
        <v>0</v>
      </c>
      <c r="N87" s="127">
        <f>O13</f>
        <v>0</v>
      </c>
      <c r="O87" s="127">
        <f>P13</f>
        <v>0</v>
      </c>
      <c r="P87" s="127">
        <f>Q13</f>
        <v>0</v>
      </c>
      <c r="Q87" s="1627"/>
    </row>
    <row r="88" spans="1:17" ht="13" x14ac:dyDescent="0.25">
      <c r="A88" s="1616"/>
      <c r="B88" s="126">
        <v>4</v>
      </c>
      <c r="C88" s="127">
        <f>A21</f>
        <v>120</v>
      </c>
      <c r="D88" s="127">
        <f>B21</f>
        <v>0.06</v>
      </c>
      <c r="E88" s="127">
        <f>C21</f>
        <v>0</v>
      </c>
      <c r="F88" s="127">
        <f>D21</f>
        <v>0.03</v>
      </c>
      <c r="G88" s="127">
        <f>E21</f>
        <v>7.2599999999999998E-2</v>
      </c>
      <c r="H88" s="1627"/>
      <c r="J88" s="1620"/>
      <c r="K88" s="126">
        <v>4</v>
      </c>
      <c r="L88" s="127">
        <f>A26</f>
        <v>0</v>
      </c>
      <c r="M88" s="127">
        <f>B26</f>
        <v>0</v>
      </c>
      <c r="N88" s="127">
        <f>C26</f>
        <v>0</v>
      </c>
      <c r="O88" s="127">
        <f>D26</f>
        <v>0</v>
      </c>
      <c r="P88" s="127">
        <f>E26</f>
        <v>0</v>
      </c>
      <c r="Q88" s="1627"/>
    </row>
    <row r="89" spans="1:17" ht="13" x14ac:dyDescent="0.25">
      <c r="A89" s="1616"/>
      <c r="B89" s="126">
        <v>5</v>
      </c>
      <c r="C89" s="127">
        <f>G21</f>
        <v>120</v>
      </c>
      <c r="D89" s="127">
        <f>H21</f>
        <v>0</v>
      </c>
      <c r="E89" s="127">
        <f>I21</f>
        <v>-0.12</v>
      </c>
      <c r="F89" s="127" t="str">
        <f>J21</f>
        <v>-</v>
      </c>
      <c r="G89" s="127">
        <f>K21</f>
        <v>0.18</v>
      </c>
      <c r="H89" s="130"/>
      <c r="J89" s="1620"/>
      <c r="K89" s="126">
        <v>5</v>
      </c>
      <c r="L89" s="127">
        <f>G26</f>
        <v>0</v>
      </c>
      <c r="M89" s="127">
        <f>H26</f>
        <v>0</v>
      </c>
      <c r="N89" s="127">
        <f>I26</f>
        <v>0</v>
      </c>
      <c r="O89" s="127">
        <f>J26</f>
        <v>0</v>
      </c>
      <c r="P89" s="127">
        <f>K26</f>
        <v>0</v>
      </c>
      <c r="Q89" s="130"/>
    </row>
    <row r="90" spans="1:17" ht="13" x14ac:dyDescent="0.25">
      <c r="A90" s="1616"/>
      <c r="B90" s="126">
        <v>6</v>
      </c>
      <c r="C90" s="127">
        <f>M21</f>
        <v>120</v>
      </c>
      <c r="D90" s="127" t="str">
        <f>N21</f>
        <v>-</v>
      </c>
      <c r="E90" s="127">
        <f>O21</f>
        <v>-0.12</v>
      </c>
      <c r="F90" s="127">
        <f>P21</f>
        <v>0</v>
      </c>
      <c r="G90" s="127">
        <f>Q21</f>
        <v>0.18</v>
      </c>
      <c r="H90" s="1627"/>
      <c r="J90" s="1620"/>
      <c r="K90" s="126">
        <v>6</v>
      </c>
      <c r="L90" s="127">
        <f>M26</f>
        <v>0</v>
      </c>
      <c r="M90" s="127">
        <f>N26</f>
        <v>0</v>
      </c>
      <c r="N90" s="127">
        <f>O26</f>
        <v>0</v>
      </c>
      <c r="O90" s="127">
        <f>P26</f>
        <v>0</v>
      </c>
      <c r="P90" s="127">
        <f>Q26</f>
        <v>0</v>
      </c>
      <c r="Q90" s="1627"/>
    </row>
    <row r="91" spans="1:17" ht="13" x14ac:dyDescent="0.25">
      <c r="A91" s="1616"/>
      <c r="B91" s="126">
        <v>7</v>
      </c>
      <c r="C91" s="127">
        <f>A35</f>
        <v>120</v>
      </c>
      <c r="D91" s="127" t="str">
        <f>B35</f>
        <v>-</v>
      </c>
      <c r="E91" s="127">
        <f>C35</f>
        <v>-0.12</v>
      </c>
      <c r="F91" s="127">
        <f>D35</f>
        <v>0</v>
      </c>
      <c r="G91" s="127">
        <f>E35</f>
        <v>0.18</v>
      </c>
      <c r="H91" s="1627"/>
      <c r="J91" s="1620"/>
      <c r="K91" s="126">
        <v>7</v>
      </c>
      <c r="L91" s="127">
        <f>A40</f>
        <v>0</v>
      </c>
      <c r="M91" s="127">
        <f>B40</f>
        <v>0</v>
      </c>
      <c r="N91" s="127">
        <f>C40</f>
        <v>0</v>
      </c>
      <c r="O91" s="127">
        <f>D40</f>
        <v>0</v>
      </c>
      <c r="P91" s="127">
        <f>E40</f>
        <v>0</v>
      </c>
      <c r="Q91" s="1627"/>
    </row>
    <row r="92" spans="1:17" ht="13" x14ac:dyDescent="0.25">
      <c r="A92" s="1616"/>
      <c r="B92" s="126">
        <v>8</v>
      </c>
      <c r="C92" s="127">
        <f>G35</f>
        <v>120</v>
      </c>
      <c r="D92" s="127" t="str">
        <f>H35</f>
        <v>-</v>
      </c>
      <c r="E92" s="127">
        <f>I35</f>
        <v>-0.12</v>
      </c>
      <c r="F92" s="127">
        <f>J35</f>
        <v>0</v>
      </c>
      <c r="G92" s="127">
        <f>K35</f>
        <v>0.18</v>
      </c>
      <c r="H92" s="1627"/>
      <c r="J92" s="1620"/>
      <c r="K92" s="126">
        <v>8</v>
      </c>
      <c r="L92" s="127">
        <f>G40</f>
        <v>0</v>
      </c>
      <c r="M92" s="127">
        <f>H40</f>
        <v>0</v>
      </c>
      <c r="N92" s="127">
        <f>I40</f>
        <v>0</v>
      </c>
      <c r="O92" s="127">
        <f>J40</f>
        <v>0</v>
      </c>
      <c r="P92" s="127">
        <f>K40</f>
        <v>0</v>
      </c>
      <c r="Q92" s="1627"/>
    </row>
    <row r="93" spans="1:17" ht="13" x14ac:dyDescent="0.25">
      <c r="A93" s="1616"/>
      <c r="B93" s="126">
        <v>9</v>
      </c>
      <c r="C93" s="127">
        <f>M35</f>
        <v>120</v>
      </c>
      <c r="D93" s="127" t="str">
        <f>N35</f>
        <v>-</v>
      </c>
      <c r="E93" s="127">
        <f>O35</f>
        <v>-0.12</v>
      </c>
      <c r="F93" s="127">
        <f>P35</f>
        <v>0</v>
      </c>
      <c r="G93" s="127">
        <f>Q35</f>
        <v>0.18</v>
      </c>
      <c r="H93" s="1627"/>
      <c r="J93" s="1620"/>
      <c r="K93" s="126">
        <v>9</v>
      </c>
      <c r="L93" s="127">
        <f>A53</f>
        <v>0</v>
      </c>
      <c r="M93" s="127">
        <f>B53</f>
        <v>0</v>
      </c>
      <c r="N93" s="127">
        <f>C53</f>
        <v>0</v>
      </c>
      <c r="O93" s="127">
        <f>D53</f>
        <v>0</v>
      </c>
      <c r="P93" s="127">
        <f>E53</f>
        <v>0</v>
      </c>
      <c r="Q93" s="1627"/>
    </row>
    <row r="94" spans="1:17" ht="13" x14ac:dyDescent="0.25">
      <c r="A94" s="1616"/>
      <c r="B94" s="126">
        <v>10</v>
      </c>
      <c r="C94" s="127">
        <f>A48</f>
        <v>120</v>
      </c>
      <c r="D94" s="127">
        <f>B48</f>
        <v>0</v>
      </c>
      <c r="E94" s="127">
        <f>C48</f>
        <v>0</v>
      </c>
      <c r="F94" s="127">
        <f>D48</f>
        <v>0</v>
      </c>
      <c r="G94" s="127">
        <f>E48</f>
        <v>1.26E-2</v>
      </c>
      <c r="H94" s="205"/>
      <c r="J94" s="1620"/>
      <c r="K94" s="126">
        <v>10</v>
      </c>
      <c r="L94" s="127">
        <f>G53</f>
        <v>0</v>
      </c>
      <c r="M94" s="127">
        <f>H53</f>
        <v>0</v>
      </c>
      <c r="N94" s="127">
        <f>I53</f>
        <v>0</v>
      </c>
      <c r="O94" s="127">
        <f>J53</f>
        <v>0</v>
      </c>
      <c r="P94" s="127">
        <f>K53</f>
        <v>0</v>
      </c>
      <c r="Q94" s="205"/>
    </row>
    <row r="95" spans="1:17" ht="13" x14ac:dyDescent="0.25">
      <c r="A95" s="1616"/>
      <c r="B95" s="452">
        <v>11</v>
      </c>
      <c r="C95" s="453">
        <f>G48</f>
        <v>120</v>
      </c>
      <c r="D95" s="453" t="str">
        <f>H48</f>
        <v>-</v>
      </c>
      <c r="E95" s="453">
        <f>I48</f>
        <v>0</v>
      </c>
      <c r="F95" s="453">
        <f>J48</f>
        <v>0</v>
      </c>
      <c r="G95" s="453">
        <f>K48</f>
        <v>1.26E-2</v>
      </c>
      <c r="H95" s="672"/>
      <c r="J95" s="1620"/>
      <c r="K95" s="452">
        <v>11</v>
      </c>
      <c r="L95" s="453"/>
      <c r="M95" s="453"/>
      <c r="N95" s="453"/>
      <c r="O95" s="453"/>
      <c r="P95" s="453"/>
      <c r="Q95" s="672"/>
    </row>
    <row r="96" spans="1:17" ht="13.5" thickBot="1" x14ac:dyDescent="0.3">
      <c r="A96" s="1617"/>
      <c r="B96" s="452">
        <v>12</v>
      </c>
      <c r="C96" s="453">
        <f>M48</f>
        <v>120</v>
      </c>
      <c r="D96" s="453" t="str">
        <f>N48</f>
        <v>-</v>
      </c>
      <c r="E96" s="453" t="str">
        <f>O48</f>
        <v>-</v>
      </c>
      <c r="F96" s="453">
        <f>P48</f>
        <v>0</v>
      </c>
      <c r="G96" s="453" t="str">
        <f>Q48</f>
        <v>-</v>
      </c>
      <c r="H96" s="672"/>
      <c r="J96" s="1623"/>
      <c r="K96" s="452">
        <v>12</v>
      </c>
      <c r="L96" s="453"/>
      <c r="M96" s="453"/>
      <c r="N96" s="453"/>
      <c r="O96" s="453"/>
      <c r="P96" s="453"/>
      <c r="Q96" s="672"/>
    </row>
    <row r="97" spans="1:17" ht="13" x14ac:dyDescent="0.25">
      <c r="A97" s="1619" t="s">
        <v>90</v>
      </c>
      <c r="B97" s="128">
        <v>1</v>
      </c>
      <c r="C97" s="129">
        <f>A9</f>
        <v>180</v>
      </c>
      <c r="D97" s="129">
        <f>B9</f>
        <v>0</v>
      </c>
      <c r="E97" s="129">
        <f>C9</f>
        <v>0.18</v>
      </c>
      <c r="F97" s="129">
        <f>D9</f>
        <v>0.09</v>
      </c>
      <c r="G97" s="129">
        <f>E9</f>
        <v>0.18</v>
      </c>
      <c r="H97" s="1628"/>
      <c r="J97" s="1624" t="s">
        <v>473</v>
      </c>
      <c r="K97" s="674">
        <v>1</v>
      </c>
      <c r="L97" s="129">
        <f>A14</f>
        <v>0</v>
      </c>
      <c r="M97" s="129">
        <f>B14</f>
        <v>0</v>
      </c>
      <c r="N97" s="129">
        <f>C14</f>
        <v>0</v>
      </c>
      <c r="O97" s="129">
        <f>D14</f>
        <v>0</v>
      </c>
      <c r="P97" s="688">
        <f>E14</f>
        <v>0</v>
      </c>
      <c r="Q97" s="1629"/>
    </row>
    <row r="98" spans="1:17" ht="13" x14ac:dyDescent="0.25">
      <c r="A98" s="1620"/>
      <c r="B98" s="126">
        <v>2</v>
      </c>
      <c r="C98" s="127">
        <f>G9</f>
        <v>180</v>
      </c>
      <c r="D98" s="127">
        <f>H9</f>
        <v>0</v>
      </c>
      <c r="E98" s="127">
        <f>I9</f>
        <v>0</v>
      </c>
      <c r="F98" s="127">
        <f>J9</f>
        <v>0</v>
      </c>
      <c r="G98" s="127">
        <f>K9</f>
        <v>0.1086</v>
      </c>
      <c r="H98" s="1627"/>
      <c r="J98" s="1625"/>
      <c r="K98" s="675">
        <v>2</v>
      </c>
      <c r="L98" s="127">
        <f>G14</f>
        <v>0</v>
      </c>
      <c r="M98" s="127">
        <f>H14</f>
        <v>0</v>
      </c>
      <c r="N98" s="127">
        <f>I14</f>
        <v>0</v>
      </c>
      <c r="O98" s="127">
        <f>J14</f>
        <v>0</v>
      </c>
      <c r="P98" s="689">
        <f>K14</f>
        <v>0</v>
      </c>
      <c r="Q98" s="1630"/>
    </row>
    <row r="99" spans="1:17" ht="13" x14ac:dyDescent="0.25">
      <c r="A99" s="1620"/>
      <c r="B99" s="126">
        <v>3</v>
      </c>
      <c r="C99" s="127">
        <f>M9</f>
        <v>180</v>
      </c>
      <c r="D99" s="127">
        <f>N9</f>
        <v>0.1</v>
      </c>
      <c r="E99" s="127">
        <f>O9</f>
        <v>0</v>
      </c>
      <c r="F99" s="127">
        <f>P9</f>
        <v>0.05</v>
      </c>
      <c r="G99" s="127">
        <f>Q9</f>
        <v>0.1086</v>
      </c>
      <c r="H99" s="1627"/>
      <c r="J99" s="1625"/>
      <c r="K99" s="675">
        <v>3</v>
      </c>
      <c r="L99" s="127">
        <f>M14</f>
        <v>0</v>
      </c>
      <c r="M99" s="127">
        <f>N14</f>
        <v>0</v>
      </c>
      <c r="N99" s="127">
        <f>O14</f>
        <v>0</v>
      </c>
      <c r="O99" s="127">
        <f>P14</f>
        <v>0</v>
      </c>
      <c r="P99" s="689">
        <f>Q14</f>
        <v>0</v>
      </c>
      <c r="Q99" s="1630"/>
    </row>
    <row r="100" spans="1:17" ht="13" x14ac:dyDescent="0.25">
      <c r="A100" s="1620"/>
      <c r="B100" s="126">
        <v>4</v>
      </c>
      <c r="C100" s="127">
        <f>A22</f>
        <v>180</v>
      </c>
      <c r="D100" s="127" t="str">
        <f>B22</f>
        <v>-</v>
      </c>
      <c r="E100" s="127">
        <f>C22</f>
        <v>0</v>
      </c>
      <c r="F100" s="127">
        <f>D22</f>
        <v>0</v>
      </c>
      <c r="G100" s="127">
        <f>E22</f>
        <v>0.1086</v>
      </c>
      <c r="H100" s="1627"/>
      <c r="J100" s="1625"/>
      <c r="K100" s="675">
        <v>4</v>
      </c>
      <c r="L100" s="127">
        <f>A27</f>
        <v>0</v>
      </c>
      <c r="M100" s="127">
        <f>B27</f>
        <v>0</v>
      </c>
      <c r="N100" s="127">
        <f>C27</f>
        <v>0</v>
      </c>
      <c r="O100" s="127">
        <f>D27</f>
        <v>0</v>
      </c>
      <c r="P100" s="689">
        <f>E27</f>
        <v>0</v>
      </c>
      <c r="Q100" s="1630"/>
    </row>
    <row r="101" spans="1:17" ht="13" x14ac:dyDescent="0.25">
      <c r="A101" s="1620"/>
      <c r="B101" s="126">
        <v>5</v>
      </c>
      <c r="C101" s="127">
        <f>G22</f>
        <v>180</v>
      </c>
      <c r="D101" s="127">
        <f>H22</f>
        <v>0</v>
      </c>
      <c r="E101" s="127">
        <f>I22</f>
        <v>-0.06</v>
      </c>
      <c r="F101" s="127" t="str">
        <f>J22</f>
        <v>-</v>
      </c>
      <c r="G101" s="127">
        <f>K22</f>
        <v>0.18</v>
      </c>
      <c r="H101" s="130"/>
      <c r="J101" s="1625"/>
      <c r="K101" s="675">
        <v>5</v>
      </c>
      <c r="L101" s="127">
        <f>G27</f>
        <v>0</v>
      </c>
      <c r="M101" s="127">
        <f>H27</f>
        <v>0</v>
      </c>
      <c r="N101" s="127">
        <f>I27</f>
        <v>0</v>
      </c>
      <c r="O101" s="127">
        <f>J27</f>
        <v>0</v>
      </c>
      <c r="P101" s="689">
        <f>K27</f>
        <v>0</v>
      </c>
      <c r="Q101" s="691"/>
    </row>
    <row r="102" spans="1:17" ht="13" x14ac:dyDescent="0.25">
      <c r="A102" s="1620"/>
      <c r="B102" s="126">
        <v>6</v>
      </c>
      <c r="C102" s="127">
        <f>M22</f>
        <v>180</v>
      </c>
      <c r="D102" s="127" t="str">
        <f>N22</f>
        <v>-</v>
      </c>
      <c r="E102" s="127">
        <f>O22</f>
        <v>0.06</v>
      </c>
      <c r="F102" s="127">
        <f>P22</f>
        <v>0</v>
      </c>
      <c r="G102" s="127">
        <f>Q22</f>
        <v>0.18</v>
      </c>
      <c r="H102" s="1627"/>
      <c r="J102" s="1625"/>
      <c r="K102" s="675">
        <v>6</v>
      </c>
      <c r="L102" s="127">
        <f>M27</f>
        <v>0</v>
      </c>
      <c r="M102" s="127">
        <f>N27</f>
        <v>0</v>
      </c>
      <c r="N102" s="127">
        <f>O27</f>
        <v>0</v>
      </c>
      <c r="O102" s="127">
        <f>P27</f>
        <v>0</v>
      </c>
      <c r="P102" s="689">
        <f>Q27</f>
        <v>0</v>
      </c>
      <c r="Q102" s="1630"/>
    </row>
    <row r="103" spans="1:17" ht="13" x14ac:dyDescent="0.25">
      <c r="A103" s="1620"/>
      <c r="B103" s="126">
        <v>7</v>
      </c>
      <c r="C103" s="127">
        <f>A36</f>
        <v>180</v>
      </c>
      <c r="D103" s="127" t="str">
        <f>B36</f>
        <v>-</v>
      </c>
      <c r="E103" s="127">
        <f>C36</f>
        <v>0</v>
      </c>
      <c r="F103" s="127">
        <f>D36</f>
        <v>0</v>
      </c>
      <c r="G103" s="127">
        <f>E36</f>
        <v>0.18</v>
      </c>
      <c r="H103" s="1627"/>
      <c r="J103" s="1625"/>
      <c r="K103" s="675">
        <v>7</v>
      </c>
      <c r="L103" s="127">
        <f>A41</f>
        <v>0</v>
      </c>
      <c r="M103" s="127">
        <f>B41</f>
        <v>0</v>
      </c>
      <c r="N103" s="127">
        <f>C41</f>
        <v>0</v>
      </c>
      <c r="O103" s="127">
        <f>D41</f>
        <v>0</v>
      </c>
      <c r="P103" s="689">
        <f>E41</f>
        <v>0</v>
      </c>
      <c r="Q103" s="1630"/>
    </row>
    <row r="104" spans="1:17" ht="13" x14ac:dyDescent="0.25">
      <c r="A104" s="1620"/>
      <c r="B104" s="126">
        <v>8</v>
      </c>
      <c r="C104" s="127">
        <f>G36</f>
        <v>180</v>
      </c>
      <c r="D104" s="127" t="str">
        <f>H36</f>
        <v>-</v>
      </c>
      <c r="E104" s="127">
        <f>I36</f>
        <v>0.12</v>
      </c>
      <c r="F104" s="127">
        <f>J36</f>
        <v>0</v>
      </c>
      <c r="G104" s="127">
        <f>K36</f>
        <v>0.18</v>
      </c>
      <c r="H104" s="1627"/>
      <c r="J104" s="1625"/>
      <c r="K104" s="675">
        <v>8</v>
      </c>
      <c r="L104" s="127">
        <f>G41</f>
        <v>0</v>
      </c>
      <c r="M104" s="127">
        <f>H41</f>
        <v>0</v>
      </c>
      <c r="N104" s="127">
        <f>I41</f>
        <v>0</v>
      </c>
      <c r="O104" s="127">
        <f>J41</f>
        <v>0</v>
      </c>
      <c r="P104" s="689">
        <f>K41</f>
        <v>0</v>
      </c>
      <c r="Q104" s="1630"/>
    </row>
    <row r="105" spans="1:17" ht="13" x14ac:dyDescent="0.25">
      <c r="A105" s="1620"/>
      <c r="B105" s="126">
        <v>9</v>
      </c>
      <c r="C105" s="127">
        <f>M36</f>
        <v>180</v>
      </c>
      <c r="D105" s="127" t="str">
        <f>N36</f>
        <v>-</v>
      </c>
      <c r="E105" s="127">
        <f>O36</f>
        <v>0.12</v>
      </c>
      <c r="F105" s="127">
        <f>P36</f>
        <v>0</v>
      </c>
      <c r="G105" s="127">
        <f>Q36</f>
        <v>0.18</v>
      </c>
      <c r="H105" s="1627"/>
      <c r="J105" s="1625"/>
      <c r="K105" s="675">
        <v>9</v>
      </c>
      <c r="L105" s="127">
        <f>A54</f>
        <v>0</v>
      </c>
      <c r="M105" s="127">
        <f>B54</f>
        <v>0</v>
      </c>
      <c r="N105" s="127">
        <f>C54</f>
        <v>0</v>
      </c>
      <c r="O105" s="127">
        <f>D54</f>
        <v>0</v>
      </c>
      <c r="P105" s="689">
        <f>E54</f>
        <v>0</v>
      </c>
      <c r="Q105" s="1630"/>
    </row>
    <row r="106" spans="1:17" ht="13" x14ac:dyDescent="0.25">
      <c r="A106" s="1620"/>
      <c r="B106" s="126">
        <v>10</v>
      </c>
      <c r="C106" s="127">
        <f>A49</f>
        <v>180</v>
      </c>
      <c r="D106" s="127">
        <f>B49</f>
        <v>0</v>
      </c>
      <c r="E106" s="127">
        <f>C49</f>
        <v>0</v>
      </c>
      <c r="F106" s="127">
        <f>D49</f>
        <v>0</v>
      </c>
      <c r="G106" s="127">
        <f>E49</f>
        <v>1.8600000000000002E-2</v>
      </c>
      <c r="H106" s="205"/>
      <c r="J106" s="1625"/>
      <c r="K106" s="675">
        <v>10</v>
      </c>
      <c r="L106" s="127">
        <f>G54</f>
        <v>0</v>
      </c>
      <c r="M106" s="127">
        <f>H54</f>
        <v>0</v>
      </c>
      <c r="N106" s="127">
        <f>I54</f>
        <v>0</v>
      </c>
      <c r="O106" s="127">
        <f>J54</f>
        <v>0</v>
      </c>
      <c r="P106" s="689">
        <f>K54</f>
        <v>0</v>
      </c>
      <c r="Q106" s="692"/>
    </row>
    <row r="107" spans="1:17" ht="13" x14ac:dyDescent="0.25">
      <c r="A107" s="1620"/>
      <c r="B107" s="452">
        <v>11</v>
      </c>
      <c r="C107" s="453">
        <f>G49</f>
        <v>180</v>
      </c>
      <c r="D107" s="453" t="str">
        <f>H49</f>
        <v>-</v>
      </c>
      <c r="E107" s="453">
        <f>I49</f>
        <v>0</v>
      </c>
      <c r="F107" s="453">
        <f>J49</f>
        <v>0</v>
      </c>
      <c r="G107" s="453">
        <f>K49</f>
        <v>1.8600000000000002E-2</v>
      </c>
      <c r="H107" s="205"/>
      <c r="J107" s="1625"/>
      <c r="K107" s="676">
        <v>11</v>
      </c>
      <c r="L107" s="673"/>
      <c r="M107" s="673"/>
      <c r="N107" s="673"/>
      <c r="O107" s="673"/>
      <c r="P107" s="673"/>
      <c r="Q107" s="693"/>
    </row>
    <row r="108" spans="1:17" ht="13.5" thickBot="1" x14ac:dyDescent="0.3">
      <c r="A108" s="1621"/>
      <c r="B108" s="452">
        <v>12</v>
      </c>
      <c r="C108" s="453">
        <f>M49</f>
        <v>180</v>
      </c>
      <c r="D108" s="453" t="str">
        <f>N49</f>
        <v>-</v>
      </c>
      <c r="E108" s="453" t="str">
        <f>O49</f>
        <v>-</v>
      </c>
      <c r="F108" s="453">
        <f>P49</f>
        <v>0</v>
      </c>
      <c r="G108" s="453" t="str">
        <f>Q49</f>
        <v>-</v>
      </c>
      <c r="H108" s="690"/>
      <c r="J108" s="1626"/>
      <c r="K108" s="695">
        <v>12</v>
      </c>
      <c r="L108" s="696"/>
      <c r="M108" s="696"/>
      <c r="N108" s="696"/>
      <c r="O108" s="696"/>
      <c r="P108" s="696"/>
      <c r="Q108" s="694"/>
    </row>
    <row r="109" spans="1:17" ht="13" x14ac:dyDescent="0.25">
      <c r="A109" s="1622" t="s">
        <v>91</v>
      </c>
      <c r="B109" s="126">
        <v>1</v>
      </c>
      <c r="C109" s="129">
        <f>A10</f>
        <v>240</v>
      </c>
      <c r="D109" s="129">
        <f>B10</f>
        <v>0</v>
      </c>
      <c r="E109" s="129">
        <f>C10</f>
        <v>-0.18</v>
      </c>
      <c r="F109" s="129">
        <f>D10</f>
        <v>0.09</v>
      </c>
      <c r="G109" s="688">
        <f>E10</f>
        <v>0.18</v>
      </c>
      <c r="H109" s="1629"/>
      <c r="J109" s="131"/>
      <c r="K109" s="132"/>
      <c r="L109" s="107"/>
      <c r="M109" s="107"/>
      <c r="N109" s="107"/>
      <c r="O109" s="107"/>
      <c r="P109" s="107"/>
      <c r="Q109" s="133"/>
    </row>
    <row r="110" spans="1:17" ht="13" x14ac:dyDescent="0.25">
      <c r="A110" s="1622"/>
      <c r="B110" s="126">
        <v>2</v>
      </c>
      <c r="C110" s="127">
        <f>G10</f>
        <v>240</v>
      </c>
      <c r="D110" s="127">
        <f>H10</f>
        <v>0</v>
      </c>
      <c r="E110" s="127">
        <f>I10</f>
        <v>0</v>
      </c>
      <c r="F110" s="127">
        <f>J10</f>
        <v>0</v>
      </c>
      <c r="G110" s="689">
        <f>K10</f>
        <v>0.14460000000000001</v>
      </c>
      <c r="H110" s="1630"/>
      <c r="J110" s="131"/>
      <c r="K110" s="132"/>
      <c r="L110" s="107"/>
      <c r="M110" s="107"/>
      <c r="N110" s="107"/>
      <c r="O110" s="107"/>
      <c r="P110" s="107"/>
      <c r="Q110" s="133"/>
    </row>
    <row r="111" spans="1:17" ht="13" x14ac:dyDescent="0.25">
      <c r="A111" s="1622"/>
      <c r="B111" s="126">
        <v>3</v>
      </c>
      <c r="C111" s="127">
        <f>M10</f>
        <v>240</v>
      </c>
      <c r="D111" s="127">
        <f>N10</f>
        <v>-7.0000000000000007E-2</v>
      </c>
      <c r="E111" s="127">
        <f>O10</f>
        <v>0.06</v>
      </c>
      <c r="F111" s="127">
        <f>P10</f>
        <v>6.5000000000000002E-2</v>
      </c>
      <c r="G111" s="689">
        <f>Q10</f>
        <v>0.14460000000000001</v>
      </c>
      <c r="H111" s="1630"/>
      <c r="J111" s="131"/>
      <c r="K111" s="132"/>
      <c r="L111" s="107"/>
      <c r="M111" s="107"/>
      <c r="N111" s="107"/>
      <c r="O111" s="107"/>
      <c r="P111" s="107"/>
      <c r="Q111" s="133"/>
    </row>
    <row r="112" spans="1:17" ht="13" x14ac:dyDescent="0.25">
      <c r="A112" s="1622"/>
      <c r="B112" s="126">
        <v>4</v>
      </c>
      <c r="C112" s="127">
        <f>A23</f>
        <v>240</v>
      </c>
      <c r="D112" s="127">
        <f>B23</f>
        <v>0.06</v>
      </c>
      <c r="E112" s="127">
        <f>C23</f>
        <v>0</v>
      </c>
      <c r="F112" s="127">
        <f>D23</f>
        <v>0.03</v>
      </c>
      <c r="G112" s="689">
        <f>E23</f>
        <v>0.14460000000000001</v>
      </c>
      <c r="H112" s="1630"/>
      <c r="J112" s="131"/>
      <c r="K112" s="132"/>
      <c r="L112" s="107"/>
      <c r="M112" s="107"/>
      <c r="N112" s="107"/>
      <c r="O112" s="107"/>
      <c r="P112" s="107"/>
      <c r="Q112" s="133"/>
    </row>
    <row r="113" spans="1:24" ht="13" x14ac:dyDescent="0.25">
      <c r="A113" s="1622"/>
      <c r="B113" s="126">
        <v>5</v>
      </c>
      <c r="C113" s="127">
        <f>G23</f>
        <v>240</v>
      </c>
      <c r="D113" s="127">
        <f>H23</f>
        <v>0</v>
      </c>
      <c r="E113" s="127">
        <f>I23</f>
        <v>-0.06</v>
      </c>
      <c r="F113" s="127" t="str">
        <f>J23</f>
        <v>-</v>
      </c>
      <c r="G113" s="689">
        <f>K23</f>
        <v>0.18</v>
      </c>
      <c r="H113" s="691"/>
      <c r="J113" s="131"/>
      <c r="K113" s="132"/>
      <c r="L113" s="107"/>
      <c r="M113" s="107"/>
      <c r="N113" s="107"/>
      <c r="O113" s="107"/>
      <c r="P113" s="107"/>
      <c r="Q113" s="133"/>
    </row>
    <row r="114" spans="1:24" ht="13" x14ac:dyDescent="0.25">
      <c r="A114" s="1622"/>
      <c r="B114" s="126">
        <v>6</v>
      </c>
      <c r="C114" s="127">
        <f>M23</f>
        <v>240</v>
      </c>
      <c r="D114" s="127" t="str">
        <f>N23</f>
        <v>-</v>
      </c>
      <c r="E114" s="127">
        <f>O23</f>
        <v>-0.12</v>
      </c>
      <c r="F114" s="127">
        <f>P23</f>
        <v>0</v>
      </c>
      <c r="G114" s="689">
        <f>Q23</f>
        <v>0.18</v>
      </c>
      <c r="H114" s="1630"/>
      <c r="J114" s="131"/>
      <c r="K114" s="132"/>
      <c r="L114" s="107"/>
      <c r="M114" s="107"/>
      <c r="N114" s="107"/>
      <c r="O114" s="107"/>
      <c r="P114" s="107"/>
      <c r="Q114" s="133"/>
    </row>
    <row r="115" spans="1:24" ht="13" x14ac:dyDescent="0.25">
      <c r="A115" s="1622"/>
      <c r="B115" s="126">
        <v>7</v>
      </c>
      <c r="C115" s="127">
        <f>A37</f>
        <v>240</v>
      </c>
      <c r="D115" s="127" t="str">
        <f>B37</f>
        <v>-</v>
      </c>
      <c r="E115" s="127">
        <f>C37</f>
        <v>-0.06</v>
      </c>
      <c r="F115" s="127">
        <f>D37</f>
        <v>0</v>
      </c>
      <c r="G115" s="689">
        <f>E37</f>
        <v>0.18</v>
      </c>
      <c r="H115" s="1630"/>
      <c r="J115" s="131"/>
      <c r="K115" s="132"/>
      <c r="L115" s="107"/>
      <c r="M115" s="107"/>
      <c r="N115" s="107"/>
      <c r="O115" s="107"/>
      <c r="P115" s="107"/>
      <c r="Q115" s="133"/>
    </row>
    <row r="116" spans="1:24" ht="13" x14ac:dyDescent="0.25">
      <c r="A116" s="1622"/>
      <c r="B116" s="126">
        <v>8</v>
      </c>
      <c r="C116" s="127">
        <f>G37</f>
        <v>240</v>
      </c>
      <c r="D116" s="127" t="str">
        <f>H37</f>
        <v>-</v>
      </c>
      <c r="E116" s="127">
        <f>I37</f>
        <v>-0.06</v>
      </c>
      <c r="F116" s="127">
        <f>J37</f>
        <v>0</v>
      </c>
      <c r="G116" s="689">
        <f>K37</f>
        <v>0.18</v>
      </c>
      <c r="H116" s="1630"/>
      <c r="J116" s="131"/>
      <c r="K116" s="132"/>
      <c r="L116" s="107"/>
      <c r="M116" s="107"/>
      <c r="N116" s="107"/>
      <c r="O116" s="107"/>
      <c r="P116" s="107"/>
      <c r="Q116" s="133"/>
    </row>
    <row r="117" spans="1:24" ht="13" x14ac:dyDescent="0.25">
      <c r="A117" s="1622"/>
      <c r="B117" s="126">
        <v>9</v>
      </c>
      <c r="C117" s="127">
        <f>M37</f>
        <v>240</v>
      </c>
      <c r="D117" s="127" t="str">
        <f>N37</f>
        <v>-</v>
      </c>
      <c r="E117" s="127">
        <f>O37</f>
        <v>-0.12</v>
      </c>
      <c r="F117" s="127">
        <f>P37</f>
        <v>0</v>
      </c>
      <c r="G117" s="689">
        <f>Q37</f>
        <v>0.18</v>
      </c>
      <c r="H117" s="1630"/>
      <c r="J117" s="131"/>
      <c r="K117" s="132"/>
      <c r="L117" s="107"/>
      <c r="M117" s="107"/>
      <c r="N117" s="107"/>
      <c r="O117" s="107"/>
      <c r="P117" s="107"/>
      <c r="Q117" s="133"/>
    </row>
    <row r="118" spans="1:24" ht="13" x14ac:dyDescent="0.25">
      <c r="A118" s="1622"/>
      <c r="B118" s="126">
        <v>10</v>
      </c>
      <c r="C118" s="127">
        <f>A50</f>
        <v>240</v>
      </c>
      <c r="D118" s="127">
        <f>B50</f>
        <v>0</v>
      </c>
      <c r="E118" s="127">
        <f>C50</f>
        <v>0</v>
      </c>
      <c r="F118" s="127">
        <f>D50</f>
        <v>0</v>
      </c>
      <c r="G118" s="689">
        <f>E50</f>
        <v>2.46E-2</v>
      </c>
      <c r="H118" s="692"/>
      <c r="J118" s="131"/>
      <c r="K118" s="132"/>
      <c r="L118" s="107"/>
      <c r="M118" s="107"/>
      <c r="N118" s="107"/>
      <c r="O118" s="107"/>
      <c r="P118" s="107"/>
      <c r="Q118" s="133"/>
    </row>
    <row r="119" spans="1:24" ht="13" x14ac:dyDescent="0.25">
      <c r="A119" s="1622"/>
      <c r="B119" s="452">
        <v>11</v>
      </c>
      <c r="C119" s="127">
        <f>G50</f>
        <v>240</v>
      </c>
      <c r="D119" s="127" t="str">
        <f>H50</f>
        <v>-</v>
      </c>
      <c r="E119" s="127">
        <f>I50</f>
        <v>0</v>
      </c>
      <c r="F119" s="127">
        <f>J50</f>
        <v>0</v>
      </c>
      <c r="G119" s="689">
        <f>K50</f>
        <v>2.46E-2</v>
      </c>
      <c r="H119" s="693"/>
      <c r="J119" s="131"/>
      <c r="K119" s="132"/>
      <c r="L119" s="107"/>
      <c r="M119" s="107"/>
      <c r="N119" s="107"/>
      <c r="O119" s="107"/>
      <c r="P119" s="107"/>
      <c r="Q119" s="133"/>
    </row>
    <row r="120" spans="1:24" ht="13.5" thickBot="1" x14ac:dyDescent="0.3">
      <c r="A120" s="1622"/>
      <c r="B120" s="452">
        <v>12</v>
      </c>
      <c r="C120" s="127">
        <f>M50</f>
        <v>240</v>
      </c>
      <c r="D120" s="127" t="str">
        <f>N50</f>
        <v>-</v>
      </c>
      <c r="E120" s="127" t="str">
        <f>O50</f>
        <v>-</v>
      </c>
      <c r="F120" s="127">
        <f>P50</f>
        <v>0</v>
      </c>
      <c r="G120" s="689" t="str">
        <f>Q50</f>
        <v>-</v>
      </c>
      <c r="H120" s="694"/>
      <c r="J120" s="131"/>
      <c r="K120" s="132"/>
      <c r="L120" s="107"/>
      <c r="M120" s="107"/>
      <c r="N120" s="107"/>
      <c r="O120" s="107"/>
      <c r="P120" s="107"/>
      <c r="Q120" s="133"/>
    </row>
    <row r="121" spans="1:24" ht="13" x14ac:dyDescent="0.25">
      <c r="A121" s="134"/>
      <c r="B121" s="132"/>
      <c r="C121" s="81"/>
      <c r="D121" s="135"/>
      <c r="E121" s="135"/>
      <c r="F121" s="135"/>
      <c r="G121" s="135"/>
    </row>
    <row r="122" spans="1:24" ht="13" x14ac:dyDescent="0.3">
      <c r="A122" s="118"/>
      <c r="B122" s="119"/>
      <c r="C122" s="119"/>
      <c r="D122" s="119"/>
      <c r="E122" s="119"/>
      <c r="F122" s="119"/>
      <c r="G122" s="119"/>
      <c r="H122" s="119"/>
      <c r="I122" s="119"/>
      <c r="J122" s="136"/>
      <c r="K122" s="137"/>
      <c r="L122" s="136"/>
      <c r="M122" s="138"/>
      <c r="N122" s="82"/>
      <c r="O122" s="136"/>
      <c r="P122" s="137"/>
      <c r="Q122" s="136"/>
    </row>
    <row r="123" spans="1:24" ht="28.5" customHeight="1" x14ac:dyDescent="0.3">
      <c r="A123" s="658">
        <f>A175</f>
        <v>9</v>
      </c>
      <c r="B123" s="1668" t="str">
        <f>A162</f>
        <v>Multiparameter Simulator, Merek : RIGEL , Model : PatSim200, SN : 11L-0293</v>
      </c>
      <c r="C123" s="1668"/>
      <c r="D123" s="1668"/>
      <c r="E123" s="1668"/>
      <c r="F123" s="659"/>
      <c r="G123" s="660"/>
      <c r="H123" s="1669"/>
      <c r="I123" s="1669"/>
      <c r="J123" s="1669"/>
      <c r="K123" s="1669"/>
      <c r="L123" s="86"/>
      <c r="M123" s="139"/>
      <c r="N123" s="82"/>
      <c r="O123" s="137"/>
      <c r="P123" s="136"/>
      <c r="Q123" s="138"/>
      <c r="X123" s="140"/>
    </row>
    <row r="124" spans="1:24" ht="13" x14ac:dyDescent="0.3">
      <c r="A124" s="661" t="str">
        <f>A4</f>
        <v>ECG</v>
      </c>
      <c r="B124" s="1670" t="s">
        <v>391</v>
      </c>
      <c r="C124" s="1670"/>
      <c r="D124" s="1681" t="s">
        <v>484</v>
      </c>
      <c r="E124" s="1670" t="s">
        <v>392</v>
      </c>
      <c r="F124" s="1670"/>
      <c r="G124" s="1671" t="s">
        <v>458</v>
      </c>
      <c r="H124" s="1672"/>
      <c r="I124" s="1672"/>
      <c r="J124" s="206"/>
      <c r="K124" s="1673"/>
      <c r="L124" s="86"/>
      <c r="M124" s="86"/>
      <c r="N124" s="82"/>
      <c r="O124" s="136"/>
      <c r="P124" s="137"/>
      <c r="Q124" s="136"/>
    </row>
    <row r="125" spans="1:24" ht="13" x14ac:dyDescent="0.3">
      <c r="A125" s="662" t="str">
        <f>A5</f>
        <v>BPM</v>
      </c>
      <c r="B125" s="661" t="str">
        <f>VLOOKUP(B123,A163:K174,9,FALSE)</f>
        <v>-</v>
      </c>
      <c r="C125" s="661">
        <f>VLOOKUP(B123,A163:K174,10,FALSE)</f>
        <v>2020</v>
      </c>
      <c r="D125" s="1682"/>
      <c r="E125" s="1670"/>
      <c r="F125" s="1670"/>
      <c r="G125" s="1671"/>
      <c r="H125" s="206"/>
      <c r="I125" s="206"/>
      <c r="J125" s="206"/>
      <c r="K125" s="1673"/>
      <c r="L125" s="86"/>
      <c r="M125" s="86"/>
      <c r="N125" s="82"/>
      <c r="O125" s="119"/>
      <c r="P125" s="119"/>
      <c r="Q125" s="119"/>
    </row>
    <row r="126" spans="1:24" ht="13" x14ac:dyDescent="0.3">
      <c r="A126" s="663">
        <f>VLOOKUP(A123,B61:G70,2)</f>
        <v>30</v>
      </c>
      <c r="B126" s="158" t="str">
        <f>VLOOKUP(A123,B61:G72,3,FALSE)</f>
        <v>-</v>
      </c>
      <c r="C126" s="158">
        <f>VLOOKUP($A$123,B61:G72,4,FALSE)</f>
        <v>0</v>
      </c>
      <c r="D126" s="460">
        <f>IF(C126="-",B126,C126)</f>
        <v>0</v>
      </c>
      <c r="E126" s="1683">
        <f>IFERROR(IF(OR(B126="-",C126="-"),1/3*G126,0.5*(MAX(B126:C126)-MIN(B126:C126))),0)</f>
        <v>0.06</v>
      </c>
      <c r="F126" s="1683"/>
      <c r="G126" s="158">
        <f>VLOOKUP($A$123,B61:G72,6,FALSE)</f>
        <v>0.18</v>
      </c>
      <c r="H126" s="107"/>
      <c r="I126" s="107"/>
      <c r="J126" s="107"/>
      <c r="K126" s="107"/>
      <c r="L126" s="86"/>
      <c r="M126" s="86"/>
      <c r="N126" s="82"/>
      <c r="O126" s="119"/>
      <c r="P126" s="119"/>
      <c r="Q126" s="119"/>
    </row>
    <row r="127" spans="1:24" ht="13" x14ac:dyDescent="0.3">
      <c r="A127" s="663">
        <f>VLOOKUP(A123,B73:G82,2)</f>
        <v>60</v>
      </c>
      <c r="B127" s="158" t="str">
        <f>VLOOKUP(A123,B73:G84,3,FALSE)</f>
        <v>-</v>
      </c>
      <c r="C127" s="158">
        <f>VLOOKUP($A$123,B73:G84,4,FALSE)</f>
        <v>-0.12</v>
      </c>
      <c r="D127" s="657">
        <f>IF(C127="-",B127,C127)</f>
        <v>-0.12</v>
      </c>
      <c r="E127" s="1683">
        <f>IFERROR(IF(OR(B127="-",C127="-"),1/3*G127,0.5*(MAX(B127:C127)-MIN(B127:C127))),0)</f>
        <v>0.06</v>
      </c>
      <c r="F127" s="1683"/>
      <c r="G127" s="158">
        <f>VLOOKUP($A$123,B73:G84,6,FALSE)</f>
        <v>0.18</v>
      </c>
      <c r="H127" s="107"/>
      <c r="I127" s="107"/>
      <c r="J127" s="107"/>
      <c r="K127" s="107"/>
      <c r="L127" s="86"/>
      <c r="M127" s="86"/>
      <c r="N127" s="82"/>
      <c r="O127" s="119"/>
      <c r="P127" s="119"/>
      <c r="Q127" s="119"/>
    </row>
    <row r="128" spans="1:24" ht="13" x14ac:dyDescent="0.3">
      <c r="A128" s="663">
        <f>VLOOKUP(A123,B85:G94,2)</f>
        <v>120</v>
      </c>
      <c r="B128" s="158" t="str">
        <f>VLOOKUP(A123,B85:G96,3,FALSE)</f>
        <v>-</v>
      </c>
      <c r="C128" s="158">
        <f>VLOOKUP($A$123,B85:G96,4,FALSE)</f>
        <v>-0.12</v>
      </c>
      <c r="D128" s="657">
        <f>IF(C128="-",B128,C128)</f>
        <v>-0.12</v>
      </c>
      <c r="E128" s="1683">
        <f>IFERROR(IF(OR(B128="-",C128="-"),1/3*G128,0.5*(MAX(B128:C128)-MIN(B128:C128))),0)</f>
        <v>0.06</v>
      </c>
      <c r="F128" s="1683"/>
      <c r="G128" s="158">
        <f>VLOOKUP($A$123,B85:G96,6,FALSE)</f>
        <v>0.18</v>
      </c>
      <c r="H128" s="107"/>
      <c r="I128" s="107"/>
      <c r="J128" s="107"/>
      <c r="K128" s="107"/>
      <c r="L128" s="82"/>
      <c r="M128" s="82"/>
      <c r="N128" s="82"/>
      <c r="O128" s="119"/>
      <c r="P128" s="119"/>
      <c r="Q128" s="119"/>
    </row>
    <row r="129" spans="1:17" ht="13" x14ac:dyDescent="0.3">
      <c r="A129" s="663">
        <f>VLOOKUP(A123,B97:G106,2)</f>
        <v>180</v>
      </c>
      <c r="B129" s="158" t="str">
        <f>VLOOKUP(A123,B97:G108,3,FALSE)</f>
        <v>-</v>
      </c>
      <c r="C129" s="158">
        <f>VLOOKUP($A$123,B97:G108,4,FALSE)</f>
        <v>0.12</v>
      </c>
      <c r="D129" s="657">
        <f>IF(C129="-",B129,C129)</f>
        <v>0.12</v>
      </c>
      <c r="E129" s="1683">
        <f>IFERROR(IF(OR(B129="-",C129="-"),1/3*G129,0.5*(MAX(B129:C129)-MIN(B129:C129))),0)</f>
        <v>0.06</v>
      </c>
      <c r="F129" s="1683"/>
      <c r="G129" s="158">
        <f>VLOOKUP($A$123,B97:G108,6,FALSE)</f>
        <v>0.18</v>
      </c>
      <c r="H129" s="107"/>
      <c r="I129" s="107"/>
      <c r="J129" s="107"/>
      <c r="K129" s="107"/>
      <c r="L129" s="82"/>
      <c r="M129" s="82"/>
      <c r="N129" s="82"/>
      <c r="O129" s="119"/>
      <c r="P129" s="119"/>
      <c r="Q129" s="119"/>
    </row>
    <row r="130" spans="1:17" ht="13" x14ac:dyDescent="0.3">
      <c r="A130" s="663">
        <f>VLOOKUP(A123,B109:G118,2)</f>
        <v>240</v>
      </c>
      <c r="B130" s="158" t="str">
        <f>VLOOKUP(A123,B109:G120,3,FALSE)</f>
        <v>-</v>
      </c>
      <c r="C130" s="158">
        <f>VLOOKUP($A$123,B109:G120,4,FALSE)</f>
        <v>-0.12</v>
      </c>
      <c r="D130" s="657">
        <f>IF(C130="-",B130,C130)</f>
        <v>-0.12</v>
      </c>
      <c r="E130" s="1684">
        <f>IFERROR(IF(OR(B130="-",C130="-"),1/3*G130,0.5*(MAX(B130:C130)-MIN(B130:C130))),0)</f>
        <v>0.06</v>
      </c>
      <c r="F130" s="1685"/>
      <c r="G130" s="158">
        <f>VLOOKUP($A$123,B109:G120,6,FALSE)</f>
        <v>0.18</v>
      </c>
      <c r="H130" s="107"/>
      <c r="I130" s="107"/>
      <c r="J130" s="107"/>
      <c r="K130" s="107"/>
      <c r="L130" s="82"/>
      <c r="M130" s="82"/>
      <c r="N130" s="82"/>
      <c r="O130" s="119"/>
      <c r="P130" s="119"/>
      <c r="Q130" s="119"/>
    </row>
    <row r="131" spans="1:17" ht="13" x14ac:dyDescent="0.3">
      <c r="A131" s="635"/>
      <c r="B131" s="636"/>
      <c r="C131" s="636"/>
      <c r="D131" s="643"/>
      <c r="E131" s="636"/>
      <c r="F131" s="636"/>
      <c r="G131" s="81"/>
      <c r="H131" s="107"/>
      <c r="I131" s="107"/>
      <c r="J131" s="107"/>
      <c r="K131" s="107"/>
      <c r="L131" s="82"/>
      <c r="M131" s="82"/>
      <c r="N131" s="82"/>
      <c r="O131" s="119"/>
      <c r="P131" s="119"/>
      <c r="Q131" s="119"/>
    </row>
    <row r="132" spans="1:17" ht="13" x14ac:dyDescent="0.3">
      <c r="A132" s="642">
        <f>VLOOKUP(A123,K61:P70,2)</f>
        <v>0</v>
      </c>
      <c r="B132" s="642">
        <f>VLOOKUP(A123,K61:P70,3,FALSE)</f>
        <v>0</v>
      </c>
      <c r="C132" s="642">
        <f>VLOOKUP($A$123,K61:P70,4,FALSE)</f>
        <v>0</v>
      </c>
      <c r="D132" s="642">
        <f>VLOOKUP($A$123,K61:P70,5,FALSE)</f>
        <v>0</v>
      </c>
      <c r="E132" s="642">
        <f>VLOOKUP($A$123,K61:P70,6,FALSE)</f>
        <v>0</v>
      </c>
      <c r="F132" s="86"/>
      <c r="G132" s="107"/>
      <c r="H132" s="142"/>
      <c r="I132" s="142"/>
      <c r="J132" s="142"/>
      <c r="K132" s="142"/>
      <c r="L132" s="82"/>
      <c r="M132" s="82"/>
      <c r="N132" s="82"/>
      <c r="O132" s="119"/>
      <c r="P132" s="119"/>
      <c r="Q132" s="119"/>
    </row>
    <row r="133" spans="1:17" ht="13" x14ac:dyDescent="0.3">
      <c r="A133" s="141">
        <f>VLOOKUP(A123,K73:P82,2)</f>
        <v>0</v>
      </c>
      <c r="B133" s="141">
        <f>VLOOKUP(A123,K73:P82,3,FALSE)</f>
        <v>0</v>
      </c>
      <c r="C133" s="141">
        <f>VLOOKUP($A$123,K73:P82,4,FALSE)</f>
        <v>0</v>
      </c>
      <c r="D133" s="141">
        <f>VLOOKUP($A$123,K73:P82,5,FALSE)</f>
        <v>0</v>
      </c>
      <c r="E133" s="141">
        <f>VLOOKUP($A$123,K73:P82,6,FALSE)</f>
        <v>0</v>
      </c>
      <c r="F133" s="86"/>
      <c r="G133" s="107"/>
      <c r="H133" s="142"/>
      <c r="I133" s="142"/>
      <c r="J133" s="142"/>
      <c r="K133" s="142"/>
      <c r="L133" s="82"/>
      <c r="M133" s="82"/>
      <c r="N133" s="82"/>
      <c r="O133" s="119"/>
      <c r="P133" s="119"/>
      <c r="Q133" s="119"/>
    </row>
    <row r="134" spans="1:17" ht="13" x14ac:dyDescent="0.3">
      <c r="A134" s="141">
        <f>VLOOKUP(A123,K85:P94,2)</f>
        <v>0</v>
      </c>
      <c r="B134" s="141">
        <f>VLOOKUP(A123,K85:P94,3,FALSE)</f>
        <v>0</v>
      </c>
      <c r="C134" s="141">
        <f>VLOOKUP($A$123,K85:P94,4,FALSE)</f>
        <v>0</v>
      </c>
      <c r="D134" s="141">
        <f>VLOOKUP($A$123,K85:P94,5,FALSE)</f>
        <v>0</v>
      </c>
      <c r="E134" s="141">
        <f>VLOOKUP($A$123,K85:P94,6,FALSE)</f>
        <v>0</v>
      </c>
      <c r="F134" s="86"/>
      <c r="G134" s="107"/>
      <c r="H134" s="142"/>
      <c r="I134" s="142"/>
      <c r="J134" s="142"/>
      <c r="K134" s="142"/>
      <c r="L134" s="82"/>
      <c r="M134" s="82"/>
      <c r="N134" s="82"/>
      <c r="O134" s="119"/>
      <c r="P134" s="119"/>
      <c r="Q134" s="119"/>
    </row>
    <row r="135" spans="1:17" ht="13" x14ac:dyDescent="0.3">
      <c r="A135" s="141">
        <f>VLOOKUP(A123,K97:P106,2)</f>
        <v>0</v>
      </c>
      <c r="B135" s="141">
        <f>VLOOKUP(A123,K97:P106,3,FALSE)</f>
        <v>0</v>
      </c>
      <c r="C135" s="141">
        <f>VLOOKUP($A$123,K97:P106,4,FALSE)</f>
        <v>0</v>
      </c>
      <c r="D135" s="141">
        <f>VLOOKUP($A$123,K97:P106,5,FALSE)</f>
        <v>0</v>
      </c>
      <c r="E135" s="141">
        <f>VLOOKUP($A$123,K97:P106,6,FALSE)</f>
        <v>0</v>
      </c>
      <c r="F135" s="86"/>
      <c r="G135" s="107"/>
      <c r="H135" s="142"/>
      <c r="I135" s="142"/>
      <c r="J135" s="142"/>
      <c r="K135" s="142"/>
      <c r="L135" s="82"/>
      <c r="M135" s="82"/>
      <c r="N135" s="82"/>
      <c r="O135" s="119"/>
      <c r="P135" s="119"/>
      <c r="Q135" s="119"/>
    </row>
    <row r="136" spans="1:17" ht="13.5" thickBot="1" x14ac:dyDescent="0.35">
      <c r="A136" s="143"/>
      <c r="B136" s="135"/>
      <c r="C136" s="135"/>
      <c r="D136" s="135"/>
      <c r="E136" s="135"/>
      <c r="F136" s="86"/>
      <c r="G136" s="107"/>
      <c r="H136" s="142"/>
      <c r="I136" s="142"/>
      <c r="J136" s="142"/>
      <c r="K136" s="142"/>
      <c r="L136" s="82"/>
      <c r="M136" s="82"/>
      <c r="N136" s="82"/>
      <c r="O136" s="119"/>
      <c r="P136" s="119"/>
      <c r="Q136" s="119"/>
    </row>
    <row r="137" spans="1:17" ht="15" x14ac:dyDescent="0.3">
      <c r="A137" s="1674" t="s">
        <v>486</v>
      </c>
      <c r="B137" s="1675"/>
      <c r="C137" s="1675"/>
      <c r="D137" s="1676"/>
      <c r="E137" s="144"/>
      <c r="F137" s="1677" t="s">
        <v>487</v>
      </c>
      <c r="G137" s="1678"/>
      <c r="H137" s="1678"/>
      <c r="I137" s="1679"/>
      <c r="J137" s="82"/>
      <c r="K137" s="1680"/>
      <c r="L137" s="1680"/>
      <c r="M137" s="1680"/>
      <c r="N137" s="1680"/>
      <c r="P137" s="119"/>
      <c r="Q137" s="119"/>
    </row>
    <row r="138" spans="1:17" ht="13" x14ac:dyDescent="0.3">
      <c r="A138" s="145"/>
      <c r="B138" s="146">
        <f>IF(A139&lt;=$A$127,$A$126,IF(A139&lt;=$A$128,$A$127,IF(A139&lt;=$A$129,$A$128,IF(A139&lt;=$A$130,$A$129,IF(A139&lt;=$A$132,$A$130,IF(A139&lt;=$A$133,$A$132,IF(A139&lt;=$A$134,$A$133,IF(A139&lt;=$A$135,$A$134))))))))</f>
        <v>30</v>
      </c>
      <c r="C138" s="146"/>
      <c r="D138" s="147" t="str">
        <f>IF(A139&lt;=$A$127,$B$126,IF(A139&lt;=$A$128,$B$127,IF(A139&lt;=$A$129,$B$128,IF(A139&lt;=$A$130,$B$129,IF(A139&lt;=$A$132,$B$130,IF(A139&lt;=$A$133,$B$132,IF(A139&lt;=$A$134,$B$133,IF(A139&lt;=$A$135,$B$134))))))))</f>
        <v>-</v>
      </c>
      <c r="E138" s="82"/>
      <c r="F138" s="145"/>
      <c r="G138" s="146">
        <f>IF(F139&lt;=$A$127,$A$126,IF(F139&lt;=$A$128,$A$127,IF(F139&lt;=$A$129,$A$128,IF(F139&lt;=$A$130,$A$129,IF(F139&lt;=$A$132,$A$130,IF(F139&lt;=$A$133,$A$132,IF(F139&lt;=$A$134,$A$133,IF(F139&lt;=$A$135,$A$134))))))))</f>
        <v>30</v>
      </c>
      <c r="H138" s="146"/>
      <c r="I138" s="148">
        <f>IF(F139&lt;=$A$127,$E$126,IF(F139&lt;=$A$128,$E$127,IF(F139&lt;=$A$129,$E$128,IF(F139&lt;=$A$130,$E$129,IF(F139&lt;=$A$132,$D$130,IF(F139&lt;=$A$133,$D$132,IF(F139&lt;=$A$134,$D$133,IF(F139&lt;=$A$135,$D$134))))))))</f>
        <v>0.06</v>
      </c>
      <c r="J138" s="82"/>
      <c r="K138" s="136"/>
      <c r="L138" s="149"/>
      <c r="M138" s="149"/>
      <c r="N138" s="150"/>
      <c r="P138" s="119"/>
      <c r="Q138" s="119"/>
    </row>
    <row r="139" spans="1:17" ht="13" x14ac:dyDescent="0.3">
      <c r="A139" s="151">
        <f>B156</f>
        <v>30</v>
      </c>
      <c r="B139" s="146"/>
      <c r="C139" s="152" t="str">
        <f>IFERROR((A139-B138)/(B140-B138)*(D140-D138)+D138,"-")</f>
        <v>-</v>
      </c>
      <c r="D139" s="147"/>
      <c r="E139" s="82"/>
      <c r="F139" s="151">
        <f>B156</f>
        <v>30</v>
      </c>
      <c r="G139" s="146"/>
      <c r="H139" s="152">
        <f>((F139-G138)/(G140-G138)*(I140-I138)+I138)</f>
        <v>0.06</v>
      </c>
      <c r="I139" s="148"/>
      <c r="J139" s="82"/>
      <c r="K139" s="137"/>
      <c r="L139" s="149"/>
      <c r="M139" s="153"/>
      <c r="N139" s="150"/>
      <c r="P139" s="119"/>
      <c r="Q139" s="119"/>
    </row>
    <row r="140" spans="1:17" ht="13.5" thickBot="1" x14ac:dyDescent="0.35">
      <c r="A140" s="145"/>
      <c r="B140" s="146">
        <f>IF(A139&lt;=$A$127,$A$127,IF(A139&lt;=$A$128,$A$128,IF(A139&lt;=$A$129,$A$129,IF(A139&lt;=$A$130,$A$130,IF(A139&lt;=$A$132,$A$132,IF(A139&lt;=$A$133,$A$133,IF(A139&lt;=$A$134,$A$134,IF(A139&lt;=$A$135,$A$135))))))))</f>
        <v>60</v>
      </c>
      <c r="C140" s="146"/>
      <c r="D140" s="147" t="str">
        <f>IF(A139&lt;=$A$127,$B$127,IF(A139&lt;=$A$128,$B$128,IF(A139&lt;=$A$129,$B$129,IF(A139&lt;=$A$130,$B$130,IF(A139&lt;=$A$132,$B$132,IF(A139&lt;=$A$133,$B$133,IF(A139&lt;=$A$134,$B$134,IF(A139&lt;=$A$135,$B$135))))))))</f>
        <v>-</v>
      </c>
      <c r="E140" s="82"/>
      <c r="F140" s="145"/>
      <c r="G140" s="146">
        <f>IF(F139&lt;=$A$127,$A$127,IF(F139&lt;=$A$128,$A$128,IF(F139&lt;=$A$129,$A$129,IF(F139&lt;=$A$130,$A$130,IF(F139&lt;=$A$132,$A$132,IF(F139&lt;=$A$133,$A$133,IF(F139&lt;=$A$134,$A$134,IF(F139&lt;=$A$135,$A$135))))))))</f>
        <v>60</v>
      </c>
      <c r="H140" s="146"/>
      <c r="I140" s="148">
        <f>IF(F139&lt;=$A$127,$E$127,IF(F139&lt;=$A$128,$E$128,IF(F139&lt;=$A$129,$E$129,IF(F139&lt;=$A$130,$D$130,IF(F139&lt;=$A$132,$D$132,IF(F139&lt;=$A$133,$D$133,IF(F139&lt;=$A$134,$D$134,IF(F139&lt;=$A$135,$D$135))))))))</f>
        <v>0.06</v>
      </c>
      <c r="J140" s="82"/>
      <c r="K140" s="136"/>
      <c r="L140" s="149"/>
      <c r="M140" s="149"/>
      <c r="N140" s="150"/>
      <c r="P140" s="119"/>
      <c r="Q140" s="119"/>
    </row>
    <row r="141" spans="1:17" ht="15" x14ac:dyDescent="0.3">
      <c r="A141" s="1674" t="s">
        <v>486</v>
      </c>
      <c r="B141" s="1675"/>
      <c r="C141" s="1675"/>
      <c r="D141" s="1676"/>
      <c r="E141" s="82"/>
      <c r="F141" s="1677" t="s">
        <v>487</v>
      </c>
      <c r="G141" s="1678"/>
      <c r="H141" s="1678"/>
      <c r="I141" s="1679"/>
      <c r="J141" s="82"/>
      <c r="K141" s="1680"/>
      <c r="L141" s="1680"/>
      <c r="M141" s="1680"/>
      <c r="N141" s="1680"/>
      <c r="P141" s="119"/>
      <c r="Q141" s="119"/>
    </row>
    <row r="142" spans="1:17" ht="13" x14ac:dyDescent="0.3">
      <c r="A142" s="145"/>
      <c r="B142" s="146">
        <f>IF(A143&lt;=$A$127,$A$126,IF(A143&lt;=$A$128,$A$127,IF(A143&lt;=$A$129,$A$128,IF(A143&lt;=$A$130,$A$129,IF(A143&lt;=$A$132,$A$130,IF(A143&lt;=$A$133,$A$132,IF(A143&lt;=$A$134,$A$133,IF(A143&lt;=$A$135,$A$134))))))))</f>
        <v>30</v>
      </c>
      <c r="C142" s="146"/>
      <c r="D142" s="147" t="str">
        <f>IF(A143&lt;=$A$127,$B$126,IF(A143&lt;=$A$128,$B$127,IF(A143&lt;=$A$129,$B$128,IF(A143&lt;=$A$130,$B$129,IF(A143&lt;=$A$132,$B$130,IF(A143&lt;=$A$133,$B$132,IF(A143&lt;=$A$134,$B$133,IF(A143&lt;=$A$135,$B$134))))))))</f>
        <v>-</v>
      </c>
      <c r="E142" s="82"/>
      <c r="F142" s="145"/>
      <c r="G142" s="146">
        <f>IF(F143&lt;=$A$127,$A$126,IF(F143&lt;=$A$128,$A$127,IF(F143&lt;=$A$129,$A$128,IF(F143&lt;=$A$130,$A$129,IF(F143&lt;=$A$132,$A$130,IF(F143&lt;=$A$133,$A$132,IF(F143&lt;=$A$134,$A$133,IF(F143&lt;=$A$135,$A$134))))))))</f>
        <v>30</v>
      </c>
      <c r="H142" s="146"/>
      <c r="I142" s="148">
        <f>IF(F143&lt;=$A$127,$E$126,IF(F143&lt;=$A$128,$E$127,IF(F143&lt;=$A$129,$E$128,IF(F143&lt;=$A$130,$E$129,IF(F143&lt;=$A$132,$D$130,IF(F143&lt;=$A$133,$D$132,IF(F143&lt;=$A$134,$D$133,IF(F143&lt;=$A$135,$D$134))))))))</f>
        <v>0.06</v>
      </c>
      <c r="J142" s="82"/>
      <c r="K142" s="136"/>
      <c r="L142" s="149"/>
      <c r="M142" s="149"/>
      <c r="N142" s="150"/>
      <c r="P142" s="119"/>
      <c r="Q142" s="119"/>
    </row>
    <row r="143" spans="1:17" ht="13" x14ac:dyDescent="0.3">
      <c r="A143" s="151">
        <f>B157</f>
        <v>60</v>
      </c>
      <c r="B143" s="146"/>
      <c r="C143" s="152" t="str">
        <f>IFERROR((A143-B142)/(B144-B142)*(D144-D142)+D142,"-")</f>
        <v>-</v>
      </c>
      <c r="D143" s="147"/>
      <c r="E143" s="82"/>
      <c r="F143" s="151">
        <f>B157</f>
        <v>60</v>
      </c>
      <c r="G143" s="146"/>
      <c r="H143" s="152">
        <f>((F143-G142)/(G144-G142)*(I144-I142)+I142)</f>
        <v>0.06</v>
      </c>
      <c r="I143" s="148"/>
      <c r="J143" s="82"/>
      <c r="K143" s="137"/>
      <c r="L143" s="149"/>
      <c r="M143" s="153"/>
      <c r="N143" s="150"/>
      <c r="P143" s="119"/>
      <c r="Q143" s="119"/>
    </row>
    <row r="144" spans="1:17" ht="13.5" thickBot="1" x14ac:dyDescent="0.35">
      <c r="A144" s="145"/>
      <c r="B144" s="146">
        <f>IF(A143&lt;=$A$127,$A$127,IF(A143&lt;=$A$128,$A$128,IF(A143&lt;=$A$129,$A$129,IF(A143&lt;=$A$130,$A$130,IF(A143&lt;=$A$132,$A$132,IF(A143&lt;=$A$133,$A$133,IF(A143&lt;=$A$134,$A$134,IF(A143&lt;=$A$135,$A$135))))))))</f>
        <v>60</v>
      </c>
      <c r="C144" s="146"/>
      <c r="D144" s="147" t="str">
        <f>IF(A143&lt;=$A$127,$B$127,IF(A143&lt;=$A$128,$B$128,IF(A143&lt;=$A$129,$B$129,IF(A143&lt;=$A$130,$B$130,IF(A143&lt;=$A$132,$B$132,IF(A143&lt;=$A$133,$B$133,IF(A143&lt;=$A$134,$B$134,IF(A143&lt;=$A$135,$B$135))))))))</f>
        <v>-</v>
      </c>
      <c r="E144" s="82"/>
      <c r="F144" s="145"/>
      <c r="G144" s="146">
        <f>IF(F143&lt;=$A$127,$A$127,IF(F143&lt;=$A$128,$A$128,IF(F143&lt;=$A$129,$A$129,IF(F143&lt;=$A$130,$A$130,IF(F143&lt;=$A$132,$A$132,IF(F143&lt;=$A$133,$A$133,IF(F143&lt;=$A$134,$A$134,IF(F143&lt;=$A$135,$A$135))))))))</f>
        <v>60</v>
      </c>
      <c r="H144" s="146"/>
      <c r="I144" s="148">
        <f>IF(F143&lt;=$A$127,$E$127,IF(F143&lt;=$A$128,$E$128,IF(F143&lt;=$A$129,$E$129,IF(F143&lt;=$A$130,$D$130,IF(F143&lt;=$A$132,$D$132,IF(F143&lt;=$A$133,$D$133,IF(F143&lt;=$A$134,$D$134,IF(F143&lt;=$A$135,$D$135))))))))</f>
        <v>0.06</v>
      </c>
      <c r="J144" s="82"/>
      <c r="K144" s="136"/>
      <c r="L144" s="149"/>
      <c r="M144" s="149"/>
      <c r="N144" s="150"/>
      <c r="P144" s="119"/>
      <c r="Q144" s="119"/>
    </row>
    <row r="145" spans="1:17" ht="15" x14ac:dyDescent="0.3">
      <c r="A145" s="1674" t="s">
        <v>486</v>
      </c>
      <c r="B145" s="1675"/>
      <c r="C145" s="1675"/>
      <c r="D145" s="1676"/>
      <c r="E145" s="82"/>
      <c r="F145" s="1677" t="s">
        <v>487</v>
      </c>
      <c r="G145" s="1678"/>
      <c r="H145" s="1678"/>
      <c r="I145" s="1679"/>
      <c r="J145" s="82"/>
      <c r="K145" s="1680"/>
      <c r="L145" s="1680"/>
      <c r="M145" s="1680"/>
      <c r="N145" s="1680"/>
      <c r="P145" s="119"/>
      <c r="Q145" s="119"/>
    </row>
    <row r="146" spans="1:17" ht="13" x14ac:dyDescent="0.3">
      <c r="A146" s="145"/>
      <c r="B146" s="146">
        <f>IF(A147&lt;=$A$127,$A$126,IF(A147&lt;=$A$128,$A$127,IF(A147&lt;=$A$129,$A$128,IF(A147&lt;=$A$130,$A$129,IF(A147&lt;=$A$132,$A$130,IF(A147&lt;=$A$133,$A$132,IF(A147&lt;=$A$134,$A$133,IF(A147&lt;=$A$135,$A$134))))))))</f>
        <v>60</v>
      </c>
      <c r="C146" s="146"/>
      <c r="D146" s="147" t="str">
        <f>IF(A147&lt;=$A$127,$B$126,IF(A147&lt;=$A$128,$B$127,IF(A147&lt;=$A$129,$B$128,IF(A147&lt;=$A$130,$B$129,IF(A147&lt;=$A$132,$B$130,IF(A147&lt;=$A$133,$B$132,IF(A147&lt;=$A$134,$B$133,IF(A147&lt;=$A$135,$B$134))))))))</f>
        <v>-</v>
      </c>
      <c r="E146" s="82"/>
      <c r="F146" s="145"/>
      <c r="G146" s="146">
        <f>IF(F147&lt;=$A$127,$A$126,IF(F147&lt;=$A$128,$A$127,IF(F147&lt;=$A$129,$A$128,IF(F147&lt;=$A$130,$A$129,IF(F147&lt;=$A$132,$A$130,IF(F147&lt;=$A$133,$A$132,IF(F147&lt;=$A$134,$A$133,IF(F147&lt;=$A$135,$A$134))))))))</f>
        <v>60</v>
      </c>
      <c r="H146" s="146"/>
      <c r="I146" s="148">
        <f>IF(F147&lt;=$A$127,$E$126,IF(F147&lt;=$A$128,$E$127,IF(F147&lt;=$A$129,$E$128,IF(F147&lt;=$A$130,$E$129,IF(F147&lt;=$A$132,$D$130,IF(F147&lt;=$A$133,$D$132,IF(F147&lt;=$A$134,$D$133,IF(F147&lt;=$A$135,$D$134))))))))</f>
        <v>0.06</v>
      </c>
      <c r="J146" s="82"/>
      <c r="K146" s="136"/>
      <c r="L146" s="149"/>
      <c r="M146" s="149"/>
      <c r="N146" s="150"/>
      <c r="P146" s="119"/>
      <c r="Q146" s="119"/>
    </row>
    <row r="147" spans="1:17" ht="13" x14ac:dyDescent="0.3">
      <c r="A147" s="151">
        <f>B158</f>
        <v>120</v>
      </c>
      <c r="B147" s="146"/>
      <c r="C147" s="152" t="str">
        <f>IFERROR((A147-B146)/(B148-B146)*(D148-D146)+D146,"-")</f>
        <v>-</v>
      </c>
      <c r="D147" s="147"/>
      <c r="E147" s="82"/>
      <c r="F147" s="151">
        <f>B158</f>
        <v>120</v>
      </c>
      <c r="G147" s="146"/>
      <c r="H147" s="152">
        <f>((F147-G146)/(G148-G146)*(I148-I146)+I146)</f>
        <v>0.06</v>
      </c>
      <c r="I147" s="148"/>
      <c r="J147" s="82"/>
      <c r="K147" s="137"/>
      <c r="L147" s="149"/>
      <c r="M147" s="153"/>
      <c r="N147" s="150"/>
      <c r="P147" s="119"/>
      <c r="Q147" s="119"/>
    </row>
    <row r="148" spans="1:17" ht="13.5" thickBot="1" x14ac:dyDescent="0.35">
      <c r="A148" s="145"/>
      <c r="B148" s="146">
        <f>IF(A147&lt;=$A$127,$A$127,IF(A147&lt;=$A$128,$A$128,IF(A147&lt;=$A$129,$A$129,IF(A147&lt;=$A$130,$A$130,IF(A147&lt;=$A$132,$A$132,IF(A147&lt;=$A$133,$A$133,IF(A147&lt;=$A$134,$A$134,IF(A147&lt;=$A$135,$A$135))))))))</f>
        <v>120</v>
      </c>
      <c r="C148" s="146"/>
      <c r="D148" s="147" t="str">
        <f>IF(A147&lt;=$A$127,$B$127,IF(A147&lt;=$A$128,$B$128,IF(A147&lt;=$A$129,$B$129,IF(A147&lt;=$A$130,$B$130,IF(A147&lt;=$A$132,$B$132,IF(A147&lt;=$A$133,$B$133,IF(A147&lt;=$A$134,$B$134,IF(A147&lt;=$A$135,$B$135))))))))</f>
        <v>-</v>
      </c>
      <c r="E148" s="82"/>
      <c r="F148" s="145"/>
      <c r="G148" s="146">
        <f>IF(F147&lt;=$A$127,$A$127,IF(F147&lt;=$A$128,$A$128,IF(F147&lt;=$A$129,$A$129,IF(F147&lt;=$A$130,$A$130,IF(F147&lt;=$A$132,$A$132,IF(F147&lt;=$A$133,$A$133,IF(F147&lt;=$A$134,$A$134,IF(F147&lt;=$A$135,$A$135))))))))</f>
        <v>120</v>
      </c>
      <c r="H148" s="146"/>
      <c r="I148" s="148">
        <f>IF(F147&lt;=$A$127,$E$127,IF(F147&lt;=$A$128,$E$128,IF(F147&lt;=$A$129,$E$129,IF(F147&lt;=$A$130,$D$130,IF(F147&lt;=$A$132,$D$132,IF(F147&lt;=$A$133,$D$133,IF(F147&lt;=$A$134,$D$134,IF(F147&lt;=$A$135,$D$135))))))))</f>
        <v>0.06</v>
      </c>
      <c r="J148" s="82"/>
      <c r="K148" s="136"/>
      <c r="L148" s="149"/>
      <c r="M148" s="149"/>
      <c r="N148" s="150"/>
      <c r="P148" s="119"/>
      <c r="Q148" s="119"/>
    </row>
    <row r="149" spans="1:17" ht="15" x14ac:dyDescent="0.3">
      <c r="A149" s="1674" t="s">
        <v>486</v>
      </c>
      <c r="B149" s="1675"/>
      <c r="C149" s="1675"/>
      <c r="D149" s="1676"/>
      <c r="E149" s="144"/>
      <c r="F149" s="1677" t="s">
        <v>487</v>
      </c>
      <c r="G149" s="1678"/>
      <c r="H149" s="1678"/>
      <c r="I149" s="1679"/>
      <c r="J149" s="82"/>
      <c r="K149" s="136"/>
      <c r="L149" s="149"/>
      <c r="M149" s="149"/>
      <c r="N149" s="150"/>
      <c r="P149" s="119"/>
      <c r="Q149" s="119"/>
    </row>
    <row r="150" spans="1:17" ht="13" x14ac:dyDescent="0.3">
      <c r="A150" s="145"/>
      <c r="B150" s="146">
        <f>IF(A151&lt;=$A$127,$A$126,IF(A151&lt;=$A$128,$A$127,IF(A151&lt;=$A$129,$A$128,IF(A151&lt;=$A$130,$A$129,IF(A151&lt;=$A$132,$A$130,IF(A151&lt;=$A$133,$A$132,IF(A151&lt;=$A$134,$A$133,IF(A151&lt;=$A$135,$A$134))))))))</f>
        <v>120</v>
      </c>
      <c r="C150" s="146"/>
      <c r="D150" s="148" t="str">
        <f>IF(A151&lt;=$A$127,$B$126,IF(A151&lt;=$A$128,$B$127,IF(A151&lt;=$A$129,$B$128,IF(A151&lt;=$A$130,$B$129,IF(A151&lt;=$A$132,$B$130,IF(A151&lt;=$A$133,$B$132,IF(A151&lt;=$A$134,$B$133,IF(A151&lt;=$A$135,$B$134))))))))</f>
        <v>-</v>
      </c>
      <c r="E150" s="82"/>
      <c r="F150" s="145"/>
      <c r="G150" s="146">
        <f>IF(F151&lt;=$A$127,$A$126,IF(F151&lt;=$A$128,$A$127,IF(F151&lt;=$A$129,$A$128,IF(F151&lt;=$A$130,$A$129,IF(F151&lt;=$A$132,$A$130,IF(F151&lt;=$A$133,$A$132,IF(F151&lt;=$A$134,$A$133,IF(F151&lt;=$A$135,$A$134))))))))</f>
        <v>120</v>
      </c>
      <c r="H150" s="146"/>
      <c r="I150" s="148">
        <f>IF(F151&lt;=$A$127,$E$126,IF(F151&lt;=$A$128,$E$127,IF(F151&lt;=$A$129,$E$128,IF(F151&lt;=$A$130,$E$129,IF(F151&lt;=$A$132,$D$130,IF(F151&lt;=$A$133,$D$132,IF(F151&lt;=$A$134,$D$133,IF(F151&lt;=$A$135,$D$134))))))))</f>
        <v>0.06</v>
      </c>
      <c r="J150" s="82"/>
      <c r="K150" s="136"/>
      <c r="L150" s="149"/>
      <c r="M150" s="149"/>
      <c r="N150" s="150"/>
      <c r="P150" s="119"/>
      <c r="Q150" s="119"/>
    </row>
    <row r="151" spans="1:17" ht="13" x14ac:dyDescent="0.3">
      <c r="A151" s="151">
        <f>B159</f>
        <v>180</v>
      </c>
      <c r="B151" s="146"/>
      <c r="C151" s="152" t="str">
        <f>IFERROR((A151-B150)/(B152-B150)*(D152-D150)+D150,"-")</f>
        <v>-</v>
      </c>
      <c r="D151" s="147"/>
      <c r="E151" s="82"/>
      <c r="F151" s="151">
        <f>B159</f>
        <v>180</v>
      </c>
      <c r="G151" s="146"/>
      <c r="H151" s="152">
        <f>((F151-G150)/(G152-G150)*(I152-I150)+I150)</f>
        <v>0.06</v>
      </c>
      <c r="I151" s="148"/>
      <c r="J151" s="82"/>
      <c r="K151" s="136"/>
      <c r="L151" s="149"/>
      <c r="M151" s="149"/>
      <c r="N151" s="150"/>
      <c r="P151" s="119"/>
      <c r="Q151" s="119"/>
    </row>
    <row r="152" spans="1:17" ht="13.5" thickBot="1" x14ac:dyDescent="0.35">
      <c r="A152" s="154"/>
      <c r="B152" s="155">
        <f>IF(A151&lt;=$A$127,$A$127,IF(A151&lt;=$A$128,$A$128,IF(A151&lt;=$A$129,$A$129,IF(A151&lt;=$A$130,$A$130,IF(A151&lt;=$A$132,$A$132,IF(A151&lt;=$A$133,$A$133,IF(A151&lt;=$A$134,$A$134,IF(A151&lt;=$A$135,$A$135))))))))</f>
        <v>180</v>
      </c>
      <c r="C152" s="155"/>
      <c r="D152" s="156" t="str">
        <f>IF(A151&lt;=$A$127,$B$127,IF(A151&lt;=$A$128,$B$128,IF(A151&lt;=$A$129,$B$129,IF(A151&lt;=$A$130,$B$130,IF(A151&lt;=$A$132,$B$132,IF(A151&lt;=$A$133,$B$133,IF(A151&lt;=$A$134,$B$134,IF(A151&lt;=$A$135,$B$135))))))))</f>
        <v>-</v>
      </c>
      <c r="E152" s="82"/>
      <c r="F152" s="154"/>
      <c r="G152" s="155">
        <f>IF(F151&lt;=$A$127,$A$127,IF(F151&lt;=$A$128,$A$128,IF(F151&lt;=$A$129,$A$129,IF(F151&lt;=$A$130,$A$130,IF(F151&lt;=$A$132,$A$132,IF(F151&lt;=$A$133,$A$133,IF(F151&lt;=$A$134,$A$134,IF(F151&lt;=$A$135,$A$135))))))))</f>
        <v>180</v>
      </c>
      <c r="H152" s="155"/>
      <c r="I152" s="157">
        <f>IF(F151&lt;=$A$127,$E$127,IF(F151&lt;=$A$128,$E$128,IF(F151&lt;=$A$129,$E$129,IF(F151&lt;=$A$130,$D$130,IF(F151&lt;=$A$132,$D$132,IF(F151&lt;=$A$133,$D$133,IF(F151&lt;=$A$134,$D$134,IF(F151&lt;=$A$135,$D$135))))))))</f>
        <v>0.06</v>
      </c>
      <c r="J152" s="82"/>
      <c r="K152" s="136"/>
      <c r="L152" s="149"/>
      <c r="M152" s="149"/>
      <c r="N152" s="150"/>
      <c r="P152" s="119"/>
      <c r="Q152" s="119"/>
    </row>
    <row r="153" spans="1:17" ht="13" x14ac:dyDescent="0.3">
      <c r="A153" s="215"/>
      <c r="B153" s="149"/>
      <c r="C153" s="149"/>
      <c r="D153" s="149"/>
      <c r="E153" s="82"/>
      <c r="F153" s="136"/>
      <c r="G153" s="149"/>
      <c r="H153" s="149"/>
      <c r="I153" s="150"/>
      <c r="J153" s="82"/>
      <c r="K153" s="136"/>
      <c r="L153" s="149"/>
      <c r="M153" s="149"/>
      <c r="N153" s="150"/>
      <c r="P153" s="119"/>
      <c r="Q153" s="119"/>
    </row>
    <row r="154" spans="1:17" ht="13.5" thickBot="1" x14ac:dyDescent="0.35">
      <c r="A154" s="144"/>
      <c r="B154" s="538"/>
      <c r="C154" s="82"/>
      <c r="D154" s="82"/>
      <c r="E154" s="82"/>
      <c r="F154" s="82"/>
      <c r="G154" s="82"/>
      <c r="H154" s="82"/>
      <c r="I154" s="82"/>
      <c r="J154" s="82"/>
      <c r="P154" s="216"/>
      <c r="Q154" s="119"/>
    </row>
    <row r="155" spans="1:17" ht="48.75" customHeight="1" thickBot="1" x14ac:dyDescent="0.3">
      <c r="A155" s="638" t="s">
        <v>507</v>
      </c>
      <c r="B155" s="634" t="s">
        <v>167</v>
      </c>
      <c r="C155" s="639" t="s">
        <v>448</v>
      </c>
      <c r="D155" s="634" t="s">
        <v>420</v>
      </c>
      <c r="E155" s="634" t="s">
        <v>421</v>
      </c>
      <c r="F155" s="634" t="s">
        <v>508</v>
      </c>
      <c r="G155" s="634" t="s">
        <v>451</v>
      </c>
      <c r="H155" s="705" t="s">
        <v>158</v>
      </c>
      <c r="I155" s="640" t="s">
        <v>509</v>
      </c>
      <c r="J155" s="639" t="s">
        <v>453</v>
      </c>
      <c r="K155" s="639" t="s">
        <v>454</v>
      </c>
      <c r="L155" s="641" t="s">
        <v>455</v>
      </c>
    </row>
    <row r="156" spans="1:17" ht="13.5" thickBot="1" x14ac:dyDescent="0.3">
      <c r="A156" s="644">
        <f>ID!D53</f>
        <v>30</v>
      </c>
      <c r="B156" s="666">
        <f>AVERAGE(ID!E53:J53)</f>
        <v>30</v>
      </c>
      <c r="C156" s="158">
        <f>D126</f>
        <v>0</v>
      </c>
      <c r="D156" s="669">
        <f>B156+C156</f>
        <v>30</v>
      </c>
      <c r="E156" s="645">
        <f>STDEV(ID!E53:J53)</f>
        <v>0</v>
      </c>
      <c r="F156" s="645">
        <f>A156-B156</f>
        <v>0</v>
      </c>
      <c r="G156" s="645">
        <f>(F156/A156)*100</f>
        <v>0</v>
      </c>
      <c r="H156" s="159">
        <f>D156-A156</f>
        <v>0</v>
      </c>
      <c r="I156" s="664">
        <f>(D156-B156)/B156*100</f>
        <v>0</v>
      </c>
      <c r="J156" s="646">
        <f>G126</f>
        <v>0.18</v>
      </c>
      <c r="K156" s="1686">
        <f>0.5*1</f>
        <v>0.5</v>
      </c>
      <c r="L156" s="647">
        <f>E126</f>
        <v>0.06</v>
      </c>
    </row>
    <row r="157" spans="1:17" ht="13.5" thickBot="1" x14ac:dyDescent="0.3">
      <c r="A157" s="316">
        <f>ID!D54</f>
        <v>60</v>
      </c>
      <c r="B157" s="667">
        <f>AVERAGE(ID!E54:J54)</f>
        <v>60</v>
      </c>
      <c r="C157" s="158">
        <f t="shared" ref="C157:C160" si="0">D127</f>
        <v>-0.12</v>
      </c>
      <c r="D157" s="637">
        <f>B157+C157</f>
        <v>59.88</v>
      </c>
      <c r="E157" s="158">
        <f>STDEV(ID!E54:J54)</f>
        <v>0</v>
      </c>
      <c r="F157" s="158">
        <f>A157-B157</f>
        <v>0</v>
      </c>
      <c r="G157" s="158">
        <f>(F157/A157)*100</f>
        <v>0</v>
      </c>
      <c r="H157" s="159">
        <f>D157-A157</f>
        <v>-0.11999999999999744</v>
      </c>
      <c r="I157" s="213">
        <f>(D157-B157)/B157*100</f>
        <v>-0.19999999999999576</v>
      </c>
      <c r="J157" s="646">
        <f t="shared" ref="J157:J160" si="1">G127</f>
        <v>0.18</v>
      </c>
      <c r="K157" s="1687"/>
      <c r="L157" s="647">
        <f t="shared" ref="L157:L160" si="2">E127</f>
        <v>0.06</v>
      </c>
    </row>
    <row r="158" spans="1:17" ht="13.5" thickBot="1" x14ac:dyDescent="0.3">
      <c r="A158" s="316">
        <f>ID!D55</f>
        <v>120</v>
      </c>
      <c r="B158" s="667">
        <f>AVERAGE(ID!E55:J55)</f>
        <v>120</v>
      </c>
      <c r="C158" s="158">
        <f t="shared" si="0"/>
        <v>-0.12</v>
      </c>
      <c r="D158" s="637">
        <f>B158+C158</f>
        <v>119.88</v>
      </c>
      <c r="E158" s="158">
        <f>STDEV(ID!E55:J55)</f>
        <v>0</v>
      </c>
      <c r="F158" s="158">
        <f>A158-B158</f>
        <v>0</v>
      </c>
      <c r="G158" s="158">
        <f>(F158/A158)*100</f>
        <v>0</v>
      </c>
      <c r="H158" s="159">
        <f>D158-A158</f>
        <v>-0.12000000000000455</v>
      </c>
      <c r="I158" s="213">
        <f>(D158-B158)/B158*100</f>
        <v>-0.10000000000000379</v>
      </c>
      <c r="J158" s="646">
        <f t="shared" si="1"/>
        <v>0.18</v>
      </c>
      <c r="K158" s="1687"/>
      <c r="L158" s="647">
        <f t="shared" si="2"/>
        <v>0.06</v>
      </c>
    </row>
    <row r="159" spans="1:17" ht="13.5" thickBot="1" x14ac:dyDescent="0.3">
      <c r="A159" s="316">
        <f>ID!D56</f>
        <v>180</v>
      </c>
      <c r="B159" s="667">
        <f>AVERAGE(ID!E56:J56)</f>
        <v>180</v>
      </c>
      <c r="C159" s="158">
        <f t="shared" si="0"/>
        <v>0.12</v>
      </c>
      <c r="D159" s="637">
        <f>B159+C159</f>
        <v>180.12</v>
      </c>
      <c r="E159" s="158">
        <f>STDEV(ID!E56:J56)</f>
        <v>0</v>
      </c>
      <c r="F159" s="158">
        <f>A159-B159</f>
        <v>0</v>
      </c>
      <c r="G159" s="158">
        <f>(F159/A159)*100</f>
        <v>0</v>
      </c>
      <c r="H159" s="159">
        <f>D159-A159</f>
        <v>0.12000000000000455</v>
      </c>
      <c r="I159" s="213">
        <f>(D159-B159)/B159*100</f>
        <v>6.6666666666669191E-2</v>
      </c>
      <c r="J159" s="646">
        <f t="shared" si="1"/>
        <v>0.18</v>
      </c>
      <c r="K159" s="1687"/>
      <c r="L159" s="647">
        <f t="shared" si="2"/>
        <v>0.06</v>
      </c>
    </row>
    <row r="160" spans="1:17" ht="13.5" thickBot="1" x14ac:dyDescent="0.3">
      <c r="A160" s="317">
        <f>ID!D57</f>
        <v>240</v>
      </c>
      <c r="B160" s="668">
        <f>AVERAGE(ID!E57:J57)</f>
        <v>240</v>
      </c>
      <c r="C160" s="158">
        <f t="shared" si="0"/>
        <v>-0.12</v>
      </c>
      <c r="D160" s="670">
        <f>B160+C160</f>
        <v>239.88</v>
      </c>
      <c r="E160" s="160">
        <f>STDEV(ID!E57:J57)</f>
        <v>0</v>
      </c>
      <c r="F160" s="160">
        <f>A160-B160</f>
        <v>0</v>
      </c>
      <c r="G160" s="160">
        <f>(F160/A160)*100</f>
        <v>0</v>
      </c>
      <c r="H160" s="161">
        <f>D160-A160</f>
        <v>-0.12000000000000455</v>
      </c>
      <c r="I160" s="665">
        <f>(D160-B160)/B160*100</f>
        <v>-5.0000000000001897E-2</v>
      </c>
      <c r="J160" s="646">
        <f t="shared" si="1"/>
        <v>0.18</v>
      </c>
      <c r="K160" s="1688"/>
      <c r="L160" s="647">
        <f t="shared" si="2"/>
        <v>0.06</v>
      </c>
    </row>
    <row r="161" spans="1:27" ht="13" thickBot="1" x14ac:dyDescent="0.3"/>
    <row r="162" spans="1:27" ht="15" thickBot="1" x14ac:dyDescent="0.4">
      <c r="A162" s="162" t="str">
        <f>ID!B69</f>
        <v>Multiparameter Simulator, Merek : RIGEL , Model : PatSim200, SN : 11L-0293</v>
      </c>
      <c r="B162" s="163"/>
      <c r="C162" s="163"/>
      <c r="D162" s="163"/>
      <c r="E162" s="163"/>
      <c r="F162" s="163"/>
      <c r="G162" s="163"/>
      <c r="H162" s="163"/>
      <c r="I162" s="1699" t="s">
        <v>488</v>
      </c>
      <c r="J162" s="1700"/>
      <c r="K162" s="164"/>
      <c r="L162" s="1701" t="s">
        <v>489</v>
      </c>
      <c r="M162" s="1702"/>
      <c r="P162" s="1703">
        <f>A175</f>
        <v>9</v>
      </c>
      <c r="Q162" s="1704"/>
      <c r="R162" s="1704"/>
      <c r="S162" s="1704"/>
      <c r="T162" s="1704"/>
      <c r="U162" s="1704"/>
      <c r="V162" s="1704"/>
      <c r="W162" s="1704"/>
      <c r="X162" s="1704"/>
      <c r="Y162" s="1704"/>
      <c r="Z162" s="1704"/>
      <c r="AA162" s="1705"/>
    </row>
    <row r="163" spans="1:27" ht="14" x14ac:dyDescent="0.3">
      <c r="A163" s="233" t="s">
        <v>510</v>
      </c>
      <c r="B163" s="165"/>
      <c r="C163" s="165"/>
      <c r="D163" s="165"/>
      <c r="E163" s="165"/>
      <c r="F163" s="165"/>
      <c r="G163" s="165"/>
      <c r="H163" s="165"/>
      <c r="I163" s="166">
        <f>B5</f>
        <v>2018</v>
      </c>
      <c r="J163" s="166">
        <f>C5</f>
        <v>2020</v>
      </c>
      <c r="K163" s="167">
        <v>1</v>
      </c>
      <c r="L163" s="1706">
        <f t="shared" ref="L163:L174" si="3">0.5*1</f>
        <v>0.5</v>
      </c>
      <c r="M163" s="1707"/>
      <c r="P163" s="168">
        <v>1</v>
      </c>
      <c r="Q163" s="169" t="s">
        <v>511</v>
      </c>
      <c r="R163" s="170"/>
      <c r="S163" s="170"/>
      <c r="T163" s="170"/>
      <c r="U163" s="170"/>
      <c r="V163" s="170"/>
      <c r="W163" s="170"/>
      <c r="X163" s="170"/>
      <c r="Y163" s="170"/>
      <c r="Z163" s="170"/>
      <c r="AA163" s="171"/>
    </row>
    <row r="164" spans="1:27" ht="14" x14ac:dyDescent="0.3">
      <c r="A164" s="233" t="s">
        <v>512</v>
      </c>
      <c r="B164" s="172"/>
      <c r="C164" s="172"/>
      <c r="D164" s="172"/>
      <c r="E164" s="172"/>
      <c r="F164" s="172"/>
      <c r="G164" s="172"/>
      <c r="H164" s="172"/>
      <c r="I164" s="173">
        <f>H5</f>
        <v>2017</v>
      </c>
      <c r="J164" s="173">
        <f>I5</f>
        <v>2018</v>
      </c>
      <c r="K164" s="174">
        <v>2</v>
      </c>
      <c r="L164" s="1697">
        <f t="shared" si="3"/>
        <v>0.5</v>
      </c>
      <c r="M164" s="1698"/>
      <c r="P164" s="168">
        <v>2</v>
      </c>
      <c r="Q164" s="169" t="s">
        <v>513</v>
      </c>
      <c r="R164" s="170"/>
      <c r="S164" s="170"/>
      <c r="T164" s="170"/>
      <c r="U164" s="170"/>
      <c r="V164" s="170"/>
      <c r="W164" s="170"/>
      <c r="X164" s="170"/>
      <c r="Y164" s="170"/>
      <c r="Z164" s="170"/>
      <c r="AA164" s="171"/>
    </row>
    <row r="165" spans="1:27" ht="14" x14ac:dyDescent="0.3">
      <c r="A165" s="233" t="s">
        <v>514</v>
      </c>
      <c r="B165" s="175"/>
      <c r="C165" s="175"/>
      <c r="D165" s="175"/>
      <c r="E165" s="175"/>
      <c r="F165" s="175"/>
      <c r="G165" s="175"/>
      <c r="H165" s="175"/>
      <c r="I165" s="173">
        <f>N5</f>
        <v>2015</v>
      </c>
      <c r="J165" s="173">
        <f>O5</f>
        <v>2016</v>
      </c>
      <c r="K165" s="167">
        <v>3</v>
      </c>
      <c r="L165" s="1697">
        <f t="shared" si="3"/>
        <v>0.5</v>
      </c>
      <c r="M165" s="1698"/>
      <c r="P165" s="168">
        <v>3</v>
      </c>
      <c r="Q165" s="169" t="s">
        <v>513</v>
      </c>
      <c r="R165" s="170"/>
      <c r="S165" s="170"/>
      <c r="T165" s="170"/>
      <c r="U165" s="170"/>
      <c r="V165" s="170"/>
      <c r="W165" s="170"/>
      <c r="X165" s="170"/>
      <c r="Y165" s="170"/>
      <c r="Z165" s="170"/>
      <c r="AA165" s="171"/>
    </row>
    <row r="166" spans="1:27" ht="14" x14ac:dyDescent="0.3">
      <c r="A166" s="233" t="s">
        <v>515</v>
      </c>
      <c r="B166" s="175"/>
      <c r="C166" s="175"/>
      <c r="D166" s="175"/>
      <c r="E166" s="175"/>
      <c r="F166" s="175"/>
      <c r="G166" s="175"/>
      <c r="H166" s="175"/>
      <c r="I166" s="173">
        <f>B18</f>
        <v>2014</v>
      </c>
      <c r="J166" s="173">
        <f>C18</f>
        <v>2017</v>
      </c>
      <c r="K166" s="174">
        <v>4</v>
      </c>
      <c r="L166" s="1697">
        <f t="shared" si="3"/>
        <v>0.5</v>
      </c>
      <c r="M166" s="1698"/>
      <c r="P166" s="168">
        <v>4</v>
      </c>
      <c r="Q166" s="169" t="s">
        <v>513</v>
      </c>
      <c r="R166" s="170"/>
      <c r="S166" s="170"/>
      <c r="T166" s="170"/>
      <c r="U166" s="170"/>
      <c r="V166" s="170"/>
      <c r="W166" s="170"/>
      <c r="X166" s="170"/>
      <c r="Y166" s="170"/>
      <c r="Z166" s="170"/>
      <c r="AA166" s="171"/>
    </row>
    <row r="167" spans="1:27" ht="14" x14ac:dyDescent="0.3">
      <c r="A167" s="233" t="s">
        <v>516</v>
      </c>
      <c r="B167" s="175"/>
      <c r="C167" s="175"/>
      <c r="D167" s="175"/>
      <c r="E167" s="175"/>
      <c r="F167" s="175"/>
      <c r="G167" s="175"/>
      <c r="H167" s="175"/>
      <c r="I167" s="173">
        <f>H18</f>
        <v>2017</v>
      </c>
      <c r="J167" s="173">
        <f>I18</f>
        <v>2020</v>
      </c>
      <c r="K167" s="167">
        <v>5</v>
      </c>
      <c r="L167" s="1697">
        <f t="shared" si="3"/>
        <v>0.5</v>
      </c>
      <c r="M167" s="1698"/>
      <c r="P167" s="168">
        <v>5</v>
      </c>
      <c r="Q167" s="169" t="s">
        <v>511</v>
      </c>
      <c r="R167" s="170"/>
      <c r="S167" s="170"/>
      <c r="T167" s="170"/>
      <c r="U167" s="170"/>
      <c r="V167" s="170"/>
      <c r="W167" s="170"/>
      <c r="X167" s="170"/>
      <c r="Y167" s="170"/>
      <c r="Z167" s="170"/>
      <c r="AA167" s="171"/>
    </row>
    <row r="168" spans="1:27" ht="14" x14ac:dyDescent="0.3">
      <c r="A168" s="233" t="s">
        <v>517</v>
      </c>
      <c r="B168" s="175"/>
      <c r="C168" s="175"/>
      <c r="D168" s="175"/>
      <c r="E168" s="175"/>
      <c r="F168" s="175"/>
      <c r="G168" s="175"/>
      <c r="H168" s="175"/>
      <c r="I168" s="173">
        <f>N18</f>
        <v>2017</v>
      </c>
      <c r="J168" s="173">
        <f>O18</f>
        <v>2020</v>
      </c>
      <c r="K168" s="174">
        <v>6</v>
      </c>
      <c r="L168" s="1697">
        <f t="shared" si="3"/>
        <v>0.5</v>
      </c>
      <c r="M168" s="1698"/>
      <c r="P168" s="168">
        <v>6</v>
      </c>
      <c r="Q168" s="169" t="s">
        <v>511</v>
      </c>
      <c r="R168" s="170"/>
      <c r="S168" s="170"/>
      <c r="T168" s="170"/>
      <c r="U168" s="170"/>
      <c r="V168" s="170"/>
      <c r="W168" s="170"/>
      <c r="X168" s="170"/>
      <c r="Y168" s="170"/>
      <c r="Z168" s="170"/>
      <c r="AA168" s="171"/>
    </row>
    <row r="169" spans="1:27" ht="14" x14ac:dyDescent="0.3">
      <c r="A169" s="651" t="s">
        <v>518</v>
      </c>
      <c r="B169" s="175"/>
      <c r="C169" s="175"/>
      <c r="D169" s="175"/>
      <c r="E169" s="175"/>
      <c r="F169" s="175"/>
      <c r="G169" s="175"/>
      <c r="H169" s="652"/>
      <c r="I169" s="650">
        <f>B32</f>
        <v>2018</v>
      </c>
      <c r="J169" s="173">
        <f>C32</f>
        <v>2020</v>
      </c>
      <c r="K169" s="167">
        <v>7</v>
      </c>
      <c r="L169" s="1697">
        <f t="shared" si="3"/>
        <v>0.5</v>
      </c>
      <c r="M169" s="1698"/>
      <c r="P169" s="168">
        <v>7</v>
      </c>
      <c r="Q169" s="169" t="s">
        <v>511</v>
      </c>
      <c r="R169" s="170"/>
      <c r="S169" s="170"/>
      <c r="T169" s="170"/>
      <c r="U169" s="170"/>
      <c r="V169" s="170"/>
      <c r="W169" s="170"/>
      <c r="X169" s="170"/>
      <c r="Y169" s="170"/>
      <c r="Z169" s="170"/>
      <c r="AA169" s="171"/>
    </row>
    <row r="170" spans="1:27" ht="14" x14ac:dyDescent="0.3">
      <c r="A170" s="654" t="s">
        <v>519</v>
      </c>
      <c r="B170" s="172"/>
      <c r="C170" s="172"/>
      <c r="D170" s="172"/>
      <c r="E170" s="172"/>
      <c r="F170" s="172"/>
      <c r="G170" s="172"/>
      <c r="H170" s="655"/>
      <c r="I170" s="173" t="str">
        <f>H32</f>
        <v>-</v>
      </c>
      <c r="J170" s="173">
        <f>I32</f>
        <v>2020</v>
      </c>
      <c r="K170" s="167">
        <v>8</v>
      </c>
      <c r="L170" s="1706">
        <f t="shared" si="3"/>
        <v>0.5</v>
      </c>
      <c r="M170" s="1707"/>
      <c r="P170" s="168">
        <v>8</v>
      </c>
      <c r="Q170" s="169" t="s">
        <v>511</v>
      </c>
      <c r="R170" s="578"/>
      <c r="S170" s="578"/>
      <c r="T170" s="578"/>
      <c r="U170" s="578"/>
      <c r="V170" s="578"/>
      <c r="W170" s="578"/>
      <c r="X170" s="578"/>
      <c r="Y170" s="578"/>
      <c r="Z170" s="578"/>
      <c r="AA170" s="588"/>
    </row>
    <row r="171" spans="1:27" ht="14" x14ac:dyDescent="0.3">
      <c r="A171" s="656" t="s">
        <v>520</v>
      </c>
      <c r="B171" s="165"/>
      <c r="C171" s="165"/>
      <c r="D171" s="165"/>
      <c r="E171" s="165"/>
      <c r="F171" s="165"/>
      <c r="G171" s="165"/>
      <c r="H171" s="653"/>
      <c r="I171" s="173" t="str">
        <f>N32</f>
        <v>-</v>
      </c>
      <c r="J171" s="173">
        <f>O32</f>
        <v>2020</v>
      </c>
      <c r="K171" s="174">
        <v>9</v>
      </c>
      <c r="L171" s="1697">
        <f t="shared" si="3"/>
        <v>0.5</v>
      </c>
      <c r="M171" s="1698"/>
      <c r="P171" s="168">
        <v>9</v>
      </c>
      <c r="Q171" s="169" t="s">
        <v>511</v>
      </c>
      <c r="R171" s="578"/>
      <c r="S171" s="578"/>
      <c r="T171" s="578"/>
      <c r="U171" s="578"/>
      <c r="V171" s="578"/>
      <c r="W171" s="578"/>
      <c r="X171" s="578"/>
      <c r="Y171" s="578"/>
      <c r="Z171" s="578"/>
      <c r="AA171" s="588"/>
    </row>
    <row r="172" spans="1:27" ht="14" x14ac:dyDescent="0.3">
      <c r="A172" s="679" t="s">
        <v>521</v>
      </c>
      <c r="B172" s="680"/>
      <c r="C172" s="680"/>
      <c r="D172" s="165"/>
      <c r="E172" s="165"/>
      <c r="F172" s="165"/>
      <c r="G172" s="165"/>
      <c r="H172" s="653"/>
      <c r="I172" s="173">
        <f>B45</f>
        <v>2016</v>
      </c>
      <c r="J172" s="173">
        <f>C45</f>
        <v>2018</v>
      </c>
      <c r="K172" s="167">
        <v>10</v>
      </c>
      <c r="L172" s="1697">
        <f t="shared" si="3"/>
        <v>0.5</v>
      </c>
      <c r="M172" s="1698"/>
      <c r="P172" s="168">
        <v>10</v>
      </c>
      <c r="Q172" s="169" t="s">
        <v>513</v>
      </c>
      <c r="R172" s="578"/>
      <c r="S172" s="578"/>
      <c r="T172" s="578"/>
      <c r="U172" s="578"/>
      <c r="V172" s="578"/>
      <c r="W172" s="578"/>
      <c r="X172" s="578"/>
      <c r="Y172" s="578"/>
      <c r="Z172" s="578"/>
      <c r="AA172" s="588"/>
    </row>
    <row r="173" spans="1:27" ht="14" x14ac:dyDescent="0.3">
      <c r="A173" s="681" t="s">
        <v>522</v>
      </c>
      <c r="B173" s="682"/>
      <c r="C173" s="682"/>
      <c r="D173" s="172"/>
      <c r="E173" s="172"/>
      <c r="F173" s="172"/>
      <c r="G173" s="172"/>
      <c r="H173" s="655"/>
      <c r="I173" s="173" t="str">
        <f>H45</f>
        <v>-</v>
      </c>
      <c r="J173" s="685">
        <f>I45</f>
        <v>2018</v>
      </c>
      <c r="K173" s="167">
        <v>11</v>
      </c>
      <c r="L173" s="1708">
        <f t="shared" si="3"/>
        <v>0.5</v>
      </c>
      <c r="M173" s="1709"/>
      <c r="P173" s="168">
        <v>11</v>
      </c>
      <c r="Q173" s="169" t="s">
        <v>513</v>
      </c>
      <c r="R173" s="578"/>
      <c r="S173" s="578"/>
      <c r="T173" s="578"/>
      <c r="U173" s="578"/>
      <c r="V173" s="578"/>
      <c r="W173" s="578"/>
      <c r="X173" s="578"/>
      <c r="Y173" s="578"/>
      <c r="Z173" s="578"/>
      <c r="AA173" s="588"/>
    </row>
    <row r="174" spans="1:27" ht="14.5" thickBot="1" x14ac:dyDescent="0.35">
      <c r="A174" s="683" t="s">
        <v>173</v>
      </c>
      <c r="B174" s="684"/>
      <c r="C174" s="684"/>
      <c r="D174" s="678"/>
      <c r="E174" s="625"/>
      <c r="F174" s="625"/>
      <c r="G174" s="625"/>
      <c r="H174" s="625"/>
      <c r="I174" s="677">
        <f>N45</f>
        <v>2015</v>
      </c>
      <c r="J174" s="686">
        <f>O45</f>
        <v>2017</v>
      </c>
      <c r="K174" s="174">
        <v>12</v>
      </c>
      <c r="L174" s="1708">
        <f t="shared" si="3"/>
        <v>0.5</v>
      </c>
      <c r="M174" s="1709"/>
      <c r="P174" s="168">
        <v>12</v>
      </c>
      <c r="Q174" s="169" t="s">
        <v>513</v>
      </c>
      <c r="R174" s="578"/>
      <c r="S174" s="578"/>
      <c r="T174" s="578"/>
      <c r="U174" s="578"/>
      <c r="V174" s="578"/>
      <c r="W174" s="578"/>
      <c r="X174" s="578"/>
      <c r="Y174" s="578"/>
      <c r="Z174" s="578"/>
      <c r="AA174" s="588"/>
    </row>
    <row r="175" spans="1:27" ht="13.5" thickBot="1" x14ac:dyDescent="0.3">
      <c r="A175" s="1689">
        <f>VLOOKUP(A162,A163:K174,11,(FALSE))</f>
        <v>9</v>
      </c>
      <c r="B175" s="1690"/>
      <c r="C175" s="1690"/>
      <c r="D175" s="1690"/>
      <c r="E175" s="1690"/>
      <c r="F175" s="1690"/>
      <c r="G175" s="1690"/>
      <c r="H175" s="1690"/>
      <c r="I175" s="1690"/>
      <c r="J175" s="1690"/>
      <c r="K175" s="1691"/>
      <c r="L175" s="1692">
        <f>VLOOKUP(A175,K163:M174,2,FALSE)</f>
        <v>0.5</v>
      </c>
      <c r="M175" s="1693"/>
      <c r="P175" s="1694" t="str">
        <f>VLOOKUP(P162,P163:AA174,2,FALSE)</f>
        <v>Hasil kalibrasi ECG tertelusur ke Satuan Internasional melalui DIRJEN YANKES BPFK JAKARTA</v>
      </c>
      <c r="Q175" s="1695"/>
      <c r="R175" s="1695"/>
      <c r="S175" s="1695"/>
      <c r="T175" s="1695"/>
      <c r="U175" s="1695"/>
      <c r="V175" s="1695"/>
      <c r="W175" s="1695"/>
      <c r="X175" s="1695"/>
      <c r="Y175" s="1695"/>
      <c r="Z175" s="1695"/>
      <c r="AA175" s="1696"/>
    </row>
    <row r="176" spans="1:27" ht="14.5" x14ac:dyDescent="0.35">
      <c r="A176" s="176"/>
      <c r="B176" s="177"/>
      <c r="C176" s="82"/>
      <c r="D176" s="82"/>
      <c r="E176" s="82"/>
      <c r="F176" s="82"/>
      <c r="G176" s="86"/>
      <c r="H176" s="86"/>
      <c r="I176" s="86"/>
      <c r="J176" s="86"/>
      <c r="K176" s="176"/>
      <c r="L176" s="86"/>
    </row>
    <row r="177" spans="1:2" x14ac:dyDescent="0.25">
      <c r="A177" s="687"/>
    </row>
    <row r="178" spans="1:2" ht="14" x14ac:dyDescent="0.25">
      <c r="A178" s="471"/>
      <c r="B178" s="343"/>
    </row>
    <row r="179" spans="1:2" ht="14" x14ac:dyDescent="0.25">
      <c r="A179" s="697"/>
      <c r="B179" s="343"/>
    </row>
    <row r="180" spans="1:2" ht="14" x14ac:dyDescent="0.25">
      <c r="A180" s="380"/>
      <c r="B180" s="343"/>
    </row>
    <row r="181" spans="1:2" ht="14" x14ac:dyDescent="0.25">
      <c r="A181" s="380"/>
      <c r="B181" s="343"/>
    </row>
    <row r="182" spans="1:2" ht="14" x14ac:dyDescent="0.3">
      <c r="A182" s="451"/>
      <c r="B182" s="343"/>
    </row>
    <row r="183" spans="1:2" ht="14" x14ac:dyDescent="0.3">
      <c r="A183" s="451"/>
      <c r="B183" s="343"/>
    </row>
    <row r="184" spans="1:2" ht="14" x14ac:dyDescent="0.25">
      <c r="A184" s="698"/>
    </row>
  </sheetData>
  <mergeCells count="135">
    <mergeCell ref="A175:K175"/>
    <mergeCell ref="L175:M175"/>
    <mergeCell ref="P175:AA175"/>
    <mergeCell ref="L166:M166"/>
    <mergeCell ref="L167:M167"/>
    <mergeCell ref="L168:M168"/>
    <mergeCell ref="L169:M169"/>
    <mergeCell ref="I162:J162"/>
    <mergeCell ref="L162:M162"/>
    <mergeCell ref="P162:AA162"/>
    <mergeCell ref="L163:M163"/>
    <mergeCell ref="L164:M164"/>
    <mergeCell ref="L165:M165"/>
    <mergeCell ref="L174:M174"/>
    <mergeCell ref="L170:M170"/>
    <mergeCell ref="L171:M171"/>
    <mergeCell ref="L172:M172"/>
    <mergeCell ref="L173:M173"/>
    <mergeCell ref="A149:D149"/>
    <mergeCell ref="F149:I149"/>
    <mergeCell ref="K156:K160"/>
    <mergeCell ref="A137:D137"/>
    <mergeCell ref="F137:I137"/>
    <mergeCell ref="K137:N137"/>
    <mergeCell ref="A141:D141"/>
    <mergeCell ref="F141:I141"/>
    <mergeCell ref="K141:N141"/>
    <mergeCell ref="B123:E123"/>
    <mergeCell ref="H123:K123"/>
    <mergeCell ref="B124:C124"/>
    <mergeCell ref="G124:G125"/>
    <mergeCell ref="H124:I124"/>
    <mergeCell ref="K124:K125"/>
    <mergeCell ref="A145:D145"/>
    <mergeCell ref="F145:I145"/>
    <mergeCell ref="K145:N145"/>
    <mergeCell ref="D124:D125"/>
    <mergeCell ref="E126:F126"/>
    <mergeCell ref="E127:F127"/>
    <mergeCell ref="E128:F128"/>
    <mergeCell ref="E129:F129"/>
    <mergeCell ref="E130:F130"/>
    <mergeCell ref="E124:F125"/>
    <mergeCell ref="Q97:Q100"/>
    <mergeCell ref="H102:H105"/>
    <mergeCell ref="Q102:Q105"/>
    <mergeCell ref="H85:H88"/>
    <mergeCell ref="Q85:Q88"/>
    <mergeCell ref="H90:H93"/>
    <mergeCell ref="Q90:Q93"/>
    <mergeCell ref="M58:N59"/>
    <mergeCell ref="P58:P60"/>
    <mergeCell ref="Q58:Q60"/>
    <mergeCell ref="A55:Q55"/>
    <mergeCell ref="A58:A60"/>
    <mergeCell ref="B58:B60"/>
    <mergeCell ref="C58:C59"/>
    <mergeCell ref="D58:E59"/>
    <mergeCell ref="G58:G60"/>
    <mergeCell ref="H58:H60"/>
    <mergeCell ref="P30:P32"/>
    <mergeCell ref="Q30:Q32"/>
    <mergeCell ref="A43:C43"/>
    <mergeCell ref="D43:D45"/>
    <mergeCell ref="K43:K45"/>
    <mergeCell ref="H44:I44"/>
    <mergeCell ref="M43:O43"/>
    <mergeCell ref="P43:P45"/>
    <mergeCell ref="G42:K42"/>
    <mergeCell ref="K58:K60"/>
    <mergeCell ref="L58:L59"/>
    <mergeCell ref="J58:J60"/>
    <mergeCell ref="M15:Q15"/>
    <mergeCell ref="A30:C30"/>
    <mergeCell ref="D30:D32"/>
    <mergeCell ref="E30:E32"/>
    <mergeCell ref="F30:F54"/>
    <mergeCell ref="G30:I30"/>
    <mergeCell ref="J30:J32"/>
    <mergeCell ref="D16:D18"/>
    <mergeCell ref="E16:E18"/>
    <mergeCell ref="G16:I16"/>
    <mergeCell ref="J16:J18"/>
    <mergeCell ref="G43:I43"/>
    <mergeCell ref="J43:J45"/>
    <mergeCell ref="M30:O30"/>
    <mergeCell ref="Q43:Q45"/>
    <mergeCell ref="N44:O44"/>
    <mergeCell ref="K30:K32"/>
    <mergeCell ref="B31:C31"/>
    <mergeCell ref="H31:I31"/>
    <mergeCell ref="A42:E42"/>
    <mergeCell ref="E43:E45"/>
    <mergeCell ref="N31:O31"/>
    <mergeCell ref="B44:C44"/>
    <mergeCell ref="A2:Q2"/>
    <mergeCell ref="A3:C3"/>
    <mergeCell ref="D3:D5"/>
    <mergeCell ref="E3:E5"/>
    <mergeCell ref="F3:F27"/>
    <mergeCell ref="G3:I3"/>
    <mergeCell ref="J3:J5"/>
    <mergeCell ref="K3:K5"/>
    <mergeCell ref="M3:O3"/>
    <mergeCell ref="P3:P5"/>
    <mergeCell ref="M16:O16"/>
    <mergeCell ref="P16:P18"/>
    <mergeCell ref="Q16:Q18"/>
    <mergeCell ref="B17:C17"/>
    <mergeCell ref="H17:I17"/>
    <mergeCell ref="N17:O17"/>
    <mergeCell ref="A16:C16"/>
    <mergeCell ref="K16:K18"/>
    <mergeCell ref="Q3:Q5"/>
    <mergeCell ref="B4:C4"/>
    <mergeCell ref="H4:I4"/>
    <mergeCell ref="N4:O4"/>
    <mergeCell ref="A15:E15"/>
    <mergeCell ref="G15:K15"/>
    <mergeCell ref="A61:A72"/>
    <mergeCell ref="A73:A84"/>
    <mergeCell ref="A85:A96"/>
    <mergeCell ref="A97:A108"/>
    <mergeCell ref="A109:A120"/>
    <mergeCell ref="J61:J72"/>
    <mergeCell ref="J73:J84"/>
    <mergeCell ref="J85:J96"/>
    <mergeCell ref="J97:J108"/>
    <mergeCell ref="H61:H64"/>
    <mergeCell ref="H66:H69"/>
    <mergeCell ref="H73:H76"/>
    <mergeCell ref="H78:H81"/>
    <mergeCell ref="H97:H100"/>
    <mergeCell ref="H109:H112"/>
    <mergeCell ref="H114:H117"/>
  </mergeCells>
  <pageMargins left="0.7" right="0.7" top="0.75" bottom="0.75" header="0.3" footer="0.3"/>
  <pageSetup orientation="portrait" horizontalDpi="4294967292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FE02-83E0-47E7-8648-A3B73DB1362A}">
  <dimension ref="A1:AC184"/>
  <sheetViews>
    <sheetView topLeftCell="A145" workbookViewId="0">
      <selection sqref="A1:XFD1048576"/>
    </sheetView>
  </sheetViews>
  <sheetFormatPr defaultRowHeight="12.5" x14ac:dyDescent="0.25"/>
  <cols>
    <col min="1" max="1" width="11.7265625" customWidth="1"/>
    <col min="3" max="3" width="11" customWidth="1"/>
    <col min="4" max="4" width="9.54296875" customWidth="1"/>
    <col min="5" max="5" width="9" customWidth="1"/>
    <col min="6" max="6" width="12.1796875" bestFit="1" customWidth="1"/>
    <col min="7" max="7" width="11.453125" customWidth="1"/>
    <col min="12" max="12" width="10" customWidth="1"/>
    <col min="13" max="13" width="12.26953125" customWidth="1"/>
  </cols>
  <sheetData>
    <row r="1" spans="1:29" ht="13.5" thickBot="1" x14ac:dyDescent="0.35">
      <c r="A1" s="78"/>
      <c r="B1" s="79"/>
      <c r="C1" s="80"/>
      <c r="D1" s="80"/>
      <c r="E1" s="80"/>
      <c r="F1" s="81"/>
      <c r="G1" s="82"/>
      <c r="H1" s="78"/>
      <c r="I1" s="79"/>
      <c r="J1" s="80"/>
      <c r="K1" s="80"/>
      <c r="L1" s="80"/>
      <c r="M1" s="81"/>
      <c r="N1" s="82"/>
      <c r="O1" s="82"/>
      <c r="P1" s="82"/>
      <c r="Q1" s="83"/>
    </row>
    <row r="2" spans="1:29" ht="15" x14ac:dyDescent="0.25">
      <c r="A2" s="1631" t="s">
        <v>492</v>
      </c>
      <c r="B2" s="1632"/>
      <c r="C2" s="1632"/>
      <c r="D2" s="1632"/>
      <c r="E2" s="1632"/>
      <c r="F2" s="1632"/>
      <c r="G2" s="1632"/>
      <c r="H2" s="1632"/>
      <c r="I2" s="1632"/>
      <c r="J2" s="1632"/>
      <c r="K2" s="1632"/>
      <c r="L2" s="1632"/>
      <c r="M2" s="1632"/>
      <c r="N2" s="1632"/>
      <c r="O2" s="1632"/>
      <c r="P2" s="1632"/>
      <c r="Q2" s="1633"/>
      <c r="R2" s="84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spans="1:29" ht="15.75" customHeight="1" x14ac:dyDescent="0.3">
      <c r="A3" s="1634" t="s">
        <v>493</v>
      </c>
      <c r="B3" s="1634"/>
      <c r="C3" s="1634"/>
      <c r="D3" s="1635" t="s">
        <v>392</v>
      </c>
      <c r="E3" s="1636" t="s">
        <v>458</v>
      </c>
      <c r="F3" s="1637"/>
      <c r="G3" s="1639" t="s">
        <v>494</v>
      </c>
      <c r="H3" s="1639"/>
      <c r="I3" s="1639"/>
      <c r="J3" s="1635" t="s">
        <v>392</v>
      </c>
      <c r="K3" s="1636" t="str">
        <f>E3</f>
        <v>U95 STD</v>
      </c>
      <c r="L3" s="86"/>
      <c r="M3" s="1634" t="s">
        <v>495</v>
      </c>
      <c r="N3" s="1634"/>
      <c r="O3" s="1634"/>
      <c r="P3" s="1635" t="s">
        <v>392</v>
      </c>
      <c r="Q3" s="1643" t="str">
        <f>K3</f>
        <v>U95 STD</v>
      </c>
      <c r="S3" s="87"/>
      <c r="T3" s="87"/>
      <c r="U3" s="87"/>
      <c r="V3" s="88"/>
      <c r="W3" s="89"/>
      <c r="X3" s="90"/>
      <c r="Y3" s="91"/>
      <c r="Z3" s="91"/>
      <c r="AA3" s="91"/>
      <c r="AB3" s="88"/>
      <c r="AC3" s="89"/>
    </row>
    <row r="4" spans="1:29" ht="12.75" customHeight="1" x14ac:dyDescent="0.25">
      <c r="A4" s="92" t="s">
        <v>496</v>
      </c>
      <c r="B4" s="1635" t="s">
        <v>391</v>
      </c>
      <c r="C4" s="1635"/>
      <c r="D4" s="1635"/>
      <c r="E4" s="1636"/>
      <c r="F4" s="1638"/>
      <c r="G4" s="210" t="str">
        <f>A4</f>
        <v>ECG</v>
      </c>
      <c r="H4" s="1635" t="s">
        <v>391</v>
      </c>
      <c r="I4" s="1635"/>
      <c r="J4" s="1635"/>
      <c r="K4" s="1636"/>
      <c r="L4" s="86"/>
      <c r="M4" s="210" t="str">
        <f>G4</f>
        <v>ECG</v>
      </c>
      <c r="N4" s="1635" t="s">
        <v>391</v>
      </c>
      <c r="O4" s="1635"/>
      <c r="P4" s="1635"/>
      <c r="Q4" s="1643"/>
      <c r="S4" s="206"/>
      <c r="T4" s="88"/>
      <c r="U4" s="88"/>
      <c r="V4" s="88"/>
      <c r="W4" s="89"/>
      <c r="X4" s="90"/>
      <c r="Y4" s="206"/>
      <c r="Z4" s="88"/>
      <c r="AA4" s="88"/>
      <c r="AB4" s="88"/>
      <c r="AC4" s="89"/>
    </row>
    <row r="5" spans="1:29" ht="12.75" customHeight="1" x14ac:dyDescent="0.25">
      <c r="A5" s="93" t="s">
        <v>44</v>
      </c>
      <c r="B5" s="94">
        <v>2018</v>
      </c>
      <c r="C5" s="95">
        <v>2020</v>
      </c>
      <c r="D5" s="1635"/>
      <c r="E5" s="1636"/>
      <c r="F5" s="1638"/>
      <c r="G5" s="96" t="str">
        <f>A5</f>
        <v>BPM</v>
      </c>
      <c r="H5" s="94">
        <v>2017</v>
      </c>
      <c r="I5" s="94">
        <v>2018</v>
      </c>
      <c r="J5" s="1635"/>
      <c r="K5" s="1636"/>
      <c r="L5" s="86"/>
      <c r="M5" s="96" t="str">
        <f>G5</f>
        <v>BPM</v>
      </c>
      <c r="N5" s="94">
        <v>2015</v>
      </c>
      <c r="O5" s="94">
        <v>2016</v>
      </c>
      <c r="P5" s="1635"/>
      <c r="Q5" s="1643"/>
      <c r="S5" s="97"/>
      <c r="T5" s="206"/>
      <c r="U5" s="98"/>
      <c r="V5" s="88"/>
      <c r="W5" s="89"/>
      <c r="X5" s="90"/>
      <c r="Y5" s="97"/>
      <c r="Z5" s="206"/>
      <c r="AA5" s="206"/>
      <c r="AB5" s="88"/>
      <c r="AC5" s="89"/>
    </row>
    <row r="6" spans="1:29" ht="13.5" customHeight="1" x14ac:dyDescent="0.25">
      <c r="A6" s="217">
        <v>30</v>
      </c>
      <c r="B6" s="218">
        <v>0</v>
      </c>
      <c r="C6" s="218">
        <v>0</v>
      </c>
      <c r="D6" s="219">
        <f>0.5*(MAX(B6:C6)-MIN(B6:C6))</f>
        <v>0</v>
      </c>
      <c r="E6" s="229">
        <f>18*0.01</f>
        <v>0.18</v>
      </c>
      <c r="F6" s="1638"/>
      <c r="G6" s="217">
        <v>30</v>
      </c>
      <c r="H6" s="222">
        <v>0</v>
      </c>
      <c r="I6" s="222">
        <v>0</v>
      </c>
      <c r="J6" s="219">
        <f>0.5*(MAX(H6:I6)-MIN(H6:I6))</f>
        <v>0</v>
      </c>
      <c r="K6" s="220">
        <f>1.86*0.01</f>
        <v>1.8600000000000002E-2</v>
      </c>
      <c r="L6" s="86"/>
      <c r="M6" s="217">
        <v>30</v>
      </c>
      <c r="N6" s="226">
        <v>-0.01</v>
      </c>
      <c r="O6" s="226">
        <v>0</v>
      </c>
      <c r="P6" s="219">
        <f>0.5*(MAX(N6:O6)-MIN(N6:O6))</f>
        <v>5.0000000000000001E-3</v>
      </c>
      <c r="Q6" s="632">
        <f>1.86*0.01</f>
        <v>1.8600000000000002E-2</v>
      </c>
      <c r="S6" s="106"/>
      <c r="T6" s="107"/>
      <c r="U6" s="108"/>
      <c r="V6" s="109"/>
      <c r="W6" s="110"/>
      <c r="X6" s="90"/>
      <c r="Y6" s="106"/>
      <c r="Z6" s="107"/>
      <c r="AA6" s="110"/>
      <c r="AB6" s="109"/>
      <c r="AC6" s="110"/>
    </row>
    <row r="7" spans="1:29" ht="12.75" customHeight="1" x14ac:dyDescent="0.25">
      <c r="A7" s="217">
        <v>60</v>
      </c>
      <c r="B7" s="218">
        <v>0</v>
      </c>
      <c r="C7" s="218">
        <v>-0.18</v>
      </c>
      <c r="D7" s="219">
        <f>0.5*(MAX(B7:C7)-MIN(B7:C7))</f>
        <v>0.09</v>
      </c>
      <c r="E7" s="229">
        <f>18*0.01</f>
        <v>0.18</v>
      </c>
      <c r="F7" s="1638"/>
      <c r="G7" s="217">
        <v>60</v>
      </c>
      <c r="H7" s="222">
        <v>0</v>
      </c>
      <c r="I7" s="222">
        <v>0</v>
      </c>
      <c r="J7" s="219">
        <f>0.5*(MAX(H7:I7)-MIN(H7:I7))</f>
        <v>0</v>
      </c>
      <c r="K7" s="220">
        <f>3.66*0.01</f>
        <v>3.6600000000000001E-2</v>
      </c>
      <c r="L7" s="86"/>
      <c r="M7" s="217">
        <v>60</v>
      </c>
      <c r="N7" s="226">
        <v>-0.03</v>
      </c>
      <c r="O7" s="226">
        <v>0</v>
      </c>
      <c r="P7" s="219">
        <f>0.5*(MAX(N7:O7)-MIN(N7:O7))</f>
        <v>1.4999999999999999E-2</v>
      </c>
      <c r="Q7" s="632">
        <f>3.66*0.01</f>
        <v>3.6600000000000001E-2</v>
      </c>
      <c r="S7" s="106"/>
      <c r="T7" s="107"/>
      <c r="U7" s="110"/>
      <c r="V7" s="109"/>
      <c r="W7" s="110"/>
      <c r="X7" s="90"/>
      <c r="Y7" s="106"/>
      <c r="Z7" s="107"/>
      <c r="AA7" s="110"/>
      <c r="AB7" s="109"/>
      <c r="AC7" s="110"/>
    </row>
    <row r="8" spans="1:29" ht="12.75" customHeight="1" x14ac:dyDescent="0.25">
      <c r="A8" s="217">
        <v>120</v>
      </c>
      <c r="B8" s="218">
        <v>0</v>
      </c>
      <c r="C8" s="218">
        <v>-0.18</v>
      </c>
      <c r="D8" s="219">
        <f>0.5*(MAX(B8:C8)-MIN(B8:C8))</f>
        <v>0.09</v>
      </c>
      <c r="E8" s="229">
        <f>18*0.01</f>
        <v>0.18</v>
      </c>
      <c r="F8" s="1638"/>
      <c r="G8" s="217">
        <v>120</v>
      </c>
      <c r="H8" s="222">
        <v>0</v>
      </c>
      <c r="I8" s="222">
        <v>0</v>
      </c>
      <c r="J8" s="219">
        <f>0.5*(MAX(H8:I8)-MIN(H8:I8))</f>
        <v>0</v>
      </c>
      <c r="K8" s="220">
        <f>7.26*0.01</f>
        <v>7.2599999999999998E-2</v>
      </c>
      <c r="L8" s="86"/>
      <c r="M8" s="217">
        <v>120</v>
      </c>
      <c r="N8" s="226">
        <v>-0.1</v>
      </c>
      <c r="O8" s="226">
        <v>0.06</v>
      </c>
      <c r="P8" s="219">
        <f>0.5*(MAX(N8:O8)-MIN(N8:O8))</f>
        <v>0.08</v>
      </c>
      <c r="Q8" s="632">
        <f>7.26*0.01</f>
        <v>7.2599999999999998E-2</v>
      </c>
      <c r="S8" s="106"/>
      <c r="T8" s="107"/>
      <c r="U8" s="110"/>
      <c r="V8" s="109"/>
      <c r="W8" s="110"/>
      <c r="X8" s="90"/>
      <c r="Y8" s="106"/>
      <c r="Z8" s="107"/>
      <c r="AA8" s="110"/>
      <c r="AB8" s="109"/>
      <c r="AC8" s="110"/>
    </row>
    <row r="9" spans="1:29" ht="12.75" customHeight="1" thickBot="1" x14ac:dyDescent="0.3">
      <c r="A9" s="223">
        <v>180</v>
      </c>
      <c r="B9" s="220">
        <v>0</v>
      </c>
      <c r="C9" s="218">
        <v>0.18</v>
      </c>
      <c r="D9" s="221">
        <f>0.5*(MAX(B9:C9)-MIN(B9:C9))</f>
        <v>0.09</v>
      </c>
      <c r="E9" s="229">
        <f>18*0.01</f>
        <v>0.18</v>
      </c>
      <c r="F9" s="1638"/>
      <c r="G9" s="223">
        <v>180</v>
      </c>
      <c r="H9" s="224">
        <v>0</v>
      </c>
      <c r="I9" s="224">
        <v>0</v>
      </c>
      <c r="J9" s="225">
        <f>0.5*(MAX(H9:I9)-MIN(H9:I9))</f>
        <v>0</v>
      </c>
      <c r="K9" s="220">
        <f>10.86*0.01</f>
        <v>0.1086</v>
      </c>
      <c r="L9" s="86"/>
      <c r="M9" s="223">
        <v>180</v>
      </c>
      <c r="N9" s="227">
        <v>0.1</v>
      </c>
      <c r="O9" s="227">
        <v>0</v>
      </c>
      <c r="P9" s="225">
        <f>0.5*(MAX(N9:O9)-MIN(N9:O9))</f>
        <v>0.05</v>
      </c>
      <c r="Q9" s="632">
        <f>10.86*0.01</f>
        <v>0.1086</v>
      </c>
      <c r="S9" s="106"/>
      <c r="T9" s="107"/>
      <c r="U9" s="108"/>
      <c r="V9" s="109"/>
      <c r="W9" s="110"/>
      <c r="X9" s="90"/>
      <c r="Y9" s="106"/>
      <c r="Z9" s="107"/>
      <c r="AA9" s="108"/>
      <c r="AB9" s="109"/>
      <c r="AC9" s="110"/>
    </row>
    <row r="10" spans="1:29" ht="12.75" customHeight="1" thickBot="1" x14ac:dyDescent="0.3">
      <c r="A10" s="627">
        <v>240</v>
      </c>
      <c r="B10" s="628">
        <v>0</v>
      </c>
      <c r="C10" s="218">
        <v>-0.18</v>
      </c>
      <c r="D10" s="221">
        <f>0.5*(MAX(B10:C10)-MIN(B10:C10))</f>
        <v>0.09</v>
      </c>
      <c r="E10" s="229">
        <f>18*0.01</f>
        <v>0.18</v>
      </c>
      <c r="F10" s="1638"/>
      <c r="G10" s="627">
        <v>240</v>
      </c>
      <c r="H10" s="228">
        <v>0</v>
      </c>
      <c r="I10" s="228">
        <v>0</v>
      </c>
      <c r="J10" s="225">
        <f>0.5*(MAX(H10:I10)-MIN(H10:I10))</f>
        <v>0</v>
      </c>
      <c r="K10" s="531">
        <f>14.46*0.01</f>
        <v>0.14460000000000001</v>
      </c>
      <c r="L10" s="86"/>
      <c r="M10" s="627">
        <v>240</v>
      </c>
      <c r="N10" s="213">
        <v>-7.0000000000000007E-2</v>
      </c>
      <c r="O10" s="213">
        <v>0.06</v>
      </c>
      <c r="P10" s="219">
        <f>0.5*(MAX(N10:O10)-MIN(N10:O10))</f>
        <v>6.5000000000000002E-2</v>
      </c>
      <c r="Q10" s="531">
        <f>14.46*0.01</f>
        <v>0.14460000000000001</v>
      </c>
      <c r="S10" s="106"/>
      <c r="T10" s="107"/>
      <c r="U10" s="108"/>
      <c r="V10" s="109"/>
      <c r="W10" s="110"/>
      <c r="X10" s="90"/>
      <c r="Y10" s="106"/>
      <c r="Z10" s="107"/>
      <c r="AA10" s="108"/>
      <c r="AB10" s="109"/>
      <c r="AC10" s="110"/>
    </row>
    <row r="11" spans="1:29" ht="12.75" customHeight="1" x14ac:dyDescent="0.25">
      <c r="A11" s="103"/>
      <c r="B11" s="99"/>
      <c r="C11" s="100"/>
      <c r="D11" s="101"/>
      <c r="E11" s="102"/>
      <c r="F11" s="1638"/>
      <c r="G11" s="103"/>
      <c r="H11" s="100"/>
      <c r="I11" s="100"/>
      <c r="J11" s="101"/>
      <c r="K11" s="102"/>
      <c r="L11" s="86"/>
      <c r="M11" s="103"/>
      <c r="N11" s="104"/>
      <c r="O11" s="104"/>
      <c r="P11" s="101"/>
      <c r="Q11" s="105"/>
      <c r="S11" s="106"/>
      <c r="T11" s="107"/>
      <c r="U11" s="108"/>
      <c r="V11" s="109"/>
      <c r="W11" s="110"/>
      <c r="X11" s="90"/>
      <c r="Y11" s="106"/>
      <c r="Z11" s="107"/>
      <c r="AA11" s="108"/>
      <c r="AB11" s="109"/>
      <c r="AC11" s="110"/>
    </row>
    <row r="12" spans="1:29" ht="12.75" customHeight="1" x14ac:dyDescent="0.25">
      <c r="A12" s="103"/>
      <c r="B12" s="99"/>
      <c r="C12" s="100"/>
      <c r="D12" s="101"/>
      <c r="E12" s="102"/>
      <c r="F12" s="1638"/>
      <c r="G12" s="103"/>
      <c r="H12" s="100"/>
      <c r="I12" s="100"/>
      <c r="J12" s="101"/>
      <c r="K12" s="102"/>
      <c r="L12" s="86"/>
      <c r="M12" s="103"/>
      <c r="N12" s="104"/>
      <c r="O12" s="104"/>
      <c r="P12" s="101"/>
      <c r="Q12" s="105"/>
      <c r="S12" s="106"/>
      <c r="T12" s="107"/>
      <c r="U12" s="108"/>
      <c r="V12" s="109"/>
      <c r="W12" s="110"/>
      <c r="X12" s="90"/>
      <c r="Y12" s="106"/>
      <c r="Z12" s="107"/>
      <c r="AA12" s="108"/>
      <c r="AB12" s="109"/>
      <c r="AC12" s="110"/>
    </row>
    <row r="13" spans="1:29" ht="12.75" customHeight="1" x14ac:dyDescent="0.25">
      <c r="A13" s="103"/>
      <c r="B13" s="99"/>
      <c r="C13" s="100"/>
      <c r="D13" s="111"/>
      <c r="E13" s="102"/>
      <c r="F13" s="1638"/>
      <c r="G13" s="103"/>
      <c r="H13" s="100"/>
      <c r="I13" s="100"/>
      <c r="J13" s="111"/>
      <c r="K13" s="102"/>
      <c r="L13" s="86"/>
      <c r="M13" s="103"/>
      <c r="N13" s="104"/>
      <c r="O13" s="104"/>
      <c r="P13" s="111"/>
      <c r="Q13" s="105"/>
      <c r="S13" s="106"/>
      <c r="T13" s="107"/>
      <c r="U13" s="108"/>
      <c r="V13" s="107"/>
      <c r="W13" s="107"/>
      <c r="X13" s="90"/>
      <c r="Y13" s="106"/>
      <c r="Z13" s="107"/>
      <c r="AA13" s="108"/>
      <c r="AB13" s="107"/>
      <c r="AC13" s="107"/>
    </row>
    <row r="14" spans="1:29" ht="12.75" customHeight="1" x14ac:dyDescent="0.25">
      <c r="A14" s="103"/>
      <c r="B14" s="100"/>
      <c r="C14" s="99"/>
      <c r="D14" s="112"/>
      <c r="E14" s="102"/>
      <c r="F14" s="1638"/>
      <c r="G14" s="103"/>
      <c r="H14" s="100"/>
      <c r="I14" s="100"/>
      <c r="J14" s="111"/>
      <c r="K14" s="102"/>
      <c r="L14" s="86"/>
      <c r="M14" s="103"/>
      <c r="N14" s="104"/>
      <c r="O14" s="104"/>
      <c r="P14" s="111"/>
      <c r="Q14" s="105"/>
      <c r="S14" s="106"/>
      <c r="T14" s="107"/>
      <c r="U14" s="108"/>
      <c r="V14" s="107"/>
      <c r="W14" s="107"/>
      <c r="X14" s="90"/>
      <c r="Y14" s="106"/>
      <c r="Z14" s="107"/>
      <c r="AA14" s="108"/>
      <c r="AB14" s="107"/>
      <c r="AC14" s="107"/>
    </row>
    <row r="15" spans="1:29" ht="12.75" customHeight="1" x14ac:dyDescent="0.3">
      <c r="A15" s="1644"/>
      <c r="B15" s="1645"/>
      <c r="C15" s="1645"/>
      <c r="D15" s="1645"/>
      <c r="E15" s="1646"/>
      <c r="F15" s="1638"/>
      <c r="G15" s="1647"/>
      <c r="H15" s="1648"/>
      <c r="I15" s="1648"/>
      <c r="J15" s="1648"/>
      <c r="K15" s="1649"/>
      <c r="L15" s="82"/>
      <c r="M15" s="1650"/>
      <c r="N15" s="1645"/>
      <c r="O15" s="1645"/>
      <c r="P15" s="1645"/>
      <c r="Q15" s="1651"/>
      <c r="S15" s="86"/>
      <c r="T15" s="86"/>
      <c r="U15" s="86"/>
      <c r="V15" s="86"/>
      <c r="W15" s="86"/>
      <c r="X15" s="90"/>
      <c r="Y15" s="82"/>
      <c r="Z15" s="82"/>
      <c r="AA15" s="82"/>
      <c r="AB15" s="82"/>
      <c r="AC15" s="82"/>
    </row>
    <row r="16" spans="1:29" ht="15.75" customHeight="1" x14ac:dyDescent="0.3">
      <c r="A16" s="1634" t="s">
        <v>497</v>
      </c>
      <c r="B16" s="1634"/>
      <c r="C16" s="1634"/>
      <c r="D16" s="1635" t="s">
        <v>392</v>
      </c>
      <c r="E16" s="1636" t="str">
        <f>E3</f>
        <v>U95 STD</v>
      </c>
      <c r="F16" s="1638"/>
      <c r="G16" s="1640" t="s">
        <v>498</v>
      </c>
      <c r="H16" s="1641"/>
      <c r="I16" s="1642"/>
      <c r="J16" s="1635" t="s">
        <v>392</v>
      </c>
      <c r="K16" s="1636" t="str">
        <f>E16</f>
        <v>U95 STD</v>
      </c>
      <c r="L16" s="82"/>
      <c r="M16" s="1640" t="s">
        <v>499</v>
      </c>
      <c r="N16" s="1641"/>
      <c r="O16" s="1642"/>
      <c r="P16" s="1635" t="s">
        <v>392</v>
      </c>
      <c r="Q16" s="1643" t="str">
        <f>K16</f>
        <v>U95 STD</v>
      </c>
      <c r="S16" s="87"/>
      <c r="T16" s="87"/>
      <c r="U16" s="87"/>
      <c r="V16" s="88"/>
      <c r="W16" s="89"/>
      <c r="X16" s="90"/>
      <c r="Y16" s="87"/>
      <c r="Z16" s="87"/>
      <c r="AA16" s="87"/>
      <c r="AB16" s="88"/>
      <c r="AC16" s="89"/>
    </row>
    <row r="17" spans="1:29" ht="12.75" customHeight="1" x14ac:dyDescent="0.3">
      <c r="A17" s="92" t="str">
        <f>A4</f>
        <v>ECG</v>
      </c>
      <c r="B17" s="1635" t="s">
        <v>391</v>
      </c>
      <c r="C17" s="1635"/>
      <c r="D17" s="1635"/>
      <c r="E17" s="1636"/>
      <c r="F17" s="1638"/>
      <c r="G17" s="210" t="str">
        <f>A17</f>
        <v>ECG</v>
      </c>
      <c r="H17" s="1635" t="s">
        <v>391</v>
      </c>
      <c r="I17" s="1635"/>
      <c r="J17" s="1635"/>
      <c r="K17" s="1636"/>
      <c r="L17" s="82"/>
      <c r="M17" s="210" t="str">
        <f>G17</f>
        <v>ECG</v>
      </c>
      <c r="N17" s="1635" t="s">
        <v>391</v>
      </c>
      <c r="O17" s="1635"/>
      <c r="P17" s="1635"/>
      <c r="Q17" s="1643"/>
      <c r="S17" s="206"/>
      <c r="T17" s="88"/>
      <c r="U17" s="88"/>
      <c r="V17" s="88"/>
      <c r="W17" s="89"/>
      <c r="X17" s="90"/>
      <c r="Y17" s="206"/>
      <c r="Z17" s="88"/>
      <c r="AA17" s="88"/>
      <c r="AB17" s="88"/>
      <c r="AC17" s="89"/>
    </row>
    <row r="18" spans="1:29" ht="15" customHeight="1" x14ac:dyDescent="0.3">
      <c r="A18" s="93" t="str">
        <f>A5</f>
        <v>BPM</v>
      </c>
      <c r="B18" s="94">
        <v>2014</v>
      </c>
      <c r="C18" s="94">
        <v>2017</v>
      </c>
      <c r="D18" s="1635"/>
      <c r="E18" s="1636"/>
      <c r="F18" s="1638"/>
      <c r="G18" s="96" t="str">
        <f>A18</f>
        <v>BPM</v>
      </c>
      <c r="H18" s="94">
        <v>2017</v>
      </c>
      <c r="I18" s="95">
        <v>2020</v>
      </c>
      <c r="J18" s="1635"/>
      <c r="K18" s="1636"/>
      <c r="L18" s="82"/>
      <c r="M18" s="96" t="str">
        <f>G18</f>
        <v>BPM</v>
      </c>
      <c r="N18" s="94">
        <v>2017</v>
      </c>
      <c r="O18" s="95">
        <v>2020</v>
      </c>
      <c r="P18" s="1635"/>
      <c r="Q18" s="1643"/>
      <c r="S18" s="97"/>
      <c r="T18" s="206"/>
      <c r="U18" s="206"/>
      <c r="V18" s="88"/>
      <c r="W18" s="89"/>
      <c r="X18" s="90"/>
      <c r="Y18" s="97"/>
      <c r="Z18" s="206"/>
      <c r="AA18" s="206"/>
      <c r="AB18" s="88"/>
      <c r="AC18" s="89"/>
    </row>
    <row r="19" spans="1:29" ht="12.75" customHeight="1" x14ac:dyDescent="0.3">
      <c r="A19" s="217">
        <v>30</v>
      </c>
      <c r="B19" s="222">
        <v>0</v>
      </c>
      <c r="C19" s="222">
        <v>0</v>
      </c>
      <c r="D19" s="219">
        <f>0.5*(MAX(B19:C19)-MIN(B19:C19))</f>
        <v>0</v>
      </c>
      <c r="E19" s="632">
        <f>1.86*0.01</f>
        <v>1.8600000000000002E-2</v>
      </c>
      <c r="F19" s="1638"/>
      <c r="G19" s="217">
        <v>30</v>
      </c>
      <c r="H19" s="228">
        <v>0</v>
      </c>
      <c r="I19" s="629">
        <v>0</v>
      </c>
      <c r="J19" s="218" t="s">
        <v>364</v>
      </c>
      <c r="K19" s="229">
        <f>18*0.01</f>
        <v>0.18</v>
      </c>
      <c r="L19" s="82"/>
      <c r="M19" s="217">
        <v>30</v>
      </c>
      <c r="N19" s="218">
        <v>0</v>
      </c>
      <c r="O19" s="222">
        <v>0</v>
      </c>
      <c r="P19" s="219">
        <f>0.5*(MAX(N19:O19)-MIN(N19:O19))</f>
        <v>0</v>
      </c>
      <c r="Q19" s="229">
        <f>18*0.01</f>
        <v>0.18</v>
      </c>
      <c r="S19" s="106"/>
      <c r="T19" s="107"/>
      <c r="U19" s="110"/>
      <c r="V19" s="109"/>
      <c r="W19" s="110"/>
      <c r="X19" s="90"/>
      <c r="Y19" s="106"/>
      <c r="Z19" s="107"/>
      <c r="AA19" s="110"/>
      <c r="AB19" s="109"/>
      <c r="AC19" s="110"/>
    </row>
    <row r="20" spans="1:29" ht="12.75" customHeight="1" x14ac:dyDescent="0.3">
      <c r="A20" s="217">
        <v>60</v>
      </c>
      <c r="B20" s="222">
        <v>0</v>
      </c>
      <c r="C20" s="222">
        <v>0</v>
      </c>
      <c r="D20" s="219">
        <f>0.5*(MAX(B20:C20)-MIN(B20:C20))</f>
        <v>0</v>
      </c>
      <c r="E20" s="632">
        <f>3.66*0.01</f>
        <v>3.6600000000000001E-2</v>
      </c>
      <c r="F20" s="1638"/>
      <c r="G20" s="217">
        <v>60</v>
      </c>
      <c r="H20" s="228">
        <v>0</v>
      </c>
      <c r="I20" s="629">
        <v>-0.12</v>
      </c>
      <c r="J20" s="218" t="s">
        <v>364</v>
      </c>
      <c r="K20" s="229">
        <f>18*0.01</f>
        <v>0.18</v>
      </c>
      <c r="L20" s="82"/>
      <c r="M20" s="217">
        <v>60</v>
      </c>
      <c r="N20" s="218">
        <v>0</v>
      </c>
      <c r="O20" s="222">
        <v>-0.12</v>
      </c>
      <c r="P20" s="219">
        <f>0.5*(MAX(N20:O20)-MIN(N20:O20))</f>
        <v>0.06</v>
      </c>
      <c r="Q20" s="229">
        <f>18*0.01</f>
        <v>0.18</v>
      </c>
      <c r="S20" s="106"/>
      <c r="T20" s="107"/>
      <c r="U20" s="110"/>
      <c r="V20" s="109"/>
      <c r="W20" s="110"/>
      <c r="X20" s="90"/>
      <c r="Y20" s="106"/>
      <c r="Z20" s="107"/>
      <c r="AA20" s="110"/>
      <c r="AB20" s="109"/>
      <c r="AC20" s="110"/>
    </row>
    <row r="21" spans="1:29" ht="12.75" customHeight="1" x14ac:dyDescent="0.3">
      <c r="A21" s="217">
        <v>120</v>
      </c>
      <c r="B21" s="222">
        <v>0.06</v>
      </c>
      <c r="C21" s="222">
        <v>0</v>
      </c>
      <c r="D21" s="219">
        <f>0.5*(MAX(B21:C21)-MIN(B21:C21))</f>
        <v>0.03</v>
      </c>
      <c r="E21" s="632">
        <f>7.26*0.01</f>
        <v>7.2599999999999998E-2</v>
      </c>
      <c r="F21" s="1638"/>
      <c r="G21" s="217">
        <v>120</v>
      </c>
      <c r="H21" s="228">
        <v>0</v>
      </c>
      <c r="I21" s="629">
        <v>-0.12</v>
      </c>
      <c r="J21" s="218" t="s">
        <v>364</v>
      </c>
      <c r="K21" s="229">
        <f>18*0.01</f>
        <v>0.18</v>
      </c>
      <c r="L21" s="82"/>
      <c r="M21" s="217">
        <v>120</v>
      </c>
      <c r="N21" s="218" t="s">
        <v>364</v>
      </c>
      <c r="O21" s="222">
        <v>-0.12</v>
      </c>
      <c r="P21" s="219">
        <f>0.5*(MAX(N21:O21)-MIN(N21:O21))</f>
        <v>0</v>
      </c>
      <c r="Q21" s="229">
        <f>18*0.01</f>
        <v>0.18</v>
      </c>
      <c r="S21" s="106"/>
      <c r="T21" s="107"/>
      <c r="U21" s="110"/>
      <c r="V21" s="109"/>
      <c r="W21" s="110"/>
      <c r="X21" s="90"/>
      <c r="Y21" s="106"/>
      <c r="Z21" s="107"/>
      <c r="AA21" s="110"/>
      <c r="AB21" s="109"/>
      <c r="AC21" s="110"/>
    </row>
    <row r="22" spans="1:29" ht="12.75" customHeight="1" thickBot="1" x14ac:dyDescent="0.35">
      <c r="A22" s="223">
        <v>180</v>
      </c>
      <c r="B22" s="224" t="s">
        <v>364</v>
      </c>
      <c r="C22" s="224">
        <v>0</v>
      </c>
      <c r="D22" s="225">
        <f>0.5*(MAX(B22:C22)-MIN(B22:C22))</f>
        <v>0</v>
      </c>
      <c r="E22" s="632">
        <f>10.86*0.01</f>
        <v>0.1086</v>
      </c>
      <c r="F22" s="1638"/>
      <c r="G22" s="223">
        <v>180</v>
      </c>
      <c r="H22" s="631">
        <v>0</v>
      </c>
      <c r="I22" s="630">
        <v>-0.06</v>
      </c>
      <c r="J22" s="230" t="s">
        <v>364</v>
      </c>
      <c r="K22" s="229">
        <f>18*0.01</f>
        <v>0.18</v>
      </c>
      <c r="L22" s="82"/>
      <c r="M22" s="223">
        <v>180</v>
      </c>
      <c r="N22" s="230" t="s">
        <v>364</v>
      </c>
      <c r="O22" s="224">
        <v>0.06</v>
      </c>
      <c r="P22" s="225">
        <f>0.5*(MAX(N22:O22)-MIN(N22:O22))</f>
        <v>0</v>
      </c>
      <c r="Q22" s="229">
        <f>18*0.01</f>
        <v>0.18</v>
      </c>
      <c r="S22" s="106"/>
      <c r="T22" s="107"/>
      <c r="U22" s="108"/>
      <c r="V22" s="109"/>
      <c r="W22" s="110"/>
      <c r="X22" s="90"/>
      <c r="Y22" s="106"/>
      <c r="Z22" s="107"/>
      <c r="AA22" s="108"/>
      <c r="AB22" s="109"/>
      <c r="AC22" s="110"/>
    </row>
    <row r="23" spans="1:29" ht="12.75" customHeight="1" thickBot="1" x14ac:dyDescent="0.35">
      <c r="A23" s="627">
        <v>240</v>
      </c>
      <c r="B23" s="228">
        <v>0.06</v>
      </c>
      <c r="C23" s="228">
        <v>0</v>
      </c>
      <c r="D23" s="225">
        <f>0.5*(MAX(B23:C23)-MIN(B23:C23))</f>
        <v>0.03</v>
      </c>
      <c r="E23" s="531">
        <f>14.46*0.01</f>
        <v>0.14460000000000001</v>
      </c>
      <c r="F23" s="1638"/>
      <c r="G23" s="627">
        <v>240</v>
      </c>
      <c r="H23" s="631">
        <v>0</v>
      </c>
      <c r="I23" s="228">
        <v>-0.06</v>
      </c>
      <c r="J23" s="230" t="s">
        <v>364</v>
      </c>
      <c r="K23" s="229">
        <f>18*0.01</f>
        <v>0.18</v>
      </c>
      <c r="L23" s="82"/>
      <c r="M23" s="627">
        <v>240</v>
      </c>
      <c r="N23" s="230" t="s">
        <v>364</v>
      </c>
      <c r="O23" s="628">
        <v>-0.12</v>
      </c>
      <c r="P23" s="102">
        <f>0.5*(MAX(N23:O23)-MIN(N23:O23))</f>
        <v>0</v>
      </c>
      <c r="Q23" s="229">
        <f>18*0.01</f>
        <v>0.18</v>
      </c>
      <c r="S23" s="106"/>
      <c r="T23" s="107"/>
      <c r="U23" s="108"/>
      <c r="V23" s="109"/>
      <c r="W23" s="110"/>
      <c r="X23" s="90"/>
      <c r="Y23" s="106"/>
      <c r="Z23" s="107"/>
      <c r="AA23" s="108"/>
      <c r="AB23" s="109"/>
      <c r="AC23" s="110"/>
    </row>
    <row r="24" spans="1:29" ht="12.75" customHeight="1" x14ac:dyDescent="0.3">
      <c r="A24" s="103"/>
      <c r="B24" s="99"/>
      <c r="C24" s="100"/>
      <c r="D24" s="101"/>
      <c r="E24" s="102"/>
      <c r="F24" s="1638"/>
      <c r="G24" s="103"/>
      <c r="H24" s="100"/>
      <c r="I24" s="99"/>
      <c r="J24" s="101"/>
      <c r="K24" s="102"/>
      <c r="L24" s="82"/>
      <c r="M24" s="103"/>
      <c r="N24" s="99"/>
      <c r="O24" s="99"/>
      <c r="P24" s="102"/>
      <c r="Q24" s="105"/>
      <c r="S24" s="106"/>
      <c r="T24" s="107"/>
      <c r="U24" s="108"/>
      <c r="V24" s="109"/>
      <c r="W24" s="110"/>
      <c r="X24" s="90"/>
      <c r="Y24" s="106"/>
      <c r="Z24" s="107"/>
      <c r="AA24" s="108"/>
      <c r="AB24" s="109"/>
      <c r="AC24" s="110"/>
    </row>
    <row r="25" spans="1:29" ht="12.75" customHeight="1" x14ac:dyDescent="0.3">
      <c r="A25" s="103"/>
      <c r="B25" s="99"/>
      <c r="C25" s="100"/>
      <c r="D25" s="101"/>
      <c r="E25" s="102"/>
      <c r="F25" s="1638"/>
      <c r="G25" s="103"/>
      <c r="H25" s="100"/>
      <c r="I25" s="99"/>
      <c r="J25" s="101"/>
      <c r="K25" s="102"/>
      <c r="L25" s="82"/>
      <c r="M25" s="103"/>
      <c r="N25" s="99"/>
      <c r="O25" s="99"/>
      <c r="P25" s="102"/>
      <c r="Q25" s="105"/>
      <c r="S25" s="106"/>
      <c r="T25" s="107"/>
      <c r="U25" s="108"/>
      <c r="V25" s="109"/>
      <c r="W25" s="110"/>
      <c r="X25" s="90"/>
      <c r="Y25" s="106"/>
      <c r="Z25" s="107"/>
      <c r="AA25" s="108"/>
      <c r="AB25" s="109"/>
      <c r="AC25" s="110"/>
    </row>
    <row r="26" spans="1:29" ht="12.75" customHeight="1" x14ac:dyDescent="0.3">
      <c r="A26" s="103"/>
      <c r="B26" s="99"/>
      <c r="C26" s="100"/>
      <c r="D26" s="111"/>
      <c r="E26" s="102"/>
      <c r="F26" s="1638"/>
      <c r="G26" s="103"/>
      <c r="H26" s="100"/>
      <c r="I26" s="99"/>
      <c r="J26" s="111"/>
      <c r="K26" s="102"/>
      <c r="L26" s="82"/>
      <c r="M26" s="103"/>
      <c r="N26" s="99"/>
      <c r="O26" s="99"/>
      <c r="P26" s="102"/>
      <c r="Q26" s="105"/>
      <c r="S26" s="106"/>
      <c r="T26" s="107"/>
      <c r="U26" s="108"/>
      <c r="V26" s="107"/>
      <c r="W26" s="107"/>
      <c r="X26" s="90"/>
      <c r="Y26" s="106"/>
      <c r="Z26" s="107"/>
      <c r="AA26" s="108"/>
      <c r="AB26" s="107"/>
      <c r="AC26" s="107"/>
    </row>
    <row r="27" spans="1:29" ht="12.75" customHeight="1" x14ac:dyDescent="0.3">
      <c r="A27" s="103"/>
      <c r="B27" s="99"/>
      <c r="C27" s="100"/>
      <c r="D27" s="111"/>
      <c r="E27" s="102"/>
      <c r="F27" s="1638"/>
      <c r="G27" s="103"/>
      <c r="H27" s="100"/>
      <c r="I27" s="99"/>
      <c r="J27" s="111"/>
      <c r="K27" s="102"/>
      <c r="L27" s="82"/>
      <c r="M27" s="103"/>
      <c r="N27" s="99"/>
      <c r="O27" s="99"/>
      <c r="P27" s="102"/>
      <c r="Q27" s="105"/>
      <c r="S27" s="106"/>
      <c r="T27" s="107"/>
      <c r="U27" s="108"/>
      <c r="V27" s="107"/>
      <c r="W27" s="107"/>
      <c r="X27" s="113"/>
      <c r="Y27" s="106"/>
      <c r="Z27" s="107"/>
      <c r="AA27" s="108"/>
      <c r="AB27" s="107"/>
      <c r="AC27" s="107"/>
    </row>
    <row r="28" spans="1:29" ht="12.75" customHeight="1" x14ac:dyDescent="0.25">
      <c r="A28" s="114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15"/>
      <c r="M28" s="116"/>
      <c r="N28" s="86"/>
      <c r="O28" s="86"/>
      <c r="P28" s="86"/>
      <c r="Q28" s="11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spans="1:29" ht="13" x14ac:dyDescent="0.3">
      <c r="A29" s="118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0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</row>
    <row r="30" spans="1:29" ht="15.75" customHeight="1" x14ac:dyDescent="0.3">
      <c r="A30" s="1640" t="s">
        <v>500</v>
      </c>
      <c r="B30" s="1641"/>
      <c r="C30" s="1642"/>
      <c r="D30" s="1635" t="s">
        <v>392</v>
      </c>
      <c r="E30" s="1636" t="str">
        <f>E16</f>
        <v>U95 STD</v>
      </c>
      <c r="F30" s="1637"/>
      <c r="G30" s="1640" t="s">
        <v>501</v>
      </c>
      <c r="H30" s="1641"/>
      <c r="I30" s="1642"/>
      <c r="J30" s="1635" t="s">
        <v>392</v>
      </c>
      <c r="K30" s="1636" t="str">
        <f>E30</f>
        <v>U95 STD</v>
      </c>
      <c r="L30" s="119"/>
      <c r="M30" s="1640" t="s">
        <v>502</v>
      </c>
      <c r="N30" s="1641"/>
      <c r="O30" s="1642"/>
      <c r="P30" s="1635" t="s">
        <v>392</v>
      </c>
      <c r="Q30" s="1636" t="str">
        <f>E30</f>
        <v>U95 STD</v>
      </c>
      <c r="S30" s="87"/>
      <c r="T30" s="87"/>
      <c r="U30" s="87"/>
      <c r="V30" s="88"/>
      <c r="W30" s="89"/>
      <c r="X30" s="90"/>
      <c r="Y30" s="91"/>
      <c r="Z30" s="91"/>
      <c r="AA30" s="91"/>
      <c r="AB30" s="88"/>
      <c r="AC30" s="89"/>
    </row>
    <row r="31" spans="1:29" ht="12.75" customHeight="1" x14ac:dyDescent="0.3">
      <c r="A31" s="92" t="str">
        <f>A17</f>
        <v>ECG</v>
      </c>
      <c r="B31" s="1635" t="s">
        <v>391</v>
      </c>
      <c r="C31" s="1635"/>
      <c r="D31" s="1635"/>
      <c r="E31" s="1636"/>
      <c r="F31" s="1638"/>
      <c r="G31" s="210" t="str">
        <f>M18</f>
        <v>BPM</v>
      </c>
      <c r="H31" s="1635" t="s">
        <v>391</v>
      </c>
      <c r="I31" s="1635"/>
      <c r="J31" s="1635"/>
      <c r="K31" s="1636"/>
      <c r="L31" s="119"/>
      <c r="M31" s="210" t="str">
        <f>A31</f>
        <v>ECG</v>
      </c>
      <c r="N31" s="1635" t="s">
        <v>391</v>
      </c>
      <c r="O31" s="1635"/>
      <c r="P31" s="1635"/>
      <c r="Q31" s="1636"/>
      <c r="S31" s="206"/>
      <c r="T31" s="88"/>
      <c r="U31" s="88"/>
      <c r="V31" s="88"/>
      <c r="W31" s="89"/>
      <c r="X31" s="90"/>
      <c r="Y31" s="206"/>
      <c r="Z31" s="88"/>
      <c r="AA31" s="88"/>
      <c r="AB31" s="88"/>
      <c r="AC31" s="89"/>
    </row>
    <row r="32" spans="1:29" ht="15" customHeight="1" x14ac:dyDescent="0.3">
      <c r="A32" s="93" t="str">
        <f>A18</f>
        <v>BPM</v>
      </c>
      <c r="B32" s="94">
        <v>2018</v>
      </c>
      <c r="C32" s="95">
        <v>2020</v>
      </c>
      <c r="D32" s="1635"/>
      <c r="E32" s="1636"/>
      <c r="F32" s="1638"/>
      <c r="G32" s="623" t="s">
        <v>503</v>
      </c>
      <c r="H32" s="94" t="s">
        <v>364</v>
      </c>
      <c r="I32" s="624">
        <v>2020</v>
      </c>
      <c r="J32" s="1635"/>
      <c r="K32" s="1636"/>
      <c r="L32" s="119"/>
      <c r="M32" s="96" t="str">
        <f>A32</f>
        <v>BPM</v>
      </c>
      <c r="N32" s="94" t="s">
        <v>364</v>
      </c>
      <c r="O32" s="95">
        <v>2020</v>
      </c>
      <c r="P32" s="1635"/>
      <c r="Q32" s="1636"/>
      <c r="S32" s="97"/>
      <c r="T32" s="206"/>
      <c r="U32" s="98"/>
      <c r="V32" s="88"/>
      <c r="W32" s="89"/>
      <c r="X32" s="90"/>
      <c r="Y32" s="97"/>
      <c r="Z32" s="206"/>
      <c r="AA32" s="206"/>
      <c r="AB32" s="88"/>
      <c r="AC32" s="89"/>
    </row>
    <row r="33" spans="1:29" ht="12.75" customHeight="1" x14ac:dyDescent="0.3">
      <c r="A33" s="217">
        <v>30</v>
      </c>
      <c r="B33" s="231">
        <v>0</v>
      </c>
      <c r="C33" s="222">
        <v>-0.06</v>
      </c>
      <c r="D33" s="219">
        <f>0.5*(MAX(B33:C33)-MIN(B33:C33))</f>
        <v>0.03</v>
      </c>
      <c r="E33" s="229">
        <f>18*0.01</f>
        <v>0.18</v>
      </c>
      <c r="F33" s="1638"/>
      <c r="G33" s="217">
        <v>30</v>
      </c>
      <c r="H33" s="218" t="s">
        <v>364</v>
      </c>
      <c r="I33" s="222">
        <v>0</v>
      </c>
      <c r="J33" s="219">
        <f>0.5*(MAX(H33:I33)-MIN(H33:I33))</f>
        <v>0</v>
      </c>
      <c r="K33" s="229">
        <f>18*0.01</f>
        <v>0.18</v>
      </c>
      <c r="L33" s="119"/>
      <c r="M33" s="217">
        <v>30</v>
      </c>
      <c r="N33" s="218" t="s">
        <v>364</v>
      </c>
      <c r="O33" s="222">
        <v>0</v>
      </c>
      <c r="P33" s="219">
        <f>0.5*(MAX(N33:O33)-MIN(N33:O33))</f>
        <v>0</v>
      </c>
      <c r="Q33" s="229">
        <f>18*0.01</f>
        <v>0.18</v>
      </c>
      <c r="S33" s="106"/>
      <c r="T33" s="107"/>
      <c r="U33" s="108"/>
      <c r="V33" s="109"/>
      <c r="W33" s="110"/>
      <c r="X33" s="90"/>
      <c r="Y33" s="106"/>
      <c r="Z33" s="107"/>
      <c r="AA33" s="110"/>
      <c r="AB33" s="109"/>
      <c r="AC33" s="110"/>
    </row>
    <row r="34" spans="1:29" ht="12.75" customHeight="1" x14ac:dyDescent="0.3">
      <c r="A34" s="217">
        <v>60</v>
      </c>
      <c r="B34" s="231">
        <v>0</v>
      </c>
      <c r="C34" s="222">
        <v>-0.18</v>
      </c>
      <c r="D34" s="219">
        <f>0.5*(MAX(B34:C34)-MIN(B34:C34))</f>
        <v>0.09</v>
      </c>
      <c r="E34" s="229">
        <f>18*0.01</f>
        <v>0.18</v>
      </c>
      <c r="F34" s="1638"/>
      <c r="G34" s="217">
        <v>60</v>
      </c>
      <c r="H34" s="218" t="s">
        <v>364</v>
      </c>
      <c r="I34" s="222">
        <v>-0.12</v>
      </c>
      <c r="J34" s="219">
        <f>0.5*(MAX(H34:I34)-MIN(H34:I34))</f>
        <v>0</v>
      </c>
      <c r="K34" s="229">
        <f>18*0.01</f>
        <v>0.18</v>
      </c>
      <c r="L34" s="119"/>
      <c r="M34" s="217">
        <v>60</v>
      </c>
      <c r="N34" s="218" t="s">
        <v>364</v>
      </c>
      <c r="O34" s="222">
        <v>-0.12</v>
      </c>
      <c r="P34" s="219">
        <f>0.5*(MAX(N34:O34)-MIN(N34:O34))</f>
        <v>0</v>
      </c>
      <c r="Q34" s="229">
        <f>18*0.01</f>
        <v>0.18</v>
      </c>
      <c r="S34" s="106"/>
      <c r="T34" s="107"/>
      <c r="U34" s="110"/>
      <c r="V34" s="109"/>
      <c r="W34" s="110"/>
      <c r="X34" s="90"/>
      <c r="Y34" s="106"/>
      <c r="Z34" s="107"/>
      <c r="AA34" s="110"/>
      <c r="AB34" s="109"/>
      <c r="AC34" s="110"/>
    </row>
    <row r="35" spans="1:29" ht="12.75" customHeight="1" x14ac:dyDescent="0.3">
      <c r="A35" s="217">
        <v>120</v>
      </c>
      <c r="B35" s="231" t="s">
        <v>364</v>
      </c>
      <c r="C35" s="222">
        <v>-0.12</v>
      </c>
      <c r="D35" s="219">
        <f>0.5*(MAX(B35:C35)-MIN(B35:C35))</f>
        <v>0</v>
      </c>
      <c r="E35" s="229">
        <f>18*0.01</f>
        <v>0.18</v>
      </c>
      <c r="F35" s="1638"/>
      <c r="G35" s="217">
        <v>120</v>
      </c>
      <c r="H35" s="218" t="s">
        <v>364</v>
      </c>
      <c r="I35" s="222">
        <v>-0.12</v>
      </c>
      <c r="J35" s="219">
        <f>0.5*(MAX(H35:I35)-MIN(H35:I35))</f>
        <v>0</v>
      </c>
      <c r="K35" s="229">
        <f>18*0.01</f>
        <v>0.18</v>
      </c>
      <c r="L35" s="119"/>
      <c r="M35" s="217">
        <v>120</v>
      </c>
      <c r="N35" s="218" t="s">
        <v>364</v>
      </c>
      <c r="O35" s="222">
        <v>-0.12</v>
      </c>
      <c r="P35" s="219">
        <f>0.5*(MAX(N35:O35)-MIN(N35:O35))</f>
        <v>0</v>
      </c>
      <c r="Q35" s="229">
        <f>18*0.01</f>
        <v>0.18</v>
      </c>
      <c r="S35" s="106"/>
      <c r="T35" s="107"/>
      <c r="U35" s="110"/>
      <c r="V35" s="109"/>
      <c r="W35" s="110"/>
      <c r="X35" s="90"/>
      <c r="Y35" s="106"/>
      <c r="Z35" s="107"/>
      <c r="AA35" s="110"/>
      <c r="AB35" s="109"/>
      <c r="AC35" s="110"/>
    </row>
    <row r="36" spans="1:29" ht="12.75" customHeight="1" thickBot="1" x14ac:dyDescent="0.35">
      <c r="A36" s="223">
        <v>180</v>
      </c>
      <c r="B36" s="232" t="s">
        <v>364</v>
      </c>
      <c r="C36" s="224">
        <v>0</v>
      </c>
      <c r="D36" s="225">
        <f>0.5*(MAX(B36:C36)-MIN(B36:C36))</f>
        <v>0</v>
      </c>
      <c r="E36" s="633">
        <f>18*0.01</f>
        <v>0.18</v>
      </c>
      <c r="F36" s="1638"/>
      <c r="G36" s="223">
        <v>180</v>
      </c>
      <c r="H36" s="230" t="s">
        <v>364</v>
      </c>
      <c r="I36" s="224">
        <v>0.12</v>
      </c>
      <c r="J36" s="225">
        <f>0.5*(MAX(H36:I36)-MIN(H36:I36))</f>
        <v>0</v>
      </c>
      <c r="K36" s="229">
        <f>18*0.01</f>
        <v>0.18</v>
      </c>
      <c r="L36" s="119"/>
      <c r="M36" s="223">
        <v>180</v>
      </c>
      <c r="N36" s="230" t="s">
        <v>364</v>
      </c>
      <c r="O36" s="224">
        <v>0.12</v>
      </c>
      <c r="P36" s="225">
        <f>0.5*(MAX(N36:O36)-MIN(N36:O36))</f>
        <v>0</v>
      </c>
      <c r="Q36" s="229">
        <f>18*0.01</f>
        <v>0.18</v>
      </c>
      <c r="S36" s="106"/>
      <c r="T36" s="107"/>
      <c r="U36" s="108"/>
      <c r="V36" s="109"/>
      <c r="W36" s="110"/>
      <c r="X36" s="90"/>
      <c r="Y36" s="106"/>
      <c r="Z36" s="107"/>
      <c r="AA36" s="108"/>
      <c r="AB36" s="109"/>
      <c r="AC36" s="110"/>
    </row>
    <row r="37" spans="1:29" ht="12.75" customHeight="1" thickBot="1" x14ac:dyDescent="0.35">
      <c r="A37" s="627">
        <v>240</v>
      </c>
      <c r="B37" s="213" t="s">
        <v>364</v>
      </c>
      <c r="C37" s="628">
        <v>-0.06</v>
      </c>
      <c r="D37" s="101">
        <f>0.5*(MAX(B37:C37)-MIN(B37:C37))</f>
        <v>0</v>
      </c>
      <c r="E37" s="229">
        <f>18*0.01</f>
        <v>0.18</v>
      </c>
      <c r="F37" s="1638"/>
      <c r="G37" s="627">
        <v>240</v>
      </c>
      <c r="H37" s="213" t="s">
        <v>364</v>
      </c>
      <c r="I37" s="628">
        <v>-0.06</v>
      </c>
      <c r="J37" s="101">
        <f>0.5*(MAX(H37:I37)-MIN(H37:I37))</f>
        <v>0</v>
      </c>
      <c r="K37" s="229">
        <f>18*0.01</f>
        <v>0.18</v>
      </c>
      <c r="L37" s="119"/>
      <c r="M37" s="627">
        <v>240</v>
      </c>
      <c r="N37" s="230" t="s">
        <v>364</v>
      </c>
      <c r="O37" s="628">
        <v>-0.12</v>
      </c>
      <c r="P37" s="225">
        <f>0.5*(MAX(N37:O37)-MIN(N37:O37))</f>
        <v>0</v>
      </c>
      <c r="Q37" s="229">
        <f>18*0.01</f>
        <v>0.18</v>
      </c>
      <c r="S37" s="106"/>
      <c r="T37" s="107"/>
      <c r="U37" s="108"/>
      <c r="V37" s="109"/>
      <c r="W37" s="110"/>
      <c r="X37" s="90"/>
      <c r="Y37" s="106"/>
      <c r="Z37" s="107"/>
      <c r="AA37" s="108"/>
      <c r="AB37" s="109"/>
      <c r="AC37" s="110"/>
    </row>
    <row r="38" spans="1:29" ht="12.75" customHeight="1" x14ac:dyDescent="0.3">
      <c r="A38" s="103"/>
      <c r="B38" s="104"/>
      <c r="C38" s="122"/>
      <c r="D38" s="101"/>
      <c r="E38" s="102"/>
      <c r="F38" s="1638"/>
      <c r="G38" s="103"/>
      <c r="H38" s="104"/>
      <c r="I38" s="122"/>
      <c r="J38" s="101"/>
      <c r="K38" s="102"/>
      <c r="L38" s="119"/>
      <c r="Q38" s="121"/>
      <c r="S38" s="106"/>
      <c r="T38" s="107"/>
      <c r="U38" s="108"/>
      <c r="V38" s="109"/>
      <c r="W38" s="110"/>
      <c r="X38" s="90"/>
      <c r="Y38" s="106"/>
      <c r="Z38" s="107"/>
      <c r="AA38" s="108"/>
      <c r="AB38" s="109"/>
      <c r="AC38" s="110"/>
    </row>
    <row r="39" spans="1:29" ht="12.75" customHeight="1" x14ac:dyDescent="0.3">
      <c r="A39" s="103"/>
      <c r="B39" s="104"/>
      <c r="C39" s="122"/>
      <c r="D39" s="101"/>
      <c r="E39" s="102"/>
      <c r="F39" s="1638"/>
      <c r="G39" s="103"/>
      <c r="H39" s="104"/>
      <c r="I39" s="122"/>
      <c r="J39" s="101"/>
      <c r="K39" s="102"/>
      <c r="L39" s="119"/>
      <c r="Q39" s="121"/>
      <c r="S39" s="106"/>
      <c r="T39" s="107"/>
      <c r="U39" s="108"/>
      <c r="V39" s="109"/>
      <c r="W39" s="110"/>
      <c r="X39" s="90"/>
      <c r="Y39" s="106"/>
      <c r="Z39" s="107"/>
      <c r="AA39" s="108"/>
      <c r="AB39" s="109"/>
      <c r="AC39" s="110"/>
    </row>
    <row r="40" spans="1:29" ht="13.5" customHeight="1" x14ac:dyDescent="0.3">
      <c r="A40" s="103"/>
      <c r="B40" s="104"/>
      <c r="C40" s="122"/>
      <c r="D40" s="101"/>
      <c r="E40" s="102"/>
      <c r="F40" s="1638"/>
      <c r="G40" s="103"/>
      <c r="H40" s="104"/>
      <c r="I40" s="122"/>
      <c r="J40" s="101"/>
      <c r="K40" s="102"/>
      <c r="L40" s="119"/>
      <c r="Q40" s="121"/>
      <c r="S40" s="106"/>
      <c r="T40" s="107"/>
      <c r="U40" s="108"/>
      <c r="V40" s="109"/>
      <c r="W40" s="110"/>
      <c r="X40" s="90"/>
      <c r="Y40" s="106"/>
      <c r="Z40" s="107"/>
      <c r="AA40" s="108"/>
      <c r="AB40" s="109"/>
      <c r="AC40" s="110"/>
    </row>
    <row r="41" spans="1:29" ht="13.5" customHeight="1" x14ac:dyDescent="0.3">
      <c r="A41" s="103"/>
      <c r="B41" s="104"/>
      <c r="C41" s="122"/>
      <c r="D41" s="101"/>
      <c r="E41" s="102"/>
      <c r="F41" s="1638"/>
      <c r="G41" s="103"/>
      <c r="H41" s="104"/>
      <c r="I41" s="122"/>
      <c r="J41" s="101"/>
      <c r="K41" s="102"/>
      <c r="L41" s="119"/>
      <c r="Q41" s="121"/>
      <c r="S41" s="106"/>
      <c r="T41" s="107"/>
      <c r="U41" s="108"/>
      <c r="V41" s="109"/>
      <c r="W41" s="110"/>
      <c r="X41" s="90"/>
      <c r="Y41" s="106"/>
      <c r="Z41" s="107"/>
      <c r="AA41" s="108"/>
      <c r="AB41" s="109"/>
      <c r="AC41" s="110"/>
    </row>
    <row r="42" spans="1:29" ht="13.5" customHeight="1" x14ac:dyDescent="0.3">
      <c r="A42" s="1652"/>
      <c r="B42" s="1653"/>
      <c r="C42" s="1653"/>
      <c r="D42" s="1653"/>
      <c r="E42" s="1654"/>
      <c r="F42" s="1638"/>
      <c r="G42" s="1665"/>
      <c r="H42" s="1666"/>
      <c r="I42" s="1666"/>
      <c r="J42" s="1666"/>
      <c r="K42" s="1667"/>
      <c r="L42" s="119"/>
      <c r="Q42" s="121"/>
      <c r="S42" s="86"/>
      <c r="T42" s="86"/>
      <c r="U42" s="86"/>
      <c r="V42" s="86"/>
      <c r="W42" s="86"/>
      <c r="X42" s="90"/>
      <c r="Y42" s="82"/>
      <c r="Z42" s="82"/>
      <c r="AA42" s="82"/>
      <c r="AB42" s="82"/>
      <c r="AC42" s="82"/>
    </row>
    <row r="43" spans="1:29" ht="15.75" customHeight="1" x14ac:dyDescent="0.3">
      <c r="A43" s="1640" t="s">
        <v>504</v>
      </c>
      <c r="B43" s="1641"/>
      <c r="C43" s="1642"/>
      <c r="D43" s="1635" t="s">
        <v>392</v>
      </c>
      <c r="E43" s="1636" t="str">
        <f>K30</f>
        <v>U95 STD</v>
      </c>
      <c r="F43" s="1638"/>
      <c r="G43" s="1640" t="s">
        <v>505</v>
      </c>
      <c r="H43" s="1641"/>
      <c r="I43" s="1642"/>
      <c r="J43" s="1635" t="s">
        <v>392</v>
      </c>
      <c r="K43" s="1636" t="str">
        <f>Q30</f>
        <v>U95 STD</v>
      </c>
      <c r="L43" s="119"/>
      <c r="M43" s="1640" t="s">
        <v>506</v>
      </c>
      <c r="N43" s="1641"/>
      <c r="O43" s="1642"/>
      <c r="P43" s="1635" t="s">
        <v>392</v>
      </c>
      <c r="Q43" s="1636" t="str">
        <f>E43</f>
        <v>U95 STD</v>
      </c>
      <c r="S43" s="87"/>
      <c r="T43" s="87"/>
      <c r="U43" s="87"/>
      <c r="V43" s="88"/>
      <c r="W43" s="89"/>
      <c r="X43" s="90"/>
      <c r="Y43" s="87"/>
      <c r="Z43" s="87"/>
      <c r="AA43" s="87"/>
      <c r="AB43" s="88"/>
      <c r="AC43" s="89"/>
    </row>
    <row r="44" spans="1:29" ht="12.75" customHeight="1" x14ac:dyDescent="0.3">
      <c r="A44" s="210" t="str">
        <f>G31</f>
        <v>BPM</v>
      </c>
      <c r="B44" s="1635" t="s">
        <v>391</v>
      </c>
      <c r="C44" s="1635"/>
      <c r="D44" s="1635"/>
      <c r="E44" s="1636"/>
      <c r="F44" s="1638"/>
      <c r="G44" s="210" t="str">
        <f>M31</f>
        <v>ECG</v>
      </c>
      <c r="H44" s="1635" t="s">
        <v>391</v>
      </c>
      <c r="I44" s="1635"/>
      <c r="J44" s="1635"/>
      <c r="K44" s="1636"/>
      <c r="L44" s="119"/>
      <c r="M44" s="210" t="str">
        <f>A44</f>
        <v>BPM</v>
      </c>
      <c r="N44" s="1635" t="s">
        <v>391</v>
      </c>
      <c r="O44" s="1635"/>
      <c r="P44" s="1635"/>
      <c r="Q44" s="1636"/>
      <c r="S44" s="206"/>
      <c r="T44" s="88"/>
      <c r="U44" s="88"/>
      <c r="V44" s="88"/>
      <c r="W44" s="89"/>
      <c r="X44" s="90"/>
      <c r="Y44" s="206"/>
      <c r="Z44" s="88"/>
      <c r="AA44" s="88"/>
      <c r="AB44" s="88"/>
      <c r="AC44" s="89"/>
    </row>
    <row r="45" spans="1:29" ht="15" customHeight="1" x14ac:dyDescent="0.3">
      <c r="A45" s="96" t="str">
        <f>G32</f>
        <v>( BPM )</v>
      </c>
      <c r="B45" s="94">
        <v>2016</v>
      </c>
      <c r="C45" s="95">
        <v>2018</v>
      </c>
      <c r="D45" s="1635"/>
      <c r="E45" s="1636"/>
      <c r="F45" s="1638"/>
      <c r="G45" s="623" t="s">
        <v>503</v>
      </c>
      <c r="H45" s="94" t="s">
        <v>364</v>
      </c>
      <c r="I45" s="671">
        <v>2018</v>
      </c>
      <c r="J45" s="1635"/>
      <c r="K45" s="1636"/>
      <c r="L45" s="119"/>
      <c r="M45" s="96" t="str">
        <f>A45</f>
        <v>( BPM )</v>
      </c>
      <c r="N45" s="94">
        <v>2015</v>
      </c>
      <c r="O45" s="671">
        <v>2017</v>
      </c>
      <c r="P45" s="1635"/>
      <c r="Q45" s="1636"/>
      <c r="S45" s="97"/>
      <c r="T45" s="206"/>
      <c r="U45" s="206"/>
      <c r="V45" s="88"/>
      <c r="W45" s="89"/>
      <c r="X45" s="90"/>
      <c r="Y45" s="97"/>
      <c r="Z45" s="206"/>
      <c r="AA45" s="206"/>
      <c r="AB45" s="88"/>
      <c r="AC45" s="89"/>
    </row>
    <row r="46" spans="1:29" ht="12.75" customHeight="1" x14ac:dyDescent="0.3">
      <c r="A46" s="217">
        <v>30</v>
      </c>
      <c r="B46" s="226">
        <v>0</v>
      </c>
      <c r="C46" s="226">
        <v>0</v>
      </c>
      <c r="D46" s="219">
        <f>0.5*(MAX(B46:C46)-MIN(B46:C46))</f>
        <v>0</v>
      </c>
      <c r="E46" s="632">
        <f>0.36*0.01</f>
        <v>3.5999999999999999E-3</v>
      </c>
      <c r="F46" s="1638"/>
      <c r="G46" s="217">
        <v>30</v>
      </c>
      <c r="H46" s="218" t="s">
        <v>364</v>
      </c>
      <c r="I46" s="218">
        <v>0</v>
      </c>
      <c r="J46" s="219">
        <f>0.5*(MAX(H46:I46)-MIN(H46:I46))</f>
        <v>0</v>
      </c>
      <c r="K46" s="632">
        <f>0.36*0.01</f>
        <v>3.5999999999999999E-3</v>
      </c>
      <c r="L46" s="119"/>
      <c r="M46" s="217">
        <v>30</v>
      </c>
      <c r="N46" s="218">
        <v>0</v>
      </c>
      <c r="O46" s="218">
        <v>0</v>
      </c>
      <c r="P46" s="219">
        <f>0.5*(MAX(N46:O46)-MIN(N46:O46))</f>
        <v>0</v>
      </c>
      <c r="Q46" s="632">
        <f>0.36*0.01</f>
        <v>3.5999999999999999E-3</v>
      </c>
      <c r="S46" s="106"/>
      <c r="T46" s="107"/>
      <c r="U46" s="110"/>
      <c r="V46" s="109"/>
      <c r="W46" s="110"/>
      <c r="X46" s="90"/>
      <c r="Y46" s="106"/>
      <c r="Z46" s="107"/>
      <c r="AA46" s="110"/>
      <c r="AB46" s="109"/>
      <c r="AC46" s="110"/>
    </row>
    <row r="47" spans="1:29" ht="12.75" customHeight="1" x14ac:dyDescent="0.3">
      <c r="A47" s="217">
        <v>60</v>
      </c>
      <c r="B47" s="226">
        <v>0</v>
      </c>
      <c r="C47" s="226">
        <v>0</v>
      </c>
      <c r="D47" s="219">
        <f>0.5*(MAX(B47:C47)-MIN(B47:C47))</f>
        <v>0</v>
      </c>
      <c r="E47" s="632">
        <f>0.66*0.01</f>
        <v>6.6000000000000008E-3</v>
      </c>
      <c r="F47" s="1638"/>
      <c r="G47" s="217">
        <v>60</v>
      </c>
      <c r="H47" s="218" t="s">
        <v>364</v>
      </c>
      <c r="I47" s="218">
        <v>0</v>
      </c>
      <c r="J47" s="219">
        <f>0.5*(MAX(H47:I47)-MIN(H47:I47))</f>
        <v>0</v>
      </c>
      <c r="K47" s="632">
        <f>0.66*0.01</f>
        <v>6.6000000000000008E-3</v>
      </c>
      <c r="L47" s="119"/>
      <c r="M47" s="217">
        <v>60</v>
      </c>
      <c r="N47" s="218">
        <v>0</v>
      </c>
      <c r="O47" s="218">
        <v>0</v>
      </c>
      <c r="P47" s="219">
        <f>0.5*(MAX(N47:O47)-MIN(N47:O47))</f>
        <v>0</v>
      </c>
      <c r="Q47" s="632">
        <f>0.66*0.01</f>
        <v>6.6000000000000008E-3</v>
      </c>
      <c r="S47" s="106"/>
      <c r="T47" s="107"/>
      <c r="U47" s="110"/>
      <c r="V47" s="109"/>
      <c r="W47" s="110"/>
      <c r="X47" s="90"/>
      <c r="Y47" s="106"/>
      <c r="Z47" s="107"/>
      <c r="AA47" s="110"/>
      <c r="AB47" s="109"/>
      <c r="AC47" s="110"/>
    </row>
    <row r="48" spans="1:29" ht="12.75" customHeight="1" x14ac:dyDescent="0.3">
      <c r="A48" s="217">
        <v>120</v>
      </c>
      <c r="B48" s="226">
        <v>0</v>
      </c>
      <c r="C48" s="226">
        <v>0</v>
      </c>
      <c r="D48" s="219">
        <f>0.5*(MAX(B48:C48)-MIN(B48:C48))</f>
        <v>0</v>
      </c>
      <c r="E48" s="632">
        <f>1.26*0.01</f>
        <v>1.26E-2</v>
      </c>
      <c r="F48" s="1638"/>
      <c r="G48" s="217">
        <v>120</v>
      </c>
      <c r="H48" s="218" t="s">
        <v>364</v>
      </c>
      <c r="I48" s="218">
        <v>0</v>
      </c>
      <c r="J48" s="219">
        <f>0.5*(MAX(H48:I48)-MIN(H48:I48))</f>
        <v>0</v>
      </c>
      <c r="K48" s="632">
        <f>1.26*0.01</f>
        <v>1.26E-2</v>
      </c>
      <c r="L48" s="119"/>
      <c r="M48" s="217">
        <v>120</v>
      </c>
      <c r="N48" s="218" t="s">
        <v>364</v>
      </c>
      <c r="O48" s="218" t="s">
        <v>364</v>
      </c>
      <c r="P48" s="219">
        <f>0.5*(MAX(N48:O48)-MIN(N48:O48))</f>
        <v>0</v>
      </c>
      <c r="Q48" s="229" t="s">
        <v>364</v>
      </c>
      <c r="S48" s="106"/>
      <c r="T48" s="107"/>
      <c r="U48" s="110"/>
      <c r="V48" s="109"/>
      <c r="W48" s="110"/>
      <c r="X48" s="90"/>
      <c r="Y48" s="106"/>
      <c r="Z48" s="107"/>
      <c r="AA48" s="110"/>
      <c r="AB48" s="109"/>
      <c r="AC48" s="110"/>
    </row>
    <row r="49" spans="1:29" ht="12.75" customHeight="1" thickBot="1" x14ac:dyDescent="0.35">
      <c r="A49" s="223">
        <v>180</v>
      </c>
      <c r="B49" s="226">
        <v>0</v>
      </c>
      <c r="C49" s="227">
        <v>0</v>
      </c>
      <c r="D49" s="225">
        <f>0.5*(MAX(B49:C49)-MIN(B49:C49))</f>
        <v>0</v>
      </c>
      <c r="E49" s="632">
        <f>1.86*0.01</f>
        <v>1.8600000000000002E-2</v>
      </c>
      <c r="F49" s="1638"/>
      <c r="G49" s="223">
        <v>180</v>
      </c>
      <c r="H49" s="230" t="s">
        <v>364</v>
      </c>
      <c r="I49" s="218">
        <v>0</v>
      </c>
      <c r="J49" s="225">
        <f>0.5*(MAX(H49:I49)-MIN(H49:I49))</f>
        <v>0</v>
      </c>
      <c r="K49" s="632">
        <f>1.86*0.01</f>
        <v>1.8600000000000002E-2</v>
      </c>
      <c r="L49" s="119"/>
      <c r="M49" s="223">
        <v>180</v>
      </c>
      <c r="N49" s="230" t="s">
        <v>364</v>
      </c>
      <c r="O49" s="218" t="s">
        <v>364</v>
      </c>
      <c r="P49" s="225">
        <f>0.5*(MAX(N49:O49)-MIN(N49:O49))</f>
        <v>0</v>
      </c>
      <c r="Q49" s="229" t="s">
        <v>364</v>
      </c>
      <c r="S49" s="106"/>
      <c r="T49" s="107"/>
      <c r="U49" s="108"/>
      <c r="V49" s="109"/>
      <c r="W49" s="110"/>
      <c r="X49" s="90"/>
      <c r="Y49" s="106"/>
      <c r="Z49" s="107"/>
      <c r="AA49" s="108"/>
      <c r="AB49" s="109"/>
      <c r="AC49" s="110"/>
    </row>
    <row r="50" spans="1:29" ht="12.75" customHeight="1" thickBot="1" x14ac:dyDescent="0.35">
      <c r="A50" s="627">
        <v>240</v>
      </c>
      <c r="B50" s="226">
        <v>0</v>
      </c>
      <c r="C50" s="227">
        <v>0</v>
      </c>
      <c r="D50" s="225">
        <f>0.5*(MAX(B50:C50)-MIN(B50:C50))</f>
        <v>0</v>
      </c>
      <c r="E50" s="531">
        <f>2.46*0.01</f>
        <v>2.46E-2</v>
      </c>
      <c r="F50" s="1638"/>
      <c r="G50" s="627">
        <v>240</v>
      </c>
      <c r="H50" s="100" t="s">
        <v>364</v>
      </c>
      <c r="I50" s="122">
        <v>0</v>
      </c>
      <c r="J50" s="225">
        <f>0.5*(MAX(H50:I50)-MIN(H50:I50))</f>
        <v>0</v>
      </c>
      <c r="K50" s="531">
        <f>2.46*0.01</f>
        <v>2.46E-2</v>
      </c>
      <c r="L50" s="119"/>
      <c r="M50" s="627">
        <v>240</v>
      </c>
      <c r="N50" s="100" t="s">
        <v>364</v>
      </c>
      <c r="O50" s="122" t="s">
        <v>364</v>
      </c>
      <c r="P50" s="225">
        <f>0.5*(MAX(N50:O50)-MIN(N50:O50))</f>
        <v>0</v>
      </c>
      <c r="Q50" s="102" t="s">
        <v>364</v>
      </c>
      <c r="S50" s="106"/>
      <c r="T50" s="107"/>
      <c r="U50" s="108"/>
      <c r="V50" s="109"/>
      <c r="W50" s="110"/>
      <c r="X50" s="90"/>
      <c r="Y50" s="106"/>
      <c r="Z50" s="107"/>
      <c r="AA50" s="108"/>
      <c r="AB50" s="109"/>
      <c r="AC50" s="110"/>
    </row>
    <row r="51" spans="1:29" ht="12.75" customHeight="1" x14ac:dyDescent="0.3">
      <c r="A51" s="103"/>
      <c r="B51" s="104"/>
      <c r="C51" s="99"/>
      <c r="D51" s="101"/>
      <c r="E51" s="102"/>
      <c r="F51" s="1638"/>
      <c r="G51" s="103"/>
      <c r="H51" s="104"/>
      <c r="I51" s="122"/>
      <c r="J51" s="101"/>
      <c r="K51" s="102"/>
      <c r="L51" s="119"/>
      <c r="M51" s="123"/>
      <c r="N51" s="123"/>
      <c r="O51" s="123"/>
      <c r="P51" s="123"/>
      <c r="Q51" s="124"/>
      <c r="S51" s="106"/>
      <c r="T51" s="107"/>
      <c r="U51" s="108"/>
      <c r="V51" s="109"/>
      <c r="W51" s="110"/>
      <c r="X51" s="90"/>
      <c r="Y51" s="106"/>
      <c r="Z51" s="107"/>
      <c r="AA51" s="108"/>
      <c r="AB51" s="109"/>
      <c r="AC51" s="110"/>
    </row>
    <row r="52" spans="1:29" ht="12.75" customHeight="1" x14ac:dyDescent="0.3">
      <c r="A52" s="103"/>
      <c r="B52" s="104"/>
      <c r="C52" s="99"/>
      <c r="D52" s="101"/>
      <c r="E52" s="102"/>
      <c r="F52" s="1638"/>
      <c r="G52" s="103"/>
      <c r="H52" s="104"/>
      <c r="I52" s="122"/>
      <c r="J52" s="101"/>
      <c r="K52" s="102"/>
      <c r="L52" s="119"/>
      <c r="M52" s="123"/>
      <c r="N52" s="123"/>
      <c r="O52" s="123"/>
      <c r="P52" s="123"/>
      <c r="Q52" s="124"/>
      <c r="S52" s="106"/>
      <c r="T52" s="107"/>
      <c r="U52" s="108"/>
      <c r="V52" s="109"/>
      <c r="W52" s="110"/>
      <c r="X52" s="90"/>
      <c r="Y52" s="106"/>
      <c r="Z52" s="107"/>
      <c r="AA52" s="108"/>
      <c r="AB52" s="109"/>
      <c r="AC52" s="110"/>
    </row>
    <row r="53" spans="1:29" ht="13.5" customHeight="1" x14ac:dyDescent="0.3">
      <c r="A53" s="103"/>
      <c r="B53" s="104"/>
      <c r="C53" s="99"/>
      <c r="D53" s="101"/>
      <c r="E53" s="102"/>
      <c r="F53" s="1638"/>
      <c r="G53" s="103"/>
      <c r="H53" s="104"/>
      <c r="I53" s="122"/>
      <c r="J53" s="101"/>
      <c r="K53" s="102"/>
      <c r="L53" s="119"/>
      <c r="M53" s="123"/>
      <c r="N53" s="123"/>
      <c r="O53" s="123"/>
      <c r="P53" s="123"/>
      <c r="Q53" s="124"/>
      <c r="S53" s="106"/>
      <c r="T53" s="107"/>
      <c r="U53" s="108"/>
      <c r="V53" s="109"/>
      <c r="W53" s="110"/>
      <c r="X53" s="90"/>
      <c r="Y53" s="106"/>
      <c r="Z53" s="107"/>
      <c r="AA53" s="108"/>
      <c r="AB53" s="109"/>
      <c r="AC53" s="110"/>
    </row>
    <row r="54" spans="1:29" ht="13.5" customHeight="1" x14ac:dyDescent="0.3">
      <c r="A54" s="103"/>
      <c r="B54" s="104"/>
      <c r="C54" s="99"/>
      <c r="D54" s="101"/>
      <c r="E54" s="102"/>
      <c r="F54" s="1638"/>
      <c r="G54" s="103"/>
      <c r="H54" s="104"/>
      <c r="I54" s="122"/>
      <c r="J54" s="101"/>
      <c r="K54" s="102"/>
      <c r="L54" s="119"/>
      <c r="M54" s="123"/>
      <c r="N54" s="123"/>
      <c r="O54" s="123"/>
      <c r="P54" s="123"/>
      <c r="Q54" s="124"/>
      <c r="S54" s="106"/>
      <c r="T54" s="107"/>
      <c r="U54" s="108"/>
      <c r="V54" s="109"/>
      <c r="W54" s="110"/>
      <c r="X54" s="113"/>
      <c r="Y54" s="106"/>
      <c r="Z54" s="107"/>
      <c r="AA54" s="108"/>
      <c r="AB54" s="109"/>
      <c r="AC54" s="110"/>
    </row>
    <row r="55" spans="1:29" ht="13.5" customHeight="1" thickBot="1" x14ac:dyDescent="0.3">
      <c r="A55" s="1534"/>
      <c r="B55" s="1535"/>
      <c r="C55" s="1535"/>
      <c r="D55" s="1535"/>
      <c r="E55" s="1535"/>
      <c r="F55" s="1535"/>
      <c r="G55" s="1535"/>
      <c r="H55" s="1535"/>
      <c r="I55" s="1535"/>
      <c r="J55" s="1535"/>
      <c r="K55" s="1535"/>
      <c r="L55" s="1535"/>
      <c r="M55" s="1535"/>
      <c r="N55" s="1535"/>
      <c r="O55" s="1535"/>
      <c r="P55" s="1535"/>
      <c r="Q55" s="1536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</row>
    <row r="56" spans="1:29" ht="12.75" customHeight="1" x14ac:dyDescent="0.3">
      <c r="A56" s="114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19"/>
      <c r="M56" s="123"/>
      <c r="N56" s="123"/>
      <c r="O56" s="123"/>
      <c r="P56" s="123"/>
      <c r="Q56" s="123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</row>
    <row r="57" spans="1:29" ht="13.5" thickBot="1" x14ac:dyDescent="0.35">
      <c r="A57" s="118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</row>
    <row r="58" spans="1:29" ht="12.75" customHeight="1" x14ac:dyDescent="0.25">
      <c r="A58" s="1655" t="s">
        <v>471</v>
      </c>
      <c r="B58" s="1657"/>
      <c r="C58" s="1659" t="str">
        <f>A4</f>
        <v>ECG</v>
      </c>
      <c r="D58" s="1661" t="s">
        <v>391</v>
      </c>
      <c r="E58" s="1661"/>
      <c r="F58" s="208" t="s">
        <v>392</v>
      </c>
      <c r="G58" s="1659" t="s">
        <v>472</v>
      </c>
      <c r="H58" s="1663"/>
      <c r="I58" s="84"/>
      <c r="J58" s="1655" t="str">
        <f>A58</f>
        <v>No Urut Titik Ukur</v>
      </c>
      <c r="K58" s="1657"/>
      <c r="L58" s="1659" t="s">
        <v>461</v>
      </c>
      <c r="M58" s="1661" t="s">
        <v>391</v>
      </c>
      <c r="N58" s="1661"/>
      <c r="O58" s="208" t="s">
        <v>392</v>
      </c>
      <c r="P58" s="1659" t="s">
        <v>472</v>
      </c>
      <c r="Q58" s="1663"/>
    </row>
    <row r="59" spans="1:29" ht="12.75" customHeight="1" x14ac:dyDescent="0.25">
      <c r="A59" s="1656"/>
      <c r="B59" s="1658"/>
      <c r="C59" s="1660"/>
      <c r="D59" s="1662"/>
      <c r="E59" s="1662"/>
      <c r="F59" s="209"/>
      <c r="G59" s="1660"/>
      <c r="H59" s="1664"/>
      <c r="J59" s="1656"/>
      <c r="K59" s="1658"/>
      <c r="L59" s="1660"/>
      <c r="M59" s="1662"/>
      <c r="N59" s="1662"/>
      <c r="O59" s="209"/>
      <c r="P59" s="1660"/>
      <c r="Q59" s="1664"/>
    </row>
    <row r="60" spans="1:29" ht="14.5" thickBot="1" x14ac:dyDescent="0.3">
      <c r="A60" s="1656"/>
      <c r="B60" s="1658"/>
      <c r="C60" s="125" t="str">
        <f>A5</f>
        <v>BPM</v>
      </c>
      <c r="D60" s="209"/>
      <c r="E60" s="209"/>
      <c r="F60" s="209"/>
      <c r="G60" s="1660"/>
      <c r="H60" s="1664"/>
      <c r="J60" s="1656"/>
      <c r="K60" s="1658"/>
      <c r="L60" s="125" t="s">
        <v>462</v>
      </c>
      <c r="M60" s="209"/>
      <c r="N60" s="209"/>
      <c r="O60" s="209"/>
      <c r="P60" s="1660"/>
      <c r="Q60" s="1664"/>
    </row>
    <row r="61" spans="1:29" ht="12.75" customHeight="1" x14ac:dyDescent="0.25">
      <c r="A61" s="1615" t="s">
        <v>87</v>
      </c>
      <c r="B61" s="126">
        <v>1</v>
      </c>
      <c r="C61" s="127">
        <f>A6</f>
        <v>30</v>
      </c>
      <c r="D61" s="127">
        <f>B6</f>
        <v>0</v>
      </c>
      <c r="E61" s="127">
        <f>C6</f>
        <v>0</v>
      </c>
      <c r="F61" s="127">
        <f>D6</f>
        <v>0</v>
      </c>
      <c r="G61" s="127">
        <f>E6</f>
        <v>0.18</v>
      </c>
      <c r="H61" s="1627"/>
      <c r="J61" s="1619" t="s">
        <v>92</v>
      </c>
      <c r="K61" s="128">
        <v>1</v>
      </c>
      <c r="L61" s="129">
        <f>A11</f>
        <v>0</v>
      </c>
      <c r="M61" s="129">
        <f>B11</f>
        <v>0</v>
      </c>
      <c r="N61" s="129">
        <f>C11</f>
        <v>0</v>
      </c>
      <c r="O61" s="129">
        <f>D11</f>
        <v>0</v>
      </c>
      <c r="P61" s="129">
        <f>E11</f>
        <v>0</v>
      </c>
      <c r="Q61" s="207"/>
    </row>
    <row r="62" spans="1:29" ht="13" x14ac:dyDescent="0.25">
      <c r="A62" s="1616"/>
      <c r="B62" s="126">
        <v>2</v>
      </c>
      <c r="C62" s="127">
        <f>G6</f>
        <v>30</v>
      </c>
      <c r="D62" s="127">
        <f>H6</f>
        <v>0</v>
      </c>
      <c r="E62" s="127">
        <f>I6</f>
        <v>0</v>
      </c>
      <c r="F62" s="127">
        <f>J6</f>
        <v>0</v>
      </c>
      <c r="G62" s="127">
        <f>K6</f>
        <v>1.8600000000000002E-2</v>
      </c>
      <c r="H62" s="1627"/>
      <c r="J62" s="1620"/>
      <c r="K62" s="126">
        <v>2</v>
      </c>
      <c r="L62" s="127">
        <f>G11</f>
        <v>0</v>
      </c>
      <c r="M62" s="127">
        <f>H11</f>
        <v>0</v>
      </c>
      <c r="N62" s="127">
        <f>I11</f>
        <v>0</v>
      </c>
      <c r="O62" s="127">
        <f>J11</f>
        <v>0</v>
      </c>
      <c r="P62" s="127">
        <f>K11</f>
        <v>0</v>
      </c>
      <c r="Q62" s="205"/>
    </row>
    <row r="63" spans="1:29" ht="13" x14ac:dyDescent="0.25">
      <c r="A63" s="1616"/>
      <c r="B63" s="126">
        <v>3</v>
      </c>
      <c r="C63" s="127">
        <f>M6</f>
        <v>30</v>
      </c>
      <c r="D63" s="127">
        <f>N6</f>
        <v>-0.01</v>
      </c>
      <c r="E63" s="127">
        <f>O6</f>
        <v>0</v>
      </c>
      <c r="F63" s="127">
        <f>P6</f>
        <v>5.0000000000000001E-3</v>
      </c>
      <c r="G63" s="127">
        <f>Q6</f>
        <v>1.8600000000000002E-2</v>
      </c>
      <c r="H63" s="1627"/>
      <c r="J63" s="1620"/>
      <c r="K63" s="126">
        <v>3</v>
      </c>
      <c r="L63" s="127">
        <f>M11</f>
        <v>0</v>
      </c>
      <c r="M63" s="127">
        <f>N11</f>
        <v>0</v>
      </c>
      <c r="N63" s="127">
        <f>O11</f>
        <v>0</v>
      </c>
      <c r="O63" s="127">
        <f>P11</f>
        <v>0</v>
      </c>
      <c r="P63" s="127">
        <f>Q11</f>
        <v>0</v>
      </c>
      <c r="Q63" s="205"/>
    </row>
    <row r="64" spans="1:29" ht="13" x14ac:dyDescent="0.25">
      <c r="A64" s="1616"/>
      <c r="B64" s="126">
        <v>4</v>
      </c>
      <c r="C64" s="127">
        <f>A19</f>
        <v>30</v>
      </c>
      <c r="D64" s="127">
        <f>B19</f>
        <v>0</v>
      </c>
      <c r="E64" s="127">
        <f>C19</f>
        <v>0</v>
      </c>
      <c r="F64" s="127">
        <f>D19</f>
        <v>0</v>
      </c>
      <c r="G64" s="127">
        <f>E19</f>
        <v>1.8600000000000002E-2</v>
      </c>
      <c r="H64" s="1627"/>
      <c r="J64" s="1620"/>
      <c r="K64" s="126">
        <v>4</v>
      </c>
      <c r="L64" s="127">
        <f>A24</f>
        <v>0</v>
      </c>
      <c r="M64" s="127">
        <f>B24</f>
        <v>0</v>
      </c>
      <c r="N64" s="127">
        <f>C24</f>
        <v>0</v>
      </c>
      <c r="O64" s="127">
        <f>D24</f>
        <v>0</v>
      </c>
      <c r="P64" s="127">
        <f>E24</f>
        <v>0</v>
      </c>
      <c r="Q64" s="205"/>
    </row>
    <row r="65" spans="1:17" ht="13" x14ac:dyDescent="0.25">
      <c r="A65" s="1616"/>
      <c r="B65" s="126">
        <v>5</v>
      </c>
      <c r="C65" s="127">
        <f>G19</f>
        <v>30</v>
      </c>
      <c r="D65" s="127">
        <f>H19</f>
        <v>0</v>
      </c>
      <c r="E65" s="127">
        <f>I19</f>
        <v>0</v>
      </c>
      <c r="F65" s="127" t="str">
        <f>J19</f>
        <v>-</v>
      </c>
      <c r="G65" s="127">
        <f>K19</f>
        <v>0.18</v>
      </c>
      <c r="H65" s="130"/>
      <c r="J65" s="1620"/>
      <c r="K65" s="126">
        <v>5</v>
      </c>
      <c r="L65" s="127">
        <f>G24</f>
        <v>0</v>
      </c>
      <c r="M65" s="127">
        <f>H24</f>
        <v>0</v>
      </c>
      <c r="N65" s="127">
        <f>I24</f>
        <v>0</v>
      </c>
      <c r="O65" s="127">
        <f>J24</f>
        <v>0</v>
      </c>
      <c r="P65" s="127">
        <f>K24</f>
        <v>0</v>
      </c>
      <c r="Q65" s="130"/>
    </row>
    <row r="66" spans="1:17" ht="13" x14ac:dyDescent="0.25">
      <c r="A66" s="1616"/>
      <c r="B66" s="126">
        <v>6</v>
      </c>
      <c r="C66" s="127">
        <f>M19</f>
        <v>30</v>
      </c>
      <c r="D66" s="127">
        <f>N19</f>
        <v>0</v>
      </c>
      <c r="E66" s="127">
        <f>O19</f>
        <v>0</v>
      </c>
      <c r="F66" s="127">
        <f>P19</f>
        <v>0</v>
      </c>
      <c r="G66" s="127">
        <f>Q19</f>
        <v>0.18</v>
      </c>
      <c r="H66" s="1627"/>
      <c r="J66" s="1620"/>
      <c r="K66" s="126">
        <v>6</v>
      </c>
      <c r="L66" s="127">
        <f>M24</f>
        <v>0</v>
      </c>
      <c r="M66" s="127">
        <f>N24</f>
        <v>0</v>
      </c>
      <c r="N66" s="127">
        <f>O24</f>
        <v>0</v>
      </c>
      <c r="O66" s="127">
        <f>P24</f>
        <v>0</v>
      </c>
      <c r="P66" s="127">
        <f>Q24</f>
        <v>0</v>
      </c>
      <c r="Q66" s="205"/>
    </row>
    <row r="67" spans="1:17" ht="13" x14ac:dyDescent="0.25">
      <c r="A67" s="1616"/>
      <c r="B67" s="126">
        <v>7</v>
      </c>
      <c r="C67" s="127">
        <f>A33</f>
        <v>30</v>
      </c>
      <c r="D67" s="127">
        <f>B33</f>
        <v>0</v>
      </c>
      <c r="E67" s="127">
        <f>C33</f>
        <v>-0.06</v>
      </c>
      <c r="F67" s="127">
        <f>D33</f>
        <v>0.03</v>
      </c>
      <c r="G67" s="127">
        <f>E33</f>
        <v>0.18</v>
      </c>
      <c r="H67" s="1627"/>
      <c r="J67" s="1620"/>
      <c r="K67" s="126">
        <v>7</v>
      </c>
      <c r="L67" s="127">
        <f>A38</f>
        <v>0</v>
      </c>
      <c r="M67" s="127">
        <f>B38</f>
        <v>0</v>
      </c>
      <c r="N67" s="127">
        <f>C38</f>
        <v>0</v>
      </c>
      <c r="O67" s="127">
        <f>D38</f>
        <v>0</v>
      </c>
      <c r="P67" s="127">
        <f>E38</f>
        <v>0</v>
      </c>
      <c r="Q67" s="205"/>
    </row>
    <row r="68" spans="1:17" ht="13" x14ac:dyDescent="0.25">
      <c r="A68" s="1616"/>
      <c r="B68" s="126">
        <v>8</v>
      </c>
      <c r="C68" s="127">
        <f>G33</f>
        <v>30</v>
      </c>
      <c r="D68" s="127" t="str">
        <f>H33</f>
        <v>-</v>
      </c>
      <c r="E68" s="127">
        <f>I33</f>
        <v>0</v>
      </c>
      <c r="F68" s="127">
        <f>J33</f>
        <v>0</v>
      </c>
      <c r="G68" s="127">
        <f>K33</f>
        <v>0.18</v>
      </c>
      <c r="H68" s="1627"/>
      <c r="J68" s="1620"/>
      <c r="K68" s="126">
        <v>8</v>
      </c>
      <c r="L68" s="127">
        <f>G38</f>
        <v>0</v>
      </c>
      <c r="M68" s="127">
        <f>H38</f>
        <v>0</v>
      </c>
      <c r="N68" s="127">
        <f>I38</f>
        <v>0</v>
      </c>
      <c r="O68" s="127">
        <f>J38</f>
        <v>0</v>
      </c>
      <c r="P68" s="127">
        <f>K38</f>
        <v>0</v>
      </c>
      <c r="Q68" s="205"/>
    </row>
    <row r="69" spans="1:17" ht="13" x14ac:dyDescent="0.25">
      <c r="A69" s="1616"/>
      <c r="B69" s="126">
        <v>9</v>
      </c>
      <c r="C69" s="127">
        <f>M33</f>
        <v>30</v>
      </c>
      <c r="D69" s="127" t="str">
        <f>N33</f>
        <v>-</v>
      </c>
      <c r="E69" s="127">
        <f>O33</f>
        <v>0</v>
      </c>
      <c r="F69" s="127">
        <f>P33</f>
        <v>0</v>
      </c>
      <c r="G69" s="127">
        <f>Q33</f>
        <v>0.18</v>
      </c>
      <c r="H69" s="1627"/>
      <c r="J69" s="1620"/>
      <c r="K69" s="126">
        <v>9</v>
      </c>
      <c r="L69" s="127">
        <f>A51</f>
        <v>0</v>
      </c>
      <c r="M69" s="127">
        <f>B51</f>
        <v>0</v>
      </c>
      <c r="N69" s="127">
        <f>C51</f>
        <v>0</v>
      </c>
      <c r="O69" s="127">
        <f>D51</f>
        <v>0</v>
      </c>
      <c r="P69" s="127">
        <f>E51</f>
        <v>0</v>
      </c>
      <c r="Q69" s="205"/>
    </row>
    <row r="70" spans="1:17" ht="13" x14ac:dyDescent="0.25">
      <c r="A70" s="1616"/>
      <c r="B70" s="126">
        <v>10</v>
      </c>
      <c r="C70" s="127">
        <f>A46</f>
        <v>30</v>
      </c>
      <c r="D70" s="127">
        <f>B46</f>
        <v>0</v>
      </c>
      <c r="E70" s="127">
        <f>C46</f>
        <v>0</v>
      </c>
      <c r="F70" s="127">
        <f>D46</f>
        <v>0</v>
      </c>
      <c r="G70" s="127">
        <f>E46</f>
        <v>3.5999999999999999E-3</v>
      </c>
      <c r="H70" s="205"/>
      <c r="J70" s="1620"/>
      <c r="K70" s="126">
        <v>10</v>
      </c>
      <c r="L70" s="127">
        <f>G51</f>
        <v>0</v>
      </c>
      <c r="M70" s="127">
        <f>H51</f>
        <v>0</v>
      </c>
      <c r="N70" s="127">
        <f>I51</f>
        <v>0</v>
      </c>
      <c r="O70" s="127">
        <f>J51</f>
        <v>0</v>
      </c>
      <c r="P70" s="127">
        <f>K51</f>
        <v>0</v>
      </c>
      <c r="Q70" s="205"/>
    </row>
    <row r="71" spans="1:17" ht="13" x14ac:dyDescent="0.25">
      <c r="A71" s="1616"/>
      <c r="B71" s="452">
        <v>11</v>
      </c>
      <c r="C71" s="453">
        <f>G46</f>
        <v>30</v>
      </c>
      <c r="D71" s="453" t="str">
        <f>H46</f>
        <v>-</v>
      </c>
      <c r="E71" s="453">
        <f>I46</f>
        <v>0</v>
      </c>
      <c r="F71" s="453">
        <f>J46</f>
        <v>0</v>
      </c>
      <c r="G71" s="453">
        <f>K46</f>
        <v>3.5999999999999999E-3</v>
      </c>
      <c r="H71" s="672"/>
      <c r="J71" s="1620"/>
      <c r="K71" s="452">
        <v>11</v>
      </c>
      <c r="L71" s="453"/>
      <c r="M71" s="453"/>
      <c r="N71" s="453"/>
      <c r="O71" s="453"/>
      <c r="P71" s="453"/>
      <c r="Q71" s="672"/>
    </row>
    <row r="72" spans="1:17" ht="13.5" thickBot="1" x14ac:dyDescent="0.3">
      <c r="A72" s="1617"/>
      <c r="B72" s="452">
        <v>12</v>
      </c>
      <c r="C72" s="453">
        <f>M46</f>
        <v>30</v>
      </c>
      <c r="D72" s="453">
        <f>N46</f>
        <v>0</v>
      </c>
      <c r="E72" s="453">
        <f>O46</f>
        <v>0</v>
      </c>
      <c r="F72" s="453">
        <f>P46</f>
        <v>0</v>
      </c>
      <c r="G72" s="453">
        <f>Q46</f>
        <v>3.5999999999999999E-3</v>
      </c>
      <c r="H72" s="672"/>
      <c r="J72" s="1623"/>
      <c r="K72" s="452">
        <v>12</v>
      </c>
      <c r="L72" s="453"/>
      <c r="M72" s="453"/>
      <c r="N72" s="453"/>
      <c r="O72" s="453"/>
      <c r="P72" s="453"/>
      <c r="Q72" s="672"/>
    </row>
    <row r="73" spans="1:17" ht="13" x14ac:dyDescent="0.25">
      <c r="A73" s="1618" t="s">
        <v>88</v>
      </c>
      <c r="B73" s="128">
        <v>1</v>
      </c>
      <c r="C73" s="129">
        <f>A7</f>
        <v>60</v>
      </c>
      <c r="D73" s="129">
        <f>B7</f>
        <v>0</v>
      </c>
      <c r="E73" s="129">
        <f>C7</f>
        <v>-0.18</v>
      </c>
      <c r="F73" s="129">
        <f>D7</f>
        <v>0.09</v>
      </c>
      <c r="G73" s="129">
        <f>E7</f>
        <v>0.18</v>
      </c>
      <c r="H73" s="1628"/>
      <c r="J73" s="1619" t="s">
        <v>479</v>
      </c>
      <c r="K73" s="128">
        <v>1</v>
      </c>
      <c r="L73" s="129">
        <f>A12</f>
        <v>0</v>
      </c>
      <c r="M73" s="129">
        <f>B12</f>
        <v>0</v>
      </c>
      <c r="N73" s="129">
        <f>C12</f>
        <v>0</v>
      </c>
      <c r="O73" s="129">
        <f>D12</f>
        <v>0</v>
      </c>
      <c r="P73" s="129">
        <f>E12</f>
        <v>0</v>
      </c>
      <c r="Q73" s="207"/>
    </row>
    <row r="74" spans="1:17" ht="13" x14ac:dyDescent="0.25">
      <c r="A74" s="1616"/>
      <c r="B74" s="126">
        <v>2</v>
      </c>
      <c r="C74" s="127">
        <f>G7</f>
        <v>60</v>
      </c>
      <c r="D74" s="127">
        <f>H7</f>
        <v>0</v>
      </c>
      <c r="E74" s="127">
        <f>I7</f>
        <v>0</v>
      </c>
      <c r="F74" s="127">
        <f>J7</f>
        <v>0</v>
      </c>
      <c r="G74" s="127">
        <f>K7</f>
        <v>3.6600000000000001E-2</v>
      </c>
      <c r="H74" s="1627"/>
      <c r="J74" s="1620"/>
      <c r="K74" s="126">
        <v>2</v>
      </c>
      <c r="L74" s="127">
        <f>G12</f>
        <v>0</v>
      </c>
      <c r="M74" s="127">
        <f>H12</f>
        <v>0</v>
      </c>
      <c r="N74" s="127">
        <f>I12</f>
        <v>0</v>
      </c>
      <c r="O74" s="127">
        <f>J12</f>
        <v>0</v>
      </c>
      <c r="P74" s="127">
        <f>K12</f>
        <v>0</v>
      </c>
      <c r="Q74" s="205"/>
    </row>
    <row r="75" spans="1:17" ht="13" x14ac:dyDescent="0.25">
      <c r="A75" s="1616"/>
      <c r="B75" s="126">
        <v>3</v>
      </c>
      <c r="C75" s="127">
        <f>M7</f>
        <v>60</v>
      </c>
      <c r="D75" s="127">
        <f>N7</f>
        <v>-0.03</v>
      </c>
      <c r="E75" s="127">
        <f>O7</f>
        <v>0</v>
      </c>
      <c r="F75" s="127">
        <f>P7</f>
        <v>1.4999999999999999E-2</v>
      </c>
      <c r="G75" s="127">
        <f>Q7</f>
        <v>3.6600000000000001E-2</v>
      </c>
      <c r="H75" s="1627"/>
      <c r="J75" s="1620"/>
      <c r="K75" s="126">
        <v>3</v>
      </c>
      <c r="L75" s="127">
        <f>M12</f>
        <v>0</v>
      </c>
      <c r="M75" s="127">
        <f>N12</f>
        <v>0</v>
      </c>
      <c r="N75" s="127">
        <f>O12</f>
        <v>0</v>
      </c>
      <c r="O75" s="127">
        <f>P12</f>
        <v>0</v>
      </c>
      <c r="P75" s="127">
        <f>Q12</f>
        <v>0</v>
      </c>
      <c r="Q75" s="205"/>
    </row>
    <row r="76" spans="1:17" ht="13" x14ac:dyDescent="0.25">
      <c r="A76" s="1616"/>
      <c r="B76" s="126">
        <v>4</v>
      </c>
      <c r="C76" s="127">
        <f>A20</f>
        <v>60</v>
      </c>
      <c r="D76" s="127">
        <f>B20</f>
        <v>0</v>
      </c>
      <c r="E76" s="127">
        <f>C20</f>
        <v>0</v>
      </c>
      <c r="F76" s="127">
        <f>D20</f>
        <v>0</v>
      </c>
      <c r="G76" s="127">
        <f>E20</f>
        <v>3.6600000000000001E-2</v>
      </c>
      <c r="H76" s="1627"/>
      <c r="J76" s="1620"/>
      <c r="K76" s="126">
        <v>4</v>
      </c>
      <c r="L76" s="127">
        <f>A25</f>
        <v>0</v>
      </c>
      <c r="M76" s="127">
        <f>B25</f>
        <v>0</v>
      </c>
      <c r="N76" s="127">
        <f>C25</f>
        <v>0</v>
      </c>
      <c r="O76" s="127">
        <f>D25</f>
        <v>0</v>
      </c>
      <c r="P76" s="127">
        <f>E25</f>
        <v>0</v>
      </c>
      <c r="Q76" s="205"/>
    </row>
    <row r="77" spans="1:17" ht="13" x14ac:dyDescent="0.25">
      <c r="A77" s="1616"/>
      <c r="B77" s="126">
        <v>5</v>
      </c>
      <c r="C77" s="127">
        <f>G20</f>
        <v>60</v>
      </c>
      <c r="D77" s="127">
        <f>H20</f>
        <v>0</v>
      </c>
      <c r="E77" s="127">
        <f>I20</f>
        <v>-0.12</v>
      </c>
      <c r="F77" s="127" t="str">
        <f>J20</f>
        <v>-</v>
      </c>
      <c r="G77" s="127">
        <f>K20</f>
        <v>0.18</v>
      </c>
      <c r="H77" s="130"/>
      <c r="J77" s="1620"/>
      <c r="K77" s="126">
        <v>5</v>
      </c>
      <c r="L77" s="127">
        <f>G25</f>
        <v>0</v>
      </c>
      <c r="M77" s="127">
        <f>H25</f>
        <v>0</v>
      </c>
      <c r="N77" s="127">
        <f>I25</f>
        <v>0</v>
      </c>
      <c r="O77" s="127">
        <f>J25</f>
        <v>0</v>
      </c>
      <c r="P77" s="127">
        <f>K25</f>
        <v>0</v>
      </c>
      <c r="Q77" s="130"/>
    </row>
    <row r="78" spans="1:17" ht="13" x14ac:dyDescent="0.25">
      <c r="A78" s="1616"/>
      <c r="B78" s="126">
        <v>6</v>
      </c>
      <c r="C78" s="127">
        <f>M20</f>
        <v>60</v>
      </c>
      <c r="D78" s="127">
        <f>N20</f>
        <v>0</v>
      </c>
      <c r="E78" s="127">
        <f>O20</f>
        <v>-0.12</v>
      </c>
      <c r="F78" s="127">
        <f>P20</f>
        <v>0.06</v>
      </c>
      <c r="G78" s="127">
        <f>Q20</f>
        <v>0.18</v>
      </c>
      <c r="H78" s="1627"/>
      <c r="J78" s="1620"/>
      <c r="K78" s="126">
        <v>6</v>
      </c>
      <c r="L78" s="127">
        <f>M25</f>
        <v>0</v>
      </c>
      <c r="M78" s="127">
        <f>N25</f>
        <v>0</v>
      </c>
      <c r="N78" s="127">
        <f>O25</f>
        <v>0</v>
      </c>
      <c r="O78" s="127">
        <f>P25</f>
        <v>0</v>
      </c>
      <c r="P78" s="127">
        <f>Q25</f>
        <v>0</v>
      </c>
      <c r="Q78" s="205"/>
    </row>
    <row r="79" spans="1:17" ht="13" x14ac:dyDescent="0.25">
      <c r="A79" s="1616"/>
      <c r="B79" s="126">
        <v>7</v>
      </c>
      <c r="C79" s="127">
        <f>A34</f>
        <v>60</v>
      </c>
      <c r="D79" s="127">
        <f>B34</f>
        <v>0</v>
      </c>
      <c r="E79" s="127">
        <f>C34</f>
        <v>-0.18</v>
      </c>
      <c r="F79" s="127">
        <f>D34</f>
        <v>0.09</v>
      </c>
      <c r="G79" s="127">
        <f>E34</f>
        <v>0.18</v>
      </c>
      <c r="H79" s="1627"/>
      <c r="J79" s="1620"/>
      <c r="K79" s="126">
        <v>7</v>
      </c>
      <c r="L79" s="127">
        <f>A39</f>
        <v>0</v>
      </c>
      <c r="M79" s="127">
        <f>B39</f>
        <v>0</v>
      </c>
      <c r="N79" s="127">
        <f>C39</f>
        <v>0</v>
      </c>
      <c r="O79" s="127">
        <f>D39</f>
        <v>0</v>
      </c>
      <c r="P79" s="127">
        <f>E39</f>
        <v>0</v>
      </c>
      <c r="Q79" s="205"/>
    </row>
    <row r="80" spans="1:17" ht="13" x14ac:dyDescent="0.25">
      <c r="A80" s="1616"/>
      <c r="B80" s="126">
        <v>8</v>
      </c>
      <c r="C80" s="127">
        <f>G34</f>
        <v>60</v>
      </c>
      <c r="D80" s="127" t="str">
        <f>H34</f>
        <v>-</v>
      </c>
      <c r="E80" s="127">
        <f>I34</f>
        <v>-0.12</v>
      </c>
      <c r="F80" s="127">
        <f>J34</f>
        <v>0</v>
      </c>
      <c r="G80" s="127">
        <f>K34</f>
        <v>0.18</v>
      </c>
      <c r="H80" s="1627"/>
      <c r="J80" s="1620"/>
      <c r="K80" s="126">
        <v>8</v>
      </c>
      <c r="L80" s="127">
        <f>G39</f>
        <v>0</v>
      </c>
      <c r="M80" s="127">
        <f>H39</f>
        <v>0</v>
      </c>
      <c r="N80" s="127">
        <f>I39</f>
        <v>0</v>
      </c>
      <c r="O80" s="127">
        <f>J39</f>
        <v>0</v>
      </c>
      <c r="P80" s="127">
        <f>K39</f>
        <v>0</v>
      </c>
      <c r="Q80" s="205"/>
    </row>
    <row r="81" spans="1:17" ht="13" x14ac:dyDescent="0.25">
      <c r="A81" s="1616"/>
      <c r="B81" s="126">
        <v>9</v>
      </c>
      <c r="C81" s="127">
        <f>M34</f>
        <v>60</v>
      </c>
      <c r="D81" s="127" t="str">
        <f>N34</f>
        <v>-</v>
      </c>
      <c r="E81" s="127">
        <f>O34</f>
        <v>-0.12</v>
      </c>
      <c r="F81" s="127">
        <f>P34</f>
        <v>0</v>
      </c>
      <c r="G81" s="127">
        <f>Q34</f>
        <v>0.18</v>
      </c>
      <c r="H81" s="1627"/>
      <c r="J81" s="1620"/>
      <c r="K81" s="126">
        <v>9</v>
      </c>
      <c r="L81" s="127">
        <f>A52</f>
        <v>0</v>
      </c>
      <c r="M81" s="127">
        <f>B52</f>
        <v>0</v>
      </c>
      <c r="N81" s="127">
        <f>C52</f>
        <v>0</v>
      </c>
      <c r="O81" s="127">
        <f>D52</f>
        <v>0</v>
      </c>
      <c r="P81" s="127">
        <f>E52</f>
        <v>0</v>
      </c>
      <c r="Q81" s="205"/>
    </row>
    <row r="82" spans="1:17" ht="13" x14ac:dyDescent="0.25">
      <c r="A82" s="1616"/>
      <c r="B82" s="126">
        <v>10</v>
      </c>
      <c r="C82" s="127">
        <f>A47</f>
        <v>60</v>
      </c>
      <c r="D82" s="127">
        <f>AH47</f>
        <v>0</v>
      </c>
      <c r="E82" s="127">
        <f>AI47</f>
        <v>0</v>
      </c>
      <c r="F82" s="127">
        <f>AJ47</f>
        <v>0</v>
      </c>
      <c r="G82" s="127">
        <f>AK47</f>
        <v>0</v>
      </c>
      <c r="H82" s="205"/>
      <c r="J82" s="1620"/>
      <c r="K82" s="126">
        <v>10</v>
      </c>
      <c r="L82" s="127">
        <f>G52</f>
        <v>0</v>
      </c>
      <c r="M82" s="127">
        <f>H52</f>
        <v>0</v>
      </c>
      <c r="N82" s="127">
        <f>I52</f>
        <v>0</v>
      </c>
      <c r="O82" s="127">
        <f>J52</f>
        <v>0</v>
      </c>
      <c r="P82" s="127">
        <f>K52</f>
        <v>0</v>
      </c>
      <c r="Q82" s="205"/>
    </row>
    <row r="83" spans="1:17" ht="13" x14ac:dyDescent="0.25">
      <c r="A83" s="1616"/>
      <c r="B83" s="452">
        <v>11</v>
      </c>
      <c r="C83" s="453">
        <f>G47</f>
        <v>60</v>
      </c>
      <c r="D83" s="453" t="str">
        <f>H47</f>
        <v>-</v>
      </c>
      <c r="E83" s="453">
        <f>I47</f>
        <v>0</v>
      </c>
      <c r="F83" s="453">
        <f>J47</f>
        <v>0</v>
      </c>
      <c r="G83" s="453">
        <f>K47</f>
        <v>6.6000000000000008E-3</v>
      </c>
      <c r="H83" s="672"/>
      <c r="J83" s="1620"/>
      <c r="K83" s="452">
        <v>11</v>
      </c>
      <c r="L83" s="453"/>
      <c r="M83" s="453"/>
      <c r="N83" s="453"/>
      <c r="O83" s="453"/>
      <c r="P83" s="453"/>
      <c r="Q83" s="672"/>
    </row>
    <row r="84" spans="1:17" ht="13.5" thickBot="1" x14ac:dyDescent="0.3">
      <c r="A84" s="1617"/>
      <c r="B84" s="452">
        <v>12</v>
      </c>
      <c r="C84" s="453">
        <f>M47</f>
        <v>60</v>
      </c>
      <c r="D84" s="453">
        <f>N47</f>
        <v>0</v>
      </c>
      <c r="E84" s="453">
        <f>O47</f>
        <v>0</v>
      </c>
      <c r="F84" s="453">
        <f>P47</f>
        <v>0</v>
      </c>
      <c r="G84" s="453">
        <f>Q47</f>
        <v>6.6000000000000008E-3</v>
      </c>
      <c r="H84" s="672"/>
      <c r="J84" s="1623"/>
      <c r="K84" s="452">
        <v>12</v>
      </c>
      <c r="L84" s="453"/>
      <c r="M84" s="453"/>
      <c r="N84" s="453"/>
      <c r="O84" s="453"/>
      <c r="P84" s="453"/>
      <c r="Q84" s="672"/>
    </row>
    <row r="85" spans="1:17" ht="13" x14ac:dyDescent="0.25">
      <c r="A85" s="1618" t="s">
        <v>89</v>
      </c>
      <c r="B85" s="128">
        <v>1</v>
      </c>
      <c r="C85" s="129">
        <f>A8</f>
        <v>120</v>
      </c>
      <c r="D85" s="129">
        <f>B8</f>
        <v>0</v>
      </c>
      <c r="E85" s="129">
        <f>C8</f>
        <v>-0.18</v>
      </c>
      <c r="F85" s="129">
        <f>D8</f>
        <v>0.09</v>
      </c>
      <c r="G85" s="129">
        <f>E8</f>
        <v>0.18</v>
      </c>
      <c r="H85" s="1628"/>
      <c r="J85" s="1619" t="s">
        <v>482</v>
      </c>
      <c r="K85" s="128">
        <v>1</v>
      </c>
      <c r="L85" s="129">
        <f>A13</f>
        <v>0</v>
      </c>
      <c r="M85" s="129">
        <f>B13</f>
        <v>0</v>
      </c>
      <c r="N85" s="129">
        <f>C13</f>
        <v>0</v>
      </c>
      <c r="O85" s="129">
        <f>D13</f>
        <v>0</v>
      </c>
      <c r="P85" s="129">
        <f>E13</f>
        <v>0</v>
      </c>
      <c r="Q85" s="1628"/>
    </row>
    <row r="86" spans="1:17" ht="13" x14ac:dyDescent="0.25">
      <c r="A86" s="1616"/>
      <c r="B86" s="126">
        <v>2</v>
      </c>
      <c r="C86" s="127">
        <f>G8</f>
        <v>120</v>
      </c>
      <c r="D86" s="127">
        <f>H8</f>
        <v>0</v>
      </c>
      <c r="E86" s="127">
        <f>I8</f>
        <v>0</v>
      </c>
      <c r="F86" s="127">
        <f>J8</f>
        <v>0</v>
      </c>
      <c r="G86" s="127">
        <f>K8</f>
        <v>7.2599999999999998E-2</v>
      </c>
      <c r="H86" s="1627"/>
      <c r="J86" s="1620"/>
      <c r="K86" s="126">
        <v>2</v>
      </c>
      <c r="L86" s="127">
        <f>G13</f>
        <v>0</v>
      </c>
      <c r="M86" s="127">
        <f>H13</f>
        <v>0</v>
      </c>
      <c r="N86" s="127">
        <f>I13</f>
        <v>0</v>
      </c>
      <c r="O86" s="127">
        <f>J13</f>
        <v>0</v>
      </c>
      <c r="P86" s="127">
        <f>K13</f>
        <v>0</v>
      </c>
      <c r="Q86" s="1627"/>
    </row>
    <row r="87" spans="1:17" ht="13" x14ac:dyDescent="0.25">
      <c r="A87" s="1616"/>
      <c r="B87" s="126">
        <v>3</v>
      </c>
      <c r="C87" s="127">
        <f>M8</f>
        <v>120</v>
      </c>
      <c r="D87" s="127">
        <f>N8</f>
        <v>-0.1</v>
      </c>
      <c r="E87" s="127">
        <f>O8</f>
        <v>0.06</v>
      </c>
      <c r="F87" s="127">
        <f>P8</f>
        <v>0.08</v>
      </c>
      <c r="G87" s="127">
        <f>Q8</f>
        <v>7.2599999999999998E-2</v>
      </c>
      <c r="H87" s="1627"/>
      <c r="J87" s="1620"/>
      <c r="K87" s="126">
        <v>3</v>
      </c>
      <c r="L87" s="127">
        <f>M13</f>
        <v>0</v>
      </c>
      <c r="M87" s="127">
        <f>N13</f>
        <v>0</v>
      </c>
      <c r="N87" s="127">
        <f>O13</f>
        <v>0</v>
      </c>
      <c r="O87" s="127">
        <f>P13</f>
        <v>0</v>
      </c>
      <c r="P87" s="127">
        <f>Q13</f>
        <v>0</v>
      </c>
      <c r="Q87" s="1627"/>
    </row>
    <row r="88" spans="1:17" ht="13" x14ac:dyDescent="0.25">
      <c r="A88" s="1616"/>
      <c r="B88" s="126">
        <v>4</v>
      </c>
      <c r="C88" s="127">
        <f>A21</f>
        <v>120</v>
      </c>
      <c r="D88" s="127">
        <f>B21</f>
        <v>0.06</v>
      </c>
      <c r="E88" s="127">
        <f>C21</f>
        <v>0</v>
      </c>
      <c r="F88" s="127">
        <f>D21</f>
        <v>0.03</v>
      </c>
      <c r="G88" s="127">
        <f>E21</f>
        <v>7.2599999999999998E-2</v>
      </c>
      <c r="H88" s="1627"/>
      <c r="J88" s="1620"/>
      <c r="K88" s="126">
        <v>4</v>
      </c>
      <c r="L88" s="127">
        <f>A26</f>
        <v>0</v>
      </c>
      <c r="M88" s="127">
        <f>B26</f>
        <v>0</v>
      </c>
      <c r="N88" s="127">
        <f>C26</f>
        <v>0</v>
      </c>
      <c r="O88" s="127">
        <f>D26</f>
        <v>0</v>
      </c>
      <c r="P88" s="127">
        <f>E26</f>
        <v>0</v>
      </c>
      <c r="Q88" s="1627"/>
    </row>
    <row r="89" spans="1:17" ht="13" x14ac:dyDescent="0.25">
      <c r="A89" s="1616"/>
      <c r="B89" s="126">
        <v>5</v>
      </c>
      <c r="C89" s="127">
        <f>G21</f>
        <v>120</v>
      </c>
      <c r="D89" s="127">
        <f>H21</f>
        <v>0</v>
      </c>
      <c r="E89" s="127">
        <f>I21</f>
        <v>-0.12</v>
      </c>
      <c r="F89" s="127" t="str">
        <f>J21</f>
        <v>-</v>
      </c>
      <c r="G89" s="127">
        <f>K21</f>
        <v>0.18</v>
      </c>
      <c r="H89" s="130"/>
      <c r="J89" s="1620"/>
      <c r="K89" s="126">
        <v>5</v>
      </c>
      <c r="L89" s="127">
        <f>G26</f>
        <v>0</v>
      </c>
      <c r="M89" s="127">
        <f>H26</f>
        <v>0</v>
      </c>
      <c r="N89" s="127">
        <f>I26</f>
        <v>0</v>
      </c>
      <c r="O89" s="127">
        <f>J26</f>
        <v>0</v>
      </c>
      <c r="P89" s="127">
        <f>K26</f>
        <v>0</v>
      </c>
      <c r="Q89" s="130"/>
    </row>
    <row r="90" spans="1:17" ht="13" x14ac:dyDescent="0.25">
      <c r="A90" s="1616"/>
      <c r="B90" s="126">
        <v>6</v>
      </c>
      <c r="C90" s="127">
        <f>M21</f>
        <v>120</v>
      </c>
      <c r="D90" s="127" t="str">
        <f>N21</f>
        <v>-</v>
      </c>
      <c r="E90" s="127">
        <f>O21</f>
        <v>-0.12</v>
      </c>
      <c r="F90" s="127">
        <f>P21</f>
        <v>0</v>
      </c>
      <c r="G90" s="127">
        <f>Q21</f>
        <v>0.18</v>
      </c>
      <c r="H90" s="1627"/>
      <c r="J90" s="1620"/>
      <c r="K90" s="126">
        <v>6</v>
      </c>
      <c r="L90" s="127">
        <f>M26</f>
        <v>0</v>
      </c>
      <c r="M90" s="127">
        <f>N26</f>
        <v>0</v>
      </c>
      <c r="N90" s="127">
        <f>O26</f>
        <v>0</v>
      </c>
      <c r="O90" s="127">
        <f>P26</f>
        <v>0</v>
      </c>
      <c r="P90" s="127">
        <f>Q26</f>
        <v>0</v>
      </c>
      <c r="Q90" s="1627"/>
    </row>
    <row r="91" spans="1:17" ht="13" x14ac:dyDescent="0.25">
      <c r="A91" s="1616"/>
      <c r="B91" s="126">
        <v>7</v>
      </c>
      <c r="C91" s="127">
        <f>A35</f>
        <v>120</v>
      </c>
      <c r="D91" s="127" t="str">
        <f>B35</f>
        <v>-</v>
      </c>
      <c r="E91" s="127">
        <f>C35</f>
        <v>-0.12</v>
      </c>
      <c r="F91" s="127">
        <f>D35</f>
        <v>0</v>
      </c>
      <c r="G91" s="127">
        <f>E35</f>
        <v>0.18</v>
      </c>
      <c r="H91" s="1627"/>
      <c r="J91" s="1620"/>
      <c r="K91" s="126">
        <v>7</v>
      </c>
      <c r="L91" s="127">
        <f>A40</f>
        <v>0</v>
      </c>
      <c r="M91" s="127">
        <f>B40</f>
        <v>0</v>
      </c>
      <c r="N91" s="127">
        <f>C40</f>
        <v>0</v>
      </c>
      <c r="O91" s="127">
        <f>D40</f>
        <v>0</v>
      </c>
      <c r="P91" s="127">
        <f>E40</f>
        <v>0</v>
      </c>
      <c r="Q91" s="1627"/>
    </row>
    <row r="92" spans="1:17" ht="13" x14ac:dyDescent="0.25">
      <c r="A92" s="1616"/>
      <c r="B92" s="126">
        <v>8</v>
      </c>
      <c r="C92" s="127">
        <f>G35</f>
        <v>120</v>
      </c>
      <c r="D92" s="127" t="str">
        <f>H35</f>
        <v>-</v>
      </c>
      <c r="E92" s="127">
        <f>I35</f>
        <v>-0.12</v>
      </c>
      <c r="F92" s="127">
        <f>J35</f>
        <v>0</v>
      </c>
      <c r="G92" s="127">
        <f>K35</f>
        <v>0.18</v>
      </c>
      <c r="H92" s="1627"/>
      <c r="J92" s="1620"/>
      <c r="K92" s="126">
        <v>8</v>
      </c>
      <c r="L92" s="127">
        <f>G40</f>
        <v>0</v>
      </c>
      <c r="M92" s="127">
        <f>H40</f>
        <v>0</v>
      </c>
      <c r="N92" s="127">
        <f>I40</f>
        <v>0</v>
      </c>
      <c r="O92" s="127">
        <f>J40</f>
        <v>0</v>
      </c>
      <c r="P92" s="127">
        <f>K40</f>
        <v>0</v>
      </c>
      <c r="Q92" s="1627"/>
    </row>
    <row r="93" spans="1:17" ht="13" x14ac:dyDescent="0.25">
      <c r="A93" s="1616"/>
      <c r="B93" s="126">
        <v>9</v>
      </c>
      <c r="C93" s="127">
        <f>M35</f>
        <v>120</v>
      </c>
      <c r="D93" s="127" t="str">
        <f>N35</f>
        <v>-</v>
      </c>
      <c r="E93" s="127">
        <f>O35</f>
        <v>-0.12</v>
      </c>
      <c r="F93" s="127">
        <f>P35</f>
        <v>0</v>
      </c>
      <c r="G93" s="127">
        <f>Q35</f>
        <v>0.18</v>
      </c>
      <c r="H93" s="1627"/>
      <c r="J93" s="1620"/>
      <c r="K93" s="126">
        <v>9</v>
      </c>
      <c r="L93" s="127">
        <f>A53</f>
        <v>0</v>
      </c>
      <c r="M93" s="127">
        <f>B53</f>
        <v>0</v>
      </c>
      <c r="N93" s="127">
        <f>C53</f>
        <v>0</v>
      </c>
      <c r="O93" s="127">
        <f>D53</f>
        <v>0</v>
      </c>
      <c r="P93" s="127">
        <f>E53</f>
        <v>0</v>
      </c>
      <c r="Q93" s="1627"/>
    </row>
    <row r="94" spans="1:17" ht="13" x14ac:dyDescent="0.25">
      <c r="A94" s="1616"/>
      <c r="B94" s="126">
        <v>10</v>
      </c>
      <c r="C94" s="127">
        <f>A48</f>
        <v>120</v>
      </c>
      <c r="D94" s="127">
        <f>B48</f>
        <v>0</v>
      </c>
      <c r="E94" s="127">
        <f>C48</f>
        <v>0</v>
      </c>
      <c r="F94" s="127">
        <f>D48</f>
        <v>0</v>
      </c>
      <c r="G94" s="127">
        <f>E48</f>
        <v>1.26E-2</v>
      </c>
      <c r="H94" s="205"/>
      <c r="J94" s="1620"/>
      <c r="K94" s="126">
        <v>10</v>
      </c>
      <c r="L94" s="127">
        <f>G53</f>
        <v>0</v>
      </c>
      <c r="M94" s="127">
        <f>H53</f>
        <v>0</v>
      </c>
      <c r="N94" s="127">
        <f>I53</f>
        <v>0</v>
      </c>
      <c r="O94" s="127">
        <f>J53</f>
        <v>0</v>
      </c>
      <c r="P94" s="127">
        <f>K53</f>
        <v>0</v>
      </c>
      <c r="Q94" s="205"/>
    </row>
    <row r="95" spans="1:17" ht="13" x14ac:dyDescent="0.25">
      <c r="A95" s="1616"/>
      <c r="B95" s="452">
        <v>11</v>
      </c>
      <c r="C95" s="453">
        <f>G48</f>
        <v>120</v>
      </c>
      <c r="D95" s="453" t="str">
        <f>H48</f>
        <v>-</v>
      </c>
      <c r="E95" s="453">
        <f>I48</f>
        <v>0</v>
      </c>
      <c r="F95" s="453">
        <f>J48</f>
        <v>0</v>
      </c>
      <c r="G95" s="453">
        <f>K48</f>
        <v>1.26E-2</v>
      </c>
      <c r="H95" s="672"/>
      <c r="J95" s="1620"/>
      <c r="K95" s="452">
        <v>11</v>
      </c>
      <c r="L95" s="453"/>
      <c r="M95" s="453"/>
      <c r="N95" s="453"/>
      <c r="O95" s="453"/>
      <c r="P95" s="453"/>
      <c r="Q95" s="672"/>
    </row>
    <row r="96" spans="1:17" ht="13.5" thickBot="1" x14ac:dyDescent="0.3">
      <c r="A96" s="1617"/>
      <c r="B96" s="452">
        <v>12</v>
      </c>
      <c r="C96" s="453">
        <f>M48</f>
        <v>120</v>
      </c>
      <c r="D96" s="453" t="str">
        <f>N48</f>
        <v>-</v>
      </c>
      <c r="E96" s="453" t="str">
        <f>O48</f>
        <v>-</v>
      </c>
      <c r="F96" s="453">
        <f>P48</f>
        <v>0</v>
      </c>
      <c r="G96" s="453" t="str">
        <f>Q48</f>
        <v>-</v>
      </c>
      <c r="H96" s="672"/>
      <c r="J96" s="1623"/>
      <c r="K96" s="452">
        <v>12</v>
      </c>
      <c r="L96" s="453"/>
      <c r="M96" s="453"/>
      <c r="N96" s="453"/>
      <c r="O96" s="453"/>
      <c r="P96" s="453"/>
      <c r="Q96" s="672"/>
    </row>
    <row r="97" spans="1:17" ht="13" x14ac:dyDescent="0.25">
      <c r="A97" s="1619" t="s">
        <v>90</v>
      </c>
      <c r="B97" s="128">
        <v>1</v>
      </c>
      <c r="C97" s="129">
        <f>A9</f>
        <v>180</v>
      </c>
      <c r="D97" s="129">
        <f>B9</f>
        <v>0</v>
      </c>
      <c r="E97" s="129">
        <f>C9</f>
        <v>0.18</v>
      </c>
      <c r="F97" s="129">
        <f>D9</f>
        <v>0.09</v>
      </c>
      <c r="G97" s="129">
        <f>E9</f>
        <v>0.18</v>
      </c>
      <c r="H97" s="1628"/>
      <c r="J97" s="1624" t="s">
        <v>473</v>
      </c>
      <c r="K97" s="674">
        <v>1</v>
      </c>
      <c r="L97" s="129">
        <f>A14</f>
        <v>0</v>
      </c>
      <c r="M97" s="129">
        <f>B14</f>
        <v>0</v>
      </c>
      <c r="N97" s="129">
        <f>C14</f>
        <v>0</v>
      </c>
      <c r="O97" s="129">
        <f>D14</f>
        <v>0</v>
      </c>
      <c r="P97" s="688">
        <f>E14</f>
        <v>0</v>
      </c>
      <c r="Q97" s="1629"/>
    </row>
    <row r="98" spans="1:17" ht="13" x14ac:dyDescent="0.25">
      <c r="A98" s="1620"/>
      <c r="B98" s="126">
        <v>2</v>
      </c>
      <c r="C98" s="127">
        <f>G9</f>
        <v>180</v>
      </c>
      <c r="D98" s="127">
        <f>H9</f>
        <v>0</v>
      </c>
      <c r="E98" s="127">
        <f>I9</f>
        <v>0</v>
      </c>
      <c r="F98" s="127">
        <f>J9</f>
        <v>0</v>
      </c>
      <c r="G98" s="127">
        <f>K9</f>
        <v>0.1086</v>
      </c>
      <c r="H98" s="1627"/>
      <c r="J98" s="1625"/>
      <c r="K98" s="675">
        <v>2</v>
      </c>
      <c r="L98" s="127">
        <f>G14</f>
        <v>0</v>
      </c>
      <c r="M98" s="127">
        <f>H14</f>
        <v>0</v>
      </c>
      <c r="N98" s="127">
        <f>I14</f>
        <v>0</v>
      </c>
      <c r="O98" s="127">
        <f>J14</f>
        <v>0</v>
      </c>
      <c r="P98" s="689">
        <f>K14</f>
        <v>0</v>
      </c>
      <c r="Q98" s="1630"/>
    </row>
    <row r="99" spans="1:17" ht="13" x14ac:dyDescent="0.25">
      <c r="A99" s="1620"/>
      <c r="B99" s="126">
        <v>3</v>
      </c>
      <c r="C99" s="127">
        <f>M9</f>
        <v>180</v>
      </c>
      <c r="D99" s="127">
        <f>N9</f>
        <v>0.1</v>
      </c>
      <c r="E99" s="127">
        <f>O9</f>
        <v>0</v>
      </c>
      <c r="F99" s="127">
        <f>P9</f>
        <v>0.05</v>
      </c>
      <c r="G99" s="127">
        <f>Q9</f>
        <v>0.1086</v>
      </c>
      <c r="H99" s="1627"/>
      <c r="J99" s="1625"/>
      <c r="K99" s="675">
        <v>3</v>
      </c>
      <c r="L99" s="127">
        <f>M14</f>
        <v>0</v>
      </c>
      <c r="M99" s="127">
        <f>N14</f>
        <v>0</v>
      </c>
      <c r="N99" s="127">
        <f>O14</f>
        <v>0</v>
      </c>
      <c r="O99" s="127">
        <f>P14</f>
        <v>0</v>
      </c>
      <c r="P99" s="689">
        <f>Q14</f>
        <v>0</v>
      </c>
      <c r="Q99" s="1630"/>
    </row>
    <row r="100" spans="1:17" ht="13" x14ac:dyDescent="0.25">
      <c r="A100" s="1620"/>
      <c r="B100" s="126">
        <v>4</v>
      </c>
      <c r="C100" s="127">
        <f>A22</f>
        <v>180</v>
      </c>
      <c r="D100" s="127" t="str">
        <f>B22</f>
        <v>-</v>
      </c>
      <c r="E100" s="127">
        <f>C22</f>
        <v>0</v>
      </c>
      <c r="F100" s="127">
        <f>D22</f>
        <v>0</v>
      </c>
      <c r="G100" s="127">
        <f>E22</f>
        <v>0.1086</v>
      </c>
      <c r="H100" s="1627"/>
      <c r="J100" s="1625"/>
      <c r="K100" s="675">
        <v>4</v>
      </c>
      <c r="L100" s="127">
        <f>A27</f>
        <v>0</v>
      </c>
      <c r="M100" s="127">
        <f>B27</f>
        <v>0</v>
      </c>
      <c r="N100" s="127">
        <f>C27</f>
        <v>0</v>
      </c>
      <c r="O100" s="127">
        <f>D27</f>
        <v>0</v>
      </c>
      <c r="P100" s="689">
        <f>E27</f>
        <v>0</v>
      </c>
      <c r="Q100" s="1630"/>
    </row>
    <row r="101" spans="1:17" ht="13" x14ac:dyDescent="0.25">
      <c r="A101" s="1620"/>
      <c r="B101" s="126">
        <v>5</v>
      </c>
      <c r="C101" s="127">
        <f>G22</f>
        <v>180</v>
      </c>
      <c r="D101" s="127">
        <f>H22</f>
        <v>0</v>
      </c>
      <c r="E101" s="127">
        <f>I22</f>
        <v>-0.06</v>
      </c>
      <c r="F101" s="127" t="str">
        <f>J22</f>
        <v>-</v>
      </c>
      <c r="G101" s="127">
        <f>K22</f>
        <v>0.18</v>
      </c>
      <c r="H101" s="130"/>
      <c r="J101" s="1625"/>
      <c r="K101" s="675">
        <v>5</v>
      </c>
      <c r="L101" s="127">
        <f>G27</f>
        <v>0</v>
      </c>
      <c r="M101" s="127">
        <f>H27</f>
        <v>0</v>
      </c>
      <c r="N101" s="127">
        <f>I27</f>
        <v>0</v>
      </c>
      <c r="O101" s="127">
        <f>J27</f>
        <v>0</v>
      </c>
      <c r="P101" s="689">
        <f>K27</f>
        <v>0</v>
      </c>
      <c r="Q101" s="691"/>
    </row>
    <row r="102" spans="1:17" ht="13" x14ac:dyDescent="0.25">
      <c r="A102" s="1620"/>
      <c r="B102" s="126">
        <v>6</v>
      </c>
      <c r="C102" s="127">
        <f>M22</f>
        <v>180</v>
      </c>
      <c r="D102" s="127" t="str">
        <f>N22</f>
        <v>-</v>
      </c>
      <c r="E102" s="127">
        <f>O22</f>
        <v>0.06</v>
      </c>
      <c r="F102" s="127">
        <f>P22</f>
        <v>0</v>
      </c>
      <c r="G102" s="127">
        <f>Q22</f>
        <v>0.18</v>
      </c>
      <c r="H102" s="1627"/>
      <c r="J102" s="1625"/>
      <c r="K102" s="675">
        <v>6</v>
      </c>
      <c r="L102" s="127">
        <f>M27</f>
        <v>0</v>
      </c>
      <c r="M102" s="127">
        <f>N27</f>
        <v>0</v>
      </c>
      <c r="N102" s="127">
        <f>O27</f>
        <v>0</v>
      </c>
      <c r="O102" s="127">
        <f>P27</f>
        <v>0</v>
      </c>
      <c r="P102" s="689">
        <f>Q27</f>
        <v>0</v>
      </c>
      <c r="Q102" s="1630"/>
    </row>
    <row r="103" spans="1:17" ht="13" x14ac:dyDescent="0.25">
      <c r="A103" s="1620"/>
      <c r="B103" s="126">
        <v>7</v>
      </c>
      <c r="C103" s="127">
        <f>A36</f>
        <v>180</v>
      </c>
      <c r="D103" s="127" t="str">
        <f>B36</f>
        <v>-</v>
      </c>
      <c r="E103" s="127">
        <f>C36</f>
        <v>0</v>
      </c>
      <c r="F103" s="127">
        <f>D36</f>
        <v>0</v>
      </c>
      <c r="G103" s="127">
        <f>E36</f>
        <v>0.18</v>
      </c>
      <c r="H103" s="1627"/>
      <c r="J103" s="1625"/>
      <c r="K103" s="675">
        <v>7</v>
      </c>
      <c r="L103" s="127">
        <f>A41</f>
        <v>0</v>
      </c>
      <c r="M103" s="127">
        <f>B41</f>
        <v>0</v>
      </c>
      <c r="N103" s="127">
        <f>C41</f>
        <v>0</v>
      </c>
      <c r="O103" s="127">
        <f>D41</f>
        <v>0</v>
      </c>
      <c r="P103" s="689">
        <f>E41</f>
        <v>0</v>
      </c>
      <c r="Q103" s="1630"/>
    </row>
    <row r="104" spans="1:17" ht="13" x14ac:dyDescent="0.25">
      <c r="A104" s="1620"/>
      <c r="B104" s="126">
        <v>8</v>
      </c>
      <c r="C104" s="127">
        <f>G36</f>
        <v>180</v>
      </c>
      <c r="D104" s="127" t="str">
        <f>H36</f>
        <v>-</v>
      </c>
      <c r="E104" s="127">
        <f>I36</f>
        <v>0.12</v>
      </c>
      <c r="F104" s="127">
        <f>J36</f>
        <v>0</v>
      </c>
      <c r="G104" s="127">
        <f>K36</f>
        <v>0.18</v>
      </c>
      <c r="H104" s="1627"/>
      <c r="J104" s="1625"/>
      <c r="K104" s="675">
        <v>8</v>
      </c>
      <c r="L104" s="127">
        <f>G41</f>
        <v>0</v>
      </c>
      <c r="M104" s="127">
        <f>H41</f>
        <v>0</v>
      </c>
      <c r="N104" s="127">
        <f>I41</f>
        <v>0</v>
      </c>
      <c r="O104" s="127">
        <f>J41</f>
        <v>0</v>
      </c>
      <c r="P104" s="689">
        <f>K41</f>
        <v>0</v>
      </c>
      <c r="Q104" s="1630"/>
    </row>
    <row r="105" spans="1:17" ht="13" x14ac:dyDescent="0.25">
      <c r="A105" s="1620"/>
      <c r="B105" s="126">
        <v>9</v>
      </c>
      <c r="C105" s="127">
        <f>M36</f>
        <v>180</v>
      </c>
      <c r="D105" s="127" t="str">
        <f>N36</f>
        <v>-</v>
      </c>
      <c r="E105" s="127">
        <f>O36</f>
        <v>0.12</v>
      </c>
      <c r="F105" s="127">
        <f>P36</f>
        <v>0</v>
      </c>
      <c r="G105" s="127">
        <f>Q36</f>
        <v>0.18</v>
      </c>
      <c r="H105" s="1627"/>
      <c r="J105" s="1625"/>
      <c r="K105" s="675">
        <v>9</v>
      </c>
      <c r="L105" s="127">
        <f>A54</f>
        <v>0</v>
      </c>
      <c r="M105" s="127">
        <f>B54</f>
        <v>0</v>
      </c>
      <c r="N105" s="127">
        <f>C54</f>
        <v>0</v>
      </c>
      <c r="O105" s="127">
        <f>D54</f>
        <v>0</v>
      </c>
      <c r="P105" s="689">
        <f>E54</f>
        <v>0</v>
      </c>
      <c r="Q105" s="1630"/>
    </row>
    <row r="106" spans="1:17" ht="13" x14ac:dyDescent="0.25">
      <c r="A106" s="1620"/>
      <c r="B106" s="126">
        <v>10</v>
      </c>
      <c r="C106" s="127">
        <f>A49</f>
        <v>180</v>
      </c>
      <c r="D106" s="127">
        <f>B49</f>
        <v>0</v>
      </c>
      <c r="E106" s="127">
        <f>C49</f>
        <v>0</v>
      </c>
      <c r="F106" s="127">
        <f>D49</f>
        <v>0</v>
      </c>
      <c r="G106" s="127">
        <f>E49</f>
        <v>1.8600000000000002E-2</v>
      </c>
      <c r="H106" s="205"/>
      <c r="J106" s="1625"/>
      <c r="K106" s="675">
        <v>10</v>
      </c>
      <c r="L106" s="127">
        <f>G54</f>
        <v>0</v>
      </c>
      <c r="M106" s="127">
        <f>H54</f>
        <v>0</v>
      </c>
      <c r="N106" s="127">
        <f>I54</f>
        <v>0</v>
      </c>
      <c r="O106" s="127">
        <f>J54</f>
        <v>0</v>
      </c>
      <c r="P106" s="689">
        <f>K54</f>
        <v>0</v>
      </c>
      <c r="Q106" s="692"/>
    </row>
    <row r="107" spans="1:17" ht="13" x14ac:dyDescent="0.25">
      <c r="A107" s="1620"/>
      <c r="B107" s="452">
        <v>11</v>
      </c>
      <c r="C107" s="453">
        <f>G49</f>
        <v>180</v>
      </c>
      <c r="D107" s="453" t="str">
        <f>H49</f>
        <v>-</v>
      </c>
      <c r="E107" s="453">
        <f>I49</f>
        <v>0</v>
      </c>
      <c r="F107" s="453">
        <f>J49</f>
        <v>0</v>
      </c>
      <c r="G107" s="453">
        <f>K49</f>
        <v>1.8600000000000002E-2</v>
      </c>
      <c r="H107" s="205"/>
      <c r="J107" s="1625"/>
      <c r="K107" s="676">
        <v>11</v>
      </c>
      <c r="L107" s="673"/>
      <c r="M107" s="673"/>
      <c r="N107" s="673"/>
      <c r="O107" s="673"/>
      <c r="P107" s="673"/>
      <c r="Q107" s="693"/>
    </row>
    <row r="108" spans="1:17" ht="13.5" thickBot="1" x14ac:dyDescent="0.3">
      <c r="A108" s="1621"/>
      <c r="B108" s="452">
        <v>12</v>
      </c>
      <c r="C108" s="453">
        <f>M49</f>
        <v>180</v>
      </c>
      <c r="D108" s="453" t="str">
        <f>N49</f>
        <v>-</v>
      </c>
      <c r="E108" s="453" t="str">
        <f>O49</f>
        <v>-</v>
      </c>
      <c r="F108" s="453">
        <f>P49</f>
        <v>0</v>
      </c>
      <c r="G108" s="453" t="str">
        <f>Q49</f>
        <v>-</v>
      </c>
      <c r="H108" s="690"/>
      <c r="J108" s="1626"/>
      <c r="K108" s="695">
        <v>12</v>
      </c>
      <c r="L108" s="696"/>
      <c r="M108" s="696"/>
      <c r="N108" s="696"/>
      <c r="O108" s="696"/>
      <c r="P108" s="696"/>
      <c r="Q108" s="694"/>
    </row>
    <row r="109" spans="1:17" ht="13" x14ac:dyDescent="0.25">
      <c r="A109" s="1622" t="s">
        <v>91</v>
      </c>
      <c r="B109" s="126">
        <v>1</v>
      </c>
      <c r="C109" s="129">
        <f>A10</f>
        <v>240</v>
      </c>
      <c r="D109" s="129">
        <f>B10</f>
        <v>0</v>
      </c>
      <c r="E109" s="129">
        <f>C10</f>
        <v>-0.18</v>
      </c>
      <c r="F109" s="129">
        <f>D10</f>
        <v>0.09</v>
      </c>
      <c r="G109" s="688">
        <f>E10</f>
        <v>0.18</v>
      </c>
      <c r="H109" s="1629"/>
      <c r="J109" s="131"/>
      <c r="K109" s="132"/>
      <c r="L109" s="107"/>
      <c r="M109" s="107"/>
      <c r="N109" s="107"/>
      <c r="O109" s="107"/>
      <c r="P109" s="107"/>
      <c r="Q109" s="133"/>
    </row>
    <row r="110" spans="1:17" ht="13" x14ac:dyDescent="0.25">
      <c r="A110" s="1622"/>
      <c r="B110" s="126">
        <v>2</v>
      </c>
      <c r="C110" s="127">
        <f>G10</f>
        <v>240</v>
      </c>
      <c r="D110" s="127">
        <f>H10</f>
        <v>0</v>
      </c>
      <c r="E110" s="127">
        <f>I10</f>
        <v>0</v>
      </c>
      <c r="F110" s="127">
        <f>J10</f>
        <v>0</v>
      </c>
      <c r="G110" s="689">
        <f>K10</f>
        <v>0.14460000000000001</v>
      </c>
      <c r="H110" s="1630"/>
      <c r="J110" s="131"/>
      <c r="K110" s="132"/>
      <c r="L110" s="107"/>
      <c r="M110" s="107"/>
      <c r="N110" s="107"/>
      <c r="O110" s="107"/>
      <c r="P110" s="107"/>
      <c r="Q110" s="133"/>
    </row>
    <row r="111" spans="1:17" ht="13" x14ac:dyDescent="0.25">
      <c r="A111" s="1622"/>
      <c r="B111" s="126">
        <v>3</v>
      </c>
      <c r="C111" s="127">
        <f>M10</f>
        <v>240</v>
      </c>
      <c r="D111" s="127">
        <f>N10</f>
        <v>-7.0000000000000007E-2</v>
      </c>
      <c r="E111" s="127">
        <f>O10</f>
        <v>0.06</v>
      </c>
      <c r="F111" s="127">
        <f>P10</f>
        <v>6.5000000000000002E-2</v>
      </c>
      <c r="G111" s="689">
        <f>Q10</f>
        <v>0.14460000000000001</v>
      </c>
      <c r="H111" s="1630"/>
      <c r="J111" s="131"/>
      <c r="K111" s="132"/>
      <c r="L111" s="107"/>
      <c r="M111" s="107"/>
      <c r="N111" s="107"/>
      <c r="O111" s="107"/>
      <c r="P111" s="107"/>
      <c r="Q111" s="133"/>
    </row>
    <row r="112" spans="1:17" ht="13" x14ac:dyDescent="0.25">
      <c r="A112" s="1622"/>
      <c r="B112" s="126">
        <v>4</v>
      </c>
      <c r="C112" s="127">
        <f>A23</f>
        <v>240</v>
      </c>
      <c r="D112" s="127">
        <f>B23</f>
        <v>0.06</v>
      </c>
      <c r="E112" s="127">
        <f>C23</f>
        <v>0</v>
      </c>
      <c r="F112" s="127">
        <f>D23</f>
        <v>0.03</v>
      </c>
      <c r="G112" s="689">
        <f>E23</f>
        <v>0.14460000000000001</v>
      </c>
      <c r="H112" s="1630"/>
      <c r="J112" s="131"/>
      <c r="K112" s="132"/>
      <c r="L112" s="107"/>
      <c r="M112" s="107"/>
      <c r="N112" s="107"/>
      <c r="O112" s="107"/>
      <c r="P112" s="107"/>
      <c r="Q112" s="133"/>
    </row>
    <row r="113" spans="1:24" ht="13" x14ac:dyDescent="0.25">
      <c r="A113" s="1622"/>
      <c r="B113" s="126">
        <v>5</v>
      </c>
      <c r="C113" s="127">
        <f>G23</f>
        <v>240</v>
      </c>
      <c r="D113" s="127">
        <f>H23</f>
        <v>0</v>
      </c>
      <c r="E113" s="127">
        <f>I23</f>
        <v>-0.06</v>
      </c>
      <c r="F113" s="127" t="str">
        <f>J23</f>
        <v>-</v>
      </c>
      <c r="G113" s="689">
        <f>K23</f>
        <v>0.18</v>
      </c>
      <c r="H113" s="691"/>
      <c r="J113" s="131"/>
      <c r="K113" s="132"/>
      <c r="L113" s="107"/>
      <c r="M113" s="107"/>
      <c r="N113" s="107"/>
      <c r="O113" s="107"/>
      <c r="P113" s="107"/>
      <c r="Q113" s="133"/>
    </row>
    <row r="114" spans="1:24" ht="13" x14ac:dyDescent="0.25">
      <c r="A114" s="1622"/>
      <c r="B114" s="126">
        <v>6</v>
      </c>
      <c r="C114" s="127">
        <f>M23</f>
        <v>240</v>
      </c>
      <c r="D114" s="127" t="str">
        <f>N23</f>
        <v>-</v>
      </c>
      <c r="E114" s="127">
        <f>O23</f>
        <v>-0.12</v>
      </c>
      <c r="F114" s="127">
        <f>P23</f>
        <v>0</v>
      </c>
      <c r="G114" s="689">
        <f>Q23</f>
        <v>0.18</v>
      </c>
      <c r="H114" s="1630"/>
      <c r="J114" s="131"/>
      <c r="K114" s="132"/>
      <c r="L114" s="107"/>
      <c r="M114" s="107"/>
      <c r="N114" s="107"/>
      <c r="O114" s="107"/>
      <c r="P114" s="107"/>
      <c r="Q114" s="133"/>
    </row>
    <row r="115" spans="1:24" ht="13" x14ac:dyDescent="0.25">
      <c r="A115" s="1622"/>
      <c r="B115" s="126">
        <v>7</v>
      </c>
      <c r="C115" s="127">
        <f>A37</f>
        <v>240</v>
      </c>
      <c r="D115" s="127" t="str">
        <f>B37</f>
        <v>-</v>
      </c>
      <c r="E115" s="127">
        <f>C37</f>
        <v>-0.06</v>
      </c>
      <c r="F115" s="127">
        <f>D37</f>
        <v>0</v>
      </c>
      <c r="G115" s="689">
        <f>E37</f>
        <v>0.18</v>
      </c>
      <c r="H115" s="1630"/>
      <c r="J115" s="131"/>
      <c r="K115" s="132"/>
      <c r="L115" s="107"/>
      <c r="M115" s="107"/>
      <c r="N115" s="107"/>
      <c r="O115" s="107"/>
      <c r="P115" s="107"/>
      <c r="Q115" s="133"/>
    </row>
    <row r="116" spans="1:24" ht="13" x14ac:dyDescent="0.25">
      <c r="A116" s="1622"/>
      <c r="B116" s="126">
        <v>8</v>
      </c>
      <c r="C116" s="127">
        <f>G37</f>
        <v>240</v>
      </c>
      <c r="D116" s="127" t="str">
        <f>H37</f>
        <v>-</v>
      </c>
      <c r="E116" s="127">
        <f>I37</f>
        <v>-0.06</v>
      </c>
      <c r="F116" s="127">
        <f>J37</f>
        <v>0</v>
      </c>
      <c r="G116" s="689">
        <f>K37</f>
        <v>0.18</v>
      </c>
      <c r="H116" s="1630"/>
      <c r="J116" s="131"/>
      <c r="K116" s="132"/>
      <c r="L116" s="107"/>
      <c r="M116" s="107"/>
      <c r="N116" s="107"/>
      <c r="O116" s="107"/>
      <c r="P116" s="107"/>
      <c r="Q116" s="133"/>
    </row>
    <row r="117" spans="1:24" ht="13" x14ac:dyDescent="0.25">
      <c r="A117" s="1622"/>
      <c r="B117" s="126">
        <v>9</v>
      </c>
      <c r="C117" s="127">
        <f>M37</f>
        <v>240</v>
      </c>
      <c r="D117" s="127" t="str">
        <f>N37</f>
        <v>-</v>
      </c>
      <c r="E117" s="127">
        <f>O37</f>
        <v>-0.12</v>
      </c>
      <c r="F117" s="127">
        <f>P37</f>
        <v>0</v>
      </c>
      <c r="G117" s="689">
        <f>Q37</f>
        <v>0.18</v>
      </c>
      <c r="H117" s="1630"/>
      <c r="J117" s="131"/>
      <c r="K117" s="132"/>
      <c r="L117" s="107"/>
      <c r="M117" s="107"/>
      <c r="N117" s="107"/>
      <c r="O117" s="107"/>
      <c r="P117" s="107"/>
      <c r="Q117" s="133"/>
    </row>
    <row r="118" spans="1:24" ht="13" x14ac:dyDescent="0.25">
      <c r="A118" s="1622"/>
      <c r="B118" s="126">
        <v>10</v>
      </c>
      <c r="C118" s="127">
        <f>A50</f>
        <v>240</v>
      </c>
      <c r="D118" s="127">
        <f>B50</f>
        <v>0</v>
      </c>
      <c r="E118" s="127">
        <f>C50</f>
        <v>0</v>
      </c>
      <c r="F118" s="127">
        <f>D50</f>
        <v>0</v>
      </c>
      <c r="G118" s="689">
        <f>E50</f>
        <v>2.46E-2</v>
      </c>
      <c r="H118" s="692"/>
      <c r="J118" s="131"/>
      <c r="K118" s="132"/>
      <c r="L118" s="107"/>
      <c r="M118" s="107"/>
      <c r="N118" s="107"/>
      <c r="O118" s="107"/>
      <c r="P118" s="107"/>
      <c r="Q118" s="133"/>
    </row>
    <row r="119" spans="1:24" ht="13" x14ac:dyDescent="0.25">
      <c r="A119" s="1622"/>
      <c r="B119" s="452">
        <v>11</v>
      </c>
      <c r="C119" s="127">
        <f>G50</f>
        <v>240</v>
      </c>
      <c r="D119" s="127" t="str">
        <f>H50</f>
        <v>-</v>
      </c>
      <c r="E119" s="127">
        <f>I50</f>
        <v>0</v>
      </c>
      <c r="F119" s="127">
        <f>J50</f>
        <v>0</v>
      </c>
      <c r="G119" s="689">
        <f>K50</f>
        <v>2.46E-2</v>
      </c>
      <c r="H119" s="693"/>
      <c r="J119" s="131"/>
      <c r="K119" s="132"/>
      <c r="L119" s="107"/>
      <c r="M119" s="107"/>
      <c r="N119" s="107"/>
      <c r="O119" s="107"/>
      <c r="P119" s="107"/>
      <c r="Q119" s="133"/>
    </row>
    <row r="120" spans="1:24" ht="13.5" thickBot="1" x14ac:dyDescent="0.3">
      <c r="A120" s="1622"/>
      <c r="B120" s="452">
        <v>12</v>
      </c>
      <c r="C120" s="127">
        <f>M50</f>
        <v>240</v>
      </c>
      <c r="D120" s="127" t="str">
        <f>N50</f>
        <v>-</v>
      </c>
      <c r="E120" s="127" t="str">
        <f>O50</f>
        <v>-</v>
      </c>
      <c r="F120" s="127">
        <f>P50</f>
        <v>0</v>
      </c>
      <c r="G120" s="689" t="str">
        <f>Q50</f>
        <v>-</v>
      </c>
      <c r="H120" s="694"/>
      <c r="J120" s="131"/>
      <c r="K120" s="132"/>
      <c r="L120" s="107"/>
      <c r="M120" s="107"/>
      <c r="N120" s="107"/>
      <c r="O120" s="107"/>
      <c r="P120" s="107"/>
      <c r="Q120" s="133"/>
    </row>
    <row r="121" spans="1:24" ht="13" x14ac:dyDescent="0.25">
      <c r="A121" s="134"/>
      <c r="B121" s="132"/>
      <c r="C121" s="81"/>
      <c r="D121" s="135"/>
      <c r="E121" s="135"/>
      <c r="F121" s="135"/>
      <c r="G121" s="135"/>
    </row>
    <row r="122" spans="1:24" ht="13" x14ac:dyDescent="0.3">
      <c r="A122" s="118"/>
      <c r="B122" s="119"/>
      <c r="C122" s="119"/>
      <c r="D122" s="119"/>
      <c r="E122" s="119"/>
      <c r="F122" s="119"/>
      <c r="G122" s="119"/>
      <c r="H122" s="119"/>
      <c r="I122" s="119"/>
      <c r="J122" s="136"/>
      <c r="K122" s="137"/>
      <c r="L122" s="136"/>
      <c r="M122" s="138"/>
      <c r="N122" s="82"/>
      <c r="O122" s="136"/>
      <c r="P122" s="137"/>
      <c r="Q122" s="136"/>
    </row>
    <row r="123" spans="1:24" ht="28.5" customHeight="1" x14ac:dyDescent="0.3">
      <c r="A123" s="658">
        <f>A175</f>
        <v>9</v>
      </c>
      <c r="B123" s="1668" t="str">
        <f>A162</f>
        <v>Multiparameter Simulator, Merek : RIGEL , Model : PatSim200, SN : 11L-0293</v>
      </c>
      <c r="C123" s="1668"/>
      <c r="D123" s="1668"/>
      <c r="E123" s="1668"/>
      <c r="F123" s="659"/>
      <c r="G123" s="660"/>
      <c r="H123" s="1669"/>
      <c r="I123" s="1669"/>
      <c r="J123" s="1669"/>
      <c r="K123" s="1669"/>
      <c r="L123" s="86"/>
      <c r="M123" s="139"/>
      <c r="N123" s="82"/>
      <c r="O123" s="137"/>
      <c r="P123" s="136"/>
      <c r="Q123" s="138"/>
      <c r="X123" s="140"/>
    </row>
    <row r="124" spans="1:24" ht="13" x14ac:dyDescent="0.3">
      <c r="A124" s="661" t="str">
        <f>A4</f>
        <v>ECG</v>
      </c>
      <c r="B124" s="1670" t="s">
        <v>391</v>
      </c>
      <c r="C124" s="1670"/>
      <c r="D124" s="1681" t="s">
        <v>484</v>
      </c>
      <c r="E124" s="1670" t="s">
        <v>392</v>
      </c>
      <c r="F124" s="1670"/>
      <c r="G124" s="1671" t="s">
        <v>458</v>
      </c>
      <c r="H124" s="1672"/>
      <c r="I124" s="1672"/>
      <c r="J124" s="206"/>
      <c r="K124" s="1673"/>
      <c r="L124" s="86"/>
      <c r="M124" s="86"/>
      <c r="N124" s="82"/>
      <c r="O124" s="136"/>
      <c r="P124" s="137"/>
      <c r="Q124" s="136"/>
    </row>
    <row r="125" spans="1:24" ht="13" x14ac:dyDescent="0.3">
      <c r="A125" s="662" t="str">
        <f>A5</f>
        <v>BPM</v>
      </c>
      <c r="B125" s="661" t="str">
        <f>VLOOKUP(B123,A163:K174,9,FALSE)</f>
        <v>-</v>
      </c>
      <c r="C125" s="661">
        <f>VLOOKUP(B123,A163:K174,10,FALSE)</f>
        <v>2020</v>
      </c>
      <c r="D125" s="1682"/>
      <c r="E125" s="1670"/>
      <c r="F125" s="1670"/>
      <c r="G125" s="1671"/>
      <c r="H125" s="206"/>
      <c r="I125" s="206"/>
      <c r="J125" s="206"/>
      <c r="K125" s="1673"/>
      <c r="L125" s="86"/>
      <c r="M125" s="86"/>
      <c r="N125" s="82"/>
      <c r="O125" s="119"/>
      <c r="P125" s="119"/>
      <c r="Q125" s="119"/>
    </row>
    <row r="126" spans="1:24" ht="13" x14ac:dyDescent="0.3">
      <c r="A126" s="663">
        <f>VLOOKUP(A123,B61:G70,2)</f>
        <v>30</v>
      </c>
      <c r="B126" s="158" t="str">
        <f>VLOOKUP(A123,B61:G72,3,FALSE)</f>
        <v>-</v>
      </c>
      <c r="C126" s="158">
        <f>VLOOKUP($A$123,B61:G72,4,FALSE)</f>
        <v>0</v>
      </c>
      <c r="D126" s="460">
        <f>IF(C126="-",B126,C126)</f>
        <v>0</v>
      </c>
      <c r="E126" s="1683">
        <f>IFERROR(IF(OR(B126="-",C126="-"),1/3*G126,0.5*(MAX(B126:C126)-MIN(B126:C126))),0)</f>
        <v>0.06</v>
      </c>
      <c r="F126" s="1683"/>
      <c r="G126" s="158">
        <f>VLOOKUP($A$123,B61:G72,6,FALSE)</f>
        <v>0.18</v>
      </c>
      <c r="H126" s="107"/>
      <c r="I126" s="107"/>
      <c r="J126" s="107"/>
      <c r="K126" s="107"/>
      <c r="L126" s="86"/>
      <c r="M126" s="86"/>
      <c r="N126" s="82"/>
      <c r="O126" s="119"/>
      <c r="P126" s="119"/>
      <c r="Q126" s="119"/>
    </row>
    <row r="127" spans="1:24" ht="13" x14ac:dyDescent="0.3">
      <c r="A127" s="663">
        <f>VLOOKUP(A123,B73:G82,2)</f>
        <v>60</v>
      </c>
      <c r="B127" s="158" t="str">
        <f>VLOOKUP(A123,B73:G84,3,FALSE)</f>
        <v>-</v>
      </c>
      <c r="C127" s="158">
        <f>VLOOKUP($A$123,B73:G84,4,FALSE)</f>
        <v>-0.12</v>
      </c>
      <c r="D127" s="657">
        <f>IF(C127="-",B127,C127)</f>
        <v>-0.12</v>
      </c>
      <c r="E127" s="1683">
        <f>IFERROR(IF(OR(B127="-",C127="-"),1/3*G127,0.5*(MAX(B127:C127)-MIN(B127:C127))),0)</f>
        <v>0.06</v>
      </c>
      <c r="F127" s="1683"/>
      <c r="G127" s="158">
        <f>VLOOKUP($A$123,B73:G84,6,FALSE)</f>
        <v>0.18</v>
      </c>
      <c r="H127" s="107"/>
      <c r="I127" s="107"/>
      <c r="J127" s="107"/>
      <c r="K127" s="107"/>
      <c r="L127" s="86"/>
      <c r="M127" s="86"/>
      <c r="N127" s="82"/>
      <c r="O127" s="119"/>
      <c r="P127" s="119"/>
      <c r="Q127" s="119"/>
    </row>
    <row r="128" spans="1:24" ht="13" x14ac:dyDescent="0.3">
      <c r="A128" s="663">
        <f>VLOOKUP(A123,B85:G94,2)</f>
        <v>120</v>
      </c>
      <c r="B128" s="158" t="str">
        <f>VLOOKUP(A123,B85:G96,3,FALSE)</f>
        <v>-</v>
      </c>
      <c r="C128" s="158">
        <f>VLOOKUP($A$123,B85:G96,4,FALSE)</f>
        <v>-0.12</v>
      </c>
      <c r="D128" s="657">
        <f>IF(C128="-",B128,C128)</f>
        <v>-0.12</v>
      </c>
      <c r="E128" s="1683">
        <f>IFERROR(IF(OR(B128="-",C128="-"),1/3*G128,0.5*(MAX(B128:C128)-MIN(B128:C128))),0)</f>
        <v>0.06</v>
      </c>
      <c r="F128" s="1683"/>
      <c r="G128" s="158">
        <f>VLOOKUP($A$123,B85:G96,6,FALSE)</f>
        <v>0.18</v>
      </c>
      <c r="H128" s="107"/>
      <c r="I128" s="107"/>
      <c r="J128" s="107"/>
      <c r="K128" s="107"/>
      <c r="L128" s="82"/>
      <c r="M128" s="82"/>
      <c r="N128" s="82"/>
      <c r="O128" s="119"/>
      <c r="P128" s="119"/>
      <c r="Q128" s="119"/>
    </row>
    <row r="129" spans="1:17" ht="13" x14ac:dyDescent="0.3">
      <c r="A129" s="663">
        <f>VLOOKUP(A123,B97:G106,2)</f>
        <v>180</v>
      </c>
      <c r="B129" s="158" t="str">
        <f>VLOOKUP(A123,B97:G108,3,FALSE)</f>
        <v>-</v>
      </c>
      <c r="C129" s="158">
        <f>VLOOKUP($A$123,B97:G108,4,FALSE)</f>
        <v>0.12</v>
      </c>
      <c r="D129" s="657">
        <f>IF(C129="-",B129,C129)</f>
        <v>0.12</v>
      </c>
      <c r="E129" s="1683">
        <f>IFERROR(IF(OR(B129="-",C129="-"),1/3*G129,0.5*(MAX(B129:C129)-MIN(B129:C129))),0)</f>
        <v>0.06</v>
      </c>
      <c r="F129" s="1683"/>
      <c r="G129" s="158">
        <f>VLOOKUP($A$123,B97:G108,6,FALSE)</f>
        <v>0.18</v>
      </c>
      <c r="H129" s="107"/>
      <c r="I129" s="107"/>
      <c r="J129" s="107"/>
      <c r="K129" s="107"/>
      <c r="L129" s="82"/>
      <c r="M129" s="82"/>
      <c r="N129" s="82"/>
      <c r="O129" s="119"/>
      <c r="P129" s="119"/>
      <c r="Q129" s="119"/>
    </row>
    <row r="130" spans="1:17" ht="13" x14ac:dyDescent="0.3">
      <c r="A130" s="663">
        <f>VLOOKUP(A123,B109:G118,2)</f>
        <v>240</v>
      </c>
      <c r="B130" s="158" t="str">
        <f>VLOOKUP(A123,B109:G120,3,FALSE)</f>
        <v>-</v>
      </c>
      <c r="C130" s="158">
        <f>VLOOKUP($A$123,B109:G120,4,FALSE)</f>
        <v>-0.12</v>
      </c>
      <c r="D130" s="657">
        <f>IF(C130="-",B130,C130)</f>
        <v>-0.12</v>
      </c>
      <c r="E130" s="1684">
        <f>IFERROR(IF(OR(B130="-",C130="-"),1/3*G130,0.5*(MAX(B130:C130)-MIN(B130:C130))),0)</f>
        <v>0.06</v>
      </c>
      <c r="F130" s="1685"/>
      <c r="G130" s="158">
        <f>VLOOKUP($A$123,B109:G120,6,FALSE)</f>
        <v>0.18</v>
      </c>
      <c r="H130" s="107"/>
      <c r="I130" s="107"/>
      <c r="J130" s="107"/>
      <c r="K130" s="107"/>
      <c r="L130" s="82"/>
      <c r="M130" s="82"/>
      <c r="N130" s="82"/>
      <c r="O130" s="119"/>
      <c r="P130" s="119"/>
      <c r="Q130" s="119"/>
    </row>
    <row r="131" spans="1:17" ht="13" x14ac:dyDescent="0.3">
      <c r="A131" s="635"/>
      <c r="B131" s="636"/>
      <c r="C131" s="636"/>
      <c r="D131" s="643"/>
      <c r="E131" s="636"/>
      <c r="F131" s="636"/>
      <c r="G131" s="81"/>
      <c r="H131" s="107"/>
      <c r="I131" s="107"/>
      <c r="J131" s="107"/>
      <c r="K131" s="107"/>
      <c r="L131" s="82"/>
      <c r="M131" s="82"/>
      <c r="N131" s="82"/>
      <c r="O131" s="119"/>
      <c r="P131" s="119"/>
      <c r="Q131" s="119"/>
    </row>
    <row r="132" spans="1:17" ht="13" x14ac:dyDescent="0.3">
      <c r="A132" s="642">
        <f>VLOOKUP(A123,K61:P70,2)</f>
        <v>0</v>
      </c>
      <c r="B132" s="642">
        <f>VLOOKUP(A123,K61:P70,3,FALSE)</f>
        <v>0</v>
      </c>
      <c r="C132" s="642">
        <f>VLOOKUP($A$123,K61:P70,4,FALSE)</f>
        <v>0</v>
      </c>
      <c r="D132" s="642">
        <f>VLOOKUP($A$123,K61:P70,5,FALSE)</f>
        <v>0</v>
      </c>
      <c r="E132" s="642">
        <f>VLOOKUP($A$123,K61:P70,6,FALSE)</f>
        <v>0</v>
      </c>
      <c r="F132" s="86"/>
      <c r="G132" s="107"/>
      <c r="H132" s="142"/>
      <c r="I132" s="142"/>
      <c r="J132" s="142"/>
      <c r="K132" s="142"/>
      <c r="L132" s="82"/>
      <c r="M132" s="82"/>
      <c r="N132" s="82"/>
      <c r="O132" s="119"/>
      <c r="P132" s="119"/>
      <c r="Q132" s="119"/>
    </row>
    <row r="133" spans="1:17" ht="13" x14ac:dyDescent="0.3">
      <c r="A133" s="141">
        <f>VLOOKUP(A123,K73:P82,2)</f>
        <v>0</v>
      </c>
      <c r="B133" s="141">
        <f>VLOOKUP(A123,K73:P82,3,FALSE)</f>
        <v>0</v>
      </c>
      <c r="C133" s="141">
        <f>VLOOKUP($A$123,K73:P82,4,FALSE)</f>
        <v>0</v>
      </c>
      <c r="D133" s="141">
        <f>VLOOKUP($A$123,K73:P82,5,FALSE)</f>
        <v>0</v>
      </c>
      <c r="E133" s="141">
        <f>VLOOKUP($A$123,K73:P82,6,FALSE)</f>
        <v>0</v>
      </c>
      <c r="F133" s="86"/>
      <c r="G133" s="107"/>
      <c r="H133" s="142"/>
      <c r="I133" s="142"/>
      <c r="J133" s="142"/>
      <c r="K133" s="142"/>
      <c r="L133" s="82"/>
      <c r="M133" s="82"/>
      <c r="N133" s="82"/>
      <c r="O133" s="119"/>
      <c r="P133" s="119"/>
      <c r="Q133" s="119"/>
    </row>
    <row r="134" spans="1:17" ht="13" x14ac:dyDescent="0.3">
      <c r="A134" s="141">
        <f>VLOOKUP(A123,K85:P94,2)</f>
        <v>0</v>
      </c>
      <c r="B134" s="141">
        <f>VLOOKUP(A123,K85:P94,3,FALSE)</f>
        <v>0</v>
      </c>
      <c r="C134" s="141">
        <f>VLOOKUP($A$123,K85:P94,4,FALSE)</f>
        <v>0</v>
      </c>
      <c r="D134" s="141">
        <f>VLOOKUP($A$123,K85:P94,5,FALSE)</f>
        <v>0</v>
      </c>
      <c r="E134" s="141">
        <f>VLOOKUP($A$123,K85:P94,6,FALSE)</f>
        <v>0</v>
      </c>
      <c r="F134" s="86"/>
      <c r="G134" s="107"/>
      <c r="H134" s="142"/>
      <c r="I134" s="142"/>
      <c r="J134" s="142"/>
      <c r="K134" s="142"/>
      <c r="L134" s="82"/>
      <c r="M134" s="82"/>
      <c r="N134" s="82"/>
      <c r="O134" s="119"/>
      <c r="P134" s="119"/>
      <c r="Q134" s="119"/>
    </row>
    <row r="135" spans="1:17" ht="13" x14ac:dyDescent="0.3">
      <c r="A135" s="141">
        <f>VLOOKUP(A123,K97:P106,2)</f>
        <v>0</v>
      </c>
      <c r="B135" s="141">
        <f>VLOOKUP(A123,K97:P106,3,FALSE)</f>
        <v>0</v>
      </c>
      <c r="C135" s="141">
        <f>VLOOKUP($A$123,K97:P106,4,FALSE)</f>
        <v>0</v>
      </c>
      <c r="D135" s="141">
        <f>VLOOKUP($A$123,K97:P106,5,FALSE)</f>
        <v>0</v>
      </c>
      <c r="E135" s="141">
        <f>VLOOKUP($A$123,K97:P106,6,FALSE)</f>
        <v>0</v>
      </c>
      <c r="F135" s="86"/>
      <c r="G135" s="107"/>
      <c r="H135" s="142"/>
      <c r="I135" s="142"/>
      <c r="J135" s="142"/>
      <c r="K135" s="142"/>
      <c r="L135" s="82"/>
      <c r="M135" s="82"/>
      <c r="N135" s="82"/>
      <c r="O135" s="119"/>
      <c r="P135" s="119"/>
      <c r="Q135" s="119"/>
    </row>
    <row r="136" spans="1:17" ht="13.5" thickBot="1" x14ac:dyDescent="0.35">
      <c r="A136" s="143"/>
      <c r="B136" s="135"/>
      <c r="C136" s="135"/>
      <c r="D136" s="135"/>
      <c r="E136" s="135"/>
      <c r="F136" s="86"/>
      <c r="G136" s="107"/>
      <c r="H136" s="142"/>
      <c r="I136" s="142"/>
      <c r="J136" s="142"/>
      <c r="K136" s="142"/>
      <c r="L136" s="82"/>
      <c r="M136" s="82"/>
      <c r="N136" s="82"/>
      <c r="O136" s="119"/>
      <c r="P136" s="119"/>
      <c r="Q136" s="119"/>
    </row>
    <row r="137" spans="1:17" ht="15" x14ac:dyDescent="0.3">
      <c r="A137" s="1674" t="s">
        <v>486</v>
      </c>
      <c r="B137" s="1675"/>
      <c r="C137" s="1675"/>
      <c r="D137" s="1676"/>
      <c r="E137" s="144"/>
      <c r="F137" s="1677" t="s">
        <v>487</v>
      </c>
      <c r="G137" s="1678"/>
      <c r="H137" s="1678"/>
      <c r="I137" s="1679"/>
      <c r="J137" s="82"/>
      <c r="K137" s="1680"/>
      <c r="L137" s="1680"/>
      <c r="M137" s="1680"/>
      <c r="N137" s="1680"/>
      <c r="P137" s="119"/>
      <c r="Q137" s="119"/>
    </row>
    <row r="138" spans="1:17" ht="13" x14ac:dyDescent="0.3">
      <c r="A138" s="145"/>
      <c r="B138" s="146">
        <f>IF(A139&lt;=$A$127,$A$126,IF(A139&lt;=$A$128,$A$127,IF(A139&lt;=$A$129,$A$128,IF(A139&lt;=$A$130,$A$129,IF(A139&lt;=$A$132,$A$130,IF(A139&lt;=$A$133,$A$132,IF(A139&lt;=$A$134,$A$133,IF(A139&lt;=$A$135,$A$134))))))))</f>
        <v>30</v>
      </c>
      <c r="C138" s="146"/>
      <c r="D138" s="147" t="str">
        <f>IF(A139&lt;=$A$127,$B$126,IF(A139&lt;=$A$128,$B$127,IF(A139&lt;=$A$129,$B$128,IF(A139&lt;=$A$130,$B$129,IF(A139&lt;=$A$132,$B$130,IF(A139&lt;=$A$133,$B$132,IF(A139&lt;=$A$134,$B$133,IF(A139&lt;=$A$135,$B$134))))))))</f>
        <v>-</v>
      </c>
      <c r="E138" s="82"/>
      <c r="F138" s="145"/>
      <c r="G138" s="146">
        <f>IF(F139&lt;=$A$127,$A$126,IF(F139&lt;=$A$128,$A$127,IF(F139&lt;=$A$129,$A$128,IF(F139&lt;=$A$130,$A$129,IF(F139&lt;=$A$132,$A$130,IF(F139&lt;=$A$133,$A$132,IF(F139&lt;=$A$134,$A$133,IF(F139&lt;=$A$135,$A$134))))))))</f>
        <v>30</v>
      </c>
      <c r="H138" s="146"/>
      <c r="I138" s="148">
        <f>IF(F139&lt;=$A$127,$E$126,IF(F139&lt;=$A$128,$E$127,IF(F139&lt;=$A$129,$E$128,IF(F139&lt;=$A$130,$E$129,IF(F139&lt;=$A$132,$D$130,IF(F139&lt;=$A$133,$D$132,IF(F139&lt;=$A$134,$D$133,IF(F139&lt;=$A$135,$D$134))))))))</f>
        <v>0.06</v>
      </c>
      <c r="J138" s="82"/>
      <c r="K138" s="136"/>
      <c r="L138" s="149"/>
      <c r="M138" s="149"/>
      <c r="N138" s="150"/>
      <c r="P138" s="119"/>
      <c r="Q138" s="119"/>
    </row>
    <row r="139" spans="1:17" ht="13" x14ac:dyDescent="0.3">
      <c r="A139" s="151">
        <f>B156</f>
        <v>30</v>
      </c>
      <c r="B139" s="146"/>
      <c r="C139" s="152" t="str">
        <f>IFERROR((A139-B138)/(B140-B138)*(D140-D138)+D138,"-")</f>
        <v>-</v>
      </c>
      <c r="D139" s="147"/>
      <c r="E139" s="82"/>
      <c r="F139" s="151">
        <f>B156</f>
        <v>30</v>
      </c>
      <c r="G139" s="146"/>
      <c r="H139" s="152">
        <f>((F139-G138)/(G140-G138)*(I140-I138)+I138)</f>
        <v>0.06</v>
      </c>
      <c r="I139" s="148"/>
      <c r="J139" s="82"/>
      <c r="K139" s="137"/>
      <c r="L139" s="149"/>
      <c r="M139" s="153"/>
      <c r="N139" s="150"/>
      <c r="P139" s="119"/>
      <c r="Q139" s="119"/>
    </row>
    <row r="140" spans="1:17" ht="13.5" thickBot="1" x14ac:dyDescent="0.35">
      <c r="A140" s="145"/>
      <c r="B140" s="146">
        <f>IF(A139&lt;=$A$127,$A$127,IF(A139&lt;=$A$128,$A$128,IF(A139&lt;=$A$129,$A$129,IF(A139&lt;=$A$130,$A$130,IF(A139&lt;=$A$132,$A$132,IF(A139&lt;=$A$133,$A$133,IF(A139&lt;=$A$134,$A$134,IF(A139&lt;=$A$135,$A$135))))))))</f>
        <v>60</v>
      </c>
      <c r="C140" s="146"/>
      <c r="D140" s="147" t="str">
        <f>IF(A139&lt;=$A$127,$B$127,IF(A139&lt;=$A$128,$B$128,IF(A139&lt;=$A$129,$B$129,IF(A139&lt;=$A$130,$B$130,IF(A139&lt;=$A$132,$B$132,IF(A139&lt;=$A$133,$B$133,IF(A139&lt;=$A$134,$B$134,IF(A139&lt;=$A$135,$B$135))))))))</f>
        <v>-</v>
      </c>
      <c r="E140" s="82"/>
      <c r="F140" s="145"/>
      <c r="G140" s="146">
        <f>IF(F139&lt;=$A$127,$A$127,IF(F139&lt;=$A$128,$A$128,IF(F139&lt;=$A$129,$A$129,IF(F139&lt;=$A$130,$A$130,IF(F139&lt;=$A$132,$A$132,IF(F139&lt;=$A$133,$A$133,IF(F139&lt;=$A$134,$A$134,IF(F139&lt;=$A$135,$A$135))))))))</f>
        <v>60</v>
      </c>
      <c r="H140" s="146"/>
      <c r="I140" s="148">
        <f>IF(F139&lt;=$A$127,$E$127,IF(F139&lt;=$A$128,$E$128,IF(F139&lt;=$A$129,$E$129,IF(F139&lt;=$A$130,$D$130,IF(F139&lt;=$A$132,$D$132,IF(F139&lt;=$A$133,$D$133,IF(F139&lt;=$A$134,$D$134,IF(F139&lt;=$A$135,$D$135))))))))</f>
        <v>0.06</v>
      </c>
      <c r="J140" s="82"/>
      <c r="K140" s="136"/>
      <c r="L140" s="149"/>
      <c r="M140" s="149"/>
      <c r="N140" s="150"/>
      <c r="P140" s="119"/>
      <c r="Q140" s="119"/>
    </row>
    <row r="141" spans="1:17" ht="15" x14ac:dyDescent="0.3">
      <c r="A141" s="1674" t="s">
        <v>486</v>
      </c>
      <c r="B141" s="1675"/>
      <c r="C141" s="1675"/>
      <c r="D141" s="1676"/>
      <c r="E141" s="82"/>
      <c r="F141" s="1677" t="s">
        <v>487</v>
      </c>
      <c r="G141" s="1678"/>
      <c r="H141" s="1678"/>
      <c r="I141" s="1679"/>
      <c r="J141" s="82"/>
      <c r="K141" s="1680"/>
      <c r="L141" s="1680"/>
      <c r="M141" s="1680"/>
      <c r="N141" s="1680"/>
      <c r="P141" s="119"/>
      <c r="Q141" s="119"/>
    </row>
    <row r="142" spans="1:17" ht="13" x14ac:dyDescent="0.3">
      <c r="A142" s="145"/>
      <c r="B142" s="146">
        <f>IF(A143&lt;=$A$127,$A$126,IF(A143&lt;=$A$128,$A$127,IF(A143&lt;=$A$129,$A$128,IF(A143&lt;=$A$130,$A$129,IF(A143&lt;=$A$132,$A$130,IF(A143&lt;=$A$133,$A$132,IF(A143&lt;=$A$134,$A$133,IF(A143&lt;=$A$135,$A$134))))))))</f>
        <v>30</v>
      </c>
      <c r="C142" s="146"/>
      <c r="D142" s="147" t="str">
        <f>IF(A143&lt;=$A$127,$B$126,IF(A143&lt;=$A$128,$B$127,IF(A143&lt;=$A$129,$B$128,IF(A143&lt;=$A$130,$B$129,IF(A143&lt;=$A$132,$B$130,IF(A143&lt;=$A$133,$B$132,IF(A143&lt;=$A$134,$B$133,IF(A143&lt;=$A$135,$B$134))))))))</f>
        <v>-</v>
      </c>
      <c r="E142" s="82"/>
      <c r="F142" s="145"/>
      <c r="G142" s="146">
        <f>IF(F143&lt;=$A$127,$A$126,IF(F143&lt;=$A$128,$A$127,IF(F143&lt;=$A$129,$A$128,IF(F143&lt;=$A$130,$A$129,IF(F143&lt;=$A$132,$A$130,IF(F143&lt;=$A$133,$A$132,IF(F143&lt;=$A$134,$A$133,IF(F143&lt;=$A$135,$A$134))))))))</f>
        <v>30</v>
      </c>
      <c r="H142" s="146"/>
      <c r="I142" s="148">
        <f>IF(F143&lt;=$A$127,$E$126,IF(F143&lt;=$A$128,$E$127,IF(F143&lt;=$A$129,$E$128,IF(F143&lt;=$A$130,$E$129,IF(F143&lt;=$A$132,$D$130,IF(F143&lt;=$A$133,$D$132,IF(F143&lt;=$A$134,$D$133,IF(F143&lt;=$A$135,$D$134))))))))</f>
        <v>0.06</v>
      </c>
      <c r="J142" s="82"/>
      <c r="K142" s="136"/>
      <c r="L142" s="149"/>
      <c r="M142" s="149"/>
      <c r="N142" s="150"/>
      <c r="P142" s="119"/>
      <c r="Q142" s="119"/>
    </row>
    <row r="143" spans="1:17" ht="13" x14ac:dyDescent="0.3">
      <c r="A143" s="151">
        <f>B157</f>
        <v>60</v>
      </c>
      <c r="B143" s="146"/>
      <c r="C143" s="152" t="str">
        <f>IFERROR((A143-B142)/(B144-B142)*(D144-D142)+D142,"-")</f>
        <v>-</v>
      </c>
      <c r="D143" s="147"/>
      <c r="E143" s="82"/>
      <c r="F143" s="151">
        <f>B157</f>
        <v>60</v>
      </c>
      <c r="G143" s="146"/>
      <c r="H143" s="152">
        <f>((F143-G142)/(G144-G142)*(I144-I142)+I142)</f>
        <v>0.06</v>
      </c>
      <c r="I143" s="148"/>
      <c r="J143" s="82"/>
      <c r="K143" s="137"/>
      <c r="L143" s="149"/>
      <c r="M143" s="153"/>
      <c r="N143" s="150"/>
      <c r="P143" s="119"/>
      <c r="Q143" s="119"/>
    </row>
    <row r="144" spans="1:17" ht="13.5" thickBot="1" x14ac:dyDescent="0.35">
      <c r="A144" s="145"/>
      <c r="B144" s="146">
        <f>IF(A143&lt;=$A$127,$A$127,IF(A143&lt;=$A$128,$A$128,IF(A143&lt;=$A$129,$A$129,IF(A143&lt;=$A$130,$A$130,IF(A143&lt;=$A$132,$A$132,IF(A143&lt;=$A$133,$A$133,IF(A143&lt;=$A$134,$A$134,IF(A143&lt;=$A$135,$A$135))))))))</f>
        <v>60</v>
      </c>
      <c r="C144" s="146"/>
      <c r="D144" s="147" t="str">
        <f>IF(A143&lt;=$A$127,$B$127,IF(A143&lt;=$A$128,$B$128,IF(A143&lt;=$A$129,$B$129,IF(A143&lt;=$A$130,$B$130,IF(A143&lt;=$A$132,$B$132,IF(A143&lt;=$A$133,$B$133,IF(A143&lt;=$A$134,$B$134,IF(A143&lt;=$A$135,$B$135))))))))</f>
        <v>-</v>
      </c>
      <c r="E144" s="82"/>
      <c r="F144" s="145"/>
      <c r="G144" s="146">
        <f>IF(F143&lt;=$A$127,$A$127,IF(F143&lt;=$A$128,$A$128,IF(F143&lt;=$A$129,$A$129,IF(F143&lt;=$A$130,$A$130,IF(F143&lt;=$A$132,$A$132,IF(F143&lt;=$A$133,$A$133,IF(F143&lt;=$A$134,$A$134,IF(F143&lt;=$A$135,$A$135))))))))</f>
        <v>60</v>
      </c>
      <c r="H144" s="146"/>
      <c r="I144" s="148">
        <f>IF(F143&lt;=$A$127,$E$127,IF(F143&lt;=$A$128,$E$128,IF(F143&lt;=$A$129,$E$129,IF(F143&lt;=$A$130,$D$130,IF(F143&lt;=$A$132,$D$132,IF(F143&lt;=$A$133,$D$133,IF(F143&lt;=$A$134,$D$134,IF(F143&lt;=$A$135,$D$135))))))))</f>
        <v>0.06</v>
      </c>
      <c r="J144" s="82"/>
      <c r="K144" s="136"/>
      <c r="L144" s="149"/>
      <c r="M144" s="149"/>
      <c r="N144" s="150"/>
      <c r="P144" s="119"/>
      <c r="Q144" s="119"/>
    </row>
    <row r="145" spans="1:17" ht="15" x14ac:dyDescent="0.3">
      <c r="A145" s="1674" t="s">
        <v>486</v>
      </c>
      <c r="B145" s="1675"/>
      <c r="C145" s="1675"/>
      <c r="D145" s="1676"/>
      <c r="E145" s="82"/>
      <c r="F145" s="1677" t="s">
        <v>487</v>
      </c>
      <c r="G145" s="1678"/>
      <c r="H145" s="1678"/>
      <c r="I145" s="1679"/>
      <c r="J145" s="82"/>
      <c r="K145" s="1680"/>
      <c r="L145" s="1680"/>
      <c r="M145" s="1680"/>
      <c r="N145" s="1680"/>
      <c r="P145" s="119"/>
      <c r="Q145" s="119"/>
    </row>
    <row r="146" spans="1:17" ht="13" x14ac:dyDescent="0.3">
      <c r="A146" s="145"/>
      <c r="B146" s="146">
        <f>IF(A147&lt;=$A$127,$A$126,IF(A147&lt;=$A$128,$A$127,IF(A147&lt;=$A$129,$A$128,IF(A147&lt;=$A$130,$A$129,IF(A147&lt;=$A$132,$A$130,IF(A147&lt;=$A$133,$A$132,IF(A147&lt;=$A$134,$A$133,IF(A147&lt;=$A$135,$A$134))))))))</f>
        <v>60</v>
      </c>
      <c r="C146" s="146"/>
      <c r="D146" s="147" t="str">
        <f>IF(A147&lt;=$A$127,$B$126,IF(A147&lt;=$A$128,$B$127,IF(A147&lt;=$A$129,$B$128,IF(A147&lt;=$A$130,$B$129,IF(A147&lt;=$A$132,$B$130,IF(A147&lt;=$A$133,$B$132,IF(A147&lt;=$A$134,$B$133,IF(A147&lt;=$A$135,$B$134))))))))</f>
        <v>-</v>
      </c>
      <c r="E146" s="82"/>
      <c r="F146" s="145"/>
      <c r="G146" s="146">
        <f>IF(F147&lt;=$A$127,$A$126,IF(F147&lt;=$A$128,$A$127,IF(F147&lt;=$A$129,$A$128,IF(F147&lt;=$A$130,$A$129,IF(F147&lt;=$A$132,$A$130,IF(F147&lt;=$A$133,$A$132,IF(F147&lt;=$A$134,$A$133,IF(F147&lt;=$A$135,$A$134))))))))</f>
        <v>60</v>
      </c>
      <c r="H146" s="146"/>
      <c r="I146" s="148">
        <f>IF(F147&lt;=$A$127,$E$126,IF(F147&lt;=$A$128,$E$127,IF(F147&lt;=$A$129,$E$128,IF(F147&lt;=$A$130,$E$129,IF(F147&lt;=$A$132,$D$130,IF(F147&lt;=$A$133,$D$132,IF(F147&lt;=$A$134,$D$133,IF(F147&lt;=$A$135,$D$134))))))))</f>
        <v>0.06</v>
      </c>
      <c r="J146" s="82"/>
      <c r="K146" s="136"/>
      <c r="L146" s="149"/>
      <c r="M146" s="149"/>
      <c r="N146" s="150"/>
      <c r="P146" s="119"/>
      <c r="Q146" s="119"/>
    </row>
    <row r="147" spans="1:17" ht="13" x14ac:dyDescent="0.3">
      <c r="A147" s="151">
        <f>B158</f>
        <v>120</v>
      </c>
      <c r="B147" s="146"/>
      <c r="C147" s="152" t="str">
        <f>IFERROR((A147-B146)/(B148-B146)*(D148-D146)+D146,"-")</f>
        <v>-</v>
      </c>
      <c r="D147" s="147"/>
      <c r="E147" s="82"/>
      <c r="F147" s="151">
        <f>B158</f>
        <v>120</v>
      </c>
      <c r="G147" s="146"/>
      <c r="H147" s="152">
        <f>((F147-G146)/(G148-G146)*(I148-I146)+I146)</f>
        <v>0.06</v>
      </c>
      <c r="I147" s="148"/>
      <c r="J147" s="82"/>
      <c r="K147" s="137"/>
      <c r="L147" s="149"/>
      <c r="M147" s="153"/>
      <c r="N147" s="150"/>
      <c r="P147" s="119"/>
      <c r="Q147" s="119"/>
    </row>
    <row r="148" spans="1:17" ht="13.5" thickBot="1" x14ac:dyDescent="0.35">
      <c r="A148" s="145"/>
      <c r="B148" s="146">
        <f>IF(A147&lt;=$A$127,$A$127,IF(A147&lt;=$A$128,$A$128,IF(A147&lt;=$A$129,$A$129,IF(A147&lt;=$A$130,$A$130,IF(A147&lt;=$A$132,$A$132,IF(A147&lt;=$A$133,$A$133,IF(A147&lt;=$A$134,$A$134,IF(A147&lt;=$A$135,$A$135))))))))</f>
        <v>120</v>
      </c>
      <c r="C148" s="146"/>
      <c r="D148" s="147" t="str">
        <f>IF(A147&lt;=$A$127,$B$127,IF(A147&lt;=$A$128,$B$128,IF(A147&lt;=$A$129,$B$129,IF(A147&lt;=$A$130,$B$130,IF(A147&lt;=$A$132,$B$132,IF(A147&lt;=$A$133,$B$133,IF(A147&lt;=$A$134,$B$134,IF(A147&lt;=$A$135,$B$135))))))))</f>
        <v>-</v>
      </c>
      <c r="E148" s="82"/>
      <c r="F148" s="145"/>
      <c r="G148" s="146">
        <f>IF(F147&lt;=$A$127,$A$127,IF(F147&lt;=$A$128,$A$128,IF(F147&lt;=$A$129,$A$129,IF(F147&lt;=$A$130,$A$130,IF(F147&lt;=$A$132,$A$132,IF(F147&lt;=$A$133,$A$133,IF(F147&lt;=$A$134,$A$134,IF(F147&lt;=$A$135,$A$135))))))))</f>
        <v>120</v>
      </c>
      <c r="H148" s="146"/>
      <c r="I148" s="148">
        <f>IF(F147&lt;=$A$127,$E$127,IF(F147&lt;=$A$128,$E$128,IF(F147&lt;=$A$129,$E$129,IF(F147&lt;=$A$130,$D$130,IF(F147&lt;=$A$132,$D$132,IF(F147&lt;=$A$133,$D$133,IF(F147&lt;=$A$134,$D$134,IF(F147&lt;=$A$135,$D$135))))))))</f>
        <v>0.06</v>
      </c>
      <c r="J148" s="82"/>
      <c r="K148" s="136"/>
      <c r="L148" s="149"/>
      <c r="M148" s="149"/>
      <c r="N148" s="150"/>
      <c r="P148" s="119"/>
      <c r="Q148" s="119"/>
    </row>
    <row r="149" spans="1:17" ht="15" x14ac:dyDescent="0.3">
      <c r="A149" s="1674" t="s">
        <v>486</v>
      </c>
      <c r="B149" s="1675"/>
      <c r="C149" s="1675"/>
      <c r="D149" s="1676"/>
      <c r="E149" s="144"/>
      <c r="F149" s="1677" t="s">
        <v>487</v>
      </c>
      <c r="G149" s="1678"/>
      <c r="H149" s="1678"/>
      <c r="I149" s="1679"/>
      <c r="J149" s="82"/>
      <c r="K149" s="136"/>
      <c r="L149" s="149"/>
      <c r="M149" s="149"/>
      <c r="N149" s="150"/>
      <c r="P149" s="119"/>
      <c r="Q149" s="119"/>
    </row>
    <row r="150" spans="1:17" ht="13" x14ac:dyDescent="0.3">
      <c r="A150" s="145"/>
      <c r="B150" s="146">
        <f>IF(A151&lt;=$A$127,$A$126,IF(A151&lt;=$A$128,$A$127,IF(A151&lt;=$A$129,$A$128,IF(A151&lt;=$A$130,$A$129,IF(A151&lt;=$A$132,$A$130,IF(A151&lt;=$A$133,$A$132,IF(A151&lt;=$A$134,$A$133,IF(A151&lt;=$A$135,$A$134))))))))</f>
        <v>120</v>
      </c>
      <c r="C150" s="146"/>
      <c r="D150" s="148" t="str">
        <f>IF(A151&lt;=$A$127,$B$126,IF(A151&lt;=$A$128,$B$127,IF(A151&lt;=$A$129,$B$128,IF(A151&lt;=$A$130,$B$129,IF(A151&lt;=$A$132,$B$130,IF(A151&lt;=$A$133,$B$132,IF(A151&lt;=$A$134,$B$133,IF(A151&lt;=$A$135,$B$134))))))))</f>
        <v>-</v>
      </c>
      <c r="E150" s="82"/>
      <c r="F150" s="145"/>
      <c r="G150" s="146">
        <f>IF(F151&lt;=$A$127,$A$126,IF(F151&lt;=$A$128,$A$127,IF(F151&lt;=$A$129,$A$128,IF(F151&lt;=$A$130,$A$129,IF(F151&lt;=$A$132,$A$130,IF(F151&lt;=$A$133,$A$132,IF(F151&lt;=$A$134,$A$133,IF(F151&lt;=$A$135,$A$134))))))))</f>
        <v>120</v>
      </c>
      <c r="H150" s="146"/>
      <c r="I150" s="148">
        <f>IF(F151&lt;=$A$127,$E$126,IF(F151&lt;=$A$128,$E$127,IF(F151&lt;=$A$129,$E$128,IF(F151&lt;=$A$130,$E$129,IF(F151&lt;=$A$132,$D$130,IF(F151&lt;=$A$133,$D$132,IF(F151&lt;=$A$134,$D$133,IF(F151&lt;=$A$135,$D$134))))))))</f>
        <v>0.06</v>
      </c>
      <c r="J150" s="82"/>
      <c r="K150" s="136"/>
      <c r="L150" s="149"/>
      <c r="M150" s="149"/>
      <c r="N150" s="150"/>
      <c r="P150" s="119"/>
      <c r="Q150" s="119"/>
    </row>
    <row r="151" spans="1:17" ht="13" x14ac:dyDescent="0.3">
      <c r="A151" s="151">
        <f>B159</f>
        <v>180</v>
      </c>
      <c r="B151" s="146"/>
      <c r="C151" s="152" t="str">
        <f>IFERROR((A151-B150)/(B152-B150)*(D152-D150)+D150,"-")</f>
        <v>-</v>
      </c>
      <c r="D151" s="147"/>
      <c r="E151" s="82"/>
      <c r="F151" s="151">
        <f>B159</f>
        <v>180</v>
      </c>
      <c r="G151" s="146"/>
      <c r="H151" s="152">
        <f>((F151-G150)/(G152-G150)*(I152-I150)+I150)</f>
        <v>0.06</v>
      </c>
      <c r="I151" s="148"/>
      <c r="J151" s="82"/>
      <c r="K151" s="136"/>
      <c r="L151" s="149"/>
      <c r="M151" s="149"/>
      <c r="N151" s="150"/>
      <c r="P151" s="119"/>
      <c r="Q151" s="119"/>
    </row>
    <row r="152" spans="1:17" ht="13.5" thickBot="1" x14ac:dyDescent="0.35">
      <c r="A152" s="154"/>
      <c r="B152" s="155">
        <f>IF(A151&lt;=$A$127,$A$127,IF(A151&lt;=$A$128,$A$128,IF(A151&lt;=$A$129,$A$129,IF(A151&lt;=$A$130,$A$130,IF(A151&lt;=$A$132,$A$132,IF(A151&lt;=$A$133,$A$133,IF(A151&lt;=$A$134,$A$134,IF(A151&lt;=$A$135,$A$135))))))))</f>
        <v>180</v>
      </c>
      <c r="C152" s="155"/>
      <c r="D152" s="156" t="str">
        <f>IF(A151&lt;=$A$127,$B$127,IF(A151&lt;=$A$128,$B$128,IF(A151&lt;=$A$129,$B$129,IF(A151&lt;=$A$130,$B$130,IF(A151&lt;=$A$132,$B$132,IF(A151&lt;=$A$133,$B$133,IF(A151&lt;=$A$134,$B$134,IF(A151&lt;=$A$135,$B$135))))))))</f>
        <v>-</v>
      </c>
      <c r="E152" s="82"/>
      <c r="F152" s="154"/>
      <c r="G152" s="155">
        <f>IF(F151&lt;=$A$127,$A$127,IF(F151&lt;=$A$128,$A$128,IF(F151&lt;=$A$129,$A$129,IF(F151&lt;=$A$130,$A$130,IF(F151&lt;=$A$132,$A$132,IF(F151&lt;=$A$133,$A$133,IF(F151&lt;=$A$134,$A$134,IF(F151&lt;=$A$135,$A$135))))))))</f>
        <v>180</v>
      </c>
      <c r="H152" s="155"/>
      <c r="I152" s="157">
        <f>IF(F151&lt;=$A$127,$E$127,IF(F151&lt;=$A$128,$E$128,IF(F151&lt;=$A$129,$E$129,IF(F151&lt;=$A$130,$D$130,IF(F151&lt;=$A$132,$D$132,IF(F151&lt;=$A$133,$D$133,IF(F151&lt;=$A$134,$D$134,IF(F151&lt;=$A$135,$D$135))))))))</f>
        <v>0.06</v>
      </c>
      <c r="J152" s="82"/>
      <c r="K152" s="136"/>
      <c r="L152" s="149"/>
      <c r="M152" s="149"/>
      <c r="N152" s="150"/>
      <c r="P152" s="119"/>
      <c r="Q152" s="119"/>
    </row>
    <row r="153" spans="1:17" ht="13" x14ac:dyDescent="0.3">
      <c r="A153" s="215"/>
      <c r="B153" s="149"/>
      <c r="C153" s="149"/>
      <c r="D153" s="149"/>
      <c r="E153" s="82"/>
      <c r="F153" s="136"/>
      <c r="G153" s="149"/>
      <c r="H153" s="149"/>
      <c r="I153" s="150"/>
      <c r="J153" s="82"/>
      <c r="K153" s="136"/>
      <c r="L153" s="149"/>
      <c r="M153" s="149"/>
      <c r="N153" s="150"/>
      <c r="P153" s="119"/>
      <c r="Q153" s="119"/>
    </row>
    <row r="154" spans="1:17" ht="13.5" thickBot="1" x14ac:dyDescent="0.35">
      <c r="A154" s="144"/>
      <c r="B154" s="538"/>
      <c r="C154" s="82"/>
      <c r="D154" s="82"/>
      <c r="E154" s="82"/>
      <c r="F154" s="82"/>
      <c r="G154" s="82"/>
      <c r="H154" s="82"/>
      <c r="I154" s="82"/>
      <c r="J154" s="82"/>
      <c r="P154" s="216"/>
      <c r="Q154" s="119"/>
    </row>
    <row r="155" spans="1:17" ht="48.75" customHeight="1" thickBot="1" x14ac:dyDescent="0.3">
      <c r="A155" s="638" t="s">
        <v>507</v>
      </c>
      <c r="B155" s="634" t="s">
        <v>167</v>
      </c>
      <c r="C155" s="639" t="s">
        <v>448</v>
      </c>
      <c r="D155" s="634" t="s">
        <v>420</v>
      </c>
      <c r="E155" s="634" t="s">
        <v>421</v>
      </c>
      <c r="F155" s="634" t="s">
        <v>508</v>
      </c>
      <c r="G155" s="634" t="s">
        <v>451</v>
      </c>
      <c r="H155" s="705" t="s">
        <v>158</v>
      </c>
      <c r="I155" s="640" t="s">
        <v>509</v>
      </c>
      <c r="J155" s="639" t="s">
        <v>453</v>
      </c>
      <c r="K155" s="639" t="s">
        <v>454</v>
      </c>
      <c r="L155" s="641" t="s">
        <v>455</v>
      </c>
    </row>
    <row r="156" spans="1:17" ht="13" x14ac:dyDescent="0.25">
      <c r="A156" s="644">
        <f>ID!D53</f>
        <v>30</v>
      </c>
      <c r="B156" s="666">
        <f>AVERAGE(ID!E53:J53)</f>
        <v>30</v>
      </c>
      <c r="C156" s="158">
        <f ca="1">FORECAST(B156,OFFSET($D$126:$D$130,MATCH(B156,$A$126:$A$130,1)-1,0,2),OFFSET($A$126:$A$130,MATCH(B156,$A$126:$A$130,1)-1,0,2))</f>
        <v>-1.3877787807814457E-17</v>
      </c>
      <c r="D156" s="669">
        <f ca="1">B156+C156</f>
        <v>30</v>
      </c>
      <c r="E156" s="645">
        <f>STDEV(ID!E53:J53)</f>
        <v>0</v>
      </c>
      <c r="F156" s="645">
        <f>A156-B156</f>
        <v>0</v>
      </c>
      <c r="G156" s="645">
        <f>(F156/A156)*100</f>
        <v>0</v>
      </c>
      <c r="H156" s="159">
        <f ca="1">D156-A156</f>
        <v>0</v>
      </c>
      <c r="I156" s="664">
        <f ca="1">(D156-B156)/B156*100</f>
        <v>0</v>
      </c>
      <c r="J156" s="646">
        <f ca="1">FORECAST(B156,OFFSET($G$126:$G$130,MATCH(B156,$A$126:$A$130,1)-1,0,2),OFFSET($A$126:$A$130,MATCH(B156,$A$126:$A$130,1)-1,0,2))</f>
        <v>0.18</v>
      </c>
      <c r="K156" s="1686">
        <f>0.5*1</f>
        <v>0.5</v>
      </c>
      <c r="L156" s="647">
        <f ca="1">FORECAST(B156,OFFSET($E$126:$E$130,MATCH(B156,$A$126:$A$130,1)-1,0,2),OFFSET($A$126:$A$130,MATCH(B156,$A$126:$A$130,1)-1,0,2))</f>
        <v>0.06</v>
      </c>
    </row>
    <row r="157" spans="1:17" ht="13" x14ac:dyDescent="0.25">
      <c r="A157" s="316">
        <f>ID!D54</f>
        <v>60</v>
      </c>
      <c r="B157" s="667">
        <f>AVERAGE(ID!E54:J54)</f>
        <v>60</v>
      </c>
      <c r="C157" s="158">
        <f ca="1">FORECAST(B157,OFFSET($D$126:$D$130,MATCH(B157,$A$126:$A$130,1)-1,0,2),OFFSET($A$126:$A$130,MATCH(B157,$A$126:$A$130,1)-1,0,2))</f>
        <v>-0.12</v>
      </c>
      <c r="D157" s="637">
        <f ca="1">B157+C157</f>
        <v>59.88</v>
      </c>
      <c r="E157" s="158">
        <f>STDEV(ID!E54:J54)</f>
        <v>0</v>
      </c>
      <c r="F157" s="158">
        <f>A157-B157</f>
        <v>0</v>
      </c>
      <c r="G157" s="158">
        <f>(F157/A157)*100</f>
        <v>0</v>
      </c>
      <c r="H157" s="159">
        <f ca="1">D157-A157</f>
        <v>-0.11999999999999744</v>
      </c>
      <c r="I157" s="213">
        <f ca="1">(D157-B157)/B157*100</f>
        <v>-0.19999999999999576</v>
      </c>
      <c r="J157" s="214">
        <f ca="1">FORECAST(B157,OFFSET($G$126:$G$130,MATCH(B157,$A$126:$A$130,1)-1,0,2),OFFSET($A$126:$A$130,MATCH(B157,$A$126:$A$130,1)-1,0,2))</f>
        <v>0.18</v>
      </c>
      <c r="K157" s="1687"/>
      <c r="L157" s="533">
        <f ca="1">FORECAST(B157,OFFSET($E$126:$E$130,MATCH(B157,$A$126:$A$130,1)-1,0,2),OFFSET($A$126:$A$130,MATCH(B157,$A$126:$A$130,1)-1,0,2))</f>
        <v>0.06</v>
      </c>
    </row>
    <row r="158" spans="1:17" ht="13" x14ac:dyDescent="0.25">
      <c r="A158" s="316">
        <f>ID!D55</f>
        <v>120</v>
      </c>
      <c r="B158" s="667">
        <f>AVERAGE(ID!E55:J55)</f>
        <v>120</v>
      </c>
      <c r="C158" s="158">
        <f ca="1">FORECAST(B158,OFFSET($D$126:$D$130,MATCH(B158,$A$126:$A$130,1)-1,0,2),OFFSET($A$126:$A$130,MATCH(B158,$A$126:$A$130,1)-1,0,2))</f>
        <v>-0.11999999999999994</v>
      </c>
      <c r="D158" s="637">
        <f ca="1">B158+C158</f>
        <v>119.88</v>
      </c>
      <c r="E158" s="158">
        <f>STDEV(ID!E55:J55)</f>
        <v>0</v>
      </c>
      <c r="F158" s="158">
        <f>A158-B158</f>
        <v>0</v>
      </c>
      <c r="G158" s="158">
        <f>(F158/A158)*100</f>
        <v>0</v>
      </c>
      <c r="H158" s="159">
        <f ca="1">D158-A158</f>
        <v>-0.12000000000000455</v>
      </c>
      <c r="I158" s="213">
        <f ca="1">(D158-B158)/B158*100</f>
        <v>-0.10000000000000379</v>
      </c>
      <c r="J158" s="214">
        <f ca="1">FORECAST(B158,OFFSET($G$126:$G$130,MATCH(B158,$A$126:$A$130,1)-1,0,2),OFFSET($A$126:$A$130,MATCH(B158,$A$126:$A$130,1)-1,0,2))</f>
        <v>0.18</v>
      </c>
      <c r="K158" s="1687"/>
      <c r="L158" s="533">
        <f ca="1">FORECAST(B158,OFFSET($E$126:$E$130,MATCH(B158,$A$126:$A$130,1)-1,0,2),OFFSET($A$126:$A$130,MATCH(B158,$A$126:$A$130,1)-1,0,2))</f>
        <v>0.06</v>
      </c>
    </row>
    <row r="159" spans="1:17" ht="13" x14ac:dyDescent="0.25">
      <c r="A159" s="316">
        <f>ID!D56</f>
        <v>180</v>
      </c>
      <c r="B159" s="667">
        <f>AVERAGE(ID!E56:J56)</f>
        <v>180</v>
      </c>
      <c r="C159" s="158">
        <f ca="1">FORECAST(B159,OFFSET($D$126:$D$130,MATCH(B159,$A$126:$A$130,1)-1,0,2),OFFSET($A$126:$A$130,MATCH(B159,$A$126:$A$130,1)-1,0,2))</f>
        <v>0.12</v>
      </c>
      <c r="D159" s="637">
        <f ca="1">B159+C159</f>
        <v>180.12</v>
      </c>
      <c r="E159" s="158">
        <f>STDEV(ID!E56:J56)</f>
        <v>0</v>
      </c>
      <c r="F159" s="158">
        <f>A159-B159</f>
        <v>0</v>
      </c>
      <c r="G159" s="158">
        <f>(F159/A159)*100</f>
        <v>0</v>
      </c>
      <c r="H159" s="159">
        <f ca="1">D159-A159</f>
        <v>0.12000000000000455</v>
      </c>
      <c r="I159" s="213">
        <f ca="1">(D159-B159)/B159*100</f>
        <v>6.6666666666669191E-2</v>
      </c>
      <c r="J159" s="214">
        <f ca="1">FORECAST(B159,OFFSET($G$126:$G$130,MATCH(B159,$A$126:$A$130,1)-1,0,2),OFFSET($A$126:$A$130,MATCH(B159,$A$126:$A$130,1)-1,0,2))</f>
        <v>0.18</v>
      </c>
      <c r="K159" s="1687"/>
      <c r="L159" s="533">
        <f ca="1">FORECAST(B159,OFFSET($E$126:$E$130,MATCH(B159,$A$126:$A$130,1)-1,0,2),OFFSET($A$126:$A$130,MATCH(B159,$A$126:$A$130,1)-1,0,2))</f>
        <v>0.06</v>
      </c>
    </row>
    <row r="160" spans="1:17" ht="13.5" thickBot="1" x14ac:dyDescent="0.3">
      <c r="A160" s="317">
        <f>ID!D57</f>
        <v>240</v>
      </c>
      <c r="B160" s="668">
        <f>AVERAGE(ID!E57:J57)</f>
        <v>240</v>
      </c>
      <c r="C160" s="160">
        <f ca="1">IFERROR(FORECAST(B160,OFFSET($D$126:$D$130,MATCH(B160,$A$126:$A$130,1)-1,0,2),OFFSET($A$126:$A$130,MATCH(B160,$A$126:$A$130,1)-1,0,2)),D130)</f>
        <v>-0.12</v>
      </c>
      <c r="D160" s="670">
        <f ca="1">B160+C160</f>
        <v>239.88</v>
      </c>
      <c r="E160" s="160">
        <f>STDEV(ID!E57:J57)</f>
        <v>0</v>
      </c>
      <c r="F160" s="160">
        <f>A160-B160</f>
        <v>0</v>
      </c>
      <c r="G160" s="160">
        <f>(F160/A160)*100</f>
        <v>0</v>
      </c>
      <c r="H160" s="161">
        <f ca="1">D160-A160</f>
        <v>-0.12000000000000455</v>
      </c>
      <c r="I160" s="665">
        <f ca="1">(D160-B160)/B160*100</f>
        <v>-5.0000000000001897E-2</v>
      </c>
      <c r="J160" s="648">
        <f ca="1">IFERROR(FORECAST(B160,OFFSET($G$126:$G$130,MATCH(B160,$A$126:$A$130,1)-1,0,2),OFFSET($A$126:$A$130,MATCH(B160,$A$126:$A$130,1)-1,0,2)),G130)</f>
        <v>0.18</v>
      </c>
      <c r="K160" s="1688"/>
      <c r="L160" s="649">
        <f ca="1">IFERROR(FORECAST(B160,OFFSET($E$126:$E$130,MATCH(B160,$A$126:$A$130,1)-1,0,2),OFFSET($A$126:$A$130,MATCH(B160,$A$126:$A$130,1)-1,0,2)),E130)</f>
        <v>0.06</v>
      </c>
    </row>
    <row r="161" spans="1:27" ht="13" thickBot="1" x14ac:dyDescent="0.3"/>
    <row r="162" spans="1:27" ht="15" thickBot="1" x14ac:dyDescent="0.4">
      <c r="A162" s="162" t="str">
        <f>ID!B69</f>
        <v>Multiparameter Simulator, Merek : RIGEL , Model : PatSim200, SN : 11L-0293</v>
      </c>
      <c r="B162" s="163"/>
      <c r="C162" s="163"/>
      <c r="D162" s="163"/>
      <c r="E162" s="163"/>
      <c r="F162" s="163"/>
      <c r="G162" s="163"/>
      <c r="H162" s="163"/>
      <c r="I162" s="1699" t="s">
        <v>488</v>
      </c>
      <c r="J162" s="1700"/>
      <c r="K162" s="164"/>
      <c r="L162" s="1701" t="s">
        <v>489</v>
      </c>
      <c r="M162" s="1702"/>
      <c r="P162" s="1703">
        <f>A175</f>
        <v>9</v>
      </c>
      <c r="Q162" s="1704"/>
      <c r="R162" s="1704"/>
      <c r="S162" s="1704"/>
      <c r="T162" s="1704"/>
      <c r="U162" s="1704"/>
      <c r="V162" s="1704"/>
      <c r="W162" s="1704"/>
      <c r="X162" s="1704"/>
      <c r="Y162" s="1704"/>
      <c r="Z162" s="1704"/>
      <c r="AA162" s="1705"/>
    </row>
    <row r="163" spans="1:27" ht="14" x14ac:dyDescent="0.3">
      <c r="A163" s="233" t="s">
        <v>510</v>
      </c>
      <c r="B163" s="165"/>
      <c r="C163" s="165"/>
      <c r="D163" s="165"/>
      <c r="E163" s="165"/>
      <c r="F163" s="165"/>
      <c r="G163" s="165"/>
      <c r="H163" s="165"/>
      <c r="I163" s="166">
        <f>B5</f>
        <v>2018</v>
      </c>
      <c r="J163" s="166">
        <f>C5</f>
        <v>2020</v>
      </c>
      <c r="K163" s="167">
        <v>1</v>
      </c>
      <c r="L163" s="1706">
        <f t="shared" ref="L163:L174" si="0">0.5*1</f>
        <v>0.5</v>
      </c>
      <c r="M163" s="1707"/>
      <c r="P163" s="168">
        <v>1</v>
      </c>
      <c r="Q163" s="169" t="s">
        <v>511</v>
      </c>
      <c r="R163" s="170"/>
      <c r="S163" s="170"/>
      <c r="T163" s="170"/>
      <c r="U163" s="170"/>
      <c r="V163" s="170"/>
      <c r="W163" s="170"/>
      <c r="X163" s="170"/>
      <c r="Y163" s="170"/>
      <c r="Z163" s="170"/>
      <c r="AA163" s="171"/>
    </row>
    <row r="164" spans="1:27" ht="14" x14ac:dyDescent="0.3">
      <c r="A164" s="233" t="s">
        <v>512</v>
      </c>
      <c r="B164" s="172"/>
      <c r="C164" s="172"/>
      <c r="D164" s="172"/>
      <c r="E164" s="172"/>
      <c r="F164" s="172"/>
      <c r="G164" s="172"/>
      <c r="H164" s="172"/>
      <c r="I164" s="173">
        <f>H5</f>
        <v>2017</v>
      </c>
      <c r="J164" s="173">
        <f>I5</f>
        <v>2018</v>
      </c>
      <c r="K164" s="174">
        <v>2</v>
      </c>
      <c r="L164" s="1697">
        <f t="shared" si="0"/>
        <v>0.5</v>
      </c>
      <c r="M164" s="1698"/>
      <c r="P164" s="168">
        <v>2</v>
      </c>
      <c r="Q164" s="169" t="s">
        <v>513</v>
      </c>
      <c r="R164" s="170"/>
      <c r="S164" s="170"/>
      <c r="T164" s="170"/>
      <c r="U164" s="170"/>
      <c r="V164" s="170"/>
      <c r="W164" s="170"/>
      <c r="X164" s="170"/>
      <c r="Y164" s="170"/>
      <c r="Z164" s="170"/>
      <c r="AA164" s="171"/>
    </row>
    <row r="165" spans="1:27" ht="14" x14ac:dyDescent="0.3">
      <c r="A165" s="233" t="s">
        <v>514</v>
      </c>
      <c r="B165" s="175"/>
      <c r="C165" s="175"/>
      <c r="D165" s="175"/>
      <c r="E165" s="175"/>
      <c r="F165" s="175"/>
      <c r="G165" s="175"/>
      <c r="H165" s="175"/>
      <c r="I165" s="173">
        <f>N5</f>
        <v>2015</v>
      </c>
      <c r="J165" s="173">
        <f>O5</f>
        <v>2016</v>
      </c>
      <c r="K165" s="167">
        <v>3</v>
      </c>
      <c r="L165" s="1697">
        <f t="shared" si="0"/>
        <v>0.5</v>
      </c>
      <c r="M165" s="1698"/>
      <c r="P165" s="168">
        <v>3</v>
      </c>
      <c r="Q165" s="169" t="s">
        <v>513</v>
      </c>
      <c r="R165" s="170"/>
      <c r="S165" s="170"/>
      <c r="T165" s="170"/>
      <c r="U165" s="170"/>
      <c r="V165" s="170"/>
      <c r="W165" s="170"/>
      <c r="X165" s="170"/>
      <c r="Y165" s="170"/>
      <c r="Z165" s="170"/>
      <c r="AA165" s="171"/>
    </row>
    <row r="166" spans="1:27" ht="14" x14ac:dyDescent="0.3">
      <c r="A166" s="233" t="s">
        <v>515</v>
      </c>
      <c r="B166" s="175"/>
      <c r="C166" s="175"/>
      <c r="D166" s="175"/>
      <c r="E166" s="175"/>
      <c r="F166" s="175"/>
      <c r="G166" s="175"/>
      <c r="H166" s="175"/>
      <c r="I166" s="173">
        <f>B18</f>
        <v>2014</v>
      </c>
      <c r="J166" s="173">
        <f>C18</f>
        <v>2017</v>
      </c>
      <c r="K166" s="174">
        <v>4</v>
      </c>
      <c r="L166" s="1697">
        <f t="shared" si="0"/>
        <v>0.5</v>
      </c>
      <c r="M166" s="1698"/>
      <c r="P166" s="168">
        <v>4</v>
      </c>
      <c r="Q166" s="169" t="s">
        <v>513</v>
      </c>
      <c r="R166" s="170"/>
      <c r="S166" s="170"/>
      <c r="T166" s="170"/>
      <c r="U166" s="170"/>
      <c r="V166" s="170"/>
      <c r="W166" s="170"/>
      <c r="X166" s="170"/>
      <c r="Y166" s="170"/>
      <c r="Z166" s="170"/>
      <c r="AA166" s="171"/>
    </row>
    <row r="167" spans="1:27" ht="14" x14ac:dyDescent="0.3">
      <c r="A167" s="233" t="s">
        <v>516</v>
      </c>
      <c r="B167" s="175"/>
      <c r="C167" s="175"/>
      <c r="D167" s="175"/>
      <c r="E167" s="175"/>
      <c r="F167" s="175"/>
      <c r="G167" s="175"/>
      <c r="H167" s="175"/>
      <c r="I167" s="173">
        <f>H18</f>
        <v>2017</v>
      </c>
      <c r="J167" s="173">
        <f>I18</f>
        <v>2020</v>
      </c>
      <c r="K167" s="167">
        <v>5</v>
      </c>
      <c r="L167" s="1697">
        <f t="shared" si="0"/>
        <v>0.5</v>
      </c>
      <c r="M167" s="1698"/>
      <c r="P167" s="168">
        <v>5</v>
      </c>
      <c r="Q167" s="169" t="s">
        <v>511</v>
      </c>
      <c r="R167" s="170"/>
      <c r="S167" s="170"/>
      <c r="T167" s="170"/>
      <c r="U167" s="170"/>
      <c r="V167" s="170"/>
      <c r="W167" s="170"/>
      <c r="X167" s="170"/>
      <c r="Y167" s="170"/>
      <c r="Z167" s="170"/>
      <c r="AA167" s="171"/>
    </row>
    <row r="168" spans="1:27" ht="14" x14ac:dyDescent="0.3">
      <c r="A168" s="233" t="s">
        <v>517</v>
      </c>
      <c r="B168" s="175"/>
      <c r="C168" s="175"/>
      <c r="D168" s="175"/>
      <c r="E168" s="175"/>
      <c r="F168" s="175"/>
      <c r="G168" s="175"/>
      <c r="H168" s="175"/>
      <c r="I168" s="173">
        <f>N18</f>
        <v>2017</v>
      </c>
      <c r="J168" s="173">
        <f>O18</f>
        <v>2020</v>
      </c>
      <c r="K168" s="174">
        <v>6</v>
      </c>
      <c r="L168" s="1697">
        <f t="shared" si="0"/>
        <v>0.5</v>
      </c>
      <c r="M168" s="1698"/>
      <c r="P168" s="168">
        <v>6</v>
      </c>
      <c r="Q168" s="169" t="s">
        <v>511</v>
      </c>
      <c r="R168" s="170"/>
      <c r="S168" s="170"/>
      <c r="T168" s="170"/>
      <c r="U168" s="170"/>
      <c r="V168" s="170"/>
      <c r="W168" s="170"/>
      <c r="X168" s="170"/>
      <c r="Y168" s="170"/>
      <c r="Z168" s="170"/>
      <c r="AA168" s="171"/>
    </row>
    <row r="169" spans="1:27" ht="14" x14ac:dyDescent="0.3">
      <c r="A169" s="651" t="s">
        <v>518</v>
      </c>
      <c r="B169" s="175"/>
      <c r="C169" s="175"/>
      <c r="D169" s="175"/>
      <c r="E169" s="175"/>
      <c r="F169" s="175"/>
      <c r="G169" s="175"/>
      <c r="H169" s="652"/>
      <c r="I169" s="650">
        <f>B32</f>
        <v>2018</v>
      </c>
      <c r="J169" s="173">
        <f>C32</f>
        <v>2020</v>
      </c>
      <c r="K169" s="167">
        <v>7</v>
      </c>
      <c r="L169" s="1697">
        <f t="shared" si="0"/>
        <v>0.5</v>
      </c>
      <c r="M169" s="1698"/>
      <c r="P169" s="168">
        <v>7</v>
      </c>
      <c r="Q169" s="169" t="s">
        <v>511</v>
      </c>
      <c r="R169" s="170"/>
      <c r="S169" s="170"/>
      <c r="T169" s="170"/>
      <c r="U169" s="170"/>
      <c r="V169" s="170"/>
      <c r="W169" s="170"/>
      <c r="X169" s="170"/>
      <c r="Y169" s="170"/>
      <c r="Z169" s="170"/>
      <c r="AA169" s="171"/>
    </row>
    <row r="170" spans="1:27" ht="14" x14ac:dyDescent="0.3">
      <c r="A170" s="654" t="s">
        <v>519</v>
      </c>
      <c r="B170" s="172"/>
      <c r="C170" s="172"/>
      <c r="D170" s="172"/>
      <c r="E170" s="172"/>
      <c r="F170" s="172"/>
      <c r="G170" s="172"/>
      <c r="H170" s="655"/>
      <c r="I170" s="173" t="str">
        <f>H32</f>
        <v>-</v>
      </c>
      <c r="J170" s="173">
        <f>I32</f>
        <v>2020</v>
      </c>
      <c r="K170" s="167">
        <v>8</v>
      </c>
      <c r="L170" s="1706">
        <f t="shared" si="0"/>
        <v>0.5</v>
      </c>
      <c r="M170" s="1707"/>
      <c r="P170" s="168">
        <v>8</v>
      </c>
      <c r="Q170" s="169" t="s">
        <v>511</v>
      </c>
      <c r="R170" s="578"/>
      <c r="S170" s="578"/>
      <c r="T170" s="578"/>
      <c r="U170" s="578"/>
      <c r="V170" s="578"/>
      <c r="W170" s="578"/>
      <c r="X170" s="578"/>
      <c r="Y170" s="578"/>
      <c r="Z170" s="578"/>
      <c r="AA170" s="588"/>
    </row>
    <row r="171" spans="1:27" ht="14" x14ac:dyDescent="0.3">
      <c r="A171" s="656" t="s">
        <v>520</v>
      </c>
      <c r="B171" s="165"/>
      <c r="C171" s="165"/>
      <c r="D171" s="165"/>
      <c r="E171" s="165"/>
      <c r="F171" s="165"/>
      <c r="G171" s="165"/>
      <c r="H171" s="653"/>
      <c r="I171" s="173" t="str">
        <f>N32</f>
        <v>-</v>
      </c>
      <c r="J171" s="173">
        <f>O32</f>
        <v>2020</v>
      </c>
      <c r="K171" s="174">
        <v>9</v>
      </c>
      <c r="L171" s="1697">
        <f t="shared" si="0"/>
        <v>0.5</v>
      </c>
      <c r="M171" s="1698"/>
      <c r="P171" s="168">
        <v>9</v>
      </c>
      <c r="Q171" s="169" t="s">
        <v>511</v>
      </c>
      <c r="R171" s="578"/>
      <c r="S171" s="578"/>
      <c r="T171" s="578"/>
      <c r="U171" s="578"/>
      <c r="V171" s="578"/>
      <c r="W171" s="578"/>
      <c r="X171" s="578"/>
      <c r="Y171" s="578"/>
      <c r="Z171" s="578"/>
      <c r="AA171" s="588"/>
    </row>
    <row r="172" spans="1:27" ht="14" x14ac:dyDescent="0.3">
      <c r="A172" s="679" t="s">
        <v>521</v>
      </c>
      <c r="B172" s="680"/>
      <c r="C172" s="680"/>
      <c r="D172" s="165"/>
      <c r="E172" s="165"/>
      <c r="F172" s="165"/>
      <c r="G172" s="165"/>
      <c r="H172" s="653"/>
      <c r="I172" s="173">
        <f>B45</f>
        <v>2016</v>
      </c>
      <c r="J172" s="173">
        <f>C45</f>
        <v>2018</v>
      </c>
      <c r="K172" s="167">
        <v>10</v>
      </c>
      <c r="L172" s="1697">
        <f t="shared" si="0"/>
        <v>0.5</v>
      </c>
      <c r="M172" s="1698"/>
      <c r="P172" s="168">
        <v>10</v>
      </c>
      <c r="Q172" s="169" t="s">
        <v>513</v>
      </c>
      <c r="R172" s="578"/>
      <c r="S172" s="578"/>
      <c r="T172" s="578"/>
      <c r="U172" s="578"/>
      <c r="V172" s="578"/>
      <c r="W172" s="578"/>
      <c r="X172" s="578"/>
      <c r="Y172" s="578"/>
      <c r="Z172" s="578"/>
      <c r="AA172" s="588"/>
    </row>
    <row r="173" spans="1:27" ht="14" x14ac:dyDescent="0.3">
      <c r="A173" s="681" t="s">
        <v>522</v>
      </c>
      <c r="B173" s="682"/>
      <c r="C173" s="682"/>
      <c r="D173" s="172"/>
      <c r="E173" s="172"/>
      <c r="F173" s="172"/>
      <c r="G173" s="172"/>
      <c r="H173" s="655"/>
      <c r="I173" s="173" t="str">
        <f>H45</f>
        <v>-</v>
      </c>
      <c r="J173" s="685">
        <f>I45</f>
        <v>2018</v>
      </c>
      <c r="K173" s="167">
        <v>11</v>
      </c>
      <c r="L173" s="1708">
        <f t="shared" si="0"/>
        <v>0.5</v>
      </c>
      <c r="M173" s="1709"/>
      <c r="P173" s="168">
        <v>11</v>
      </c>
      <c r="Q173" s="169" t="s">
        <v>513</v>
      </c>
      <c r="R173" s="578"/>
      <c r="S173" s="578"/>
      <c r="T173" s="578"/>
      <c r="U173" s="578"/>
      <c r="V173" s="578"/>
      <c r="W173" s="578"/>
      <c r="X173" s="578"/>
      <c r="Y173" s="578"/>
      <c r="Z173" s="578"/>
      <c r="AA173" s="588"/>
    </row>
    <row r="174" spans="1:27" ht="14.5" thickBot="1" x14ac:dyDescent="0.35">
      <c r="A174" s="683" t="s">
        <v>173</v>
      </c>
      <c r="B174" s="684"/>
      <c r="C174" s="684"/>
      <c r="D174" s="678"/>
      <c r="E174" s="625"/>
      <c r="F174" s="625"/>
      <c r="G174" s="625"/>
      <c r="H174" s="625"/>
      <c r="I174" s="677">
        <f>N45</f>
        <v>2015</v>
      </c>
      <c r="J174" s="686">
        <f>O45</f>
        <v>2017</v>
      </c>
      <c r="K174" s="174">
        <v>12</v>
      </c>
      <c r="L174" s="1708">
        <f t="shared" si="0"/>
        <v>0.5</v>
      </c>
      <c r="M174" s="1709"/>
      <c r="P174" s="168">
        <v>12</v>
      </c>
      <c r="Q174" s="169" t="s">
        <v>513</v>
      </c>
      <c r="R174" s="578"/>
      <c r="S174" s="578"/>
      <c r="T174" s="578"/>
      <c r="U174" s="578"/>
      <c r="V174" s="578"/>
      <c r="W174" s="578"/>
      <c r="X174" s="578"/>
      <c r="Y174" s="578"/>
      <c r="Z174" s="578"/>
      <c r="AA174" s="588"/>
    </row>
    <row r="175" spans="1:27" ht="13.5" thickBot="1" x14ac:dyDescent="0.3">
      <c r="A175" s="1689">
        <f>VLOOKUP(A162,A163:K174,11,(FALSE))</f>
        <v>9</v>
      </c>
      <c r="B175" s="1690"/>
      <c r="C175" s="1690"/>
      <c r="D175" s="1690"/>
      <c r="E175" s="1690"/>
      <c r="F175" s="1690"/>
      <c r="G175" s="1690"/>
      <c r="H175" s="1690"/>
      <c r="I175" s="1690"/>
      <c r="J175" s="1690"/>
      <c r="K175" s="1691"/>
      <c r="L175" s="1692">
        <f>VLOOKUP(A175,K163:M174,2,FALSE)</f>
        <v>0.5</v>
      </c>
      <c r="M175" s="1693"/>
      <c r="P175" s="1694" t="str">
        <f>VLOOKUP(P162,P163:AA174,2,FALSE)</f>
        <v>Hasil kalibrasi ECG tertelusur ke Satuan Internasional melalui DIRJEN YANKES BPFK JAKARTA</v>
      </c>
      <c r="Q175" s="1695"/>
      <c r="R175" s="1695"/>
      <c r="S175" s="1695"/>
      <c r="T175" s="1695"/>
      <c r="U175" s="1695"/>
      <c r="V175" s="1695"/>
      <c r="W175" s="1695"/>
      <c r="X175" s="1695"/>
      <c r="Y175" s="1695"/>
      <c r="Z175" s="1695"/>
      <c r="AA175" s="1696"/>
    </row>
    <row r="176" spans="1:27" ht="14.5" x14ac:dyDescent="0.35">
      <c r="A176" s="176"/>
      <c r="B176" s="177"/>
      <c r="C176" s="82"/>
      <c r="D176" s="82"/>
      <c r="E176" s="82"/>
      <c r="F176" s="82"/>
      <c r="G176" s="86"/>
      <c r="H176" s="86"/>
      <c r="I176" s="86"/>
      <c r="J176" s="86"/>
      <c r="K176" s="176"/>
      <c r="L176" s="86"/>
    </row>
    <row r="177" spans="1:2" x14ac:dyDescent="0.25">
      <c r="A177" s="687"/>
    </row>
    <row r="178" spans="1:2" ht="14" x14ac:dyDescent="0.25">
      <c r="A178" s="471"/>
      <c r="B178" s="343"/>
    </row>
    <row r="179" spans="1:2" ht="14" x14ac:dyDescent="0.25">
      <c r="A179" s="697"/>
      <c r="B179" s="343"/>
    </row>
    <row r="180" spans="1:2" ht="14" x14ac:dyDescent="0.25">
      <c r="A180" s="380"/>
      <c r="B180" s="343"/>
    </row>
    <row r="181" spans="1:2" ht="14" x14ac:dyDescent="0.25">
      <c r="A181" s="380"/>
      <c r="B181" s="343"/>
    </row>
    <row r="182" spans="1:2" ht="14" x14ac:dyDescent="0.3">
      <c r="A182" s="451"/>
      <c r="B182" s="343"/>
    </row>
    <row r="183" spans="1:2" ht="14" x14ac:dyDescent="0.3">
      <c r="A183" s="451"/>
      <c r="B183" s="343"/>
    </row>
    <row r="184" spans="1:2" ht="14" x14ac:dyDescent="0.25">
      <c r="A184" s="698"/>
    </row>
  </sheetData>
  <mergeCells count="135">
    <mergeCell ref="Q3:Q5"/>
    <mergeCell ref="B4:C4"/>
    <mergeCell ref="H4:I4"/>
    <mergeCell ref="N4:O4"/>
    <mergeCell ref="A15:E15"/>
    <mergeCell ref="G15:K15"/>
    <mergeCell ref="M15:Q15"/>
    <mergeCell ref="A2:Q2"/>
    <mergeCell ref="A3:C3"/>
    <mergeCell ref="D3:D5"/>
    <mergeCell ref="E3:E5"/>
    <mergeCell ref="F3:F27"/>
    <mergeCell ref="G3:I3"/>
    <mergeCell ref="J3:J5"/>
    <mergeCell ref="K3:K5"/>
    <mergeCell ref="M3:O3"/>
    <mergeCell ref="P3:P5"/>
    <mergeCell ref="M16:O16"/>
    <mergeCell ref="P16:P18"/>
    <mergeCell ref="Q16:Q18"/>
    <mergeCell ref="B17:C17"/>
    <mergeCell ref="H17:I17"/>
    <mergeCell ref="N17:O17"/>
    <mergeCell ref="A16:C16"/>
    <mergeCell ref="D16:D18"/>
    <mergeCell ref="E16:E18"/>
    <mergeCell ref="G16:I16"/>
    <mergeCell ref="J16:J18"/>
    <mergeCell ref="K16:K18"/>
    <mergeCell ref="K30:K32"/>
    <mergeCell ref="M30:O30"/>
    <mergeCell ref="P30:P32"/>
    <mergeCell ref="Q30:Q32"/>
    <mergeCell ref="B31:C31"/>
    <mergeCell ref="H31:I31"/>
    <mergeCell ref="N31:O31"/>
    <mergeCell ref="A30:C30"/>
    <mergeCell ref="D30:D32"/>
    <mergeCell ref="E30:E32"/>
    <mergeCell ref="F30:F54"/>
    <mergeCell ref="G30:I30"/>
    <mergeCell ref="J30:J32"/>
    <mergeCell ref="A42:E42"/>
    <mergeCell ref="G42:K42"/>
    <mergeCell ref="A43:C43"/>
    <mergeCell ref="D43:D45"/>
    <mergeCell ref="Q43:Q45"/>
    <mergeCell ref="B44:C44"/>
    <mergeCell ref="H44:I44"/>
    <mergeCell ref="N44:O44"/>
    <mergeCell ref="A55:Q55"/>
    <mergeCell ref="A58:A60"/>
    <mergeCell ref="B58:B60"/>
    <mergeCell ref="C58:C59"/>
    <mergeCell ref="D58:E59"/>
    <mergeCell ref="G58:G60"/>
    <mergeCell ref="E43:E45"/>
    <mergeCell ref="G43:I43"/>
    <mergeCell ref="J43:J45"/>
    <mergeCell ref="K43:K45"/>
    <mergeCell ref="M43:O43"/>
    <mergeCell ref="P43:P45"/>
    <mergeCell ref="Q58:Q60"/>
    <mergeCell ref="A61:A72"/>
    <mergeCell ref="H61:H64"/>
    <mergeCell ref="J61:J72"/>
    <mergeCell ref="H66:H69"/>
    <mergeCell ref="A73:A84"/>
    <mergeCell ref="H73:H76"/>
    <mergeCell ref="J73:J84"/>
    <mergeCell ref="H78:H81"/>
    <mergeCell ref="H58:H60"/>
    <mergeCell ref="J58:J60"/>
    <mergeCell ref="K58:K60"/>
    <mergeCell ref="L58:L59"/>
    <mergeCell ref="M58:N59"/>
    <mergeCell ref="P58:P60"/>
    <mergeCell ref="A97:A108"/>
    <mergeCell ref="H97:H100"/>
    <mergeCell ref="J97:J108"/>
    <mergeCell ref="Q97:Q100"/>
    <mergeCell ref="H102:H105"/>
    <mergeCell ref="Q102:Q105"/>
    <mergeCell ref="A85:A96"/>
    <mergeCell ref="H85:H88"/>
    <mergeCell ref="J85:J96"/>
    <mergeCell ref="Q85:Q88"/>
    <mergeCell ref="H90:H93"/>
    <mergeCell ref="Q90:Q93"/>
    <mergeCell ref="A109:A120"/>
    <mergeCell ref="H109:H112"/>
    <mergeCell ref="H114:H117"/>
    <mergeCell ref="B123:E123"/>
    <mergeCell ref="H123:K123"/>
    <mergeCell ref="B124:C124"/>
    <mergeCell ref="D124:D125"/>
    <mergeCell ref="E124:F125"/>
    <mergeCell ref="G124:G125"/>
    <mergeCell ref="H124:I124"/>
    <mergeCell ref="A137:D137"/>
    <mergeCell ref="F137:I137"/>
    <mergeCell ref="K137:N137"/>
    <mergeCell ref="A141:D141"/>
    <mergeCell ref="F141:I141"/>
    <mergeCell ref="K141:N141"/>
    <mergeCell ref="K124:K125"/>
    <mergeCell ref="E126:F126"/>
    <mergeCell ref="E127:F127"/>
    <mergeCell ref="E128:F128"/>
    <mergeCell ref="E129:F129"/>
    <mergeCell ref="E130:F130"/>
    <mergeCell ref="I162:J162"/>
    <mergeCell ref="L162:M162"/>
    <mergeCell ref="P162:AA162"/>
    <mergeCell ref="L163:M163"/>
    <mergeCell ref="L164:M164"/>
    <mergeCell ref="L165:M165"/>
    <mergeCell ref="A145:D145"/>
    <mergeCell ref="F145:I145"/>
    <mergeCell ref="K145:N145"/>
    <mergeCell ref="A149:D149"/>
    <mergeCell ref="F149:I149"/>
    <mergeCell ref="K156:K160"/>
    <mergeCell ref="L172:M172"/>
    <mergeCell ref="L173:M173"/>
    <mergeCell ref="L174:M174"/>
    <mergeCell ref="A175:K175"/>
    <mergeCell ref="L175:M175"/>
    <mergeCell ref="P175:AA175"/>
    <mergeCell ref="L166:M166"/>
    <mergeCell ref="L167:M167"/>
    <mergeCell ref="L168:M168"/>
    <mergeCell ref="L169:M169"/>
    <mergeCell ref="L170:M170"/>
    <mergeCell ref="L171:M1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4"/>
  <sheetViews>
    <sheetView showGridLines="0" view="pageBreakPreview" topLeftCell="A41" zoomScaleNormal="100" zoomScaleSheetLayoutView="100" zoomScalePageLayoutView="90" workbookViewId="0">
      <selection activeCell="D50" sqref="D50"/>
    </sheetView>
  </sheetViews>
  <sheetFormatPr defaultColWidth="9.1796875" defaultRowHeight="15.5" x14ac:dyDescent="0.25"/>
  <cols>
    <col min="1" max="1" width="5" style="2" customWidth="1"/>
    <col min="2" max="2" width="4.26953125" style="2" customWidth="1"/>
    <col min="3" max="3" width="18.54296875" style="2" customWidth="1"/>
    <col min="4" max="4" width="11.81640625" style="2" customWidth="1"/>
    <col min="5" max="5" width="9.81640625" style="2" customWidth="1"/>
    <col min="6" max="10" width="8.7265625" style="2" customWidth="1"/>
    <col min="11" max="11" width="11" style="2" customWidth="1"/>
    <col min="12" max="12" width="10.453125" style="2" customWidth="1"/>
    <col min="13" max="13" width="8.54296875" style="2" customWidth="1"/>
    <col min="14" max="14" width="2.1796875" style="2" customWidth="1"/>
    <col min="15" max="15" width="8.54296875" style="2" customWidth="1"/>
    <col min="16" max="16" width="3.453125" style="2" customWidth="1"/>
    <col min="17" max="16384" width="9.1796875" style="2"/>
  </cols>
  <sheetData>
    <row r="1" spans="1:16" x14ac:dyDescent="0.25">
      <c r="A1" s="1202" t="s">
        <v>36</v>
      </c>
      <c r="B1" s="1202"/>
      <c r="C1" s="1202"/>
      <c r="D1" s="1202"/>
      <c r="E1" s="1202"/>
      <c r="F1" s="1202"/>
      <c r="G1" s="1202"/>
      <c r="H1" s="1202"/>
      <c r="I1" s="1202"/>
      <c r="J1" s="1202"/>
      <c r="K1" s="1202"/>
      <c r="L1" s="1202"/>
      <c r="M1" s="1202"/>
      <c r="N1" s="1202"/>
      <c r="O1" s="1202"/>
      <c r="P1" s="1202"/>
    </row>
    <row r="2" spans="1:16" x14ac:dyDescent="0.25">
      <c r="A2" s="1203" t="s">
        <v>37</v>
      </c>
      <c r="B2" s="1203"/>
      <c r="C2" s="1203"/>
      <c r="D2" s="1203"/>
      <c r="E2" s="1203"/>
      <c r="F2" s="1203"/>
      <c r="G2" s="1203"/>
      <c r="H2" s="1203"/>
      <c r="I2" s="1203"/>
      <c r="J2" s="1203"/>
      <c r="K2" s="1203"/>
      <c r="L2" s="1203"/>
      <c r="M2" s="1203"/>
      <c r="N2" s="1203"/>
      <c r="O2" s="1203"/>
      <c r="P2" s="1203"/>
    </row>
    <row r="3" spans="1:16" x14ac:dyDescent="0.25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</row>
    <row r="4" spans="1:16" x14ac:dyDescent="0.25">
      <c r="A4" s="321" t="s">
        <v>38</v>
      </c>
      <c r="B4" s="321"/>
      <c r="C4" s="321"/>
      <c r="D4" s="322" t="s">
        <v>39</v>
      </c>
      <c r="E4" s="322"/>
      <c r="F4" s="322"/>
      <c r="G4" s="322"/>
      <c r="H4" s="322"/>
      <c r="I4" s="322"/>
      <c r="J4" s="322"/>
      <c r="K4" s="321"/>
      <c r="L4" s="321"/>
      <c r="M4" s="321"/>
    </row>
    <row r="5" spans="1:16" x14ac:dyDescent="0.25">
      <c r="A5" s="321" t="s">
        <v>40</v>
      </c>
      <c r="B5" s="321"/>
      <c r="C5" s="321"/>
      <c r="D5" s="323" t="s">
        <v>39</v>
      </c>
      <c r="E5" s="323"/>
      <c r="F5" s="323"/>
      <c r="G5" s="323"/>
      <c r="H5" s="323"/>
      <c r="I5" s="323"/>
      <c r="J5" s="323"/>
      <c r="K5" s="321"/>
      <c r="L5" s="321"/>
      <c r="M5" s="321"/>
    </row>
    <row r="6" spans="1:16" x14ac:dyDescent="0.25">
      <c r="A6" s="321" t="s">
        <v>41</v>
      </c>
      <c r="B6" s="321"/>
      <c r="C6" s="321"/>
      <c r="D6" s="323" t="s">
        <v>39</v>
      </c>
      <c r="E6" s="323"/>
      <c r="F6" s="323"/>
      <c r="G6" s="323"/>
      <c r="H6" s="323"/>
      <c r="I6" s="323"/>
      <c r="J6" s="323"/>
      <c r="K6" s="321"/>
      <c r="L6" s="321"/>
      <c r="M6" s="321"/>
    </row>
    <row r="7" spans="1:16" x14ac:dyDescent="0.3">
      <c r="A7" s="469" t="s">
        <v>42</v>
      </c>
      <c r="B7" s="321"/>
      <c r="C7" s="321"/>
      <c r="D7" s="323" t="s">
        <v>39</v>
      </c>
      <c r="E7" s="323" t="s">
        <v>43</v>
      </c>
      <c r="F7" s="323"/>
      <c r="G7" s="323"/>
      <c r="H7" s="323"/>
      <c r="I7" s="323"/>
      <c r="J7" s="323"/>
      <c r="K7" s="321"/>
      <c r="L7" s="321"/>
      <c r="M7" s="321"/>
    </row>
    <row r="8" spans="1:16" x14ac:dyDescent="0.3">
      <c r="A8" s="469"/>
      <c r="B8" s="321"/>
      <c r="C8" s="321"/>
      <c r="D8" s="323" t="s">
        <v>39</v>
      </c>
      <c r="E8" s="323" t="s">
        <v>44</v>
      </c>
      <c r="F8" s="323"/>
      <c r="G8" s="323"/>
      <c r="H8" s="323"/>
      <c r="I8" s="323"/>
      <c r="J8" s="323"/>
      <c r="K8" s="321"/>
      <c r="L8" s="321"/>
      <c r="M8" s="321"/>
    </row>
    <row r="9" spans="1:16" x14ac:dyDescent="0.3">
      <c r="A9" s="469" t="s">
        <v>45</v>
      </c>
      <c r="B9" s="321"/>
      <c r="C9" s="321"/>
      <c r="D9" s="323" t="s">
        <v>39</v>
      </c>
      <c r="E9" s="323"/>
      <c r="F9" s="323"/>
      <c r="G9" s="323"/>
      <c r="H9" s="323"/>
      <c r="I9" s="323"/>
      <c r="J9" s="323"/>
      <c r="K9" s="321"/>
      <c r="L9" s="321"/>
      <c r="M9" s="321"/>
    </row>
    <row r="10" spans="1:16" x14ac:dyDescent="0.25">
      <c r="A10" s="321" t="s">
        <v>46</v>
      </c>
      <c r="B10" s="321"/>
      <c r="C10" s="321"/>
      <c r="D10" s="323" t="s">
        <v>39</v>
      </c>
      <c r="E10" s="323"/>
      <c r="F10" s="323"/>
      <c r="G10" s="323"/>
      <c r="H10" s="323"/>
      <c r="I10" s="323"/>
      <c r="J10" s="323"/>
      <c r="K10" s="321"/>
      <c r="L10" s="321"/>
      <c r="M10" s="321"/>
    </row>
    <row r="11" spans="1:16" x14ac:dyDescent="0.25">
      <c r="A11" s="321" t="s">
        <v>47</v>
      </c>
      <c r="B11" s="321"/>
      <c r="C11" s="321"/>
      <c r="D11" s="323" t="s">
        <v>39</v>
      </c>
      <c r="E11" s="323"/>
      <c r="F11" s="323"/>
      <c r="G11" s="323"/>
      <c r="H11" s="323"/>
      <c r="I11" s="323"/>
      <c r="J11" s="323"/>
      <c r="K11" s="321"/>
      <c r="L11" s="321"/>
      <c r="M11" s="321"/>
    </row>
    <row r="12" spans="1:16" x14ac:dyDescent="0.25">
      <c r="A12" s="321" t="s">
        <v>48</v>
      </c>
      <c r="B12" s="321"/>
      <c r="C12" s="321"/>
      <c r="D12" s="323" t="s">
        <v>39</v>
      </c>
      <c r="E12" s="323"/>
      <c r="F12" s="323"/>
      <c r="G12" s="323"/>
      <c r="H12" s="323"/>
      <c r="I12" s="323"/>
      <c r="J12" s="323"/>
      <c r="K12" s="321"/>
      <c r="L12" s="321"/>
      <c r="M12" s="321"/>
    </row>
    <row r="13" spans="1:16" hidden="1" x14ac:dyDescent="0.25">
      <c r="A13" s="321" t="s">
        <v>49</v>
      </c>
      <c r="B13" s="321"/>
      <c r="C13" s="321"/>
      <c r="D13" s="321" t="s">
        <v>50</v>
      </c>
      <c r="E13" s="321"/>
      <c r="F13" s="321"/>
      <c r="G13" s="321"/>
      <c r="H13" s="321"/>
      <c r="I13" s="321"/>
      <c r="J13" s="321"/>
      <c r="K13" s="321"/>
      <c r="L13" s="321"/>
      <c r="M13" s="321"/>
    </row>
    <row r="14" spans="1:16" ht="9" customHeight="1" x14ac:dyDescent="0.25">
      <c r="A14" s="321"/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21"/>
    </row>
    <row r="15" spans="1:16" x14ac:dyDescent="0.25">
      <c r="A15" s="324" t="s">
        <v>51</v>
      </c>
      <c r="B15" s="324" t="s">
        <v>52</v>
      </c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1"/>
    </row>
    <row r="16" spans="1:16" x14ac:dyDescent="0.25">
      <c r="A16" s="324"/>
      <c r="B16" s="324"/>
      <c r="C16" s="324"/>
      <c r="D16" s="1194" t="s">
        <v>4</v>
      </c>
      <c r="E16" s="1196"/>
      <c r="F16" s="1194" t="s">
        <v>5</v>
      </c>
      <c r="G16" s="1196"/>
      <c r="H16" s="324"/>
      <c r="I16" s="321"/>
      <c r="J16" s="324"/>
      <c r="K16" s="324"/>
      <c r="L16" s="324"/>
      <c r="M16" s="320" t="s">
        <v>53</v>
      </c>
    </row>
    <row r="17" spans="1:13" ht="16.5" x14ac:dyDescent="0.25">
      <c r="A17" s="321"/>
      <c r="B17" s="321" t="s">
        <v>54</v>
      </c>
      <c r="C17" s="321"/>
      <c r="D17" s="1206"/>
      <c r="E17" s="1207"/>
      <c r="F17" s="1206"/>
      <c r="G17" s="1207"/>
      <c r="H17" s="325" t="s">
        <v>55</v>
      </c>
      <c r="I17" s="321"/>
      <c r="J17" s="321"/>
      <c r="K17" s="321"/>
      <c r="L17" s="321"/>
      <c r="M17" s="186">
        <v>5</v>
      </c>
    </row>
    <row r="18" spans="1:13" x14ac:dyDescent="0.25">
      <c r="A18" s="321"/>
      <c r="B18" s="321" t="s">
        <v>56</v>
      </c>
      <c r="C18" s="321"/>
      <c r="D18" s="1206"/>
      <c r="E18" s="1207"/>
      <c r="F18" s="1206"/>
      <c r="G18" s="1207"/>
      <c r="H18" s="321" t="s">
        <v>57</v>
      </c>
      <c r="I18" s="321"/>
      <c r="J18" s="321"/>
      <c r="K18" s="321"/>
      <c r="L18" s="321"/>
      <c r="M18" s="186">
        <v>5</v>
      </c>
    </row>
    <row r="19" spans="1:13" x14ac:dyDescent="0.25">
      <c r="A19" s="321"/>
      <c r="B19" s="321" t="s">
        <v>58</v>
      </c>
      <c r="C19" s="321"/>
      <c r="D19" s="326" t="s">
        <v>39</v>
      </c>
      <c r="E19" s="326"/>
      <c r="F19" s="321" t="s">
        <v>59</v>
      </c>
      <c r="G19" s="321"/>
      <c r="H19" s="321"/>
      <c r="I19" s="321"/>
      <c r="J19" s="321"/>
      <c r="K19" s="321"/>
      <c r="L19" s="321"/>
      <c r="M19" s="321"/>
    </row>
    <row r="20" spans="1:13" ht="9" customHeight="1" x14ac:dyDescent="0.25">
      <c r="A20" s="321"/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</row>
    <row r="21" spans="1:13" x14ac:dyDescent="0.25">
      <c r="A21" s="324" t="s">
        <v>60</v>
      </c>
      <c r="B21" s="324" t="s">
        <v>61</v>
      </c>
      <c r="C21" s="324"/>
      <c r="D21" s="324"/>
      <c r="E21" s="324"/>
      <c r="F21" s="324"/>
      <c r="G21" s="324"/>
      <c r="H21" s="324"/>
      <c r="I21" s="324"/>
      <c r="J21" s="321"/>
      <c r="K21" s="321"/>
      <c r="L21" s="321"/>
      <c r="M21" s="321"/>
    </row>
    <row r="22" spans="1:13" x14ac:dyDescent="0.25">
      <c r="A22" s="321"/>
      <c r="B22" s="321" t="s">
        <v>62</v>
      </c>
      <c r="C22" s="321"/>
      <c r="D22" s="321" t="s">
        <v>63</v>
      </c>
      <c r="E22" s="321"/>
      <c r="F22" s="321"/>
      <c r="G22" s="321"/>
      <c r="H22" s="321"/>
      <c r="I22" s="321"/>
      <c r="J22" s="321"/>
      <c r="K22" s="321"/>
      <c r="L22" s="321"/>
      <c r="M22" s="321"/>
    </row>
    <row r="23" spans="1:13" x14ac:dyDescent="0.25">
      <c r="A23" s="321"/>
      <c r="B23" s="321" t="s">
        <v>64</v>
      </c>
      <c r="C23" s="321"/>
      <c r="D23" s="321" t="s">
        <v>63</v>
      </c>
      <c r="E23" s="321"/>
      <c r="F23" s="321"/>
      <c r="G23" s="321"/>
      <c r="H23" s="321"/>
      <c r="I23" s="321"/>
      <c r="J23" s="321"/>
      <c r="K23" s="321"/>
      <c r="L23" s="321"/>
      <c r="M23" s="321"/>
    </row>
    <row r="24" spans="1:13" ht="9" customHeight="1" x14ac:dyDescent="0.25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</row>
    <row r="25" spans="1:13" x14ac:dyDescent="0.25">
      <c r="A25" s="324" t="s">
        <v>65</v>
      </c>
      <c r="B25" s="324" t="s">
        <v>66</v>
      </c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</row>
    <row r="26" spans="1:13" x14ac:dyDescent="0.25">
      <c r="A26" s="321"/>
      <c r="B26" s="1204" t="s">
        <v>0</v>
      </c>
      <c r="C26" s="1182" t="s">
        <v>67</v>
      </c>
      <c r="D26" s="1208"/>
      <c r="E26" s="1208"/>
      <c r="F26" s="1208"/>
      <c r="G26" s="1208"/>
      <c r="H26" s="1183"/>
      <c r="I26" s="1182" t="s">
        <v>68</v>
      </c>
      <c r="J26" s="1183"/>
      <c r="K26" s="1182" t="s">
        <v>69</v>
      </c>
      <c r="L26" s="1183"/>
      <c r="M26" s="1199" t="s">
        <v>53</v>
      </c>
    </row>
    <row r="27" spans="1:13" ht="12" customHeight="1" x14ac:dyDescent="0.25">
      <c r="A27" s="321"/>
      <c r="B27" s="1205"/>
      <c r="C27" s="1184"/>
      <c r="D27" s="1209"/>
      <c r="E27" s="1209"/>
      <c r="F27" s="1209"/>
      <c r="G27" s="1209"/>
      <c r="H27" s="1185"/>
      <c r="I27" s="1184"/>
      <c r="J27" s="1185"/>
      <c r="K27" s="1184" t="s">
        <v>70</v>
      </c>
      <c r="L27" s="1185"/>
      <c r="M27" s="1199"/>
    </row>
    <row r="28" spans="1:13" ht="15.75" customHeight="1" x14ac:dyDescent="0.3">
      <c r="A28" s="321"/>
      <c r="B28" s="414">
        <v>1</v>
      </c>
      <c r="C28" s="362" t="s">
        <v>71</v>
      </c>
      <c r="D28" s="415"/>
      <c r="E28" s="415"/>
      <c r="F28" s="415"/>
      <c r="G28" s="416"/>
      <c r="H28" s="417"/>
      <c r="I28" s="418"/>
      <c r="J28" s="182" t="s">
        <v>72</v>
      </c>
      <c r="K28" s="183">
        <v>2</v>
      </c>
      <c r="L28" s="182" t="s">
        <v>72</v>
      </c>
      <c r="M28" s="181">
        <v>10</v>
      </c>
    </row>
    <row r="29" spans="1:13" ht="15.75" customHeight="1" x14ac:dyDescent="0.3">
      <c r="A29" s="321"/>
      <c r="B29" s="419">
        <v>2</v>
      </c>
      <c r="C29" s="362" t="s">
        <v>73</v>
      </c>
      <c r="D29" s="415"/>
      <c r="E29" s="415"/>
      <c r="F29" s="415"/>
      <c r="G29" s="416"/>
      <c r="H29" s="417"/>
      <c r="I29" s="418"/>
      <c r="J29" s="182" t="s">
        <v>74</v>
      </c>
      <c r="K29" s="363" t="s">
        <v>75</v>
      </c>
      <c r="L29" s="182" t="s">
        <v>74</v>
      </c>
      <c r="M29" s="181">
        <v>10</v>
      </c>
    </row>
    <row r="30" spans="1:13" ht="15.75" customHeight="1" x14ac:dyDescent="0.3">
      <c r="A30" s="321"/>
      <c r="B30" s="318">
        <v>3</v>
      </c>
      <c r="C30" s="362" t="s">
        <v>76</v>
      </c>
      <c r="D30" s="415"/>
      <c r="E30" s="415"/>
      <c r="F30" s="415"/>
      <c r="G30" s="416"/>
      <c r="H30" s="417"/>
      <c r="I30" s="418"/>
      <c r="J30" s="184" t="s">
        <v>77</v>
      </c>
      <c r="K30" s="185" t="s">
        <v>78</v>
      </c>
      <c r="L30" s="184" t="s">
        <v>77</v>
      </c>
      <c r="M30" s="181">
        <v>10</v>
      </c>
    </row>
    <row r="31" spans="1:13" ht="15.75" customHeight="1" x14ac:dyDescent="0.3">
      <c r="A31" s="321"/>
      <c r="B31" s="319">
        <v>4</v>
      </c>
      <c r="C31" s="362" t="s">
        <v>79</v>
      </c>
      <c r="D31" s="364"/>
      <c r="E31" s="364"/>
      <c r="F31" s="364"/>
      <c r="G31" s="364"/>
      <c r="H31" s="365"/>
      <c r="I31" s="327"/>
      <c r="J31" s="184" t="s">
        <v>77</v>
      </c>
      <c r="K31" s="448">
        <v>50</v>
      </c>
      <c r="L31" s="184" t="s">
        <v>77</v>
      </c>
      <c r="M31" s="181">
        <v>10</v>
      </c>
    </row>
    <row r="32" spans="1:13" x14ac:dyDescent="0.25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</row>
    <row r="33" spans="1:14" x14ac:dyDescent="0.25">
      <c r="A33" s="324" t="s">
        <v>80</v>
      </c>
      <c r="B33" s="324" t="s">
        <v>81</v>
      </c>
      <c r="C33" s="324"/>
      <c r="D33" s="324"/>
      <c r="E33" s="321"/>
      <c r="F33" s="321"/>
      <c r="G33" s="321"/>
      <c r="H33" s="321"/>
      <c r="I33" s="321"/>
      <c r="J33" s="321"/>
      <c r="K33" s="321"/>
      <c r="L33" s="321"/>
      <c r="M33" s="321"/>
      <c r="N33" s="5"/>
    </row>
    <row r="34" spans="1:14" x14ac:dyDescent="0.25">
      <c r="A34" s="321"/>
      <c r="B34" s="324" t="s">
        <v>82</v>
      </c>
      <c r="C34" s="324"/>
      <c r="D34" s="324"/>
      <c r="E34" s="321"/>
      <c r="F34" s="321"/>
      <c r="G34" s="321"/>
      <c r="H34" s="321"/>
      <c r="I34" s="321"/>
      <c r="J34" s="321"/>
      <c r="K34" s="321"/>
      <c r="L34" s="321"/>
      <c r="M34" s="321"/>
      <c r="N34" s="5"/>
    </row>
    <row r="35" spans="1:14" x14ac:dyDescent="0.25">
      <c r="A35" s="321"/>
      <c r="B35" s="1204" t="s">
        <v>0</v>
      </c>
      <c r="C35" s="1189" t="s">
        <v>67</v>
      </c>
      <c r="D35" s="1204" t="s">
        <v>83</v>
      </c>
      <c r="E35" s="1189" t="s">
        <v>84</v>
      </c>
      <c r="F35" s="1194" t="s">
        <v>85</v>
      </c>
      <c r="G35" s="1195"/>
      <c r="H35" s="1195"/>
      <c r="I35" s="1195"/>
      <c r="J35" s="1195"/>
      <c r="K35" s="1196"/>
      <c r="L35" s="1189" t="s">
        <v>86</v>
      </c>
      <c r="M35" s="1204" t="s">
        <v>53</v>
      </c>
    </row>
    <row r="36" spans="1:14" x14ac:dyDescent="0.25">
      <c r="A36" s="321"/>
      <c r="B36" s="1205"/>
      <c r="C36" s="1190"/>
      <c r="D36" s="1205"/>
      <c r="E36" s="1190"/>
      <c r="F36" s="366" t="s">
        <v>87</v>
      </c>
      <c r="G36" s="349" t="s">
        <v>88</v>
      </c>
      <c r="H36" s="367" t="s">
        <v>89</v>
      </c>
      <c r="I36" s="368" t="s">
        <v>90</v>
      </c>
      <c r="J36" s="349" t="s">
        <v>91</v>
      </c>
      <c r="K36" s="369" t="s">
        <v>92</v>
      </c>
      <c r="L36" s="1190"/>
      <c r="M36" s="1205"/>
    </row>
    <row r="37" spans="1:14" x14ac:dyDescent="0.25">
      <c r="A37" s="321"/>
      <c r="B37" s="328">
        <v>1</v>
      </c>
      <c r="C37" s="1186" t="s">
        <v>93</v>
      </c>
      <c r="D37" s="1186" t="s">
        <v>94</v>
      </c>
      <c r="E37" s="329">
        <v>2.7</v>
      </c>
      <c r="F37" s="330"/>
      <c r="G37" s="331"/>
      <c r="H37" s="331"/>
      <c r="I37" s="331"/>
      <c r="J37" s="331"/>
      <c r="K37" s="330"/>
      <c r="L37" s="1191" t="s">
        <v>95</v>
      </c>
      <c r="M37" s="181">
        <v>5</v>
      </c>
    </row>
    <row r="38" spans="1:14" x14ac:dyDescent="0.25">
      <c r="A38" s="321"/>
      <c r="B38" s="332">
        <v>2</v>
      </c>
      <c r="C38" s="1187"/>
      <c r="D38" s="1187"/>
      <c r="E38" s="333">
        <v>4</v>
      </c>
      <c r="F38" s="334"/>
      <c r="G38" s="335"/>
      <c r="H38" s="335"/>
      <c r="I38" s="335"/>
      <c r="J38" s="335"/>
      <c r="K38" s="334"/>
      <c r="L38" s="1192"/>
      <c r="M38" s="181">
        <v>5</v>
      </c>
    </row>
    <row r="39" spans="1:14" x14ac:dyDescent="0.25">
      <c r="A39" s="321"/>
      <c r="B39" s="332">
        <v>3</v>
      </c>
      <c r="C39" s="1187"/>
      <c r="D39" s="336"/>
      <c r="E39" s="333">
        <v>5.5</v>
      </c>
      <c r="F39" s="334"/>
      <c r="G39" s="335"/>
      <c r="H39" s="335"/>
      <c r="I39" s="335"/>
      <c r="J39" s="335"/>
      <c r="K39" s="334"/>
      <c r="L39" s="1192"/>
      <c r="M39" s="181">
        <v>5</v>
      </c>
    </row>
    <row r="40" spans="1:14" x14ac:dyDescent="0.25">
      <c r="A40" s="321"/>
      <c r="B40" s="332">
        <v>4</v>
      </c>
      <c r="C40" s="337" t="s">
        <v>96</v>
      </c>
      <c r="D40" s="1200" t="s">
        <v>97</v>
      </c>
      <c r="E40" s="333">
        <v>6.8</v>
      </c>
      <c r="F40" s="334"/>
      <c r="G40" s="335"/>
      <c r="H40" s="335"/>
      <c r="I40" s="335"/>
      <c r="J40" s="335"/>
      <c r="K40" s="334"/>
      <c r="L40" s="1192"/>
      <c r="M40" s="181">
        <v>5</v>
      </c>
    </row>
    <row r="41" spans="1:14" x14ac:dyDescent="0.25">
      <c r="A41" s="321"/>
      <c r="B41" s="338">
        <v>5</v>
      </c>
      <c r="C41" s="339"/>
      <c r="D41" s="1201"/>
      <c r="E41" s="340">
        <v>8</v>
      </c>
      <c r="F41" s="341"/>
      <c r="G41" s="342"/>
      <c r="H41" s="342"/>
      <c r="I41" s="342"/>
      <c r="J41" s="342"/>
      <c r="K41" s="341"/>
      <c r="L41" s="1193"/>
      <c r="M41" s="181">
        <v>5</v>
      </c>
    </row>
    <row r="42" spans="1:14" ht="15" customHeight="1" x14ac:dyDescent="0.25">
      <c r="A42" s="343"/>
      <c r="B42" s="344"/>
      <c r="C42" s="345"/>
      <c r="D42" s="346"/>
      <c r="E42" s="347"/>
      <c r="F42" s="347"/>
      <c r="G42" s="347"/>
      <c r="H42" s="347"/>
      <c r="I42" s="347"/>
      <c r="J42" s="347"/>
      <c r="K42" s="348"/>
      <c r="L42" s="294"/>
      <c r="M42" s="321"/>
    </row>
    <row r="43" spans="1:14" ht="20.149999999999999" customHeight="1" x14ac:dyDescent="0.25">
      <c r="A43" s="324"/>
      <c r="B43" s="324" t="s">
        <v>98</v>
      </c>
      <c r="C43" s="349"/>
      <c r="D43" s="350"/>
      <c r="E43" s="350"/>
      <c r="F43" s="350"/>
      <c r="G43" s="350"/>
      <c r="H43" s="347"/>
      <c r="I43" s="351"/>
      <c r="J43" s="347"/>
      <c r="K43" s="348"/>
      <c r="L43" s="294"/>
      <c r="M43" s="321"/>
    </row>
    <row r="44" spans="1:14" ht="20.149999999999999" customHeight="1" x14ac:dyDescent="0.25">
      <c r="A44" s="321"/>
      <c r="B44" s="1181" t="s">
        <v>99</v>
      </c>
      <c r="C44" s="1181" t="s">
        <v>67</v>
      </c>
      <c r="D44" s="1181" t="s">
        <v>100</v>
      </c>
      <c r="E44" s="1194" t="s">
        <v>101</v>
      </c>
      <c r="F44" s="1195"/>
      <c r="G44" s="1195"/>
      <c r="H44" s="1195"/>
      <c r="I44" s="1195"/>
      <c r="J44" s="1196"/>
      <c r="K44" s="1181" t="s">
        <v>102</v>
      </c>
      <c r="L44" s="1199" t="s">
        <v>53</v>
      </c>
      <c r="M44" s="321"/>
    </row>
    <row r="45" spans="1:14" ht="24.75" customHeight="1" x14ac:dyDescent="0.25">
      <c r="A45" s="321"/>
      <c r="B45" s="1181"/>
      <c r="C45" s="1181"/>
      <c r="D45" s="1181"/>
      <c r="E45" s="320" t="s">
        <v>87</v>
      </c>
      <c r="F45" s="320" t="s">
        <v>88</v>
      </c>
      <c r="G45" s="320" t="s">
        <v>89</v>
      </c>
      <c r="H45" s="320" t="s">
        <v>90</v>
      </c>
      <c r="I45" s="320" t="s">
        <v>91</v>
      </c>
      <c r="J45" s="320" t="s">
        <v>92</v>
      </c>
      <c r="K45" s="1181"/>
      <c r="L45" s="1199"/>
      <c r="M45" s="321"/>
    </row>
    <row r="46" spans="1:14" x14ac:dyDescent="0.25">
      <c r="A46" s="321"/>
      <c r="B46" s="318">
        <v>1</v>
      </c>
      <c r="C46" s="1198" t="s">
        <v>103</v>
      </c>
      <c r="D46" s="318">
        <v>30</v>
      </c>
      <c r="E46" s="352"/>
      <c r="F46" s="352"/>
      <c r="G46" s="352"/>
      <c r="H46" s="352"/>
      <c r="I46" s="352"/>
      <c r="J46" s="352"/>
      <c r="K46" s="1197" t="s">
        <v>104</v>
      </c>
      <c r="L46" s="181">
        <v>5</v>
      </c>
      <c r="M46" s="321"/>
    </row>
    <row r="47" spans="1:14" x14ac:dyDescent="0.25">
      <c r="A47" s="321"/>
      <c r="B47" s="318">
        <v>2</v>
      </c>
      <c r="C47" s="1198"/>
      <c r="D47" s="318">
        <v>60</v>
      </c>
      <c r="E47" s="352"/>
      <c r="F47" s="352"/>
      <c r="G47" s="352"/>
      <c r="H47" s="352"/>
      <c r="I47" s="352"/>
      <c r="J47" s="352"/>
      <c r="K47" s="1197"/>
      <c r="L47" s="181">
        <v>5</v>
      </c>
      <c r="M47" s="321"/>
    </row>
    <row r="48" spans="1:14" x14ac:dyDescent="0.25">
      <c r="A48" s="321"/>
      <c r="B48" s="318">
        <v>3</v>
      </c>
      <c r="C48" s="1198"/>
      <c r="D48" s="318">
        <v>120</v>
      </c>
      <c r="E48" s="352"/>
      <c r="F48" s="352"/>
      <c r="G48" s="352"/>
      <c r="H48" s="352"/>
      <c r="I48" s="352"/>
      <c r="J48" s="352"/>
      <c r="K48" s="1197"/>
      <c r="L48" s="181">
        <v>5</v>
      </c>
      <c r="M48" s="321"/>
    </row>
    <row r="49" spans="1:15" x14ac:dyDescent="0.25">
      <c r="A49" s="321"/>
      <c r="B49" s="318">
        <v>4</v>
      </c>
      <c r="C49" s="1198"/>
      <c r="D49" s="318">
        <v>180</v>
      </c>
      <c r="E49" s="352"/>
      <c r="F49" s="352"/>
      <c r="G49" s="352"/>
      <c r="H49" s="352"/>
      <c r="I49" s="352"/>
      <c r="J49" s="352"/>
      <c r="K49" s="1197"/>
      <c r="L49" s="181">
        <v>5</v>
      </c>
      <c r="M49" s="321"/>
      <c r="N49" s="4"/>
      <c r="O49" s="3"/>
    </row>
    <row r="50" spans="1:15" x14ac:dyDescent="0.25">
      <c r="A50" s="321"/>
      <c r="B50" s="318">
        <v>5</v>
      </c>
      <c r="C50" s="1198"/>
      <c r="D50" s="318">
        <v>240</v>
      </c>
      <c r="E50" s="352"/>
      <c r="F50" s="352"/>
      <c r="G50" s="352"/>
      <c r="H50" s="352"/>
      <c r="I50" s="352"/>
      <c r="J50" s="352"/>
      <c r="K50" s="1197"/>
      <c r="L50" s="181">
        <v>5</v>
      </c>
      <c r="M50" s="321"/>
      <c r="N50" s="4"/>
      <c r="O50" s="3"/>
    </row>
    <row r="51" spans="1:15" ht="15.75" customHeight="1" x14ac:dyDescent="0.25">
      <c r="A51" s="343"/>
      <c r="B51" s="344"/>
      <c r="C51" s="343"/>
      <c r="D51" s="353"/>
      <c r="E51" s="353"/>
      <c r="F51" s="353"/>
      <c r="G51" s="353"/>
      <c r="H51" s="353"/>
      <c r="I51" s="353"/>
      <c r="J51" s="354"/>
      <c r="K51" s="294"/>
      <c r="L51" s="347"/>
      <c r="M51" s="321"/>
      <c r="N51" s="4"/>
      <c r="O51" s="3"/>
    </row>
    <row r="52" spans="1:15" x14ac:dyDescent="0.25">
      <c r="A52" s="355" t="s">
        <v>105</v>
      </c>
      <c r="B52" s="355" t="s">
        <v>106</v>
      </c>
      <c r="C52" s="343"/>
      <c r="D52" s="343"/>
      <c r="E52" s="343"/>
      <c r="F52" s="343"/>
      <c r="G52" s="343"/>
      <c r="H52" s="343"/>
      <c r="I52" s="356"/>
      <c r="J52" s="321"/>
      <c r="K52" s="321"/>
      <c r="L52" s="350"/>
      <c r="M52" s="350"/>
    </row>
    <row r="53" spans="1:15" x14ac:dyDescent="0.25">
      <c r="A53" s="357"/>
      <c r="B53" s="322"/>
      <c r="C53" s="358"/>
      <c r="D53" s="358"/>
      <c r="E53" s="358"/>
      <c r="F53" s="358"/>
      <c r="G53" s="358"/>
      <c r="H53" s="358"/>
      <c r="I53" s="359"/>
      <c r="J53" s="322"/>
      <c r="K53" s="322"/>
      <c r="L53" s="542"/>
      <c r="M53" s="350"/>
    </row>
    <row r="54" spans="1:15" x14ac:dyDescent="0.25">
      <c r="A54" s="357"/>
      <c r="B54" s="322"/>
      <c r="C54" s="358"/>
      <c r="D54" s="358"/>
      <c r="E54" s="358"/>
      <c r="F54" s="358"/>
      <c r="G54" s="358"/>
      <c r="H54" s="358"/>
      <c r="I54" s="543"/>
      <c r="J54" s="323"/>
      <c r="K54" s="323"/>
      <c r="L54" s="544"/>
      <c r="M54" s="350"/>
    </row>
    <row r="55" spans="1:15" x14ac:dyDescent="0.25">
      <c r="A55" s="357"/>
      <c r="B55" s="321"/>
      <c r="C55" s="343"/>
      <c r="D55" s="343"/>
      <c r="E55" s="343"/>
      <c r="F55" s="343"/>
      <c r="G55" s="343"/>
      <c r="H55" s="343"/>
      <c r="I55" s="356"/>
      <c r="J55" s="321"/>
      <c r="K55" s="321"/>
      <c r="L55" s="350"/>
      <c r="M55" s="350"/>
    </row>
    <row r="56" spans="1:15" x14ac:dyDescent="0.25">
      <c r="A56" s="324" t="s">
        <v>107</v>
      </c>
      <c r="B56" s="324" t="s">
        <v>108</v>
      </c>
      <c r="C56" s="343"/>
      <c r="D56" s="343"/>
      <c r="E56" s="343"/>
      <c r="F56" s="343"/>
      <c r="G56" s="343"/>
      <c r="H56" s="343"/>
      <c r="I56" s="356"/>
      <c r="J56" s="321"/>
      <c r="K56" s="321"/>
      <c r="L56" s="350"/>
      <c r="M56" s="350"/>
    </row>
    <row r="57" spans="1:15" x14ac:dyDescent="0.25">
      <c r="A57" s="539"/>
      <c r="B57" s="471" t="s">
        <v>109</v>
      </c>
      <c r="C57" s="343"/>
      <c r="D57" s="343"/>
      <c r="E57" s="343"/>
      <c r="F57" s="343"/>
      <c r="G57" s="343"/>
      <c r="H57" s="343"/>
      <c r="I57" s="356"/>
      <c r="J57" s="321"/>
      <c r="K57" s="321"/>
      <c r="L57" s="350"/>
      <c r="M57" s="350"/>
    </row>
    <row r="58" spans="1:15" x14ac:dyDescent="0.3">
      <c r="A58" s="539"/>
      <c r="B58" s="469" t="s">
        <v>110</v>
      </c>
      <c r="C58" s="343"/>
      <c r="D58" s="343"/>
      <c r="E58" s="343"/>
      <c r="F58" s="343"/>
      <c r="G58" s="343"/>
      <c r="H58" s="343"/>
      <c r="I58" s="356"/>
      <c r="J58" s="321"/>
      <c r="K58" s="321"/>
      <c r="L58" s="350"/>
      <c r="M58" s="350"/>
    </row>
    <row r="59" spans="1:15" x14ac:dyDescent="0.25">
      <c r="A59" s="539"/>
      <c r="B59" s="698" t="s">
        <v>115</v>
      </c>
      <c r="C59" s="343"/>
      <c r="D59" s="343"/>
      <c r="E59" s="343"/>
      <c r="F59" s="343"/>
      <c r="G59" s="343"/>
      <c r="H59" s="343"/>
      <c r="I59" s="356"/>
      <c r="J59" s="321"/>
      <c r="K59" s="321"/>
      <c r="L59" s="350"/>
      <c r="M59" s="350"/>
    </row>
    <row r="60" spans="1:15" x14ac:dyDescent="0.25">
      <c r="A60" s="539"/>
      <c r="B60" s="697" t="s">
        <v>111</v>
      </c>
      <c r="C60" s="343"/>
      <c r="D60" s="541"/>
      <c r="E60" s="343"/>
      <c r="F60" s="343"/>
      <c r="G60" s="343"/>
      <c r="H60" s="343"/>
      <c r="I60" s="356"/>
      <c r="J60" s="321"/>
      <c r="K60" s="321"/>
      <c r="L60" s="350"/>
      <c r="M60" s="350"/>
    </row>
    <row r="61" spans="1:15" x14ac:dyDescent="0.25">
      <c r="A61" s="539"/>
      <c r="B61" s="380" t="s">
        <v>112</v>
      </c>
      <c r="C61" s="343"/>
      <c r="D61" s="343"/>
      <c r="E61" s="343"/>
      <c r="F61" s="343"/>
      <c r="G61" s="343"/>
      <c r="H61" s="343"/>
      <c r="I61" s="356"/>
      <c r="J61" s="321"/>
      <c r="K61" s="321"/>
      <c r="L61" s="350"/>
      <c r="M61" s="350"/>
    </row>
    <row r="62" spans="1:15" x14ac:dyDescent="0.25">
      <c r="A62" s="539"/>
      <c r="B62" s="380" t="s">
        <v>113</v>
      </c>
      <c r="C62" s="343"/>
      <c r="D62" s="343"/>
      <c r="E62" s="343"/>
      <c r="F62" s="343"/>
      <c r="G62" s="343"/>
      <c r="H62" s="343"/>
      <c r="I62" s="356"/>
      <c r="J62" s="321"/>
      <c r="K62" s="321"/>
      <c r="L62" s="350"/>
      <c r="M62" s="350"/>
    </row>
    <row r="63" spans="1:15" x14ac:dyDescent="0.3">
      <c r="A63" s="539"/>
      <c r="B63" s="451" t="s">
        <v>114</v>
      </c>
      <c r="C63" s="343"/>
      <c r="D63" s="343"/>
      <c r="E63" s="343"/>
      <c r="F63" s="343"/>
      <c r="G63" s="343"/>
      <c r="H63" s="343"/>
      <c r="I63" s="356"/>
      <c r="J63" s="321"/>
      <c r="K63" s="321"/>
      <c r="L63" s="350"/>
      <c r="M63" s="350"/>
    </row>
    <row r="64" spans="1:15" x14ac:dyDescent="0.25">
      <c r="A64" s="539"/>
      <c r="B64" s="321" t="s">
        <v>116</v>
      </c>
      <c r="C64" s="343"/>
      <c r="D64" s="343"/>
      <c r="E64" s="343"/>
      <c r="F64" s="343"/>
      <c r="G64" s="343"/>
      <c r="H64" s="343"/>
      <c r="I64" s="356"/>
      <c r="J64" s="321"/>
      <c r="K64" s="321"/>
      <c r="L64" s="350"/>
      <c r="M64" s="350"/>
      <c r="N64" s="3"/>
      <c r="O64" s="3"/>
    </row>
    <row r="65" spans="1:15" x14ac:dyDescent="0.25">
      <c r="A65" s="539"/>
      <c r="B65" s="321" t="s">
        <v>117</v>
      </c>
      <c r="C65" s="343"/>
      <c r="D65" s="343"/>
      <c r="E65" s="343"/>
      <c r="F65" s="343"/>
      <c r="G65" s="343"/>
      <c r="H65" s="343"/>
      <c r="I65" s="356"/>
      <c r="J65" s="321"/>
      <c r="K65" s="321"/>
      <c r="L65" s="350"/>
      <c r="M65" s="350"/>
      <c r="N65" s="3"/>
      <c r="O65" s="3"/>
    </row>
    <row r="66" spans="1:15" x14ac:dyDescent="0.25">
      <c r="A66" s="539"/>
      <c r="B66" s="321" t="s">
        <v>118</v>
      </c>
      <c r="C66" s="343"/>
      <c r="D66" s="343"/>
      <c r="E66" s="343"/>
      <c r="F66" s="343"/>
      <c r="G66" s="343"/>
      <c r="H66" s="343"/>
      <c r="I66" s="356"/>
      <c r="J66" s="321"/>
      <c r="K66" s="321"/>
      <c r="L66" s="350"/>
      <c r="M66" s="350"/>
      <c r="N66" s="3"/>
      <c r="O66" s="3"/>
    </row>
    <row r="67" spans="1:15" x14ac:dyDescent="0.25">
      <c r="A67" s="539"/>
      <c r="B67" s="321" t="s">
        <v>119</v>
      </c>
      <c r="C67" s="343"/>
      <c r="D67" s="343"/>
      <c r="E67" s="343"/>
      <c r="F67" s="343"/>
      <c r="G67" s="343"/>
      <c r="H67" s="343"/>
      <c r="I67" s="356"/>
      <c r="J67" s="321"/>
      <c r="K67" s="321"/>
      <c r="L67" s="350"/>
      <c r="M67" s="350"/>
      <c r="N67" s="3"/>
      <c r="O67" s="3"/>
    </row>
    <row r="68" spans="1:15" x14ac:dyDescent="0.25">
      <c r="A68" s="539"/>
      <c r="B68" s="321" t="s">
        <v>120</v>
      </c>
      <c r="C68" s="343"/>
      <c r="D68" s="343"/>
      <c r="E68" s="343"/>
      <c r="F68" s="343"/>
      <c r="G68" s="343"/>
      <c r="H68" s="343"/>
      <c r="I68" s="356"/>
      <c r="J68" s="321"/>
      <c r="K68" s="321"/>
      <c r="L68" s="350"/>
      <c r="M68" s="350"/>
      <c r="N68" s="3"/>
      <c r="O68" s="3"/>
    </row>
    <row r="69" spans="1:15" x14ac:dyDescent="0.25">
      <c r="A69" s="530"/>
      <c r="B69" s="321" t="s">
        <v>121</v>
      </c>
      <c r="C69" s="321"/>
      <c r="D69" s="321"/>
      <c r="E69" s="321"/>
      <c r="F69" s="321"/>
      <c r="G69" s="321"/>
      <c r="H69" s="321"/>
      <c r="I69" s="321"/>
      <c r="J69" s="343"/>
      <c r="K69" s="321"/>
      <c r="L69" s="321"/>
      <c r="M69" s="321"/>
    </row>
    <row r="70" spans="1:15" x14ac:dyDescent="0.25">
      <c r="A70" s="321"/>
      <c r="C70" s="321"/>
      <c r="D70" s="321"/>
      <c r="E70" s="321"/>
      <c r="F70" s="321"/>
      <c r="G70" s="321"/>
      <c r="H70" s="321"/>
      <c r="I70" s="321"/>
      <c r="J70" s="343"/>
      <c r="K70" s="321"/>
      <c r="L70" s="321"/>
      <c r="M70" s="321"/>
    </row>
    <row r="71" spans="1:15" x14ac:dyDescent="0.25">
      <c r="A71" s="324" t="s">
        <v>122</v>
      </c>
      <c r="B71" s="324" t="s">
        <v>123</v>
      </c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</row>
    <row r="72" spans="1:15" x14ac:dyDescent="0.25">
      <c r="A72" s="324"/>
      <c r="B72" s="321" t="s">
        <v>124</v>
      </c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</row>
    <row r="73" spans="1:15" ht="9" customHeight="1" x14ac:dyDescent="0.25">
      <c r="A73" s="324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</row>
    <row r="74" spans="1:15" x14ac:dyDescent="0.25">
      <c r="A74" s="324" t="s">
        <v>125</v>
      </c>
      <c r="B74" s="324" t="s">
        <v>126</v>
      </c>
      <c r="C74" s="321"/>
      <c r="D74" s="321"/>
      <c r="E74" s="321"/>
      <c r="F74" s="321"/>
      <c r="G74" s="321"/>
      <c r="H74" s="321"/>
      <c r="I74" s="321"/>
      <c r="J74" s="321"/>
      <c r="K74" s="321"/>
      <c r="L74" s="321"/>
      <c r="M74" s="321"/>
    </row>
    <row r="75" spans="1:15" x14ac:dyDescent="0.25">
      <c r="A75" s="321"/>
      <c r="B75" s="322"/>
      <c r="C75" s="322"/>
      <c r="D75" s="321"/>
      <c r="E75" s="321"/>
      <c r="F75" s="321"/>
      <c r="G75" s="321"/>
      <c r="H75" s="321"/>
      <c r="I75" s="321"/>
      <c r="J75" s="321"/>
      <c r="K75" s="321"/>
      <c r="L75" s="360"/>
      <c r="M75" s="321"/>
    </row>
    <row r="76" spans="1:15" x14ac:dyDescent="0.25">
      <c r="A76" s="321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61"/>
      <c r="M76" s="321"/>
    </row>
    <row r="78" spans="1:15" x14ac:dyDescent="0.25">
      <c r="J78" s="6"/>
    </row>
    <row r="79" spans="1:15" x14ac:dyDescent="0.25">
      <c r="J79" s="7"/>
      <c r="K79" s="7"/>
    </row>
    <row r="80" spans="1:15" x14ac:dyDescent="0.25">
      <c r="J80" s="8"/>
      <c r="K80" s="8"/>
    </row>
    <row r="83" spans="1:15" x14ac:dyDescent="0.25">
      <c r="A83" s="1188"/>
      <c r="B83" s="1188"/>
      <c r="C83" s="1188"/>
      <c r="D83" s="1188"/>
      <c r="E83" s="1188"/>
      <c r="F83" s="1188"/>
      <c r="G83" s="1188"/>
      <c r="H83" s="1188"/>
      <c r="I83" s="1188"/>
      <c r="J83" s="1188"/>
      <c r="K83" s="1188"/>
      <c r="L83" s="1188"/>
      <c r="M83" s="1188"/>
      <c r="N83" s="1188"/>
      <c r="O83" s="1188"/>
    </row>
    <row r="84" spans="1:15" x14ac:dyDescent="0.25">
      <c r="A84" s="1188"/>
      <c r="B84" s="1188"/>
      <c r="C84" s="1188"/>
      <c r="D84" s="1188"/>
      <c r="E84" s="1188"/>
      <c r="F84" s="1188"/>
      <c r="G84" s="1188"/>
      <c r="H84" s="1188"/>
      <c r="I84" s="1188"/>
      <c r="J84" s="1188"/>
      <c r="K84" s="1188"/>
      <c r="L84" s="1188"/>
      <c r="M84" s="1188"/>
      <c r="N84" s="1188"/>
      <c r="O84" s="1188"/>
    </row>
  </sheetData>
  <mergeCells count="35">
    <mergeCell ref="A1:P1"/>
    <mergeCell ref="A2:P2"/>
    <mergeCell ref="D35:D36"/>
    <mergeCell ref="D16:E16"/>
    <mergeCell ref="F16:G16"/>
    <mergeCell ref="D17:E17"/>
    <mergeCell ref="D18:E18"/>
    <mergeCell ref="F17:G17"/>
    <mergeCell ref="B26:B27"/>
    <mergeCell ref="M35:M36"/>
    <mergeCell ref="B35:B36"/>
    <mergeCell ref="F18:G18"/>
    <mergeCell ref="M26:M27"/>
    <mergeCell ref="C26:H27"/>
    <mergeCell ref="A84:O84"/>
    <mergeCell ref="L35:L36"/>
    <mergeCell ref="L37:L41"/>
    <mergeCell ref="A83:O83"/>
    <mergeCell ref="C35:C36"/>
    <mergeCell ref="E35:E36"/>
    <mergeCell ref="F35:K35"/>
    <mergeCell ref="K46:K50"/>
    <mergeCell ref="C46:C50"/>
    <mergeCell ref="K44:K45"/>
    <mergeCell ref="C44:C45"/>
    <mergeCell ref="D44:D45"/>
    <mergeCell ref="E44:J44"/>
    <mergeCell ref="L44:L45"/>
    <mergeCell ref="D40:D41"/>
    <mergeCell ref="D37:D38"/>
    <mergeCell ref="B44:B45"/>
    <mergeCell ref="K26:L26"/>
    <mergeCell ref="K27:L27"/>
    <mergeCell ref="I26:J27"/>
    <mergeCell ref="C37:C39"/>
  </mergeCells>
  <printOptions horizontalCentered="1"/>
  <pageMargins left="0.5" right="0.25" top="0.5" bottom="0.25" header="0.25" footer="0.25"/>
  <pageSetup paperSize="9" scale="66" orientation="portrait" horizontalDpi="4294967294" r:id="rId1"/>
  <headerFooter>
    <oddHeader>&amp;R&amp;"-,Regular"&amp;8WF.LK 054-18 / REV : 1</oddHeader>
    <oddFooter xml:space="preserve">&amp;C&amp;8&amp;K00-024software treadmill 2017
</oddFooter>
  </headerFooter>
  <rowBreaks count="1" manualBreakCount="1">
    <brk id="76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7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1" r:id="rId7"/>
      </mc:Fallback>
    </mc:AlternateContent>
    <mc:AlternateContent xmlns:mc="http://schemas.openxmlformats.org/markup-compatibility/2006">
      <mc:Choice Requires="x14">
        <oleObject progId="Equation.3" shapeId="7172" r:id="rId8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2" r:id="rId8"/>
      </mc:Fallback>
    </mc:AlternateContent>
    <mc:AlternateContent xmlns:mc="http://schemas.openxmlformats.org/markup-compatibility/2006">
      <mc:Choice Requires="x14">
        <oleObject progId="Equation.3" shapeId="7173" r:id="rId9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3" r:id="rId9"/>
      </mc:Fallback>
    </mc:AlternateContent>
    <mc:AlternateContent xmlns:mc="http://schemas.openxmlformats.org/markup-compatibility/2006">
      <mc:Choice Requires="x14">
        <oleObject progId="Equation.3" shapeId="7174" r:id="rId10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4" r:id="rId10"/>
      </mc:Fallback>
    </mc:AlternateContent>
    <mc:AlternateContent xmlns:mc="http://schemas.openxmlformats.org/markup-compatibility/2006">
      <mc:Choice Requires="x14">
        <oleObject progId="Equation.3" shapeId="7175" r:id="rId11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5" r:id="rId11"/>
      </mc:Fallback>
    </mc:AlternateContent>
    <mc:AlternateContent xmlns:mc="http://schemas.openxmlformats.org/markup-compatibility/2006">
      <mc:Choice Requires="x14">
        <oleObject progId="Equation.3" shapeId="7176" r:id="rId12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6" r:id="rId12"/>
      </mc:Fallback>
    </mc:AlternateContent>
    <mc:AlternateContent xmlns:mc="http://schemas.openxmlformats.org/markup-compatibility/2006">
      <mc:Choice Requires="x14">
        <oleObject progId="Equation.3" shapeId="7177" r:id="rId13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7" r:id="rId13"/>
      </mc:Fallback>
    </mc:AlternateContent>
    <mc:AlternateContent xmlns:mc="http://schemas.openxmlformats.org/markup-compatibility/2006">
      <mc:Choice Requires="x14">
        <oleObject progId="Equation.3" shapeId="7178" r:id="rId1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8" r:id="rId14"/>
      </mc:Fallback>
    </mc:AlternateContent>
    <mc:AlternateContent xmlns:mc="http://schemas.openxmlformats.org/markup-compatibility/2006">
      <mc:Choice Requires="x14">
        <oleObject progId="Equation.3" shapeId="7179" r:id="rId15">
          <objectPr defaultSize="0" autoPict="0" r:id="rId5">
            <anchor moveWithCells="1" sizeWithCells="1">
              <from>
                <xdr:col>10</xdr:col>
                <xdr:colOff>38100</xdr:colOff>
                <xdr:row>3</xdr:row>
                <xdr:rowOff>0</xdr:rowOff>
              </from>
              <to>
                <xdr:col>10</xdr:col>
                <xdr:colOff>419100</xdr:colOff>
                <xdr:row>3</xdr:row>
                <xdr:rowOff>0</xdr:rowOff>
              </to>
            </anchor>
          </objectPr>
        </oleObject>
      </mc:Choice>
      <mc:Fallback>
        <oleObject progId="Equation.3" shapeId="7179" r:id="rId15"/>
      </mc:Fallback>
    </mc:AlternateContent>
    <mc:AlternateContent xmlns:mc="http://schemas.openxmlformats.org/markup-compatibility/2006">
      <mc:Choice Requires="x14">
        <oleObject progId="Equation.3" shapeId="7180" r:id="rId16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0" r:id="rId16"/>
      </mc:Fallback>
    </mc:AlternateContent>
    <mc:AlternateContent xmlns:mc="http://schemas.openxmlformats.org/markup-compatibility/2006">
      <mc:Choice Requires="x14">
        <oleObject progId="Equation.3" shapeId="7181" r:id="rId17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1" r:id="rId17"/>
      </mc:Fallback>
    </mc:AlternateContent>
    <mc:AlternateContent xmlns:mc="http://schemas.openxmlformats.org/markup-compatibility/2006">
      <mc:Choice Requires="x14">
        <oleObject progId="Equation.3" shapeId="7182" r:id="rId18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2" r:id="rId18"/>
      </mc:Fallback>
    </mc:AlternateContent>
    <mc:AlternateContent xmlns:mc="http://schemas.openxmlformats.org/markup-compatibility/2006">
      <mc:Choice Requires="x14">
        <oleObject progId="Equation.3" shapeId="7183" r:id="rId19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3" r:id="rId19"/>
      </mc:Fallback>
    </mc:AlternateContent>
    <mc:AlternateContent xmlns:mc="http://schemas.openxmlformats.org/markup-compatibility/2006">
      <mc:Choice Requires="x14">
        <oleObject progId="Equation.3" shapeId="7184" r:id="rId20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4" r:id="rId20"/>
      </mc:Fallback>
    </mc:AlternateContent>
    <mc:AlternateContent xmlns:mc="http://schemas.openxmlformats.org/markup-compatibility/2006">
      <mc:Choice Requires="x14">
        <oleObject progId="Equation.3" shapeId="7185" r:id="rId21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5" r:id="rId21"/>
      </mc:Fallback>
    </mc:AlternateContent>
    <mc:AlternateContent xmlns:mc="http://schemas.openxmlformats.org/markup-compatibility/2006">
      <mc:Choice Requires="x14">
        <oleObject progId="Equation.3" shapeId="7186" r:id="rId22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6" r:id="rId22"/>
      </mc:Fallback>
    </mc:AlternateContent>
    <mc:AlternateContent xmlns:mc="http://schemas.openxmlformats.org/markup-compatibility/2006">
      <mc:Choice Requires="x14">
        <oleObject progId="Equation.3" shapeId="7187" r:id="rId23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7" r:id="rId23"/>
      </mc:Fallback>
    </mc:AlternateContent>
    <mc:AlternateContent xmlns:mc="http://schemas.openxmlformats.org/markup-compatibility/2006">
      <mc:Choice Requires="x14">
        <oleObject progId="Equation.3" shapeId="7188" r:id="rId24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8" r:id="rId24"/>
      </mc:Fallback>
    </mc:AlternateContent>
    <mc:AlternateContent xmlns:mc="http://schemas.openxmlformats.org/markup-compatibility/2006">
      <mc:Choice Requires="x14">
        <oleObject progId="Equation.3" shapeId="7189" r:id="rId25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9" r:id="rId25"/>
      </mc:Fallback>
    </mc:AlternateContent>
    <mc:AlternateContent xmlns:mc="http://schemas.openxmlformats.org/markup-compatibility/2006">
      <mc:Choice Requires="x14">
        <oleObject progId="Equation.3" shapeId="7190" r:id="rId26">
          <objectPr defaultSize="0" autoPict="0" r:id="rId5">
            <anchor moveWithCells="1" sizeWithCells="1">
              <from>
                <xdr:col>10</xdr:col>
                <xdr:colOff>38100</xdr:colOff>
                <xdr:row>107</xdr:row>
                <xdr:rowOff>0</xdr:rowOff>
              </from>
              <to>
                <xdr:col>10</xdr:col>
                <xdr:colOff>419100</xdr:colOff>
                <xdr:row>107</xdr:row>
                <xdr:rowOff>0</xdr:rowOff>
              </to>
            </anchor>
          </objectPr>
        </oleObject>
      </mc:Choice>
      <mc:Fallback>
        <oleObject progId="Equation.3" shapeId="7190" r:id="rId26"/>
      </mc:Fallback>
    </mc:AlternateContent>
    <mc:AlternateContent xmlns:mc="http://schemas.openxmlformats.org/markup-compatibility/2006">
      <mc:Choice Requires="x14">
        <oleObject progId="Equation.3" shapeId="7191" r:id="rId27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1" r:id="rId27"/>
      </mc:Fallback>
    </mc:AlternateContent>
    <mc:AlternateContent xmlns:mc="http://schemas.openxmlformats.org/markup-compatibility/2006">
      <mc:Choice Requires="x14">
        <oleObject progId="Equation.3" shapeId="7192" r:id="rId28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2" r:id="rId28"/>
      </mc:Fallback>
    </mc:AlternateContent>
    <mc:AlternateContent xmlns:mc="http://schemas.openxmlformats.org/markup-compatibility/2006">
      <mc:Choice Requires="x14">
        <oleObject progId="Equation.3" shapeId="7193" r:id="rId29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3" r:id="rId29"/>
      </mc:Fallback>
    </mc:AlternateContent>
    <mc:AlternateContent xmlns:mc="http://schemas.openxmlformats.org/markup-compatibility/2006">
      <mc:Choice Requires="x14">
        <oleObject progId="Equation.3" shapeId="7194" r:id="rId30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4" r:id="rId30"/>
      </mc:Fallback>
    </mc:AlternateContent>
    <mc:AlternateContent xmlns:mc="http://schemas.openxmlformats.org/markup-compatibility/2006">
      <mc:Choice Requires="x14">
        <oleObject progId="Equation.3" shapeId="7195" r:id="rId31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5" r:id="rId31"/>
      </mc:Fallback>
    </mc:AlternateContent>
    <mc:AlternateContent xmlns:mc="http://schemas.openxmlformats.org/markup-compatibility/2006">
      <mc:Choice Requires="x14">
        <oleObject progId="Equation.3" shapeId="7196" r:id="rId32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6" r:id="rId32"/>
      </mc:Fallback>
    </mc:AlternateContent>
    <mc:AlternateContent xmlns:mc="http://schemas.openxmlformats.org/markup-compatibility/2006">
      <mc:Choice Requires="x14">
        <oleObject progId="Equation.3" shapeId="7197" r:id="rId33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7" r:id="rId33"/>
      </mc:Fallback>
    </mc:AlternateContent>
    <mc:AlternateContent xmlns:mc="http://schemas.openxmlformats.org/markup-compatibility/2006">
      <mc:Choice Requires="x14">
        <oleObject progId="Equation.3" shapeId="7198" r:id="rId34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8" r:id="rId34"/>
      </mc:Fallback>
    </mc:AlternateContent>
    <mc:AlternateContent xmlns:mc="http://schemas.openxmlformats.org/markup-compatibility/2006">
      <mc:Choice Requires="x14">
        <oleObject progId="Equation.3" shapeId="7199" r:id="rId35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9" r:id="rId35"/>
      </mc:Fallback>
    </mc:AlternateContent>
    <mc:AlternateContent xmlns:mc="http://schemas.openxmlformats.org/markup-compatibility/2006">
      <mc:Choice Requires="x14">
        <oleObject progId="Equation.3" shapeId="7200" r:id="rId36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0" r:id="rId36"/>
      </mc:Fallback>
    </mc:AlternateContent>
    <mc:AlternateContent xmlns:mc="http://schemas.openxmlformats.org/markup-compatibility/2006">
      <mc:Choice Requires="x14">
        <oleObject progId="Equation.3" shapeId="7201" r:id="rId37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1" r:id="rId37"/>
      </mc:Fallback>
    </mc:AlternateContent>
    <mc:AlternateContent xmlns:mc="http://schemas.openxmlformats.org/markup-compatibility/2006">
      <mc:Choice Requires="x14">
        <oleObject progId="Equation.3" shapeId="7202" r:id="rId38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2" r:id="rId38"/>
      </mc:Fallback>
    </mc:AlternateContent>
    <mc:AlternateContent xmlns:mc="http://schemas.openxmlformats.org/markup-compatibility/2006">
      <mc:Choice Requires="x14">
        <oleObject progId="Equation.3" shapeId="7203" r:id="rId39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3" r:id="rId39"/>
      </mc:Fallback>
    </mc:AlternateContent>
    <mc:AlternateContent xmlns:mc="http://schemas.openxmlformats.org/markup-compatibility/2006">
      <mc:Choice Requires="x14">
        <oleObject progId="Equation.3" shapeId="7204" r:id="rId40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4" r:id="rId40"/>
      </mc:Fallback>
    </mc:AlternateContent>
    <mc:AlternateContent xmlns:mc="http://schemas.openxmlformats.org/markup-compatibility/2006">
      <mc:Choice Requires="x14">
        <oleObject progId="Equation.3" shapeId="7205" r:id="rId41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5" r:id="rId41"/>
      </mc:Fallback>
    </mc:AlternateContent>
    <mc:AlternateContent xmlns:mc="http://schemas.openxmlformats.org/markup-compatibility/2006">
      <mc:Choice Requires="x14">
        <oleObject progId="Equation.3" shapeId="7206" r:id="rId42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6" r:id="rId42"/>
      </mc:Fallback>
    </mc:AlternateContent>
    <mc:AlternateContent xmlns:mc="http://schemas.openxmlformats.org/markup-compatibility/2006">
      <mc:Choice Requires="x14">
        <oleObject progId="Equation.3" shapeId="7207" r:id="rId43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7" r:id="rId43"/>
      </mc:Fallback>
    </mc:AlternateContent>
    <mc:AlternateContent xmlns:mc="http://schemas.openxmlformats.org/markup-compatibility/2006">
      <mc:Choice Requires="x14">
        <oleObject progId="Equation.3" shapeId="7208" r:id="rId44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8" r:id="rId44"/>
      </mc:Fallback>
    </mc:AlternateContent>
    <mc:AlternateContent xmlns:mc="http://schemas.openxmlformats.org/markup-compatibility/2006">
      <mc:Choice Requires="x14">
        <oleObject progId="Equation.3" shapeId="7209" r:id="rId45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9" r:id="rId45"/>
      </mc:Fallback>
    </mc:AlternateContent>
    <mc:AlternateContent xmlns:mc="http://schemas.openxmlformats.org/markup-compatibility/2006">
      <mc:Choice Requires="x14">
        <oleObject progId="Equation.3" shapeId="7210" r:id="rId46">
          <objectPr defaultSize="0" autoPict="0" r:id="rId5">
            <anchor moveWithCells="1" sizeWithCells="1">
              <from>
                <xdr:col>10</xdr:col>
                <xdr:colOff>38100</xdr:colOff>
                <xdr:row>32</xdr:row>
                <xdr:rowOff>0</xdr:rowOff>
              </from>
              <to>
                <xdr:col>10</xdr:col>
                <xdr:colOff>419100</xdr:colOff>
                <xdr:row>32</xdr:row>
                <xdr:rowOff>0</xdr:rowOff>
              </to>
            </anchor>
          </objectPr>
        </oleObject>
      </mc:Choice>
      <mc:Fallback>
        <oleObject progId="Equation.3" shapeId="7210" r:id="rId4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116"/>
  <sheetViews>
    <sheetView showGridLines="0" view="pageBreakPreview" topLeftCell="A46" zoomScaleNormal="100" zoomScaleSheetLayoutView="100" workbookViewId="0">
      <selection activeCell="E2" sqref="E2:H2"/>
    </sheetView>
  </sheetViews>
  <sheetFormatPr defaultColWidth="9.1796875" defaultRowHeight="15.5" x14ac:dyDescent="0.25"/>
  <cols>
    <col min="1" max="1" width="5.54296875" style="70" customWidth="1"/>
    <col min="2" max="2" width="8.54296875" style="70" customWidth="1"/>
    <col min="3" max="3" width="12.1796875" style="70" customWidth="1"/>
    <col min="4" max="6" width="8.7265625" style="70" customWidth="1"/>
    <col min="7" max="7" width="11.54296875" style="70" customWidth="1"/>
    <col min="8" max="9" width="8.7265625" style="70" customWidth="1"/>
    <col min="10" max="10" width="8.453125" style="70" customWidth="1"/>
    <col min="11" max="11" width="8.1796875" style="70" customWidth="1"/>
    <col min="12" max="12" width="10.54296875" style="70" customWidth="1"/>
    <col min="13" max="13" width="11.26953125" style="70" customWidth="1"/>
    <col min="14" max="14" width="10.26953125" style="70" customWidth="1"/>
    <col min="15" max="15" width="6.7265625" style="70" customWidth="1"/>
    <col min="16" max="16" width="9.26953125" style="70" customWidth="1"/>
    <col min="17" max="17" width="8.7265625" style="70" customWidth="1"/>
    <col min="18" max="18" width="7.7265625" style="70" bestFit="1" customWidth="1"/>
    <col min="19" max="19" width="17.7265625" style="70" customWidth="1"/>
    <col min="20" max="20" width="6.54296875" style="70" customWidth="1"/>
    <col min="21" max="21" width="10.54296875" style="70" customWidth="1"/>
    <col min="22" max="16384" width="9.1796875" style="70"/>
  </cols>
  <sheetData>
    <row r="1" spans="1:17" x14ac:dyDescent="0.25">
      <c r="A1" s="1232" t="s">
        <v>127</v>
      </c>
      <c r="B1" s="1232"/>
      <c r="C1" s="1232"/>
      <c r="D1" s="1232"/>
      <c r="E1" s="1232"/>
      <c r="F1" s="1232"/>
      <c r="G1" s="1232"/>
      <c r="H1" s="1232"/>
      <c r="I1" s="1232"/>
      <c r="J1" s="1232"/>
      <c r="K1" s="1232"/>
      <c r="L1" s="1232"/>
      <c r="M1" s="1232"/>
      <c r="N1" s="1232"/>
      <c r="O1" s="1232"/>
      <c r="P1" s="1232"/>
      <c r="Q1" s="70" t="s">
        <v>128</v>
      </c>
    </row>
    <row r="2" spans="1:17" ht="16.5" customHeight="1" x14ac:dyDescent="0.25">
      <c r="A2" s="372"/>
      <c r="B2" s="372"/>
      <c r="C2" s="372"/>
      <c r="D2" s="372"/>
      <c r="E2" s="1245" t="str">
        <f>IF(PENYELIA!J71&gt;=70,PENYELIA!B81,PENYELIA!B82)</f>
        <v>Nomor Sertifikat : 54 /</v>
      </c>
      <c r="F2" s="1245"/>
      <c r="G2" s="1245"/>
      <c r="H2" s="1245"/>
      <c r="I2" s="1246" t="s">
        <v>129</v>
      </c>
      <c r="J2" s="1246"/>
      <c r="K2" s="1246"/>
      <c r="L2" s="1246"/>
      <c r="M2" s="372"/>
      <c r="N2" s="372"/>
      <c r="O2" s="372"/>
      <c r="P2" s="372"/>
    </row>
    <row r="3" spans="1:17" ht="12.75" customHeight="1" x14ac:dyDescent="0.25">
      <c r="A3" s="372"/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</row>
    <row r="4" spans="1:17" ht="12.75" customHeight="1" x14ac:dyDescent="0.25">
      <c r="A4" s="372" t="s">
        <v>130</v>
      </c>
      <c r="B4" s="372"/>
      <c r="C4" s="372"/>
      <c r="D4" s="373" t="s">
        <v>39</v>
      </c>
      <c r="E4" s="598" t="s">
        <v>131</v>
      </c>
      <c r="F4" s="420"/>
      <c r="G4" s="420"/>
      <c r="H4" s="420"/>
      <c r="I4" s="372"/>
      <c r="J4" s="372"/>
      <c r="K4" s="372"/>
      <c r="L4" s="372"/>
      <c r="M4" s="372"/>
      <c r="N4" s="372"/>
      <c r="O4" s="372"/>
      <c r="P4" s="372"/>
    </row>
    <row r="5" spans="1:17" ht="12.75" customHeight="1" x14ac:dyDescent="0.25">
      <c r="A5" s="372" t="s">
        <v>40</v>
      </c>
      <c r="B5" s="372"/>
      <c r="C5" s="372"/>
      <c r="D5" s="373" t="s">
        <v>39</v>
      </c>
      <c r="E5" s="598" t="s">
        <v>132</v>
      </c>
      <c r="F5" s="420"/>
      <c r="G5" s="420"/>
      <c r="H5" s="420"/>
      <c r="I5" s="372"/>
      <c r="J5" s="372"/>
      <c r="K5" s="372"/>
      <c r="L5" s="372"/>
      <c r="M5" s="372"/>
      <c r="N5" s="372"/>
      <c r="O5" s="372"/>
      <c r="P5" s="372"/>
    </row>
    <row r="6" spans="1:17" x14ac:dyDescent="0.25">
      <c r="A6" s="372" t="s">
        <v>41</v>
      </c>
      <c r="B6" s="372"/>
      <c r="C6" s="372"/>
      <c r="D6" s="373" t="s">
        <v>39</v>
      </c>
      <c r="E6" s="421" t="s">
        <v>133</v>
      </c>
      <c r="F6" s="420"/>
      <c r="G6" s="420"/>
      <c r="H6" s="420"/>
      <c r="I6" s="372"/>
      <c r="J6" s="372"/>
      <c r="K6" s="372"/>
      <c r="L6" s="372"/>
      <c r="M6" s="372"/>
      <c r="N6" s="372"/>
      <c r="O6" s="372"/>
      <c r="P6" s="372"/>
    </row>
    <row r="7" spans="1:17" x14ac:dyDescent="0.25">
      <c r="A7" s="372" t="s">
        <v>560</v>
      </c>
      <c r="B7" s="372"/>
      <c r="C7" s="372"/>
      <c r="D7" s="373" t="s">
        <v>39</v>
      </c>
      <c r="E7" s="1150">
        <v>1</v>
      </c>
      <c r="F7" s="420" t="str">
        <f>C47</f>
        <v>Km/h</v>
      </c>
      <c r="G7" s="420"/>
      <c r="H7" s="420"/>
      <c r="I7" s="372"/>
      <c r="J7" s="372"/>
      <c r="K7" s="372"/>
      <c r="L7" s="372"/>
      <c r="M7" s="372"/>
      <c r="N7" s="372"/>
      <c r="O7" s="372"/>
      <c r="P7" s="372"/>
    </row>
    <row r="8" spans="1:17" x14ac:dyDescent="0.25">
      <c r="A8" s="372" t="s">
        <v>561</v>
      </c>
      <c r="B8" s="372"/>
      <c r="C8" s="372"/>
      <c r="D8" s="373"/>
      <c r="E8" s="1150">
        <v>1</v>
      </c>
      <c r="F8" s="420" t="s">
        <v>44</v>
      </c>
      <c r="G8" s="420"/>
      <c r="H8" s="420"/>
      <c r="I8" s="372"/>
      <c r="J8" s="372"/>
      <c r="K8" s="372"/>
      <c r="L8" s="372"/>
      <c r="M8" s="372"/>
      <c r="N8" s="372"/>
      <c r="O8" s="372"/>
      <c r="P8" s="372"/>
    </row>
    <row r="9" spans="1:17" x14ac:dyDescent="0.3">
      <c r="A9" s="594" t="s">
        <v>45</v>
      </c>
      <c r="B9" s="372"/>
      <c r="C9" s="372"/>
      <c r="D9" s="373" t="s">
        <v>39</v>
      </c>
      <c r="E9" s="421" t="s">
        <v>565</v>
      </c>
      <c r="F9" s="598"/>
      <c r="G9" s="706"/>
      <c r="H9" s="420"/>
      <c r="I9" s="372"/>
      <c r="J9" s="372"/>
      <c r="K9" s="372"/>
      <c r="L9" s="372"/>
      <c r="M9" s="372"/>
      <c r="N9" s="372"/>
      <c r="O9" s="372"/>
      <c r="P9" s="372"/>
    </row>
    <row r="10" spans="1:17" x14ac:dyDescent="0.25">
      <c r="A10" s="372" t="s">
        <v>46</v>
      </c>
      <c r="B10" s="372"/>
      <c r="C10" s="372"/>
      <c r="D10" s="373" t="s">
        <v>39</v>
      </c>
      <c r="E10" s="598" t="str">
        <f>E9</f>
        <v>22 Agustus 2023</v>
      </c>
      <c r="F10" s="598"/>
      <c r="G10" s="706"/>
      <c r="H10" s="420"/>
      <c r="I10" s="372"/>
      <c r="J10" s="372"/>
      <c r="K10" s="372"/>
      <c r="L10" s="372"/>
      <c r="M10" s="372"/>
      <c r="N10" s="372"/>
      <c r="O10" s="372"/>
      <c r="P10" s="372"/>
    </row>
    <row r="11" spans="1:17" x14ac:dyDescent="0.25">
      <c r="A11" s="372" t="s">
        <v>47</v>
      </c>
      <c r="B11" s="372"/>
      <c r="C11" s="372"/>
      <c r="D11" s="373" t="s">
        <v>39</v>
      </c>
      <c r="E11" s="598" t="s">
        <v>134</v>
      </c>
      <c r="F11" s="420"/>
      <c r="G11" s="420"/>
      <c r="H11" s="420"/>
      <c r="I11" s="372"/>
      <c r="J11" s="372"/>
      <c r="K11" s="372"/>
      <c r="L11" s="372"/>
      <c r="M11" s="372"/>
      <c r="N11" s="372"/>
      <c r="O11" s="372"/>
      <c r="P11" s="372"/>
    </row>
    <row r="12" spans="1:17" ht="14.25" customHeight="1" x14ac:dyDescent="0.25">
      <c r="A12" s="372" t="s">
        <v>48</v>
      </c>
      <c r="B12" s="372"/>
      <c r="C12" s="372"/>
      <c r="D12" s="373" t="s">
        <v>39</v>
      </c>
      <c r="E12" s="598" t="s">
        <v>134</v>
      </c>
      <c r="F12" s="420"/>
      <c r="G12" s="420"/>
      <c r="H12" s="420"/>
      <c r="I12" s="372"/>
      <c r="J12" s="372"/>
      <c r="K12" s="372"/>
      <c r="L12" s="372"/>
      <c r="M12" s="372"/>
      <c r="N12" s="372"/>
      <c r="O12" s="372"/>
      <c r="P12" s="372"/>
    </row>
    <row r="13" spans="1:17" ht="12.75" customHeight="1" x14ac:dyDescent="0.25">
      <c r="A13" s="372" t="s">
        <v>49</v>
      </c>
      <c r="B13" s="372"/>
      <c r="C13" s="372"/>
      <c r="D13" s="373" t="s">
        <v>39</v>
      </c>
      <c r="E13" s="372" t="s">
        <v>135</v>
      </c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2"/>
    </row>
    <row r="14" spans="1:17" ht="10.5" customHeight="1" x14ac:dyDescent="0.25">
      <c r="A14" s="372"/>
      <c r="B14" s="372"/>
      <c r="C14" s="372"/>
      <c r="D14" s="372"/>
      <c r="E14" s="372"/>
      <c r="F14" s="372"/>
      <c r="G14" s="372"/>
      <c r="H14" s="372"/>
      <c r="I14" s="372"/>
      <c r="J14" s="372"/>
      <c r="K14" s="380"/>
      <c r="L14" s="372"/>
      <c r="M14" s="372"/>
      <c r="N14" s="372"/>
      <c r="O14" s="372"/>
      <c r="P14" s="372"/>
    </row>
    <row r="15" spans="1:17" x14ac:dyDescent="0.25">
      <c r="A15" s="374" t="s">
        <v>51</v>
      </c>
      <c r="B15" s="374" t="s">
        <v>52</v>
      </c>
      <c r="C15" s="374"/>
      <c r="D15" s="374"/>
      <c r="E15" s="372"/>
      <c r="F15" s="372"/>
      <c r="G15" s="372"/>
      <c r="H15" s="372"/>
      <c r="I15" s="374"/>
      <c r="J15" s="374"/>
      <c r="K15" s="374"/>
      <c r="L15" s="374"/>
      <c r="M15" s="372"/>
      <c r="N15" s="372"/>
      <c r="O15" s="372"/>
      <c r="P15" s="372"/>
    </row>
    <row r="16" spans="1:17" ht="27" customHeight="1" x14ac:dyDescent="0.25">
      <c r="A16" s="374"/>
      <c r="B16" s="374"/>
      <c r="C16" s="374"/>
      <c r="D16" s="374"/>
      <c r="E16" s="596" t="s">
        <v>136</v>
      </c>
      <c r="F16" s="596" t="s">
        <v>137</v>
      </c>
      <c r="G16" s="614" t="s">
        <v>138</v>
      </c>
      <c r="H16" s="596" t="s">
        <v>139</v>
      </c>
      <c r="I16" s="374"/>
      <c r="J16" s="374"/>
      <c r="K16" s="374"/>
      <c r="L16" s="374"/>
      <c r="M16" s="372"/>
      <c r="N16" s="372"/>
      <c r="O16" s="372"/>
      <c r="P16" s="372"/>
    </row>
    <row r="17" spans="1:21" ht="16.5" x14ac:dyDescent="0.25">
      <c r="A17" s="372"/>
      <c r="B17" s="372" t="str">
        <f>LK!B17</f>
        <v xml:space="preserve">1. Suhu </v>
      </c>
      <c r="C17" s="372"/>
      <c r="D17" s="373" t="s">
        <v>39</v>
      </c>
      <c r="E17" s="1151">
        <v>22</v>
      </c>
      <c r="F17" s="1151">
        <v>22</v>
      </c>
      <c r="G17" s="599">
        <f>'DB SUHU'!U377</f>
        <v>22.044950417314094</v>
      </c>
      <c r="H17" s="599">
        <f>'DB SUHU'!W377</f>
        <v>0.1</v>
      </c>
      <c r="I17" s="375" t="s">
        <v>55</v>
      </c>
      <c r="J17" s="372"/>
      <c r="K17" s="372"/>
      <c r="L17" s="372"/>
      <c r="M17" s="372"/>
      <c r="N17" s="372"/>
      <c r="O17" s="372"/>
      <c r="P17" s="372"/>
    </row>
    <row r="18" spans="1:21" x14ac:dyDescent="0.25">
      <c r="A18" s="372"/>
      <c r="B18" s="372" t="str">
        <f>LK!B18</f>
        <v>2. Kelembaban</v>
      </c>
      <c r="C18" s="372"/>
      <c r="D18" s="373" t="s">
        <v>39</v>
      </c>
      <c r="E18" s="1151">
        <v>66</v>
      </c>
      <c r="F18" s="1151">
        <v>66</v>
      </c>
      <c r="G18" s="599">
        <f>'DB SUHU'!U378</f>
        <v>65.428571428571431</v>
      </c>
      <c r="H18" s="599">
        <f>'DB SUHU'!W378</f>
        <v>1.5</v>
      </c>
      <c r="I18" s="372" t="s">
        <v>57</v>
      </c>
      <c r="J18" s="372"/>
      <c r="K18" s="372"/>
      <c r="L18" s="372"/>
      <c r="M18" s="372"/>
      <c r="N18" s="372"/>
      <c r="O18" s="372"/>
      <c r="P18" s="372"/>
    </row>
    <row r="19" spans="1:21" x14ac:dyDescent="0.25">
      <c r="A19" s="372"/>
      <c r="B19" s="372" t="str">
        <f>LK!B19</f>
        <v>3. Tegangan Jala-jala</v>
      </c>
      <c r="C19" s="372"/>
      <c r="D19" s="373" t="s">
        <v>39</v>
      </c>
      <c r="E19" s="1210">
        <v>222</v>
      </c>
      <c r="F19" s="1210"/>
      <c r="G19" s="387">
        <f>'DB ESA'!O268</f>
        <v>221.80095674300256</v>
      </c>
      <c r="H19" s="599">
        <f>'DB ESA'!I269</f>
        <v>2.6616114809160307</v>
      </c>
      <c r="I19" s="372" t="s">
        <v>59</v>
      </c>
      <c r="J19" s="372"/>
      <c r="K19" s="372"/>
      <c r="L19" s="372"/>
      <c r="M19" s="372"/>
      <c r="N19" s="372"/>
      <c r="O19" s="372"/>
      <c r="P19" s="372"/>
    </row>
    <row r="20" spans="1:21" ht="9.75" customHeight="1" x14ac:dyDescent="0.25">
      <c r="A20" s="372"/>
      <c r="B20" s="372"/>
      <c r="C20" s="372"/>
      <c r="D20" s="373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</row>
    <row r="21" spans="1:21" x14ac:dyDescent="0.25">
      <c r="A21" s="374" t="s">
        <v>60</v>
      </c>
      <c r="B21" s="374" t="s">
        <v>140</v>
      </c>
      <c r="C21" s="374"/>
      <c r="D21" s="374"/>
      <c r="E21" s="374"/>
      <c r="F21" s="374"/>
      <c r="G21" s="374"/>
      <c r="H21" s="374"/>
      <c r="I21" s="374"/>
      <c r="J21" s="372"/>
      <c r="K21" s="372"/>
      <c r="L21" s="372"/>
      <c r="M21" s="372"/>
      <c r="N21" s="372"/>
      <c r="O21" s="372"/>
      <c r="P21" s="372"/>
    </row>
    <row r="22" spans="1:21" x14ac:dyDescent="0.25">
      <c r="A22" s="372"/>
      <c r="B22" s="372" t="s">
        <v>62</v>
      </c>
      <c r="C22" s="372"/>
      <c r="D22" s="373" t="s">
        <v>39</v>
      </c>
      <c r="E22" s="420" t="s">
        <v>141</v>
      </c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</row>
    <row r="23" spans="1:21" x14ac:dyDescent="0.25">
      <c r="A23" s="372"/>
      <c r="B23" s="372" t="s">
        <v>64</v>
      </c>
      <c r="C23" s="372"/>
      <c r="D23" s="373" t="s">
        <v>39</v>
      </c>
      <c r="E23" s="420" t="s">
        <v>141</v>
      </c>
      <c r="F23" s="372"/>
      <c r="G23" s="372"/>
      <c r="H23" s="372"/>
      <c r="I23" s="372"/>
      <c r="J23" s="372"/>
      <c r="K23" s="372"/>
      <c r="L23" s="372"/>
      <c r="M23" s="372"/>
      <c r="N23" s="372"/>
      <c r="O23" s="372"/>
      <c r="P23" s="372"/>
    </row>
    <row r="24" spans="1:21" ht="3" customHeight="1" x14ac:dyDescent="0.25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2"/>
      <c r="P24" s="372"/>
    </row>
    <row r="25" spans="1:21" x14ac:dyDescent="0.25">
      <c r="A25" s="374" t="s">
        <v>65</v>
      </c>
      <c r="B25" s="374" t="s">
        <v>142</v>
      </c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</row>
    <row r="26" spans="1:21" ht="15.75" customHeight="1" x14ac:dyDescent="0.25">
      <c r="A26" s="372"/>
      <c r="B26" s="1230" t="s">
        <v>0</v>
      </c>
      <c r="C26" s="1236" t="s">
        <v>67</v>
      </c>
      <c r="D26" s="1237"/>
      <c r="E26" s="1237"/>
      <c r="F26" s="1237"/>
      <c r="G26" s="1237"/>
      <c r="H26" s="1238"/>
      <c r="I26" s="1236" t="s">
        <v>68</v>
      </c>
      <c r="J26" s="1238"/>
      <c r="K26" s="1247" t="s">
        <v>143</v>
      </c>
      <c r="L26" s="1248"/>
      <c r="M26" s="372"/>
      <c r="N26" s="372"/>
      <c r="O26" s="372"/>
      <c r="P26" s="372"/>
    </row>
    <row r="27" spans="1:21" ht="12.75" customHeight="1" x14ac:dyDescent="0.25">
      <c r="A27" s="372"/>
      <c r="B27" s="1231"/>
      <c r="C27" s="1239"/>
      <c r="D27" s="1240"/>
      <c r="E27" s="1240"/>
      <c r="F27" s="1240"/>
      <c r="G27" s="1240"/>
      <c r="H27" s="1241"/>
      <c r="I27" s="1239"/>
      <c r="J27" s="1241"/>
      <c r="K27" s="1249"/>
      <c r="L27" s="1250"/>
      <c r="M27" s="372"/>
      <c r="N27" s="372"/>
      <c r="O27" s="372"/>
      <c r="P27" s="372"/>
      <c r="Q27" s="372"/>
      <c r="R27" s="1211" t="s">
        <v>144</v>
      </c>
      <c r="S27" s="1211"/>
      <c r="T27" s="1212" t="s">
        <v>77</v>
      </c>
      <c r="U27" s="1212" t="s">
        <v>86</v>
      </c>
    </row>
    <row r="28" spans="1:21" ht="15.75" customHeight="1" x14ac:dyDescent="0.25">
      <c r="A28" s="372"/>
      <c r="B28" s="376">
        <v>1</v>
      </c>
      <c r="C28" s="377" t="str">
        <f>LK!C28</f>
        <v xml:space="preserve">Resistansi isolasi </v>
      </c>
      <c r="D28" s="378"/>
      <c r="E28" s="378"/>
      <c r="F28" s="378"/>
      <c r="G28" s="378"/>
      <c r="H28" s="378"/>
      <c r="I28" s="1152" t="s">
        <v>145</v>
      </c>
      <c r="J28" s="379" t="s">
        <v>146</v>
      </c>
      <c r="K28" s="619">
        <v>2</v>
      </c>
      <c r="L28" s="405" t="s">
        <v>146</v>
      </c>
      <c r="M28" s="372"/>
      <c r="N28" s="372"/>
      <c r="O28" s="372"/>
      <c r="P28" s="372"/>
      <c r="Q28" s="372"/>
      <c r="R28" s="1211"/>
      <c r="S28" s="1211"/>
      <c r="T28" s="1212"/>
      <c r="U28" s="1212"/>
    </row>
    <row r="29" spans="1:21" ht="15.75" customHeight="1" x14ac:dyDescent="0.25">
      <c r="A29" s="372"/>
      <c r="B29" s="376">
        <v>2</v>
      </c>
      <c r="C29" s="1242" t="s">
        <v>147</v>
      </c>
      <c r="D29" s="1243"/>
      <c r="E29" s="1243"/>
      <c r="F29" s="1243"/>
      <c r="G29" s="1243"/>
      <c r="H29" s="1244"/>
      <c r="I29" s="1153">
        <v>1</v>
      </c>
      <c r="J29" s="379" t="s">
        <v>148</v>
      </c>
      <c r="K29" s="620">
        <f>IF(C29=PENYELIA!W26,PENYELIA!AC26,PENYELIA!AC27)</f>
        <v>0.2</v>
      </c>
      <c r="L29" s="405" t="s">
        <v>148</v>
      </c>
      <c r="M29" s="372"/>
      <c r="N29" s="372"/>
      <c r="O29" s="372"/>
      <c r="P29" s="372"/>
      <c r="Q29" s="372"/>
      <c r="R29" s="318" t="s">
        <v>149</v>
      </c>
      <c r="S29" s="470" t="s">
        <v>150</v>
      </c>
      <c r="T29" s="1158">
        <v>10</v>
      </c>
      <c r="U29" s="472">
        <v>100</v>
      </c>
    </row>
    <row r="30" spans="1:21" ht="15.75" customHeight="1" x14ac:dyDescent="0.25">
      <c r="A30" s="372"/>
      <c r="B30" s="376">
        <v>3</v>
      </c>
      <c r="C30" s="1233" t="s">
        <v>151</v>
      </c>
      <c r="D30" s="1234"/>
      <c r="E30" s="1234"/>
      <c r="F30" s="1234"/>
      <c r="G30" s="1234"/>
      <c r="H30" s="1235"/>
      <c r="I30" s="1154">
        <v>555</v>
      </c>
      <c r="J30" s="379" t="s">
        <v>77</v>
      </c>
      <c r="K30" s="621">
        <f>IF(C30=PENYELIA!W28,PENYELIA!AC28,PENYELIA!AC29)</f>
        <v>500</v>
      </c>
      <c r="L30" s="405" t="s">
        <v>77</v>
      </c>
      <c r="M30" s="372"/>
      <c r="N30" s="372"/>
      <c r="O30" s="372"/>
      <c r="P30" s="372"/>
    </row>
    <row r="31" spans="1:21" x14ac:dyDescent="0.25">
      <c r="A31" s="372"/>
      <c r="B31" s="376">
        <v>4</v>
      </c>
      <c r="C31" s="394" t="str">
        <f>LK!C31</f>
        <v>Arus bocor peralatan yang diaplikasikan</v>
      </c>
      <c r="D31" s="395"/>
      <c r="E31" s="395"/>
      <c r="F31" s="395"/>
      <c r="G31" s="395"/>
      <c r="H31" s="379"/>
      <c r="I31" s="1155">
        <v>11</v>
      </c>
      <c r="J31" s="379" t="s">
        <v>77</v>
      </c>
      <c r="K31" s="622">
        <f>LK!K31</f>
        <v>50</v>
      </c>
      <c r="L31" s="405" t="s">
        <v>77</v>
      </c>
      <c r="M31" s="372"/>
      <c r="N31" s="372"/>
      <c r="O31" s="372"/>
      <c r="P31" s="372"/>
    </row>
    <row r="32" spans="1:21" x14ac:dyDescent="0.25">
      <c r="A32" s="372"/>
      <c r="B32" s="373"/>
      <c r="I32" s="372"/>
      <c r="J32" s="372"/>
      <c r="K32" s="372"/>
      <c r="L32" s="372"/>
      <c r="M32" s="372"/>
      <c r="N32" s="372"/>
      <c r="O32" s="372"/>
      <c r="P32" s="372"/>
    </row>
    <row r="33" spans="1:17" x14ac:dyDescent="0.25">
      <c r="A33" s="374" t="s">
        <v>80</v>
      </c>
      <c r="B33" s="374" t="s">
        <v>152</v>
      </c>
      <c r="C33" s="381"/>
      <c r="D33" s="382"/>
      <c r="E33" s="382"/>
      <c r="F33" s="382"/>
      <c r="G33" s="382"/>
      <c r="H33" s="383"/>
      <c r="I33" s="384"/>
      <c r="J33" s="383"/>
      <c r="K33" s="385"/>
      <c r="L33" s="383"/>
      <c r="M33" s="372"/>
      <c r="N33" s="386"/>
      <c r="O33" s="382"/>
      <c r="P33" s="372"/>
    </row>
    <row r="34" spans="1:17" x14ac:dyDescent="0.25">
      <c r="A34" s="374"/>
      <c r="B34" s="374" t="str">
        <f>LK!B34</f>
        <v>A. Kalibrasi Akurasi Kecepatan Treadmill</v>
      </c>
      <c r="C34" s="374"/>
      <c r="D34" s="374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</row>
    <row r="35" spans="1:17" x14ac:dyDescent="0.25">
      <c r="A35" s="372"/>
      <c r="B35" s="597" t="s">
        <v>153</v>
      </c>
      <c r="C35" s="1255" t="s">
        <v>154</v>
      </c>
      <c r="D35" s="1255"/>
      <c r="E35" s="1255"/>
      <c r="F35" s="1255"/>
      <c r="G35" s="1255"/>
      <c r="H35" s="1255"/>
      <c r="I35" s="372"/>
      <c r="J35" s="372"/>
      <c r="K35" s="372"/>
      <c r="L35" s="372"/>
      <c r="M35" s="372"/>
      <c r="N35" s="372"/>
      <c r="O35" s="372"/>
      <c r="P35" s="372"/>
    </row>
    <row r="36" spans="1:17" x14ac:dyDescent="0.25">
      <c r="A36" s="372"/>
      <c r="B36" s="1151">
        <v>2.7</v>
      </c>
      <c r="C36" s="1151">
        <v>45</v>
      </c>
      <c r="D36" s="1151">
        <v>45</v>
      </c>
      <c r="E36" s="1151">
        <v>45</v>
      </c>
      <c r="F36" s="1151">
        <v>45</v>
      </c>
      <c r="G36" s="1151">
        <v>45</v>
      </c>
      <c r="H36" s="1151">
        <v>45</v>
      </c>
      <c r="I36" s="372"/>
      <c r="J36" s="372"/>
      <c r="K36" s="372"/>
      <c r="L36" s="372"/>
      <c r="M36" s="372"/>
      <c r="N36" s="372"/>
      <c r="O36" s="372"/>
      <c r="P36" s="372"/>
    </row>
    <row r="37" spans="1:17" ht="15.75" customHeight="1" x14ac:dyDescent="0.25">
      <c r="A37" s="372"/>
      <c r="B37" s="1151">
        <v>4</v>
      </c>
      <c r="C37" s="1151">
        <v>67.2</v>
      </c>
      <c r="D37" s="1151">
        <v>67.099999999999994</v>
      </c>
      <c r="E37" s="1151">
        <v>67.2</v>
      </c>
      <c r="F37" s="1151">
        <v>67.099999999999994</v>
      </c>
      <c r="G37" s="1151">
        <v>67.2</v>
      </c>
      <c r="H37" s="1151">
        <v>67.099999999999994</v>
      </c>
      <c r="I37" s="372"/>
      <c r="J37" s="372"/>
      <c r="K37" s="372"/>
      <c r="L37" s="372"/>
      <c r="M37" s="372"/>
      <c r="N37" s="372"/>
      <c r="O37" s="372"/>
      <c r="P37" s="372"/>
    </row>
    <row r="38" spans="1:17" ht="15.75" customHeight="1" x14ac:dyDescent="0.25">
      <c r="A38" s="372"/>
      <c r="B38" s="1151">
        <v>5.5</v>
      </c>
      <c r="C38" s="1151">
        <v>91.1</v>
      </c>
      <c r="D38" s="1151">
        <v>91.2</v>
      </c>
      <c r="E38" s="1151">
        <v>91.1</v>
      </c>
      <c r="F38" s="1151">
        <v>91.2</v>
      </c>
      <c r="G38" s="1151">
        <v>91.1</v>
      </c>
      <c r="H38" s="1151">
        <v>91.2</v>
      </c>
      <c r="I38" s="372"/>
      <c r="J38" s="372"/>
      <c r="K38" s="372"/>
      <c r="L38" s="372"/>
      <c r="M38" s="372"/>
      <c r="N38" s="372"/>
      <c r="O38" s="372"/>
      <c r="P38" s="372"/>
    </row>
    <row r="39" spans="1:17" x14ac:dyDescent="0.25">
      <c r="A39" s="372"/>
      <c r="B39" s="1151">
        <v>6.8</v>
      </c>
      <c r="C39" s="1151">
        <v>112.8</v>
      </c>
      <c r="D39" s="1151">
        <v>112.9</v>
      </c>
      <c r="E39" s="1151">
        <v>112.8</v>
      </c>
      <c r="F39" s="1151">
        <v>112.9</v>
      </c>
      <c r="G39" s="1151">
        <v>112.8</v>
      </c>
      <c r="H39" s="1151">
        <v>112.9</v>
      </c>
      <c r="I39" s="372"/>
      <c r="J39" s="372"/>
      <c r="K39" s="372"/>
      <c r="L39" s="372"/>
      <c r="M39" s="372"/>
      <c r="N39" s="372"/>
      <c r="O39" s="372"/>
      <c r="P39" s="372"/>
    </row>
    <row r="40" spans="1:17" x14ac:dyDescent="0.25">
      <c r="A40" s="372"/>
      <c r="B40" s="1151">
        <v>8</v>
      </c>
      <c r="C40" s="1151">
        <v>134.30000000000001</v>
      </c>
      <c r="D40" s="1151">
        <v>134.19999999999999</v>
      </c>
      <c r="E40" s="1151">
        <v>134.30000000000001</v>
      </c>
      <c r="F40" s="1151">
        <v>134.19999999999999</v>
      </c>
      <c r="G40" s="1151">
        <v>134.30000000000001</v>
      </c>
      <c r="H40" s="1151">
        <v>134.19999999999999</v>
      </c>
      <c r="I40" s="372"/>
      <c r="J40" s="372"/>
      <c r="K40" s="372"/>
      <c r="L40" s="372"/>
      <c r="M40" s="372"/>
      <c r="N40" s="372"/>
      <c r="O40" s="372"/>
      <c r="P40" s="372"/>
    </row>
    <row r="41" spans="1:17" x14ac:dyDescent="0.25">
      <c r="A41" s="1148"/>
      <c r="B41" s="1149"/>
      <c r="C41" s="1149"/>
      <c r="D41" s="1149"/>
      <c r="E41" s="1149"/>
      <c r="F41" s="1149"/>
      <c r="G41" s="1149"/>
      <c r="H41" s="372"/>
      <c r="I41" s="372"/>
      <c r="J41" s="372"/>
      <c r="K41" s="372"/>
      <c r="L41" s="372"/>
      <c r="M41" s="372"/>
      <c r="N41" s="380"/>
      <c r="O41" s="372"/>
      <c r="P41" s="372"/>
    </row>
    <row r="42" spans="1:17" ht="18.75" customHeight="1" x14ac:dyDescent="0.25">
      <c r="A42" s="372"/>
      <c r="B42" s="1225" t="s">
        <v>0</v>
      </c>
      <c r="C42" s="1225" t="s">
        <v>67</v>
      </c>
      <c r="D42" s="1251" t="s">
        <v>155</v>
      </c>
      <c r="E42" s="1225" t="s">
        <v>156</v>
      </c>
      <c r="F42" s="1225"/>
      <c r="G42" s="1225"/>
      <c r="H42" s="1225"/>
      <c r="I42" s="1225"/>
      <c r="J42" s="1225"/>
      <c r="K42" s="1216" t="s">
        <v>157</v>
      </c>
      <c r="L42" s="1230" t="s">
        <v>158</v>
      </c>
      <c r="M42" s="1216" t="s">
        <v>159</v>
      </c>
      <c r="N42" s="1216" t="s">
        <v>86</v>
      </c>
      <c r="O42" s="1247" t="s">
        <v>160</v>
      </c>
      <c r="P42" s="1248"/>
    </row>
    <row r="43" spans="1:17" ht="26.25" customHeight="1" x14ac:dyDescent="0.25">
      <c r="A43" s="372"/>
      <c r="B43" s="1225"/>
      <c r="C43" s="1225"/>
      <c r="D43" s="1251"/>
      <c r="E43" s="596" t="s">
        <v>87</v>
      </c>
      <c r="F43" s="596" t="s">
        <v>88</v>
      </c>
      <c r="G43" s="596" t="s">
        <v>88</v>
      </c>
      <c r="H43" s="596" t="s">
        <v>90</v>
      </c>
      <c r="I43" s="596" t="s">
        <v>91</v>
      </c>
      <c r="J43" s="596" t="s">
        <v>92</v>
      </c>
      <c r="K43" s="1217"/>
      <c r="L43" s="1231"/>
      <c r="M43" s="1217"/>
      <c r="N43" s="1217"/>
      <c r="O43" s="1249"/>
      <c r="P43" s="1250"/>
    </row>
    <row r="44" spans="1:17" ht="15.75" customHeight="1" x14ac:dyDescent="0.25">
      <c r="A44" s="372"/>
      <c r="B44" s="601">
        <v>1</v>
      </c>
      <c r="C44" s="1226" t="s">
        <v>161</v>
      </c>
      <c r="D44" s="599">
        <f>B36</f>
        <v>2.7</v>
      </c>
      <c r="E44" s="387">
        <f>'UB TACHO'!O$31</f>
        <v>2.7</v>
      </c>
      <c r="F44" s="387">
        <f>'UB TACHO'!P$31</f>
        <v>2.7</v>
      </c>
      <c r="G44" s="387">
        <f>'UB TACHO'!Q$31</f>
        <v>2.7</v>
      </c>
      <c r="H44" s="387">
        <f>'UB TACHO'!R$31</f>
        <v>2.7</v>
      </c>
      <c r="I44" s="387">
        <f>'UB TACHO'!S$31</f>
        <v>2.7</v>
      </c>
      <c r="J44" s="387">
        <f>'UB TACHO'!T$31</f>
        <v>2.7</v>
      </c>
      <c r="K44" s="387">
        <f>'Konversi RPM'!H3</f>
        <v>2.7017989493001338</v>
      </c>
      <c r="L44" s="388">
        <f>K44-D44</f>
        <v>1.7989493001335788E-3</v>
      </c>
      <c r="M44" s="387">
        <f>(K44-D44)/K44*100</f>
        <v>6.6583388841703922E-2</v>
      </c>
      <c r="N44" s="1224" t="s">
        <v>162</v>
      </c>
      <c r="O44" s="1215">
        <f>'UB TACHO'!K15</f>
        <v>1.0760827703714337</v>
      </c>
      <c r="P44" s="1215"/>
    </row>
    <row r="45" spans="1:17" x14ac:dyDescent="0.25">
      <c r="A45" s="372"/>
      <c r="B45" s="601">
        <v>2</v>
      </c>
      <c r="C45" s="1227"/>
      <c r="D45" s="599">
        <f>B37</f>
        <v>4</v>
      </c>
      <c r="E45" s="387">
        <f>'UB TACHO'!O$32</f>
        <v>4.0320000000000009</v>
      </c>
      <c r="F45" s="387">
        <f>'UB TACHO'!P$32</f>
        <v>4.0259999999999998</v>
      </c>
      <c r="G45" s="387">
        <f>'UB TACHO'!Q$32</f>
        <v>4.0320000000000009</v>
      </c>
      <c r="H45" s="387">
        <f>'UB TACHO'!R$32</f>
        <v>4.0259999999999998</v>
      </c>
      <c r="I45" s="387">
        <f>'UB TACHO'!S$32</f>
        <v>4.0320000000000009</v>
      </c>
      <c r="J45" s="387">
        <f>'UB TACHO'!T$32</f>
        <v>4.0259999999999998</v>
      </c>
      <c r="K45" s="387">
        <f>'Konversi RPM'!H4</f>
        <v>4.0306530885368588</v>
      </c>
      <c r="L45" s="388">
        <f>K45-D45</f>
        <v>3.0653088536858775E-2</v>
      </c>
      <c r="M45" s="387">
        <f>(K45-D45)/K45*100</f>
        <v>0.76049930032519752</v>
      </c>
      <c r="N45" s="1224"/>
      <c r="O45" s="1215">
        <f>'UB TACHO'!K28</f>
        <v>0.72947757055074436</v>
      </c>
      <c r="P45" s="1215"/>
      <c r="Q45" s="350"/>
    </row>
    <row r="46" spans="1:17" x14ac:dyDescent="0.25">
      <c r="A46" s="372"/>
      <c r="B46" s="601">
        <v>3</v>
      </c>
      <c r="C46" s="1228"/>
      <c r="D46" s="599">
        <f>B38</f>
        <v>5.5</v>
      </c>
      <c r="E46" s="387">
        <f>'UB TACHO'!O$33</f>
        <v>5.4660000000000002</v>
      </c>
      <c r="F46" s="387">
        <f>'UB TACHO'!P$33</f>
        <v>5.4720000000000004</v>
      </c>
      <c r="G46" s="387">
        <f>'UB TACHO'!Q$33</f>
        <v>5.4660000000000002</v>
      </c>
      <c r="H46" s="387">
        <f>'UB TACHO'!R$33</f>
        <v>5.4720000000000004</v>
      </c>
      <c r="I46" s="387">
        <f>'UB TACHO'!S$33</f>
        <v>5.4660000000000002</v>
      </c>
      <c r="J46" s="387">
        <f>'UB TACHO'!T$33</f>
        <v>5.4720000000000004</v>
      </c>
      <c r="K46" s="387">
        <f>'Konversi RPM'!H5</f>
        <v>5.470484787656158</v>
      </c>
      <c r="L46" s="388">
        <f>K46-D46</f>
        <v>-2.9515212343842023E-2</v>
      </c>
      <c r="M46" s="387">
        <f>(K46-D46)/K46*100</f>
        <v>-0.53953558943151514</v>
      </c>
      <c r="N46" s="1224"/>
      <c r="O46" s="1215">
        <f>'UB TACHO'!K41</f>
        <v>0.53086531869964526</v>
      </c>
      <c r="P46" s="1215"/>
      <c r="Q46" s="350"/>
    </row>
    <row r="47" spans="1:17" x14ac:dyDescent="0.25">
      <c r="A47" s="372"/>
      <c r="B47" s="601">
        <v>4</v>
      </c>
      <c r="C47" s="1222" t="s">
        <v>163</v>
      </c>
      <c r="D47" s="599">
        <f>B39</f>
        <v>6.8</v>
      </c>
      <c r="E47" s="387">
        <f>'UB TACHO'!O$34</f>
        <v>6.7680000000000007</v>
      </c>
      <c r="F47" s="387">
        <f>'UB TACHO'!P$34</f>
        <v>6.7740000000000009</v>
      </c>
      <c r="G47" s="387">
        <f>'UB TACHO'!Q$34</f>
        <v>6.7680000000000007</v>
      </c>
      <c r="H47" s="387">
        <f>'UB TACHO'!R$34</f>
        <v>6.7740000000000009</v>
      </c>
      <c r="I47" s="387">
        <f>'UB TACHO'!S$34</f>
        <v>6.7680000000000007</v>
      </c>
      <c r="J47" s="387">
        <f>'UB TACHO'!T$34</f>
        <v>6.7740000000000009</v>
      </c>
      <c r="K47" s="387">
        <f>'Konversi RPM'!H6</f>
        <v>6.7723389268928837</v>
      </c>
      <c r="L47" s="388">
        <f>K47-D47</f>
        <v>-2.7661073107116074E-2</v>
      </c>
      <c r="M47" s="387">
        <f>(K47-D47)/K47*100</f>
        <v>-0.40844194901814873</v>
      </c>
      <c r="N47" s="1224"/>
      <c r="O47" s="1215">
        <f>'UB TACHO'!K54</f>
        <v>0.42969650165302503</v>
      </c>
      <c r="P47" s="1215"/>
      <c r="Q47" s="350"/>
    </row>
    <row r="48" spans="1:17" x14ac:dyDescent="0.25">
      <c r="A48" s="372"/>
      <c r="B48" s="601">
        <v>5</v>
      </c>
      <c r="C48" s="1223"/>
      <c r="D48" s="599">
        <f>B40</f>
        <v>8</v>
      </c>
      <c r="E48" s="387">
        <f>'UB TACHO'!O$35</f>
        <v>8.0580000000000016</v>
      </c>
      <c r="F48" s="387">
        <f>'UB TACHO'!P$35</f>
        <v>8.0519999999999996</v>
      </c>
      <c r="G48" s="387">
        <f>'UB TACHO'!Q$35</f>
        <v>8.0580000000000016</v>
      </c>
      <c r="H48" s="387">
        <f>'UB TACHO'!R$35</f>
        <v>8.0519999999999996</v>
      </c>
      <c r="I48" s="387">
        <f>'UB TACHO'!S$35</f>
        <v>8.0580000000000016</v>
      </c>
      <c r="J48" s="387">
        <f>'UB TACHO'!T$35</f>
        <v>8.0519999999999996</v>
      </c>
      <c r="K48" s="387">
        <f>'Konversi RPM'!H7</f>
        <v>8.0562042861883238</v>
      </c>
      <c r="L48" s="388">
        <f>K48-D48</f>
        <v>5.6204286188323849E-2</v>
      </c>
      <c r="M48" s="387">
        <f>(K48-D48)/K48*100</f>
        <v>0.69765219688732705</v>
      </c>
      <c r="N48" s="1224"/>
      <c r="O48" s="1215">
        <f>'UB TACHO'!K67</f>
        <v>0.36556905144311957</v>
      </c>
      <c r="P48" s="1215"/>
      <c r="Q48" s="350"/>
    </row>
    <row r="49" spans="1:16" ht="13" customHeight="1" x14ac:dyDescent="0.25">
      <c r="A49" s="389"/>
      <c r="B49" s="615"/>
      <c r="C49" s="382"/>
      <c r="D49" s="382"/>
      <c r="E49" s="382"/>
      <c r="F49" s="382"/>
      <c r="G49" s="382"/>
      <c r="H49" s="382"/>
      <c r="I49" s="382"/>
      <c r="J49" s="616"/>
      <c r="K49" s="617"/>
      <c r="L49" s="618"/>
      <c r="M49" s="617" t="s">
        <v>164</v>
      </c>
      <c r="N49" s="390"/>
      <c r="O49" s="390"/>
      <c r="P49" s="372"/>
    </row>
    <row r="50" spans="1:16" ht="13" customHeight="1" x14ac:dyDescent="0.25">
      <c r="A50" s="374"/>
      <c r="B50" s="374" t="str">
        <f>LK!B43</f>
        <v>B. Kalibrasi Akurasi ECG</v>
      </c>
      <c r="C50" s="381"/>
      <c r="D50" s="382"/>
      <c r="E50" s="382"/>
      <c r="F50" s="382"/>
      <c r="G50" s="382"/>
      <c r="H50" s="383"/>
      <c r="I50" s="384"/>
      <c r="J50" s="383"/>
      <c r="K50" s="385"/>
      <c r="L50" s="383"/>
      <c r="M50" s="372"/>
      <c r="N50" s="391"/>
      <c r="O50" s="390"/>
      <c r="P50" s="372"/>
    </row>
    <row r="51" spans="1:16" ht="13" customHeight="1" x14ac:dyDescent="0.25">
      <c r="A51" s="372"/>
      <c r="B51" s="1216" t="s">
        <v>99</v>
      </c>
      <c r="C51" s="1216" t="s">
        <v>67</v>
      </c>
      <c r="D51" s="1216" t="s">
        <v>165</v>
      </c>
      <c r="E51" s="370"/>
      <c r="F51" s="1256" t="s">
        <v>166</v>
      </c>
      <c r="G51" s="1256"/>
      <c r="H51" s="1256"/>
      <c r="I51" s="1256"/>
      <c r="J51" s="371"/>
      <c r="K51" s="1216" t="s">
        <v>167</v>
      </c>
      <c r="L51" s="1230" t="s">
        <v>158</v>
      </c>
      <c r="M51" s="1216" t="s">
        <v>168</v>
      </c>
      <c r="N51" s="1216" t="s">
        <v>86</v>
      </c>
      <c r="O51" s="1218" t="s">
        <v>160</v>
      </c>
      <c r="P51" s="1219"/>
    </row>
    <row r="52" spans="1:16" ht="30" customHeight="1" x14ac:dyDescent="0.25">
      <c r="A52" s="372"/>
      <c r="B52" s="1217"/>
      <c r="C52" s="1217"/>
      <c r="D52" s="1217"/>
      <c r="E52" s="600" t="s">
        <v>87</v>
      </c>
      <c r="F52" s="600" t="s">
        <v>88</v>
      </c>
      <c r="G52" s="600" t="s">
        <v>89</v>
      </c>
      <c r="H52" s="600" t="s">
        <v>90</v>
      </c>
      <c r="I52" s="600" t="s">
        <v>91</v>
      </c>
      <c r="J52" s="600" t="s">
        <v>92</v>
      </c>
      <c r="K52" s="1217"/>
      <c r="L52" s="1231"/>
      <c r="M52" s="1217"/>
      <c r="N52" s="1217"/>
      <c r="O52" s="1220"/>
      <c r="P52" s="1221"/>
    </row>
    <row r="53" spans="1:16" x14ac:dyDescent="0.25">
      <c r="A53" s="372"/>
      <c r="B53" s="601">
        <v>1</v>
      </c>
      <c r="C53" s="1229" t="s">
        <v>103</v>
      </c>
      <c r="D53" s="1156">
        <v>30</v>
      </c>
      <c r="E53" s="1157">
        <v>30</v>
      </c>
      <c r="F53" s="1157">
        <v>30</v>
      </c>
      <c r="G53" s="1157">
        <v>30</v>
      </c>
      <c r="H53" s="1157">
        <v>30</v>
      </c>
      <c r="I53" s="1157">
        <v>30</v>
      </c>
      <c r="J53" s="1157">
        <v>30</v>
      </c>
      <c r="K53" s="599">
        <f>'DB ECG'!B156</f>
        <v>30</v>
      </c>
      <c r="L53" s="392">
        <f>K53-D53</f>
        <v>0</v>
      </c>
      <c r="M53" s="599">
        <f>'DB ECG'!G156</f>
        <v>0</v>
      </c>
      <c r="N53" s="1214" t="s">
        <v>169</v>
      </c>
      <c r="O53" s="1215">
        <f>'UB BPM'!K14</f>
        <v>2.7708118136784297</v>
      </c>
      <c r="P53" s="1215"/>
    </row>
    <row r="54" spans="1:16" x14ac:dyDescent="0.25">
      <c r="A54" s="372"/>
      <c r="B54" s="601">
        <v>2</v>
      </c>
      <c r="C54" s="1229"/>
      <c r="D54" s="1156">
        <v>60</v>
      </c>
      <c r="E54" s="1156">
        <v>60</v>
      </c>
      <c r="F54" s="1156">
        <v>60</v>
      </c>
      <c r="G54" s="1156">
        <v>60</v>
      </c>
      <c r="H54" s="1156">
        <v>60</v>
      </c>
      <c r="I54" s="1156">
        <v>60</v>
      </c>
      <c r="J54" s="1156">
        <v>60</v>
      </c>
      <c r="K54" s="599">
        <f>'DB ECG'!B157</f>
        <v>60</v>
      </c>
      <c r="L54" s="392">
        <f>K54-D54</f>
        <v>0</v>
      </c>
      <c r="M54" s="599">
        <f>'DB ECG'!G157</f>
        <v>0</v>
      </c>
      <c r="N54" s="1214"/>
      <c r="O54" s="1215">
        <f>'UB BPM'!K27</f>
        <v>1.3854059068392148</v>
      </c>
      <c r="P54" s="1215"/>
    </row>
    <row r="55" spans="1:16" x14ac:dyDescent="0.25">
      <c r="A55" s="372"/>
      <c r="B55" s="601">
        <v>3</v>
      </c>
      <c r="C55" s="1229"/>
      <c r="D55" s="1156">
        <v>120</v>
      </c>
      <c r="E55" s="1156">
        <v>120</v>
      </c>
      <c r="F55" s="1156">
        <v>120</v>
      </c>
      <c r="G55" s="1156">
        <v>120</v>
      </c>
      <c r="H55" s="1156">
        <v>120</v>
      </c>
      <c r="I55" s="1156">
        <v>120</v>
      </c>
      <c r="J55" s="1156">
        <v>120</v>
      </c>
      <c r="K55" s="599">
        <f>'DB ECG'!B158</f>
        <v>120</v>
      </c>
      <c r="L55" s="392">
        <f>K55-D55</f>
        <v>0</v>
      </c>
      <c r="M55" s="599">
        <f>'DB ECG'!G158</f>
        <v>0</v>
      </c>
      <c r="N55" s="1214"/>
      <c r="O55" s="1215">
        <f>'UB BPM'!K40</f>
        <v>0.69270295341960741</v>
      </c>
      <c r="P55" s="1215"/>
    </row>
    <row r="56" spans="1:16" x14ac:dyDescent="0.25">
      <c r="A56" s="372"/>
      <c r="B56" s="601">
        <v>4</v>
      </c>
      <c r="C56" s="1229"/>
      <c r="D56" s="1156">
        <v>180</v>
      </c>
      <c r="E56" s="1156">
        <v>180</v>
      </c>
      <c r="F56" s="1156">
        <v>180</v>
      </c>
      <c r="G56" s="1156">
        <v>180</v>
      </c>
      <c r="H56" s="1156">
        <v>180</v>
      </c>
      <c r="I56" s="1156">
        <v>180</v>
      </c>
      <c r="J56" s="1156">
        <v>180</v>
      </c>
      <c r="K56" s="599">
        <f>'DB ECG'!B159</f>
        <v>180</v>
      </c>
      <c r="L56" s="392">
        <f>K56-D56</f>
        <v>0</v>
      </c>
      <c r="M56" s="599">
        <f>'DB ECG'!G159</f>
        <v>0</v>
      </c>
      <c r="N56" s="1214"/>
      <c r="O56" s="1215">
        <f>'UB BPM'!K53</f>
        <v>0.46180196894640491</v>
      </c>
      <c r="P56" s="1215"/>
    </row>
    <row r="57" spans="1:16" x14ac:dyDescent="0.25">
      <c r="A57" s="372"/>
      <c r="B57" s="601">
        <v>5</v>
      </c>
      <c r="C57" s="1229"/>
      <c r="D57" s="1156">
        <v>240</v>
      </c>
      <c r="E57" s="1156">
        <v>240</v>
      </c>
      <c r="F57" s="1156">
        <v>240</v>
      </c>
      <c r="G57" s="1156">
        <v>240</v>
      </c>
      <c r="H57" s="1156">
        <v>240</v>
      </c>
      <c r="I57" s="1156">
        <v>240</v>
      </c>
      <c r="J57" s="1156">
        <v>240</v>
      </c>
      <c r="K57" s="599">
        <f>'DB ECG'!B160</f>
        <v>240</v>
      </c>
      <c r="L57" s="392">
        <f>K57-D57</f>
        <v>0</v>
      </c>
      <c r="M57" s="599">
        <f>'DB ECG'!G160</f>
        <v>0</v>
      </c>
      <c r="N57" s="1214"/>
      <c r="O57" s="1215">
        <f>'UB BPM'!K67</f>
        <v>0.34635147670980371</v>
      </c>
      <c r="P57" s="1215"/>
    </row>
    <row r="58" spans="1:16" ht="13.5" customHeight="1" x14ac:dyDescent="0.25">
      <c r="A58" s="389"/>
      <c r="B58" s="389"/>
      <c r="C58" s="381"/>
      <c r="D58" s="382"/>
      <c r="E58" s="382"/>
      <c r="F58" s="382"/>
      <c r="G58" s="382"/>
      <c r="H58" s="382"/>
      <c r="I58" s="382"/>
      <c r="J58" s="383"/>
      <c r="K58" s="385"/>
      <c r="L58" s="383"/>
      <c r="M58" s="372"/>
      <c r="N58" s="386"/>
      <c r="O58" s="382"/>
      <c r="P58" s="372"/>
    </row>
    <row r="59" spans="1:16" x14ac:dyDescent="0.25">
      <c r="A59" s="393" t="s">
        <v>105</v>
      </c>
      <c r="B59" s="393" t="s">
        <v>106</v>
      </c>
      <c r="C59" s="389"/>
      <c r="D59" s="389"/>
      <c r="E59" s="389"/>
      <c r="F59" s="389"/>
      <c r="G59" s="389"/>
      <c r="H59" s="389"/>
      <c r="I59" s="373"/>
      <c r="J59" s="372"/>
      <c r="K59" s="372"/>
      <c r="L59" s="382"/>
      <c r="M59" s="382"/>
      <c r="N59" s="382"/>
      <c r="O59" s="382"/>
      <c r="P59" s="372"/>
    </row>
    <row r="60" spans="1:16" x14ac:dyDescent="0.25">
      <c r="A60" s="380"/>
      <c r="B60" s="372" t="s">
        <v>170</v>
      </c>
      <c r="C60" s="389"/>
      <c r="D60" s="389"/>
      <c r="E60" s="389"/>
      <c r="F60" s="389"/>
      <c r="G60" s="389"/>
      <c r="H60" s="389"/>
      <c r="I60" s="373"/>
      <c r="J60" s="372"/>
      <c r="K60" s="372"/>
      <c r="L60" s="382"/>
      <c r="M60" s="382"/>
      <c r="N60" s="382"/>
      <c r="O60" s="382"/>
      <c r="P60" s="372"/>
    </row>
    <row r="61" spans="1:16" x14ac:dyDescent="0.25">
      <c r="A61" s="380"/>
      <c r="B61" s="897" t="str">
        <f>'DB ESA'!N311</f>
        <v>Hasil pengukuran keselamatan listrik tertelusur ke Satuan Internasional ( SI ) melalui PT. Kaliman (LK-032-IDN)</v>
      </c>
      <c r="C61" s="389"/>
      <c r="D61" s="389"/>
      <c r="E61" s="389"/>
      <c r="F61" s="389"/>
      <c r="G61" s="389"/>
      <c r="H61" s="389"/>
      <c r="I61" s="373"/>
      <c r="J61" s="372"/>
      <c r="K61" s="372"/>
      <c r="L61" s="382"/>
      <c r="M61" s="382"/>
      <c r="N61" s="382"/>
      <c r="O61" s="382"/>
      <c r="P61" s="372"/>
    </row>
    <row r="62" spans="1:16" x14ac:dyDescent="0.25">
      <c r="A62" s="380"/>
      <c r="B62" s="897" t="str">
        <f>'DB TACHO'!S226</f>
        <v>Hasil kalibrasi kecepatan tertelusur ke Satuan Internasional ( SI ) melalui PT KALIMAN</v>
      </c>
      <c r="C62" s="389"/>
      <c r="D62" s="389"/>
      <c r="E62" s="389"/>
      <c r="F62" s="389"/>
      <c r="G62" s="389"/>
      <c r="H62" s="389"/>
      <c r="I62" s="373"/>
      <c r="J62" s="372"/>
      <c r="K62" s="372"/>
      <c r="L62" s="382"/>
      <c r="M62" s="382"/>
      <c r="N62" s="382"/>
      <c r="O62" s="382"/>
      <c r="P62" s="372"/>
    </row>
    <row r="63" spans="1:16" x14ac:dyDescent="0.25">
      <c r="A63" s="380"/>
      <c r="B63" s="372" t="str">
        <f>'DB ECG'!P175</f>
        <v>Hasil kalibrasi ECG tertelusur ke Satuan Internasional melalui DIRJEN YANKES BPFK JAKARTA</v>
      </c>
      <c r="C63" s="389"/>
      <c r="D63" s="389"/>
      <c r="E63" s="389"/>
      <c r="F63" s="389"/>
      <c r="G63" s="389"/>
      <c r="H63" s="389"/>
      <c r="I63" s="373"/>
      <c r="J63" s="372"/>
      <c r="K63" s="372"/>
      <c r="L63" s="382"/>
      <c r="M63" s="382"/>
      <c r="N63" s="382"/>
      <c r="O63" s="382"/>
      <c r="P63" s="372"/>
    </row>
    <row r="64" spans="1:16" x14ac:dyDescent="0.25">
      <c r="A64" s="380"/>
      <c r="B64" s="372" t="str">
        <f>PENYELIA!W20</f>
        <v>Alat tidak boleh digunakan pada instalasi tanpa dilengkapi grounding</v>
      </c>
      <c r="C64" s="372"/>
      <c r="D64" s="372"/>
      <c r="E64" s="372"/>
      <c r="F64" s="372"/>
      <c r="G64" s="372"/>
      <c r="H64" s="372"/>
      <c r="I64" s="372"/>
      <c r="J64" s="372"/>
      <c r="K64" s="372"/>
      <c r="L64" s="382"/>
      <c r="M64" s="382"/>
      <c r="N64" s="382"/>
      <c r="O64" s="382"/>
      <c r="P64" s="372"/>
    </row>
    <row r="65" spans="1:16" x14ac:dyDescent="0.25">
      <c r="A65" s="380"/>
      <c r="C65" s="389"/>
      <c r="D65" s="389"/>
      <c r="E65" s="389"/>
      <c r="F65" s="389"/>
      <c r="G65" s="389"/>
      <c r="H65" s="389"/>
      <c r="I65" s="373"/>
      <c r="J65" s="372"/>
      <c r="K65" s="372"/>
      <c r="L65" s="382"/>
      <c r="M65" s="382"/>
      <c r="N65" s="382"/>
      <c r="O65" s="382"/>
      <c r="P65" s="372"/>
    </row>
    <row r="66" spans="1:16" x14ac:dyDescent="0.25">
      <c r="A66" s="380"/>
      <c r="N66" s="382"/>
      <c r="O66" s="382"/>
      <c r="P66" s="372"/>
    </row>
    <row r="67" spans="1:16" x14ac:dyDescent="0.25">
      <c r="A67" s="374" t="s">
        <v>107</v>
      </c>
      <c r="B67" s="374" t="s">
        <v>171</v>
      </c>
      <c r="C67" s="389"/>
      <c r="D67" s="389"/>
      <c r="E67" s="389"/>
      <c r="F67" s="389"/>
      <c r="G67" s="389"/>
      <c r="H67" s="389"/>
      <c r="I67" s="373"/>
      <c r="J67" s="372"/>
      <c r="K67" s="372"/>
      <c r="L67" s="382"/>
      <c r="M67" s="382"/>
      <c r="N67" s="382"/>
      <c r="O67" s="382"/>
      <c r="P67" s="372"/>
    </row>
    <row r="68" spans="1:16" x14ac:dyDescent="0.25">
      <c r="A68" s="374"/>
      <c r="B68" s="1213" t="s">
        <v>172</v>
      </c>
      <c r="C68" s="1213"/>
      <c r="D68" s="1213"/>
      <c r="E68" s="1213"/>
      <c r="F68" s="1213"/>
      <c r="G68" s="1213"/>
      <c r="H68" s="1213"/>
      <c r="I68" s="1213"/>
      <c r="J68" s="1213"/>
      <c r="K68" s="1213"/>
      <c r="L68" s="1213"/>
      <c r="M68" s="1213"/>
      <c r="N68" s="382"/>
      <c r="O68" s="382"/>
      <c r="P68" s="372"/>
    </row>
    <row r="69" spans="1:16" x14ac:dyDescent="0.25">
      <c r="A69" s="372"/>
      <c r="B69" s="1213" t="s">
        <v>520</v>
      </c>
      <c r="C69" s="1213"/>
      <c r="D69" s="1213"/>
      <c r="E69" s="1213"/>
      <c r="F69" s="1213"/>
      <c r="G69" s="1213"/>
      <c r="H69" s="1213"/>
      <c r="I69" s="1213"/>
      <c r="J69" s="1213"/>
      <c r="K69" s="1213"/>
      <c r="L69" s="1213"/>
      <c r="M69" s="1213"/>
      <c r="N69" s="372"/>
      <c r="O69" s="372"/>
      <c r="P69" s="372"/>
    </row>
    <row r="70" spans="1:16" x14ac:dyDescent="0.25">
      <c r="A70" s="372"/>
      <c r="B70" s="1213" t="s">
        <v>384</v>
      </c>
      <c r="C70" s="1213"/>
      <c r="D70" s="1213"/>
      <c r="E70" s="1213"/>
      <c r="F70" s="1213"/>
      <c r="G70" s="1213"/>
      <c r="H70" s="1213"/>
      <c r="I70" s="1213"/>
      <c r="J70" s="1213"/>
      <c r="K70" s="1213"/>
      <c r="L70" s="1213"/>
      <c r="M70" s="1213"/>
      <c r="N70" s="372"/>
      <c r="O70" s="372"/>
      <c r="P70" s="372"/>
    </row>
    <row r="71" spans="1:16" x14ac:dyDescent="0.25">
      <c r="A71" s="372"/>
      <c r="B71" s="1213" t="s">
        <v>175</v>
      </c>
      <c r="C71" s="1213"/>
      <c r="D71" s="1213"/>
      <c r="E71" s="1213"/>
      <c r="F71" s="1213"/>
      <c r="G71" s="1213"/>
      <c r="H71" s="1213"/>
      <c r="I71" s="1213"/>
      <c r="J71" s="1213"/>
      <c r="K71" s="1213"/>
      <c r="L71" s="1213"/>
      <c r="M71" s="1213"/>
      <c r="N71" s="372"/>
      <c r="O71" s="372"/>
      <c r="P71" s="372"/>
    </row>
    <row r="72" spans="1:16" ht="6.75" customHeight="1" x14ac:dyDescent="0.25">
      <c r="A72" s="372"/>
      <c r="B72" s="372"/>
      <c r="C72" s="372"/>
      <c r="D72" s="372"/>
      <c r="E72" s="372"/>
      <c r="F72" s="372"/>
      <c r="G72" s="372"/>
      <c r="H72" s="372"/>
      <c r="I72" s="372"/>
      <c r="J72" s="372"/>
      <c r="K72" s="372"/>
      <c r="L72" s="372"/>
      <c r="M72" s="372"/>
      <c r="N72" s="372"/>
      <c r="O72" s="372"/>
      <c r="P72" s="372"/>
    </row>
    <row r="73" spans="1:16" x14ac:dyDescent="0.25">
      <c r="A73" s="374" t="s">
        <v>122</v>
      </c>
      <c r="B73" s="374" t="s">
        <v>123</v>
      </c>
      <c r="C73" s="372"/>
      <c r="D73" s="372"/>
      <c r="E73" s="372"/>
      <c r="F73" s="372"/>
      <c r="G73" s="372"/>
      <c r="H73" s="372"/>
      <c r="I73" s="372"/>
      <c r="J73" s="372"/>
      <c r="K73" s="372"/>
      <c r="L73" s="372"/>
      <c r="M73" s="372"/>
      <c r="N73" s="372"/>
      <c r="O73" s="372"/>
      <c r="P73" s="372"/>
    </row>
    <row r="74" spans="1:16" x14ac:dyDescent="0.25">
      <c r="A74" s="374"/>
      <c r="B74" s="1252" t="str">
        <f>PENYELIA!B88</f>
        <v>Alat yang dikalibrasi dalam batas toleransi dan dinyatakan LAIK PAKAI, dimana hasil atau skor akhir sama dengan atau melampaui 70% berdasarkan Keputusan Direktur Jenderal Pelayanan Kesehatan No : HK.02.02/V/0412/2020</v>
      </c>
      <c r="C74" s="1252"/>
      <c r="D74" s="1252"/>
      <c r="E74" s="1252"/>
      <c r="F74" s="1252"/>
      <c r="G74" s="1252"/>
      <c r="H74" s="1252"/>
      <c r="I74" s="1252"/>
      <c r="J74" s="1252"/>
      <c r="K74" s="1252"/>
      <c r="L74" s="1252"/>
      <c r="M74" s="1252"/>
      <c r="N74" s="1252"/>
      <c r="O74" s="1252"/>
      <c r="P74" s="372"/>
    </row>
    <row r="75" spans="1:16" ht="13.5" customHeight="1" x14ac:dyDescent="0.25">
      <c r="A75" s="374"/>
      <c r="B75" s="1252"/>
      <c r="C75" s="1252"/>
      <c r="D75" s="1252"/>
      <c r="E75" s="1252"/>
      <c r="F75" s="1252"/>
      <c r="G75" s="1252"/>
      <c r="H75" s="1252"/>
      <c r="I75" s="1252"/>
      <c r="J75" s="1252"/>
      <c r="K75" s="1252"/>
      <c r="L75" s="1252"/>
      <c r="M75" s="1252"/>
      <c r="N75" s="1252"/>
      <c r="O75" s="1252"/>
      <c r="P75" s="372"/>
    </row>
    <row r="76" spans="1:16" x14ac:dyDescent="0.25">
      <c r="A76" s="374" t="s">
        <v>125</v>
      </c>
      <c r="B76" s="374" t="s">
        <v>126</v>
      </c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</row>
    <row r="77" spans="1:16" x14ac:dyDescent="0.25">
      <c r="A77" s="372"/>
      <c r="B77" s="1213" t="s">
        <v>176</v>
      </c>
      <c r="C77" s="1213"/>
      <c r="D77" s="1213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</row>
    <row r="78" spans="1:16" x14ac:dyDescent="0.25">
      <c r="A78" s="372"/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</row>
    <row r="79" spans="1:16" ht="18" customHeight="1" x14ac:dyDescent="0.25">
      <c r="A79" s="372"/>
      <c r="B79" s="1225" t="s">
        <v>177</v>
      </c>
      <c r="C79" s="1225"/>
      <c r="D79" s="1225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</row>
    <row r="80" spans="1:16" x14ac:dyDescent="0.25">
      <c r="A80" s="372"/>
      <c r="B80" s="1253" t="s">
        <v>178</v>
      </c>
      <c r="C80" s="1254"/>
      <c r="D80" s="1254"/>
      <c r="E80" s="372"/>
      <c r="F80" s="372"/>
      <c r="G80" s="372"/>
      <c r="H80" s="372"/>
      <c r="I80" s="372"/>
      <c r="J80" s="372"/>
      <c r="K80" s="372"/>
      <c r="L80" s="372"/>
      <c r="M80" s="372"/>
      <c r="N80" s="372"/>
      <c r="O80" s="372"/>
      <c r="P80" s="372"/>
    </row>
    <row r="81" spans="1:7" ht="13" customHeight="1" x14ac:dyDescent="0.25">
      <c r="G81" s="71"/>
    </row>
    <row r="82" spans="1:7" ht="13" customHeight="1" x14ac:dyDescent="0.25">
      <c r="G82" s="71"/>
    </row>
    <row r="83" spans="1:7" ht="13" customHeight="1" x14ac:dyDescent="0.25">
      <c r="G83" s="71"/>
    </row>
    <row r="84" spans="1:7" ht="13" customHeight="1" x14ac:dyDescent="0.25">
      <c r="A84" s="71"/>
      <c r="G84" s="71"/>
    </row>
    <row r="85" spans="1:7" ht="13" customHeight="1" x14ac:dyDescent="0.25">
      <c r="B85" s="178" t="s">
        <v>179</v>
      </c>
      <c r="G85" s="71"/>
    </row>
    <row r="86" spans="1:7" ht="13" customHeight="1" x14ac:dyDescent="0.25">
      <c r="B86" s="178" t="s">
        <v>180</v>
      </c>
    </row>
    <row r="87" spans="1:7" ht="13" customHeight="1" x14ac:dyDescent="0.25">
      <c r="B87" s="178" t="s">
        <v>181</v>
      </c>
    </row>
    <row r="88" spans="1:7" ht="13" customHeight="1" x14ac:dyDescent="0.25">
      <c r="B88" s="178" t="s">
        <v>182</v>
      </c>
    </row>
    <row r="89" spans="1:7" x14ac:dyDescent="0.25">
      <c r="B89" s="178" t="s">
        <v>183</v>
      </c>
    </row>
    <row r="90" spans="1:7" x14ac:dyDescent="0.25">
      <c r="B90" s="178" t="s">
        <v>184</v>
      </c>
    </row>
    <row r="91" spans="1:7" x14ac:dyDescent="0.25">
      <c r="A91" s="72"/>
      <c r="B91" s="178" t="s">
        <v>185</v>
      </c>
    </row>
    <row r="92" spans="1:7" x14ac:dyDescent="0.25">
      <c r="A92" s="72"/>
      <c r="B92" s="178" t="s">
        <v>176</v>
      </c>
    </row>
    <row r="93" spans="1:7" x14ac:dyDescent="0.25">
      <c r="A93" s="72"/>
      <c r="B93" s="178" t="s">
        <v>186</v>
      </c>
    </row>
    <row r="94" spans="1:7" x14ac:dyDescent="0.25">
      <c r="B94" s="178" t="s">
        <v>187</v>
      </c>
    </row>
    <row r="95" spans="1:7" x14ac:dyDescent="0.25">
      <c r="B95" s="178" t="s">
        <v>188</v>
      </c>
    </row>
    <row r="96" spans="1:7" x14ac:dyDescent="0.25">
      <c r="B96" s="178" t="s">
        <v>189</v>
      </c>
    </row>
    <row r="97" spans="1:2" x14ac:dyDescent="0.25">
      <c r="B97" s="699" t="s">
        <v>190</v>
      </c>
    </row>
    <row r="98" spans="1:2" x14ac:dyDescent="0.25">
      <c r="B98" s="699" t="s">
        <v>191</v>
      </c>
    </row>
    <row r="99" spans="1:2" x14ac:dyDescent="0.25">
      <c r="B99" s="699" t="s">
        <v>192</v>
      </c>
    </row>
    <row r="100" spans="1:2" x14ac:dyDescent="0.25">
      <c r="B100" s="178" t="s">
        <v>193</v>
      </c>
    </row>
    <row r="101" spans="1:2" x14ac:dyDescent="0.25">
      <c r="B101" s="178" t="s">
        <v>194</v>
      </c>
    </row>
    <row r="102" spans="1:2" x14ac:dyDescent="0.25">
      <c r="B102" s="178" t="s">
        <v>195</v>
      </c>
    </row>
    <row r="103" spans="1:2" x14ac:dyDescent="0.25">
      <c r="B103" s="178" t="s">
        <v>196</v>
      </c>
    </row>
    <row r="104" spans="1:2" x14ac:dyDescent="0.25">
      <c r="B104" s="699" t="s">
        <v>197</v>
      </c>
    </row>
    <row r="105" spans="1:2" x14ac:dyDescent="0.25">
      <c r="B105" s="699" t="s">
        <v>198</v>
      </c>
    </row>
    <row r="106" spans="1:2" x14ac:dyDescent="0.25">
      <c r="B106" s="699" t="s">
        <v>199</v>
      </c>
    </row>
    <row r="107" spans="1:2" x14ac:dyDescent="0.25">
      <c r="B107" s="699" t="s">
        <v>200</v>
      </c>
    </row>
    <row r="108" spans="1:2" x14ac:dyDescent="0.25">
      <c r="B108" s="699" t="s">
        <v>201</v>
      </c>
    </row>
    <row r="109" spans="1:2" x14ac:dyDescent="0.25">
      <c r="A109" s="72"/>
    </row>
    <row r="110" spans="1:2" x14ac:dyDescent="0.25">
      <c r="A110" s="73"/>
    </row>
    <row r="111" spans="1:2" x14ac:dyDescent="0.25">
      <c r="A111" s="74"/>
    </row>
    <row r="112" spans="1:2" x14ac:dyDescent="0.25">
      <c r="A112" s="74"/>
    </row>
    <row r="114" spans="1:1" x14ac:dyDescent="0.25">
      <c r="A114" s="75"/>
    </row>
    <row r="115" spans="1:1" x14ac:dyDescent="0.25">
      <c r="A115" s="75"/>
    </row>
    <row r="116" spans="1:1" x14ac:dyDescent="0.25">
      <c r="A116" s="75"/>
    </row>
  </sheetData>
  <sheetProtection formatCells="0" formatColumns="0" formatRows="0" insertColumns="0" insertRows="0" deleteColumns="0" deleteRows="0"/>
  <mergeCells count="55">
    <mergeCell ref="B74:O75"/>
    <mergeCell ref="B79:D79"/>
    <mergeCell ref="B80:D80"/>
    <mergeCell ref="O42:P43"/>
    <mergeCell ref="C35:H35"/>
    <mergeCell ref="B77:D77"/>
    <mergeCell ref="O44:P44"/>
    <mergeCell ref="O45:P45"/>
    <mergeCell ref="O46:P46"/>
    <mergeCell ref="O47:P47"/>
    <mergeCell ref="O48:P48"/>
    <mergeCell ref="C51:C52"/>
    <mergeCell ref="D51:D52"/>
    <mergeCell ref="F51:I51"/>
    <mergeCell ref="O56:P56"/>
    <mergeCell ref="B71:M71"/>
    <mergeCell ref="A1:P1"/>
    <mergeCell ref="C30:H30"/>
    <mergeCell ref="B42:B43"/>
    <mergeCell ref="C42:C43"/>
    <mergeCell ref="B26:B27"/>
    <mergeCell ref="C26:H27"/>
    <mergeCell ref="I26:J27"/>
    <mergeCell ref="K42:K43"/>
    <mergeCell ref="N42:N43"/>
    <mergeCell ref="C29:H29"/>
    <mergeCell ref="M42:M43"/>
    <mergeCell ref="E2:H2"/>
    <mergeCell ref="I2:L2"/>
    <mergeCell ref="K26:L27"/>
    <mergeCell ref="D42:D43"/>
    <mergeCell ref="L42:L43"/>
    <mergeCell ref="B70:M70"/>
    <mergeCell ref="B51:B52"/>
    <mergeCell ref="K51:K52"/>
    <mergeCell ref="C53:C57"/>
    <mergeCell ref="L51:L52"/>
    <mergeCell ref="M51:M52"/>
    <mergeCell ref="B69:M69"/>
    <mergeCell ref="E19:F19"/>
    <mergeCell ref="R27:S28"/>
    <mergeCell ref="T27:T28"/>
    <mergeCell ref="U27:U28"/>
    <mergeCell ref="B68:M68"/>
    <mergeCell ref="N53:N57"/>
    <mergeCell ref="O57:P57"/>
    <mergeCell ref="N51:N52"/>
    <mergeCell ref="O51:P52"/>
    <mergeCell ref="O53:P53"/>
    <mergeCell ref="O54:P54"/>
    <mergeCell ref="O55:P55"/>
    <mergeCell ref="C47:C48"/>
    <mergeCell ref="N44:N48"/>
    <mergeCell ref="E42:J42"/>
    <mergeCell ref="C44:C46"/>
  </mergeCells>
  <phoneticPr fontId="0" type="noConversion"/>
  <dataValidations count="2">
    <dataValidation allowBlank="1" showInputMessage="1" sqref="B2:E2 I2 M2:P2" xr:uid="{2FFE9060-5131-470E-97D5-290120B9C848}"/>
    <dataValidation type="list" allowBlank="1" showInputMessage="1" showErrorMessage="1" sqref="B77:D77" xr:uid="{DDF1A986-2C54-4E2D-A59A-744A514C024F}">
      <formula1>$B$85:$B$111</formula1>
    </dataValidation>
  </dataValidations>
  <printOptions horizontalCentered="1"/>
  <pageMargins left="0.5" right="0.25" top="0.25" bottom="0.2" header="0.25" footer="0.25"/>
  <pageSetup paperSize="9" scale="64" orientation="portrait" horizontalDpi="4294967294" r:id="rId1"/>
  <headerFooter differentOddEven="1">
    <oddHeader>&amp;R&amp;"Times New Roman,Regular"&amp;9WF.ID 054-18 / REV : 1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7" r:id="rId7"/>
      </mc:Fallback>
    </mc:AlternateContent>
    <mc:AlternateContent xmlns:mc="http://schemas.openxmlformats.org/markup-compatibility/2006">
      <mc:Choice Requires="x14">
        <oleObject progId="Equation.3" shapeId="6148" r:id="rId8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8" r:id="rId8"/>
      </mc:Fallback>
    </mc:AlternateContent>
    <mc:AlternateContent xmlns:mc="http://schemas.openxmlformats.org/markup-compatibility/2006">
      <mc:Choice Requires="x14">
        <oleObject progId="Equation.3" shapeId="6149" r:id="rId9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9" r:id="rId9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1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1" r:id="rId11"/>
      </mc:Fallback>
    </mc:AlternateContent>
    <mc:AlternateContent xmlns:mc="http://schemas.openxmlformats.org/markup-compatibility/2006">
      <mc:Choice Requires="x14">
        <oleObject progId="Equation.3" shapeId="6152" r:id="rId12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2" r:id="rId12"/>
      </mc:Fallback>
    </mc:AlternateContent>
    <mc:AlternateContent xmlns:mc="http://schemas.openxmlformats.org/markup-compatibility/2006">
      <mc:Choice Requires="x14">
        <oleObject progId="Equation.3" shapeId="6153" r:id="rId13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3" r:id="rId13"/>
      </mc:Fallback>
    </mc:AlternateContent>
    <mc:AlternateContent xmlns:mc="http://schemas.openxmlformats.org/markup-compatibility/2006">
      <mc:Choice Requires="x14">
        <oleObject progId="Equation.3" shapeId="6154" r:id="rId1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4" r:id="rId14"/>
      </mc:Fallback>
    </mc:AlternateContent>
    <mc:AlternateContent xmlns:mc="http://schemas.openxmlformats.org/markup-compatibility/2006">
      <mc:Choice Requires="x14">
        <oleObject progId="Equation.3" shapeId="6155" r:id="rId15">
          <objectPr defaultSize="0" autoPict="0" r:id="rId5">
            <anchor moveWithCells="1" sizeWithCells="1">
              <from>
                <xdr:col>10</xdr:col>
                <xdr:colOff>38100</xdr:colOff>
                <xdr:row>3</xdr:row>
                <xdr:rowOff>0</xdr:rowOff>
              </from>
              <to>
                <xdr:col>10</xdr:col>
                <xdr:colOff>419100</xdr:colOff>
                <xdr:row>3</xdr:row>
                <xdr:rowOff>0</xdr:rowOff>
              </to>
            </anchor>
          </objectPr>
        </oleObject>
      </mc:Choice>
      <mc:Fallback>
        <oleObject progId="Equation.3" shapeId="6155" r:id="rId15"/>
      </mc:Fallback>
    </mc:AlternateContent>
    <mc:AlternateContent xmlns:mc="http://schemas.openxmlformats.org/markup-compatibility/2006">
      <mc:Choice Requires="x14">
        <oleObject progId="Equation.3" shapeId="6156" r:id="rId16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56" r:id="rId16"/>
      </mc:Fallback>
    </mc:AlternateContent>
    <mc:AlternateContent xmlns:mc="http://schemas.openxmlformats.org/markup-compatibility/2006">
      <mc:Choice Requires="x14">
        <oleObject progId="Equation.3" shapeId="6157" r:id="rId17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57" r:id="rId17"/>
      </mc:Fallback>
    </mc:AlternateContent>
    <mc:AlternateContent xmlns:mc="http://schemas.openxmlformats.org/markup-compatibility/2006">
      <mc:Choice Requires="x14">
        <oleObject progId="Equation.3" shapeId="6158" r:id="rId18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58" r:id="rId18"/>
      </mc:Fallback>
    </mc:AlternateContent>
    <mc:AlternateContent xmlns:mc="http://schemas.openxmlformats.org/markup-compatibility/2006">
      <mc:Choice Requires="x14">
        <oleObject progId="Equation.3" shapeId="6159" r:id="rId19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59" r:id="rId19"/>
      </mc:Fallback>
    </mc:AlternateContent>
    <mc:AlternateContent xmlns:mc="http://schemas.openxmlformats.org/markup-compatibility/2006">
      <mc:Choice Requires="x14">
        <oleObject progId="Equation.3" shapeId="6160" r:id="rId20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60" r:id="rId20"/>
      </mc:Fallback>
    </mc:AlternateContent>
    <mc:AlternateContent xmlns:mc="http://schemas.openxmlformats.org/markup-compatibility/2006">
      <mc:Choice Requires="x14">
        <oleObject progId="Equation.3" shapeId="6161" r:id="rId21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61" r:id="rId21"/>
      </mc:Fallback>
    </mc:AlternateContent>
    <mc:AlternateContent xmlns:mc="http://schemas.openxmlformats.org/markup-compatibility/2006">
      <mc:Choice Requires="x14">
        <oleObject progId="Equation.3" shapeId="6162" r:id="rId22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62" r:id="rId22"/>
      </mc:Fallback>
    </mc:AlternateContent>
    <mc:AlternateContent xmlns:mc="http://schemas.openxmlformats.org/markup-compatibility/2006">
      <mc:Choice Requires="x14">
        <oleObject progId="Equation.3" shapeId="6163" r:id="rId23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63" r:id="rId23"/>
      </mc:Fallback>
    </mc:AlternateContent>
    <mc:AlternateContent xmlns:mc="http://schemas.openxmlformats.org/markup-compatibility/2006">
      <mc:Choice Requires="x14">
        <oleObject progId="Equation.3" shapeId="6164" r:id="rId24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64" r:id="rId24"/>
      </mc:Fallback>
    </mc:AlternateContent>
    <mc:AlternateContent xmlns:mc="http://schemas.openxmlformats.org/markup-compatibility/2006">
      <mc:Choice Requires="x14">
        <oleObject progId="Equation.3" shapeId="6165" r:id="rId25">
          <objectPr defaultSize="0" autoPict="0" r:id="rId5">
            <anchor moveWithCells="1" sizeWithCells="1">
              <from>
                <xdr:col>10</xdr:col>
                <xdr:colOff>12700</xdr:colOff>
                <xdr:row>103</xdr:row>
                <xdr:rowOff>0</xdr:rowOff>
              </from>
              <to>
                <xdr:col>10</xdr:col>
                <xdr:colOff>412750</xdr:colOff>
                <xdr:row>103</xdr:row>
                <xdr:rowOff>0</xdr:rowOff>
              </to>
            </anchor>
          </objectPr>
        </oleObject>
      </mc:Choice>
      <mc:Fallback>
        <oleObject progId="Equation.3" shapeId="6165" r:id="rId25"/>
      </mc:Fallback>
    </mc:AlternateContent>
    <mc:AlternateContent xmlns:mc="http://schemas.openxmlformats.org/markup-compatibility/2006">
      <mc:Choice Requires="x14">
        <oleObject progId="Equation.3" shapeId="6167" r:id="rId26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67" r:id="rId26"/>
      </mc:Fallback>
    </mc:AlternateContent>
    <mc:AlternateContent xmlns:mc="http://schemas.openxmlformats.org/markup-compatibility/2006">
      <mc:Choice Requires="x14">
        <oleObject progId="Equation.3" shapeId="6168" r:id="rId27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68" r:id="rId27"/>
      </mc:Fallback>
    </mc:AlternateContent>
    <mc:AlternateContent xmlns:mc="http://schemas.openxmlformats.org/markup-compatibility/2006">
      <mc:Choice Requires="x14">
        <oleObject progId="Equation.3" shapeId="6169" r:id="rId28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69" r:id="rId28"/>
      </mc:Fallback>
    </mc:AlternateContent>
    <mc:AlternateContent xmlns:mc="http://schemas.openxmlformats.org/markup-compatibility/2006">
      <mc:Choice Requires="x14">
        <oleObject progId="Equation.3" shapeId="6170" r:id="rId29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0" r:id="rId29"/>
      </mc:Fallback>
    </mc:AlternateContent>
    <mc:AlternateContent xmlns:mc="http://schemas.openxmlformats.org/markup-compatibility/2006">
      <mc:Choice Requires="x14">
        <oleObject progId="Equation.3" shapeId="6171" r:id="rId30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1" r:id="rId30"/>
      </mc:Fallback>
    </mc:AlternateContent>
    <mc:AlternateContent xmlns:mc="http://schemas.openxmlformats.org/markup-compatibility/2006">
      <mc:Choice Requires="x14">
        <oleObject progId="Equation.3" shapeId="6172" r:id="rId31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2" r:id="rId31"/>
      </mc:Fallback>
    </mc:AlternateContent>
    <mc:AlternateContent xmlns:mc="http://schemas.openxmlformats.org/markup-compatibility/2006">
      <mc:Choice Requires="x14">
        <oleObject progId="Equation.3" shapeId="6173" r:id="rId32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3" r:id="rId32"/>
      </mc:Fallback>
    </mc:AlternateContent>
    <mc:AlternateContent xmlns:mc="http://schemas.openxmlformats.org/markup-compatibility/2006">
      <mc:Choice Requires="x14">
        <oleObject progId="Equation.3" shapeId="6174" r:id="rId33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4" r:id="rId33"/>
      </mc:Fallback>
    </mc:AlternateContent>
    <mc:AlternateContent xmlns:mc="http://schemas.openxmlformats.org/markup-compatibility/2006">
      <mc:Choice Requires="x14">
        <oleObject progId="Equation.3" shapeId="6175" r:id="rId34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5" r:id="rId34"/>
      </mc:Fallback>
    </mc:AlternateContent>
    <mc:AlternateContent xmlns:mc="http://schemas.openxmlformats.org/markup-compatibility/2006">
      <mc:Choice Requires="x14">
        <oleObject progId="Equation.3" shapeId="6176" r:id="rId35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6" r:id="rId35"/>
      </mc:Fallback>
    </mc:AlternateContent>
    <mc:AlternateContent xmlns:mc="http://schemas.openxmlformats.org/markup-compatibility/2006">
      <mc:Choice Requires="x14">
        <oleObject progId="Equation.3" shapeId="6177" r:id="rId36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7" r:id="rId36"/>
      </mc:Fallback>
    </mc:AlternateContent>
    <mc:AlternateContent xmlns:mc="http://schemas.openxmlformats.org/markup-compatibility/2006">
      <mc:Choice Requires="x14">
        <oleObject progId="Equation.3" shapeId="6178" r:id="rId37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8" r:id="rId37"/>
      </mc:Fallback>
    </mc:AlternateContent>
    <mc:AlternateContent xmlns:mc="http://schemas.openxmlformats.org/markup-compatibility/2006">
      <mc:Choice Requires="x14">
        <oleObject progId="Equation.3" shapeId="6179" r:id="rId38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9" r:id="rId38"/>
      </mc:Fallback>
    </mc:AlternateContent>
    <mc:AlternateContent xmlns:mc="http://schemas.openxmlformats.org/markup-compatibility/2006">
      <mc:Choice Requires="x14">
        <oleObject progId="Equation.3" shapeId="6180" r:id="rId39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0" r:id="rId39"/>
      </mc:Fallback>
    </mc:AlternateContent>
    <mc:AlternateContent xmlns:mc="http://schemas.openxmlformats.org/markup-compatibility/2006">
      <mc:Choice Requires="x14">
        <oleObject progId="Equation.3" shapeId="6181" r:id="rId40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1" r:id="rId40"/>
      </mc:Fallback>
    </mc:AlternateContent>
    <mc:AlternateContent xmlns:mc="http://schemas.openxmlformats.org/markup-compatibility/2006">
      <mc:Choice Requires="x14">
        <oleObject progId="Equation.3" shapeId="6182" r:id="rId41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2" r:id="rId41"/>
      </mc:Fallback>
    </mc:AlternateContent>
    <mc:AlternateContent xmlns:mc="http://schemas.openxmlformats.org/markup-compatibility/2006">
      <mc:Choice Requires="x14">
        <oleObject progId="Equation.3" shapeId="6183" r:id="rId42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3" r:id="rId42"/>
      </mc:Fallback>
    </mc:AlternateContent>
    <mc:AlternateContent xmlns:mc="http://schemas.openxmlformats.org/markup-compatibility/2006">
      <mc:Choice Requires="x14">
        <oleObject progId="Equation.3" shapeId="6184" r:id="rId43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4" r:id="rId43"/>
      </mc:Fallback>
    </mc:AlternateContent>
    <mc:AlternateContent xmlns:mc="http://schemas.openxmlformats.org/markup-compatibility/2006">
      <mc:Choice Requires="x14">
        <oleObject progId="Equation.3" shapeId="6185" r:id="rId44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5" r:id="rId44"/>
      </mc:Fallback>
    </mc:AlternateContent>
    <mc:AlternateContent xmlns:mc="http://schemas.openxmlformats.org/markup-compatibility/2006">
      <mc:Choice Requires="x14">
        <oleObject progId="Equation.3" shapeId="6186" r:id="rId45">
          <objectPr defaultSize="0" autoPict="0" r:id="rId5">
            <anchor moveWithCells="1" sizeWithCells="1">
              <from>
                <xdr:col>10</xdr:col>
                <xdr:colOff>38100</xdr:colOff>
                <xdr:row>32</xdr:row>
                <xdr:rowOff>0</xdr:rowOff>
              </from>
              <to>
                <xdr:col>10</xdr:col>
                <xdr:colOff>419100</xdr:colOff>
                <xdr:row>32</xdr:row>
                <xdr:rowOff>0</xdr:rowOff>
              </to>
            </anchor>
          </objectPr>
        </oleObject>
      </mc:Choice>
      <mc:Fallback>
        <oleObject progId="Equation.3" shapeId="6186" r:id="rId4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64F2853-3CC9-41E0-B48C-5C3FCEA8A7E6}">
          <x14:formula1>
            <xm:f>'DB ESA'!$A$299:$A$310</xm:f>
          </x14:formula1>
          <xm:sqref>B70:M70</xm:sqref>
        </x14:dataValidation>
        <x14:dataValidation type="list" allowBlank="1" showInputMessage="1" showErrorMessage="1" xr:uid="{8B0D8104-7385-48E8-ADE1-C80660E5AC7D}">
          <x14:formula1>
            <xm:f>'DB SUHU'!$A$390:$A$409</xm:f>
          </x14:formula1>
          <xm:sqref>B71:M71</xm:sqref>
        </x14:dataValidation>
        <x14:dataValidation type="list" allowBlank="1" showInputMessage="1" showErrorMessage="1" xr:uid="{CD96C06C-C70A-4D09-9B46-E24F92B835A4}">
          <x14:formula1>
            <xm:f>'DB TACHO'!$A$216:$A$225</xm:f>
          </x14:formula1>
          <xm:sqref>B68:M68</xm:sqref>
        </x14:dataValidation>
        <x14:dataValidation type="list" allowBlank="1" showInputMessage="1" showErrorMessage="1" xr:uid="{00000000-0002-0000-0100-000008000000}">
          <x14:formula1>
            <xm:f>'UB TACHO'!$N$20:$N$21</xm:f>
          </x14:formula1>
          <xm:sqref>C47</xm:sqref>
        </x14:dataValidation>
        <x14:dataValidation type="list" allowBlank="1" showInputMessage="1" showErrorMessage="1" xr:uid="{F877C461-28B2-486E-9FDB-0EE40EA0BB84}">
          <x14:formula1>
            <xm:f>PENYELIA!$T$27:$T$28</xm:f>
          </x14:formula1>
          <xm:sqref>R27:S28</xm:sqref>
        </x14:dataValidation>
        <x14:dataValidation type="list" allowBlank="1" showInputMessage="1" showErrorMessage="1" xr:uid="{87DE9DCD-CA0F-495C-8620-17D9D8DC86DF}">
          <x14:formula1>
            <xm:f>PENYELIA!$W$26:$W$27</xm:f>
          </x14:formula1>
          <xm:sqref>C29:H29</xm:sqref>
        </x14:dataValidation>
        <x14:dataValidation type="list" allowBlank="1" showInputMessage="1" showErrorMessage="1" xr:uid="{D78E65AA-3809-41A5-8CCA-0F3EA03DF86D}">
          <x14:formula1>
            <xm:f>PENYELIA!$W$28:$W$29</xm:f>
          </x14:formula1>
          <xm:sqref>C30:H30</xm:sqref>
        </x14:dataValidation>
        <x14:dataValidation type="list" allowBlank="1" showInputMessage="1" showErrorMessage="1" xr:uid="{00000000-0002-0000-0100-000000000000}">
          <x14:formula1>
            <xm:f>PENYELIA!$B$77:$B$78</xm:f>
          </x14:formula1>
          <xm:sqref>E22:E23</xm:sqref>
        </x14:dataValidation>
        <x14:dataValidation type="list" allowBlank="1" showInputMessage="1" showErrorMessage="1" xr:uid="{F6083551-A84E-400A-A4EA-81F579BE1079}">
          <x14:formula1>
            <xm:f>'DB ECG'!$A$163:$A$174</xm:f>
          </x14:formula1>
          <xm:sqref>B69:M69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K82"/>
  <sheetViews>
    <sheetView showGridLines="0" view="pageBreakPreview" topLeftCell="A49" zoomScale="85" zoomScaleNormal="100" zoomScaleSheetLayoutView="85" workbookViewId="0">
      <selection activeCell="P71" sqref="P71"/>
    </sheetView>
  </sheetViews>
  <sheetFormatPr defaultColWidth="9.1796875" defaultRowHeight="13" x14ac:dyDescent="0.3"/>
  <cols>
    <col min="1" max="1" width="7.7265625" style="1" customWidth="1"/>
    <col min="2" max="2" width="22.453125" style="1" customWidth="1"/>
    <col min="3" max="3" width="17" style="1" customWidth="1"/>
    <col min="4" max="4" width="11.1796875" style="1" customWidth="1"/>
    <col min="5" max="5" width="9.26953125" style="1" bestFit="1" customWidth="1"/>
    <col min="6" max="6" width="9.1796875" style="1" customWidth="1"/>
    <col min="7" max="7" width="8.453125" style="1" customWidth="1"/>
    <col min="8" max="8" width="11.1796875" style="1" customWidth="1"/>
    <col min="9" max="9" width="8.453125" style="1" bestFit="1" customWidth="1"/>
    <col min="10" max="10" width="12.453125" style="1" customWidth="1"/>
    <col min="11" max="11" width="9.1796875" style="1" customWidth="1"/>
    <col min="12" max="12" width="10.81640625" style="1" customWidth="1"/>
    <col min="13" max="13" width="12.81640625" style="1" customWidth="1"/>
    <col min="14" max="14" width="19" style="1" customWidth="1"/>
    <col min="15" max="15" width="17.26953125" style="1" customWidth="1"/>
    <col min="16" max="16" width="13.54296875" style="1" customWidth="1"/>
    <col min="17" max="17" width="17.1796875" style="1" customWidth="1"/>
    <col min="18" max="18" width="17.26953125" style="1" customWidth="1"/>
    <col min="19" max="19" width="13" style="1" customWidth="1"/>
    <col min="20" max="20" width="12.453125" style="1" customWidth="1"/>
    <col min="21" max="21" width="10.453125" style="1" bestFit="1" customWidth="1"/>
    <col min="22" max="22" width="12.7265625" style="1" customWidth="1"/>
    <col min="23" max="23" width="9.1796875" style="1"/>
    <col min="24" max="24" width="11.1796875" style="1" customWidth="1"/>
    <col min="25" max="25" width="12.81640625" style="1" customWidth="1"/>
    <col min="26" max="35" width="9.1796875" style="1"/>
    <col min="36" max="36" width="10.1796875" style="1" customWidth="1"/>
    <col min="37" max="16384" width="9.1796875" style="1"/>
  </cols>
  <sheetData>
    <row r="1" spans="2:37" x14ac:dyDescent="0.3">
      <c r="B1" s="1275" t="s">
        <v>202</v>
      </c>
      <c r="C1" s="1275"/>
      <c r="D1" s="1275"/>
      <c r="E1" s="1275"/>
      <c r="F1" s="1275"/>
      <c r="G1" s="1275"/>
      <c r="H1" s="1275"/>
      <c r="I1" s="1275"/>
      <c r="J1" s="1275"/>
      <c r="K1" s="1275"/>
      <c r="L1" s="1275"/>
    </row>
    <row r="2" spans="2:37" ht="13.5" thickBot="1" x14ac:dyDescent="0.35">
      <c r="B2" s="9"/>
      <c r="L2" s="10"/>
    </row>
    <row r="3" spans="2:37" ht="15" thickBot="1" x14ac:dyDescent="0.35">
      <c r="B3" s="11" t="s">
        <v>203</v>
      </c>
      <c r="C3" s="12"/>
      <c r="D3" s="194">
        <f>ID!B36</f>
        <v>2.7</v>
      </c>
      <c r="E3" s="14"/>
      <c r="F3" s="15"/>
      <c r="G3" s="15"/>
      <c r="H3" s="15"/>
      <c r="I3" s="15"/>
      <c r="J3" s="15"/>
      <c r="K3" s="15"/>
      <c r="L3" s="16"/>
      <c r="N3" s="1" t="s">
        <v>204</v>
      </c>
      <c r="R3" s="200" t="s">
        <v>205</v>
      </c>
      <c r="Z3" s="827" t="str">
        <f>ID!B68</f>
        <v>Digital Tachometer, Merek : Krisbow, Model : KW06-563, SN : 180812206</v>
      </c>
      <c r="AA3" s="828"/>
      <c r="AB3" s="828"/>
      <c r="AC3" s="828"/>
      <c r="AD3" s="828"/>
      <c r="AE3" s="828"/>
      <c r="AF3" s="828"/>
      <c r="AG3" s="828"/>
      <c r="AH3" s="828"/>
      <c r="AI3" s="887"/>
      <c r="AJ3" s="1281" t="s">
        <v>206</v>
      </c>
      <c r="AK3" s="1282"/>
    </row>
    <row r="4" spans="2:37" ht="15" thickBot="1" x14ac:dyDescent="0.4">
      <c r="B4" s="17" t="s">
        <v>207</v>
      </c>
      <c r="C4" s="18" t="s">
        <v>208</v>
      </c>
      <c r="D4" s="19" t="s">
        <v>209</v>
      </c>
      <c r="E4" s="18" t="s">
        <v>210</v>
      </c>
      <c r="F4" s="20" t="s">
        <v>211</v>
      </c>
      <c r="G4" s="18" t="s">
        <v>212</v>
      </c>
      <c r="H4" s="19" t="s">
        <v>213</v>
      </c>
      <c r="I4" s="18" t="s">
        <v>214</v>
      </c>
      <c r="J4" s="19" t="s">
        <v>205</v>
      </c>
      <c r="K4" s="18" t="s">
        <v>215</v>
      </c>
      <c r="L4" s="21" t="s">
        <v>216</v>
      </c>
      <c r="N4" s="1" t="s">
        <v>217</v>
      </c>
      <c r="O4" s="201">
        <v>3600</v>
      </c>
      <c r="Q4" s="200" t="s">
        <v>218</v>
      </c>
      <c r="R4" s="296">
        <f>(Q13*(E7/F7)*0.10472)*3600/1000</f>
        <v>-2.9988737747916759E-4</v>
      </c>
      <c r="Z4" s="891" t="s">
        <v>219</v>
      </c>
      <c r="AA4" s="892"/>
      <c r="AB4" s="893"/>
      <c r="AC4" s="893"/>
      <c r="AD4" s="893"/>
      <c r="AE4" s="893"/>
      <c r="AF4" s="893"/>
      <c r="AG4" s="893"/>
      <c r="AH4" s="893"/>
      <c r="AI4" s="888">
        <v>1</v>
      </c>
      <c r="AJ4" s="1283">
        <f>P13</f>
        <v>1.525E-2</v>
      </c>
      <c r="AK4" s="1284"/>
    </row>
    <row r="5" spans="2:37" ht="14.5" thickBot="1" x14ac:dyDescent="0.35">
      <c r="B5" s="22" t="s">
        <v>220</v>
      </c>
      <c r="C5" s="496" t="s">
        <v>221</v>
      </c>
      <c r="D5" s="24" t="s">
        <v>222</v>
      </c>
      <c r="E5" s="493">
        <f>STDEV(ID!C36:H36)</f>
        <v>0</v>
      </c>
      <c r="F5" s="25">
        <f>SQRT(6)</f>
        <v>2.4494897427831779</v>
      </c>
      <c r="G5" s="23">
        <v>5</v>
      </c>
      <c r="H5" s="199">
        <f>E5/F5</f>
        <v>0</v>
      </c>
      <c r="I5" s="497">
        <f>R22</f>
        <v>6.0000000000000005E-2</v>
      </c>
      <c r="J5" s="26">
        <f>H5*I5</f>
        <v>0</v>
      </c>
      <c r="K5" s="27">
        <f>J5^2</f>
        <v>0</v>
      </c>
      <c r="L5" s="28">
        <f>J5^4/G5</f>
        <v>0</v>
      </c>
      <c r="O5" s="200">
        <v>1000</v>
      </c>
      <c r="Q5" s="200" t="s">
        <v>218</v>
      </c>
      <c r="R5" s="297">
        <f>(Q13*(E8/F8)*0.10472)*3600/1000</f>
        <v>4.0500003027647591E-4</v>
      </c>
      <c r="Z5" s="885" t="s">
        <v>223</v>
      </c>
      <c r="AA5" s="881"/>
      <c r="AB5" s="882"/>
      <c r="AC5" s="882"/>
      <c r="AD5" s="882"/>
      <c r="AE5" s="882"/>
      <c r="AF5" s="882"/>
      <c r="AG5" s="882"/>
      <c r="AH5" s="882"/>
      <c r="AI5" s="889">
        <v>2</v>
      </c>
      <c r="AJ5" s="1283">
        <f>P13</f>
        <v>1.525E-2</v>
      </c>
      <c r="AK5" s="1284"/>
    </row>
    <row r="6" spans="2:37" ht="14.5" thickBot="1" x14ac:dyDescent="0.35">
      <c r="B6" s="29" t="s">
        <v>224</v>
      </c>
      <c r="C6" s="496" t="str">
        <f>N18</f>
        <v>Km/h</v>
      </c>
      <c r="D6" s="30" t="s">
        <v>225</v>
      </c>
      <c r="E6" s="494">
        <f>0.025*ID!E7</f>
        <v>2.5000000000000001E-2</v>
      </c>
      <c r="F6" s="31">
        <f>SQRT(3)</f>
        <v>1.7320508075688772</v>
      </c>
      <c r="G6" s="23">
        <v>50</v>
      </c>
      <c r="H6" s="195">
        <f>E6/F6</f>
        <v>1.4433756729740645E-2</v>
      </c>
      <c r="I6" s="491">
        <v>1</v>
      </c>
      <c r="J6" s="32">
        <f>H6*I6</f>
        <v>1.4433756729740645E-2</v>
      </c>
      <c r="K6" s="33">
        <f>J6^2</f>
        <v>2.0833333333333337E-4</v>
      </c>
      <c r="L6" s="34">
        <f>J6^4/G6</f>
        <v>8.6805555555555585E-10</v>
      </c>
      <c r="Z6" s="885" t="s">
        <v>226</v>
      </c>
      <c r="AA6" s="881"/>
      <c r="AB6" s="882"/>
      <c r="AC6" s="882"/>
      <c r="AD6" s="882"/>
      <c r="AE6" s="882"/>
      <c r="AF6" s="882"/>
      <c r="AG6" s="882"/>
      <c r="AH6" s="882"/>
      <c r="AI6" s="889">
        <v>3</v>
      </c>
      <c r="AJ6" s="1283">
        <f>P13</f>
        <v>1.525E-2</v>
      </c>
      <c r="AK6" s="1284"/>
    </row>
    <row r="7" spans="2:37" ht="14" x14ac:dyDescent="0.3">
      <c r="B7" s="22" t="s">
        <v>227</v>
      </c>
      <c r="C7" s="492" t="s">
        <v>228</v>
      </c>
      <c r="D7" s="23" t="s">
        <v>225</v>
      </c>
      <c r="E7" s="197">
        <f>'Konversi RPM'!Q3</f>
        <v>-8.6927544662773207E-2</v>
      </c>
      <c r="F7" s="35">
        <f>SQRT(3)</f>
        <v>1.7320508075688772</v>
      </c>
      <c r="G7" s="23">
        <v>50</v>
      </c>
      <c r="H7" s="202">
        <f>(E7/F7)*O4</f>
        <v>-180.6755087197632</v>
      </c>
      <c r="I7" s="498">
        <f>(Q13*0.10472)*P22</f>
        <v>1.6598119999999999E-6</v>
      </c>
      <c r="J7" s="36">
        <f>H7*I7</f>
        <v>-2.9988737747916759E-4</v>
      </c>
      <c r="K7" s="33">
        <f>J7^2</f>
        <v>8.9932439171332748E-8</v>
      </c>
      <c r="L7" s="33">
        <f>J7^4/G7</f>
        <v>1.6175687230610932E-16</v>
      </c>
      <c r="N7" s="1" t="s">
        <v>229</v>
      </c>
      <c r="O7" s="201">
        <v>3600</v>
      </c>
      <c r="Q7" s="200" t="s">
        <v>230</v>
      </c>
      <c r="R7" s="297">
        <f>(Q13*(E7/F7)*0.10472)*3600/1609.34</f>
        <v>-1.8634184043096402E-4</v>
      </c>
      <c r="Z7" s="885" t="s">
        <v>231</v>
      </c>
      <c r="AA7" s="881"/>
      <c r="AB7" s="882"/>
      <c r="AC7" s="882"/>
      <c r="AD7" s="882"/>
      <c r="AE7" s="882"/>
      <c r="AF7" s="882"/>
      <c r="AG7" s="882"/>
      <c r="AH7" s="882"/>
      <c r="AI7" s="889">
        <v>4</v>
      </c>
      <c r="AJ7" s="1283">
        <f>P13</f>
        <v>1.525E-2</v>
      </c>
      <c r="AK7" s="1284"/>
    </row>
    <row r="8" spans="2:37" ht="14" x14ac:dyDescent="0.3">
      <c r="B8" s="37" t="s">
        <v>232</v>
      </c>
      <c r="C8" s="492" t="s">
        <v>228</v>
      </c>
      <c r="D8" s="30" t="s">
        <v>222</v>
      </c>
      <c r="E8" s="495">
        <f>'Konversi RPM'!O3</f>
        <v>0.13555753110609178</v>
      </c>
      <c r="F8" s="38">
        <v>2</v>
      </c>
      <c r="G8" s="23">
        <v>50</v>
      </c>
      <c r="H8" s="196">
        <f>(E8/F8)*O4</f>
        <v>244.0035559909652</v>
      </c>
      <c r="I8" s="498">
        <f>(Q13*0.10472)*P22</f>
        <v>1.6598119999999999E-6</v>
      </c>
      <c r="J8" s="32">
        <f>H8*I8</f>
        <v>4.0500003027647591E-4</v>
      </c>
      <c r="K8" s="33">
        <f>J8^2</f>
        <v>1.6402502452394641E-7</v>
      </c>
      <c r="L8" s="33">
        <f>J8^4/G8</f>
        <v>5.3808417340162443E-16</v>
      </c>
      <c r="O8" s="200">
        <v>1609.34</v>
      </c>
      <c r="Q8" s="200" t="s">
        <v>230</v>
      </c>
      <c r="R8" s="297">
        <f>(Q13*(E8/F8)*0.10472)*3600/1609.34</f>
        <v>2.5165597715614847E-4</v>
      </c>
      <c r="Z8" s="886" t="s">
        <v>233</v>
      </c>
      <c r="AA8" s="883"/>
      <c r="AB8" s="882"/>
      <c r="AC8" s="882"/>
      <c r="AD8" s="882"/>
      <c r="AE8" s="882"/>
      <c r="AF8" s="882"/>
      <c r="AG8" s="882"/>
      <c r="AH8" s="882"/>
      <c r="AI8" s="889">
        <v>5</v>
      </c>
      <c r="AJ8" s="1287">
        <f>P14</f>
        <v>1.585E-2</v>
      </c>
      <c r="AK8" s="1288"/>
    </row>
    <row r="9" spans="2:37" ht="14" x14ac:dyDescent="0.3">
      <c r="B9" s="187" t="s">
        <v>234</v>
      </c>
      <c r="C9" s="496" t="s">
        <v>221</v>
      </c>
      <c r="D9" s="188" t="s">
        <v>225</v>
      </c>
      <c r="E9" s="193">
        <f>'Konversi RPM'!P3</f>
        <v>2.5000000000000001E-2</v>
      </c>
      <c r="F9" s="189">
        <f>SQRT(3)</f>
        <v>1.7320508075688772</v>
      </c>
      <c r="G9" s="188">
        <f>0.5*(100/10)^2</f>
        <v>50</v>
      </c>
      <c r="H9" s="198">
        <f>E9/F9</f>
        <v>1.4433756729740645E-2</v>
      </c>
      <c r="I9" s="492">
        <f>R22</f>
        <v>6.0000000000000005E-2</v>
      </c>
      <c r="J9" s="190">
        <f>H9*I9</f>
        <v>8.660254037844388E-4</v>
      </c>
      <c r="K9" s="191">
        <f>J9^2</f>
        <v>7.5000000000000023E-7</v>
      </c>
      <c r="L9" s="192">
        <f>J9^4/G9</f>
        <v>1.1250000000000007E-14</v>
      </c>
      <c r="Z9" s="886" t="s">
        <v>235</v>
      </c>
      <c r="AA9" s="883"/>
      <c r="AB9" s="882"/>
      <c r="AC9" s="882"/>
      <c r="AD9" s="882"/>
      <c r="AE9" s="882"/>
      <c r="AF9" s="882"/>
      <c r="AG9" s="882"/>
      <c r="AH9" s="882"/>
      <c r="AI9" s="889">
        <v>6</v>
      </c>
      <c r="AJ9" s="1287">
        <f>P14</f>
        <v>1.585E-2</v>
      </c>
      <c r="AK9" s="1288"/>
    </row>
    <row r="10" spans="2:37" ht="14.5" x14ac:dyDescent="0.35">
      <c r="B10" s="39" t="s">
        <v>236</v>
      </c>
      <c r="C10" s="40"/>
      <c r="D10" s="40"/>
      <c r="E10" s="40"/>
      <c r="F10" s="41"/>
      <c r="G10" s="40"/>
      <c r="H10" s="40"/>
      <c r="I10" s="40"/>
      <c r="J10" s="40"/>
      <c r="K10" s="42">
        <f>SUM(K5:K9)</f>
        <v>2.0933729079702863E-4</v>
      </c>
      <c r="L10" s="27">
        <f>SUM(L5:L9)</f>
        <v>8.680675053966015E-10</v>
      </c>
      <c r="Z10" s="886" t="s">
        <v>172</v>
      </c>
      <c r="AA10" s="883"/>
      <c r="AB10" s="882"/>
      <c r="AC10" s="882"/>
      <c r="AD10" s="882"/>
      <c r="AE10" s="882"/>
      <c r="AF10" s="882"/>
      <c r="AG10" s="882"/>
      <c r="AH10" s="882"/>
      <c r="AI10" s="889">
        <v>7</v>
      </c>
      <c r="AJ10" s="1287">
        <f>P14</f>
        <v>1.585E-2</v>
      </c>
      <c r="AK10" s="1288"/>
    </row>
    <row r="11" spans="2:37" ht="16.5" x14ac:dyDescent="0.45">
      <c r="B11" s="43" t="s">
        <v>237</v>
      </c>
      <c r="C11" s="44"/>
      <c r="D11" s="44"/>
      <c r="E11" s="44"/>
      <c r="F11" s="45"/>
      <c r="G11" s="44"/>
      <c r="H11" s="46" t="s">
        <v>238</v>
      </c>
      <c r="I11" s="44"/>
      <c r="J11" s="44"/>
      <c r="K11" s="47">
        <f>SQRT(K10)</f>
        <v>1.4468493038220277E-2</v>
      </c>
      <c r="L11" s="48"/>
      <c r="N11" s="1274" t="s">
        <v>239</v>
      </c>
      <c r="O11" s="1274" t="s">
        <v>240</v>
      </c>
      <c r="P11" s="1274"/>
      <c r="Q11" s="1274" t="s">
        <v>241</v>
      </c>
      <c r="Z11" s="886" t="s">
        <v>242</v>
      </c>
      <c r="AA11" s="883"/>
      <c r="AB11" s="882"/>
      <c r="AC11" s="882"/>
      <c r="AD11" s="882"/>
      <c r="AE11" s="882"/>
      <c r="AF11" s="882"/>
      <c r="AG11" s="882"/>
      <c r="AH11" s="882"/>
      <c r="AI11" s="889">
        <v>8</v>
      </c>
      <c r="AJ11" s="1285"/>
      <c r="AK11" s="1286"/>
    </row>
    <row r="12" spans="2:37" ht="17.5" x14ac:dyDescent="0.45">
      <c r="B12" s="39" t="s">
        <v>243</v>
      </c>
      <c r="C12" s="49"/>
      <c r="D12" s="49"/>
      <c r="E12" s="49" t="s">
        <v>128</v>
      </c>
      <c r="F12" s="50"/>
      <c r="G12" s="49"/>
      <c r="H12" s="51" t="s">
        <v>244</v>
      </c>
      <c r="I12" s="49"/>
      <c r="J12" s="49"/>
      <c r="K12" s="52">
        <f>K11^4/(L10)</f>
        <v>50.482365767416134</v>
      </c>
      <c r="L12" s="53"/>
      <c r="N12" s="1274"/>
      <c r="O12" s="77" t="s">
        <v>245</v>
      </c>
      <c r="P12" s="77" t="s">
        <v>246</v>
      </c>
      <c r="Q12" s="1274"/>
      <c r="Z12" s="886" t="s">
        <v>242</v>
      </c>
      <c r="AA12" s="883"/>
      <c r="AB12" s="882"/>
      <c r="AC12" s="882"/>
      <c r="AD12" s="882"/>
      <c r="AE12" s="882"/>
      <c r="AF12" s="882"/>
      <c r="AG12" s="882"/>
      <c r="AH12" s="882"/>
      <c r="AI12" s="889">
        <v>9</v>
      </c>
      <c r="AJ12" s="1285"/>
      <c r="AK12" s="1286"/>
    </row>
    <row r="13" spans="2:37" ht="16" thickBot="1" x14ac:dyDescent="0.4">
      <c r="B13" s="43" t="s">
        <v>247</v>
      </c>
      <c r="C13" s="44"/>
      <c r="D13" s="44"/>
      <c r="E13" s="44"/>
      <c r="F13" s="45"/>
      <c r="G13" s="44"/>
      <c r="H13" s="54" t="s">
        <v>248</v>
      </c>
      <c r="I13" s="44"/>
      <c r="J13" s="44"/>
      <c r="K13" s="55">
        <f>1.95996+(2.37356/K12)+(2.818745/K12^2)+(2.546662/K12^3)+(1.761829/K12^4)+(0.245458/K12^5)+(1.000764/K12^6)</f>
        <v>2.0081037274081299</v>
      </c>
      <c r="L13" s="48"/>
      <c r="N13" s="77" t="s">
        <v>249</v>
      </c>
      <c r="O13" s="77">
        <v>3.0499999999999999E-2</v>
      </c>
      <c r="P13" s="200">
        <f>O13/2</f>
        <v>1.525E-2</v>
      </c>
      <c r="Q13" s="1274">
        <f>VLOOKUP(Z3,Z4:AK13,11,FALSE)</f>
        <v>1.585E-2</v>
      </c>
      <c r="Z13" s="894" t="s">
        <v>242</v>
      </c>
      <c r="AA13" s="895"/>
      <c r="AB13" s="896"/>
      <c r="AC13" s="896"/>
      <c r="AD13" s="896"/>
      <c r="AE13" s="896"/>
      <c r="AF13" s="896"/>
      <c r="AG13" s="896"/>
      <c r="AH13" s="896"/>
      <c r="AI13" s="890">
        <v>10</v>
      </c>
      <c r="AJ13" s="1285"/>
      <c r="AK13" s="1286"/>
    </row>
    <row r="14" spans="2:37" ht="15" thickBot="1" x14ac:dyDescent="0.4">
      <c r="B14" s="56" t="s">
        <v>250</v>
      </c>
      <c r="C14" s="57"/>
      <c r="D14" s="57"/>
      <c r="E14" s="57"/>
      <c r="F14" s="58"/>
      <c r="G14" s="57"/>
      <c r="H14" s="59" t="s">
        <v>251</v>
      </c>
      <c r="I14" s="57"/>
      <c r="J14" s="57"/>
      <c r="K14" s="60">
        <f>K11*K13</f>
        <v>2.9054234800028715E-2</v>
      </c>
      <c r="L14" s="61" t="str">
        <f>N18</f>
        <v>Km/h</v>
      </c>
      <c r="N14" s="77" t="s">
        <v>252</v>
      </c>
      <c r="O14" s="77">
        <v>3.1699999999999999E-2</v>
      </c>
      <c r="P14" s="76">
        <f>O14/2</f>
        <v>1.585E-2</v>
      </c>
      <c r="Q14" s="1274"/>
      <c r="Z14" s="1278">
        <f>VLOOKUP(Z3,Z4:AI13,10,(FALSE))</f>
        <v>7</v>
      </c>
      <c r="AA14" s="1279"/>
      <c r="AB14" s="1279"/>
      <c r="AC14" s="1279"/>
      <c r="AD14" s="1279"/>
      <c r="AE14" s="1279"/>
      <c r="AF14" s="1279"/>
      <c r="AG14" s="1279"/>
      <c r="AH14" s="1279"/>
      <c r="AI14" s="1280"/>
      <c r="AJ14" s="884"/>
    </row>
    <row r="15" spans="2:37" ht="13.5" thickBot="1" x14ac:dyDescent="0.35">
      <c r="B15" s="9"/>
      <c r="K15" s="434">
        <f>K14/D3*100</f>
        <v>1.0760827703714337</v>
      </c>
      <c r="L15" s="435" t="s">
        <v>253</v>
      </c>
    </row>
    <row r="16" spans="2:37" ht="18.5" x14ac:dyDescent="0.45">
      <c r="B16" s="11" t="s">
        <v>203</v>
      </c>
      <c r="C16" s="12"/>
      <c r="D16" s="13">
        <f>ID!B37</f>
        <v>4</v>
      </c>
      <c r="E16" s="14"/>
      <c r="F16" s="15"/>
      <c r="G16" s="15"/>
      <c r="H16" s="15"/>
      <c r="I16" s="15"/>
      <c r="J16" s="15"/>
      <c r="K16" s="15"/>
      <c r="L16" s="16"/>
      <c r="N16" s="1260" t="str">
        <f>"KONVERSI m/mnt to "&amp;N18</f>
        <v>KONVERSI m/mnt to Km/h</v>
      </c>
      <c r="O16" s="1261"/>
      <c r="P16" s="1261"/>
      <c r="Q16" s="1261"/>
      <c r="R16" s="1261"/>
      <c r="S16" s="1261"/>
      <c r="T16" s="1261"/>
      <c r="U16" s="1261"/>
      <c r="V16" s="1261"/>
      <c r="W16" s="1261"/>
      <c r="X16" s="1262"/>
    </row>
    <row r="17" spans="2:24" ht="22.5" customHeight="1" x14ac:dyDescent="0.35">
      <c r="B17" s="17" t="s">
        <v>207</v>
      </c>
      <c r="C17" s="18" t="s">
        <v>208</v>
      </c>
      <c r="D17" s="19" t="s">
        <v>209</v>
      </c>
      <c r="E17" s="18" t="s">
        <v>210</v>
      </c>
      <c r="F17" s="20" t="s">
        <v>211</v>
      </c>
      <c r="G17" s="18" t="s">
        <v>212</v>
      </c>
      <c r="H17" s="19" t="s">
        <v>213</v>
      </c>
      <c r="I17" s="18" t="s">
        <v>214</v>
      </c>
      <c r="J17" s="19" t="s">
        <v>205</v>
      </c>
      <c r="K17" s="18" t="s">
        <v>215</v>
      </c>
      <c r="L17" s="21" t="s">
        <v>216</v>
      </c>
      <c r="N17" s="502"/>
      <c r="X17" s="503"/>
    </row>
    <row r="18" spans="2:24" x14ac:dyDescent="0.3">
      <c r="B18" s="22" t="s">
        <v>220</v>
      </c>
      <c r="C18" s="496" t="s">
        <v>221</v>
      </c>
      <c r="D18" s="24" t="s">
        <v>222</v>
      </c>
      <c r="E18" s="493">
        <f>STDEV(ID!C37:H37)</f>
        <v>5.4772255750521283E-2</v>
      </c>
      <c r="F18" s="25">
        <f>SQRT(6)</f>
        <v>2.4494897427831779</v>
      </c>
      <c r="G18" s="23">
        <v>5</v>
      </c>
      <c r="H18" s="199">
        <f>E18/F18</f>
        <v>2.2360679774999805E-2</v>
      </c>
      <c r="I18" s="497">
        <f>R22</f>
        <v>6.0000000000000005E-2</v>
      </c>
      <c r="J18" s="26">
        <f>H18*I18</f>
        <v>1.3416407864999885E-3</v>
      </c>
      <c r="K18" s="27">
        <f>J18^2</f>
        <v>1.8000000000003076E-6</v>
      </c>
      <c r="L18" s="28">
        <f>J18^4/G18</f>
        <v>6.480000000002215E-13</v>
      </c>
      <c r="N18" s="1276" t="str">
        <f>ID!C47</f>
        <v>Km/h</v>
      </c>
      <c r="O18" s="1277"/>
      <c r="P18" s="1267" t="s">
        <v>254</v>
      </c>
      <c r="Q18" s="1267"/>
      <c r="R18" s="1274" t="s">
        <v>83</v>
      </c>
      <c r="S18" s="1274"/>
      <c r="X18" s="503"/>
    </row>
    <row r="19" spans="2:24" ht="12.75" customHeight="1" x14ac:dyDescent="0.3">
      <c r="B19" s="29" t="s">
        <v>224</v>
      </c>
      <c r="C19" s="496" t="str">
        <f>N18</f>
        <v>Km/h</v>
      </c>
      <c r="D19" s="30" t="s">
        <v>225</v>
      </c>
      <c r="E19" s="494">
        <f>E6</f>
        <v>2.5000000000000001E-2</v>
      </c>
      <c r="F19" s="31">
        <f>SQRT(3)</f>
        <v>1.7320508075688772</v>
      </c>
      <c r="G19" s="23">
        <v>50</v>
      </c>
      <c r="H19" s="195">
        <f>E19/F19</f>
        <v>1.4433756729740645E-2</v>
      </c>
      <c r="I19" s="491">
        <v>1</v>
      </c>
      <c r="J19" s="32">
        <f>H19*I19</f>
        <v>1.4433756729740645E-2</v>
      </c>
      <c r="K19" s="33">
        <f>J19^2</f>
        <v>2.0833333333333337E-4</v>
      </c>
      <c r="L19" s="34">
        <f>J19^4/G19</f>
        <v>8.6805555555555585E-10</v>
      </c>
      <c r="N19" s="1276"/>
      <c r="O19" s="1277"/>
      <c r="P19" s="1267"/>
      <c r="Q19" s="1267"/>
      <c r="R19" s="1274"/>
      <c r="S19" s="1274"/>
      <c r="X19" s="503"/>
    </row>
    <row r="20" spans="2:24" ht="12.75" customHeight="1" x14ac:dyDescent="0.3">
      <c r="B20" s="22" t="s">
        <v>227</v>
      </c>
      <c r="C20" s="492" t="s">
        <v>228</v>
      </c>
      <c r="D20" s="23" t="s">
        <v>225</v>
      </c>
      <c r="E20" s="197">
        <f>'Konversi RPM'!Q4</f>
        <v>-8.1296756655587207E-2</v>
      </c>
      <c r="F20" s="35">
        <f>SQRT(3)</f>
        <v>1.7320508075688772</v>
      </c>
      <c r="G20" s="23">
        <v>50</v>
      </c>
      <c r="H20" s="202">
        <f>E20/F20*O4</f>
        <v>-168.97213562164839</v>
      </c>
      <c r="I20" s="498">
        <f>Q13*0.10472*P22</f>
        <v>1.6598119999999999E-6</v>
      </c>
      <c r="J20" s="36">
        <f>H20*I20</f>
        <v>-2.8046197837043943E-4</v>
      </c>
      <c r="K20" s="33">
        <f>J20^2</f>
        <v>7.8658921311460838E-8</v>
      </c>
      <c r="L20" s="33">
        <f>J20^4/G20</f>
        <v>1.2374451803765176E-16</v>
      </c>
      <c r="N20" s="1271" t="s">
        <v>163</v>
      </c>
      <c r="O20" s="1272"/>
      <c r="P20" s="77">
        <f>1/1000</f>
        <v>1E-3</v>
      </c>
      <c r="Q20" s="484">
        <v>1</v>
      </c>
      <c r="R20" s="63">
        <f>N26</f>
        <v>6.0000000000000005E-2</v>
      </c>
      <c r="S20" s="203" t="s">
        <v>255</v>
      </c>
      <c r="X20" s="503"/>
    </row>
    <row r="21" spans="2:24" x14ac:dyDescent="0.3">
      <c r="B21" s="37" t="s">
        <v>232</v>
      </c>
      <c r="C21" s="492" t="s">
        <v>228</v>
      </c>
      <c r="D21" s="30" t="s">
        <v>222</v>
      </c>
      <c r="E21" s="495">
        <f>'Konversi RPM'!O4</f>
        <v>0.20228211785905753</v>
      </c>
      <c r="F21" s="38">
        <v>2</v>
      </c>
      <c r="G21" s="23">
        <v>50</v>
      </c>
      <c r="H21" s="196">
        <f>E21/F21*O4</f>
        <v>364.10781214630356</v>
      </c>
      <c r="I21" s="498">
        <f>Q13*0.10472*P22</f>
        <v>1.6598119999999999E-6</v>
      </c>
      <c r="J21" s="32">
        <f>H21*I21</f>
        <v>6.0435051589418037E-4</v>
      </c>
      <c r="K21" s="33">
        <f>J21^2</f>
        <v>3.6523954606156199E-7</v>
      </c>
      <c r="L21" s="33">
        <f>J21^4/G21</f>
        <v>2.6679985201451171E-15</v>
      </c>
      <c r="N21" s="1271" t="s">
        <v>256</v>
      </c>
      <c r="O21" s="1272"/>
      <c r="P21" s="500">
        <v>6.2137100000000001E-4</v>
      </c>
      <c r="Q21" s="484">
        <v>2</v>
      </c>
      <c r="R21" s="63">
        <f>T26</f>
        <v>3.7282364198988407E-2</v>
      </c>
      <c r="S21" s="203" t="s">
        <v>257</v>
      </c>
      <c r="X21" s="503"/>
    </row>
    <row r="22" spans="2:24" x14ac:dyDescent="0.3">
      <c r="B22" s="187" t="s">
        <v>234</v>
      </c>
      <c r="C22" s="496" t="s">
        <v>221</v>
      </c>
      <c r="D22" s="188" t="s">
        <v>225</v>
      </c>
      <c r="E22" s="193">
        <f>E9</f>
        <v>2.5000000000000001E-2</v>
      </c>
      <c r="F22" s="189">
        <f>SQRT(3)</f>
        <v>1.7320508075688772</v>
      </c>
      <c r="G22" s="188">
        <f>0.5*(100/10)^2</f>
        <v>50</v>
      </c>
      <c r="H22" s="198">
        <f>E22/F22</f>
        <v>1.4433756729740645E-2</v>
      </c>
      <c r="I22" s="492">
        <f>R22</f>
        <v>6.0000000000000005E-2</v>
      </c>
      <c r="J22" s="190">
        <f>H22*I22</f>
        <v>8.660254037844388E-4</v>
      </c>
      <c r="K22" s="191">
        <f>J22^2</f>
        <v>7.5000000000000023E-7</v>
      </c>
      <c r="L22" s="192">
        <f>J22^4/G22</f>
        <v>1.1250000000000007E-14</v>
      </c>
      <c r="N22" s="1271">
        <f>VLOOKUP(N18,N20:Q21,4,FALSE)</f>
        <v>1</v>
      </c>
      <c r="O22" s="1272"/>
      <c r="P22" s="77">
        <f>VLOOKUP(N18,N20:Q21,3,FALSE)</f>
        <v>1E-3</v>
      </c>
      <c r="Q22" s="484"/>
      <c r="R22" s="1274">
        <f>VLOOKUP(N18,N20:R21,5,FALSE)</f>
        <v>6.0000000000000005E-2</v>
      </c>
      <c r="S22" s="1274"/>
      <c r="X22" s="503"/>
    </row>
    <row r="23" spans="2:24" ht="14.5" x14ac:dyDescent="0.35">
      <c r="B23" s="39" t="s">
        <v>236</v>
      </c>
      <c r="C23" s="40"/>
      <c r="D23" s="40"/>
      <c r="E23" s="40"/>
      <c r="F23" s="41"/>
      <c r="G23" s="40"/>
      <c r="H23" s="40"/>
      <c r="I23" s="40"/>
      <c r="J23" s="40"/>
      <c r="K23" s="42">
        <f>SUM(K18:K22)</f>
        <v>2.113272318007067E-4</v>
      </c>
      <c r="L23" s="27">
        <f>SUM(L18:L22)</f>
        <v>8.6871759729859421E-10</v>
      </c>
      <c r="N23" s="502"/>
      <c r="R23" s="1273"/>
      <c r="S23" s="1273"/>
      <c r="X23" s="503"/>
    </row>
    <row r="24" spans="2:24" ht="16.5" x14ac:dyDescent="0.45">
      <c r="B24" s="43" t="s">
        <v>237</v>
      </c>
      <c r="C24" s="44"/>
      <c r="D24" s="44"/>
      <c r="E24" s="44"/>
      <c r="F24" s="45"/>
      <c r="G24" s="44"/>
      <c r="H24" s="46" t="s">
        <v>238</v>
      </c>
      <c r="I24" s="44"/>
      <c r="J24" s="44"/>
      <c r="K24" s="47">
        <f>SQRT(K23)</f>
        <v>1.4537098465674183E-2</v>
      </c>
      <c r="L24" s="48"/>
      <c r="N24" s="510">
        <f>1/1000</f>
        <v>1E-3</v>
      </c>
      <c r="O24" s="64" t="s">
        <v>258</v>
      </c>
      <c r="P24" s="66" t="s">
        <v>259</v>
      </c>
      <c r="Q24" s="67" t="s">
        <v>260</v>
      </c>
      <c r="T24" s="516">
        <f>1/1609.34</f>
        <v>6.2137273664980683E-4</v>
      </c>
      <c r="U24" s="64" t="s">
        <v>258</v>
      </c>
      <c r="V24" s="66" t="s">
        <v>261</v>
      </c>
      <c r="W24" s="67" t="s">
        <v>262</v>
      </c>
      <c r="X24" s="503"/>
    </row>
    <row r="25" spans="2:24" ht="17.5" x14ac:dyDescent="0.45">
      <c r="B25" s="39" t="s">
        <v>243</v>
      </c>
      <c r="C25" s="49"/>
      <c r="D25" s="49"/>
      <c r="E25" s="49"/>
      <c r="F25" s="50"/>
      <c r="G25" s="49"/>
      <c r="H25" s="51" t="s">
        <v>244</v>
      </c>
      <c r="I25" s="49"/>
      <c r="J25" s="49"/>
      <c r="K25" s="52">
        <f>K24^4/(L23)</f>
        <v>51.408189542175734</v>
      </c>
      <c r="L25" s="53"/>
      <c r="N25" s="510">
        <f>1/60</f>
        <v>1.6666666666666666E-2</v>
      </c>
      <c r="O25" s="64" t="s">
        <v>258</v>
      </c>
      <c r="P25" s="66" t="s">
        <v>263</v>
      </c>
      <c r="Q25" s="67" t="s">
        <v>264</v>
      </c>
      <c r="T25" s="516">
        <f>1/60</f>
        <v>1.6666666666666666E-2</v>
      </c>
      <c r="U25" s="64" t="s">
        <v>258</v>
      </c>
      <c r="V25" s="66" t="s">
        <v>263</v>
      </c>
      <c r="W25" s="67" t="s">
        <v>264</v>
      </c>
      <c r="X25" s="503"/>
    </row>
    <row r="26" spans="2:24" ht="15.5" x14ac:dyDescent="0.35">
      <c r="B26" s="43" t="s">
        <v>247</v>
      </c>
      <c r="C26" s="44"/>
      <c r="D26" s="44"/>
      <c r="E26" s="44"/>
      <c r="F26" s="45"/>
      <c r="G26" s="44"/>
      <c r="H26" s="54" t="s">
        <v>248</v>
      </c>
      <c r="I26" s="44"/>
      <c r="J26" s="44"/>
      <c r="K26" s="55">
        <f>1.95996+(2.37356/K25)+(2.818745/K25^2)+(2.546662/K25^3)+(1.761829/K25^4)+(0.245458/K25^5)+(1.000764/K25^6)</f>
        <v>2.0072164256800709</v>
      </c>
      <c r="L26" s="48"/>
      <c r="N26" s="511">
        <f>N24/N25</f>
        <v>6.0000000000000005E-2</v>
      </c>
      <c r="O26" s="68"/>
      <c r="P26" s="65"/>
      <c r="Q26" s="67"/>
      <c r="R26" s="67"/>
      <c r="T26" s="204">
        <f>T24/T25</f>
        <v>3.7282364198988407E-2</v>
      </c>
      <c r="X26" s="503"/>
    </row>
    <row r="27" spans="2:24" ht="14.5" x14ac:dyDescent="0.35">
      <c r="B27" s="56" t="s">
        <v>250</v>
      </c>
      <c r="C27" s="57"/>
      <c r="D27" s="57"/>
      <c r="E27" s="57"/>
      <c r="F27" s="58"/>
      <c r="G27" s="57"/>
      <c r="H27" s="59" t="s">
        <v>251</v>
      </c>
      <c r="I27" s="57"/>
      <c r="J27" s="57"/>
      <c r="K27" s="60">
        <f>K24*K26</f>
        <v>2.9179102822029776E-2</v>
      </c>
      <c r="L27" s="61" t="str">
        <f>N18</f>
        <v>Km/h</v>
      </c>
      <c r="N27" s="512" t="s">
        <v>255</v>
      </c>
      <c r="T27" s="200" t="s">
        <v>257</v>
      </c>
      <c r="X27" s="503"/>
    </row>
    <row r="28" spans="2:24" ht="14.5" x14ac:dyDescent="0.35">
      <c r="B28" s="39"/>
      <c r="C28" s="49"/>
      <c r="D28" s="49"/>
      <c r="E28" s="49"/>
      <c r="F28" s="50"/>
      <c r="G28" s="49"/>
      <c r="H28" s="51"/>
      <c r="I28" s="49"/>
      <c r="J28" s="49"/>
      <c r="K28" s="436">
        <f>K27/D16*100</f>
        <v>0.72947757055074436</v>
      </c>
      <c r="L28" s="437" t="s">
        <v>253</v>
      </c>
      <c r="N28" s="502"/>
      <c r="X28" s="503"/>
    </row>
    <row r="29" spans="2:24" x14ac:dyDescent="0.3">
      <c r="B29" s="11" t="s">
        <v>203</v>
      </c>
      <c r="C29" s="12"/>
      <c r="D29" s="194">
        <f>ID!B38</f>
        <v>5.5</v>
      </c>
      <c r="E29" s="14"/>
      <c r="L29" s="10"/>
      <c r="N29" s="525" t="s">
        <v>265</v>
      </c>
      <c r="O29" s="1263" t="str">
        <f>"m/mnt to "&amp;N18</f>
        <v>m/mnt to Km/h</v>
      </c>
      <c r="P29" s="1263"/>
      <c r="Q29" s="1263"/>
      <c r="R29" s="1263"/>
      <c r="S29" s="1263"/>
      <c r="T29" s="1263"/>
      <c r="X29" s="503"/>
    </row>
    <row r="30" spans="2:24" ht="14.5" x14ac:dyDescent="0.35">
      <c r="B30" s="17" t="s">
        <v>207</v>
      </c>
      <c r="C30" s="18" t="s">
        <v>208</v>
      </c>
      <c r="D30" s="19" t="s">
        <v>209</v>
      </c>
      <c r="E30" s="18" t="s">
        <v>210</v>
      </c>
      <c r="F30" s="20" t="s">
        <v>211</v>
      </c>
      <c r="G30" s="18" t="s">
        <v>212</v>
      </c>
      <c r="H30" s="19" t="s">
        <v>213</v>
      </c>
      <c r="I30" s="18" t="s">
        <v>214</v>
      </c>
      <c r="J30" s="19" t="s">
        <v>205</v>
      </c>
      <c r="K30" s="18" t="s">
        <v>215</v>
      </c>
      <c r="L30" s="21" t="s">
        <v>216</v>
      </c>
      <c r="N30" s="509" t="str">
        <f>N18</f>
        <v>Km/h</v>
      </c>
      <c r="O30" s="77">
        <v>1</v>
      </c>
      <c r="P30" s="77">
        <v>2</v>
      </c>
      <c r="Q30" s="77">
        <v>3</v>
      </c>
      <c r="R30" s="77">
        <v>4</v>
      </c>
      <c r="S30" s="77">
        <v>5</v>
      </c>
      <c r="T30" s="77">
        <v>6</v>
      </c>
      <c r="X30" s="503"/>
    </row>
    <row r="31" spans="2:24" x14ac:dyDescent="0.3">
      <c r="B31" s="22" t="s">
        <v>220</v>
      </c>
      <c r="C31" s="496" t="s">
        <v>221</v>
      </c>
      <c r="D31" s="24" t="s">
        <v>222</v>
      </c>
      <c r="E31" s="493">
        <f>STDEV(ID!C38:H38)</f>
        <v>5.4772255750521283E-2</v>
      </c>
      <c r="F31" s="25">
        <f>SQRT(6)</f>
        <v>2.4494897427831779</v>
      </c>
      <c r="G31" s="23">
        <v>5</v>
      </c>
      <c r="H31" s="199">
        <f>E31/F31</f>
        <v>2.2360679774999805E-2</v>
      </c>
      <c r="I31" s="497">
        <f>R22</f>
        <v>6.0000000000000005E-2</v>
      </c>
      <c r="J31" s="26">
        <f>H31*I31</f>
        <v>1.3416407864999885E-3</v>
      </c>
      <c r="K31" s="27">
        <f>J31^2</f>
        <v>1.8000000000003076E-6</v>
      </c>
      <c r="L31" s="28">
        <f>J31^4/G31</f>
        <v>6.480000000002215E-13</v>
      </c>
      <c r="N31" s="504">
        <f>ID!B36</f>
        <v>2.7</v>
      </c>
      <c r="O31" s="63">
        <f>ID!C$36*$R$22</f>
        <v>2.7</v>
      </c>
      <c r="P31" s="63">
        <f>ID!D$36*$R$22</f>
        <v>2.7</v>
      </c>
      <c r="Q31" s="63">
        <f>ID!E$36*$R$22</f>
        <v>2.7</v>
      </c>
      <c r="R31" s="63">
        <f>ID!F$36*$R$22</f>
        <v>2.7</v>
      </c>
      <c r="S31" s="63">
        <f>ID!G$36*$R$22</f>
        <v>2.7</v>
      </c>
      <c r="T31" s="63">
        <f>ID!H$36*$R$22</f>
        <v>2.7</v>
      </c>
      <c r="X31" s="503"/>
    </row>
    <row r="32" spans="2:24" x14ac:dyDescent="0.3">
      <c r="B32" s="29" t="s">
        <v>224</v>
      </c>
      <c r="C32" s="496" t="str">
        <f>N18</f>
        <v>Km/h</v>
      </c>
      <c r="D32" s="30" t="s">
        <v>225</v>
      </c>
      <c r="E32" s="494">
        <f>E6</f>
        <v>2.5000000000000001E-2</v>
      </c>
      <c r="F32" s="31">
        <f>SQRT(3)</f>
        <v>1.7320508075688772</v>
      </c>
      <c r="G32" s="23">
        <v>50</v>
      </c>
      <c r="H32" s="195">
        <f>E32/F32</f>
        <v>1.4433756729740645E-2</v>
      </c>
      <c r="I32" s="491">
        <v>1</v>
      </c>
      <c r="J32" s="32">
        <f>H32*I32</f>
        <v>1.4433756729740645E-2</v>
      </c>
      <c r="K32" s="33">
        <f>J32^2</f>
        <v>2.0833333333333337E-4</v>
      </c>
      <c r="L32" s="34">
        <f>J32^4/G32</f>
        <v>8.6805555555555585E-10</v>
      </c>
      <c r="N32" s="504">
        <f>ID!B37</f>
        <v>4</v>
      </c>
      <c r="O32" s="63">
        <f>ID!C$37*$R$22</f>
        <v>4.0320000000000009</v>
      </c>
      <c r="P32" s="63">
        <f>ID!D$37*$R$22</f>
        <v>4.0259999999999998</v>
      </c>
      <c r="Q32" s="63">
        <f>ID!E$37*$R$22</f>
        <v>4.0320000000000009</v>
      </c>
      <c r="R32" s="63">
        <f>ID!F$37*$R$22</f>
        <v>4.0259999999999998</v>
      </c>
      <c r="S32" s="63">
        <f>ID!G$37*$R$22</f>
        <v>4.0320000000000009</v>
      </c>
      <c r="T32" s="63">
        <f>ID!H$37*$R$22</f>
        <v>4.0259999999999998</v>
      </c>
      <c r="X32" s="503"/>
    </row>
    <row r="33" spans="2:24" x14ac:dyDescent="0.3">
      <c r="B33" s="22" t="s">
        <v>227</v>
      </c>
      <c r="C33" s="492" t="s">
        <v>228</v>
      </c>
      <c r="D33" s="23" t="s">
        <v>225</v>
      </c>
      <c r="E33" s="197">
        <f>'Konversi RPM'!Q5</f>
        <v>-7.5195720564128779E-2</v>
      </c>
      <c r="F33" s="35">
        <f>SQRT(3)</f>
        <v>1.7320508075688772</v>
      </c>
      <c r="G33" s="23">
        <v>50</v>
      </c>
      <c r="H33" s="202">
        <f>E33/F33*O4</f>
        <v>-156.29137023458748</v>
      </c>
      <c r="I33" s="498">
        <f>Q13*0.10472*P22</f>
        <v>1.6598119999999999E-6</v>
      </c>
      <c r="J33" s="36">
        <f>H33*I33</f>
        <v>-2.5941429181181106E-4</v>
      </c>
      <c r="K33" s="33">
        <f>J33^2</f>
        <v>6.7295774796223461E-8</v>
      </c>
      <c r="L33" s="33">
        <f>J33^4/G33</f>
        <v>9.0574426108480501E-17</v>
      </c>
      <c r="N33" s="504">
        <f>ID!B38</f>
        <v>5.5</v>
      </c>
      <c r="O33" s="63">
        <f>ID!C$38*$R$22</f>
        <v>5.4660000000000002</v>
      </c>
      <c r="P33" s="63">
        <f>ID!D$38*$R$22</f>
        <v>5.4720000000000004</v>
      </c>
      <c r="Q33" s="63">
        <f>ID!E$38*$R$22</f>
        <v>5.4660000000000002</v>
      </c>
      <c r="R33" s="63">
        <f>ID!F$38*$R$22</f>
        <v>5.4720000000000004</v>
      </c>
      <c r="S33" s="63">
        <f>ID!G$38*$R$22</f>
        <v>5.4660000000000002</v>
      </c>
      <c r="T33" s="63">
        <f>ID!H$38*$R$22</f>
        <v>5.4720000000000004</v>
      </c>
      <c r="X33" s="503"/>
    </row>
    <row r="34" spans="2:24" x14ac:dyDescent="0.3">
      <c r="B34" s="37" t="s">
        <v>232</v>
      </c>
      <c r="C34" s="492" t="s">
        <v>228</v>
      </c>
      <c r="D34" s="30" t="s">
        <v>222</v>
      </c>
      <c r="E34" s="495">
        <f>'Konversi RPM'!O5</f>
        <v>0.27457912343766694</v>
      </c>
      <c r="F34" s="38">
        <v>2</v>
      </c>
      <c r="G34" s="23">
        <v>50</v>
      </c>
      <c r="H34" s="196">
        <f>E34/F34*O4</f>
        <v>494.24242218780051</v>
      </c>
      <c r="I34" s="498">
        <f>Q13*0.10472*P22</f>
        <v>1.6598119999999999E-6</v>
      </c>
      <c r="J34" s="32">
        <f>H34*I34</f>
        <v>8.2034950325637749E-4</v>
      </c>
      <c r="K34" s="33">
        <f>J34^2</f>
        <v>6.7297330749298535E-7</v>
      </c>
      <c r="L34" s="33">
        <f>J34^4/G34</f>
        <v>9.0578614519609644E-15</v>
      </c>
      <c r="N34" s="504">
        <f>ID!B39</f>
        <v>6.8</v>
      </c>
      <c r="O34" s="63">
        <f>ID!C$39*$R$22</f>
        <v>6.7680000000000007</v>
      </c>
      <c r="P34" s="63">
        <f>ID!D$39*$R$22</f>
        <v>6.7740000000000009</v>
      </c>
      <c r="Q34" s="63">
        <f>ID!E$39*$R$22</f>
        <v>6.7680000000000007</v>
      </c>
      <c r="R34" s="63">
        <f>ID!F$39*$R$22</f>
        <v>6.7740000000000009</v>
      </c>
      <c r="S34" s="63">
        <f>ID!G$39*$R$22</f>
        <v>6.7680000000000007</v>
      </c>
      <c r="T34" s="63">
        <f>ID!H$39*$R$22</f>
        <v>6.7740000000000009</v>
      </c>
      <c r="X34" s="503"/>
    </row>
    <row r="35" spans="2:24" ht="13.5" thickBot="1" x14ac:dyDescent="0.35">
      <c r="B35" s="187" t="s">
        <v>234</v>
      </c>
      <c r="C35" s="496" t="s">
        <v>221</v>
      </c>
      <c r="D35" s="188" t="s">
        <v>225</v>
      </c>
      <c r="E35" s="193">
        <f>E22</f>
        <v>2.5000000000000001E-2</v>
      </c>
      <c r="F35" s="189">
        <f>SQRT(3)</f>
        <v>1.7320508075688772</v>
      </c>
      <c r="G35" s="188">
        <f>0.5*(100/10)^2</f>
        <v>50</v>
      </c>
      <c r="H35" s="198">
        <f>E35/F35</f>
        <v>1.4433756729740645E-2</v>
      </c>
      <c r="I35" s="492">
        <f>R22</f>
        <v>6.0000000000000005E-2</v>
      </c>
      <c r="J35" s="190">
        <f>H35*I35</f>
        <v>8.660254037844388E-4</v>
      </c>
      <c r="K35" s="191">
        <f>J35^2</f>
        <v>7.5000000000000023E-7</v>
      </c>
      <c r="L35" s="192">
        <f>J35^4/G35</f>
        <v>1.1250000000000007E-14</v>
      </c>
      <c r="N35" s="507">
        <f>ID!B40</f>
        <v>8</v>
      </c>
      <c r="O35" s="508">
        <f>ID!C$40*$R$22</f>
        <v>8.0580000000000016</v>
      </c>
      <c r="P35" s="508">
        <f>ID!D$40*$R$22</f>
        <v>8.0519999999999996</v>
      </c>
      <c r="Q35" s="508">
        <f>ID!E$40*$R$22</f>
        <v>8.0580000000000016</v>
      </c>
      <c r="R35" s="508">
        <f>ID!F$40*$R$22</f>
        <v>8.0519999999999996</v>
      </c>
      <c r="S35" s="508">
        <f>ID!G$40*$R$22</f>
        <v>8.0580000000000016</v>
      </c>
      <c r="T35" s="508">
        <f>ID!H$40*$R$22</f>
        <v>8.0519999999999996</v>
      </c>
      <c r="U35" s="505"/>
      <c r="V35" s="505"/>
      <c r="W35" s="505"/>
      <c r="X35" s="506"/>
    </row>
    <row r="36" spans="2:24" ht="15" thickBot="1" x14ac:dyDescent="0.4">
      <c r="B36" s="39" t="s">
        <v>236</v>
      </c>
      <c r="C36" s="40"/>
      <c r="D36" s="40"/>
      <c r="E36" s="40"/>
      <c r="F36" s="41"/>
      <c r="G36" s="40"/>
      <c r="H36" s="40"/>
      <c r="I36" s="40"/>
      <c r="J36" s="40"/>
      <c r="K36" s="42">
        <f>SUM(K31:K35)</f>
        <v>2.116236024156229E-4</v>
      </c>
      <c r="L36" s="27">
        <f>SUM(L31:L35)</f>
        <v>8.687239539914341E-10</v>
      </c>
    </row>
    <row r="37" spans="2:24" ht="18.5" x14ac:dyDescent="0.45">
      <c r="B37" s="43" t="s">
        <v>237</v>
      </c>
      <c r="C37" s="44"/>
      <c r="D37" s="44"/>
      <c r="E37" s="44"/>
      <c r="F37" s="45"/>
      <c r="G37" s="44"/>
      <c r="H37" s="46" t="s">
        <v>238</v>
      </c>
      <c r="I37" s="44"/>
      <c r="J37" s="44"/>
      <c r="K37" s="47">
        <f>SQRT(K36)</f>
        <v>1.4547288490149045E-2</v>
      </c>
      <c r="L37" s="48"/>
      <c r="N37" s="1260" t="str">
        <f>"KONVERSI "&amp;Q43&amp;" to RPM"</f>
        <v>KONVERSI Km/h to RPM</v>
      </c>
      <c r="O37" s="1261"/>
      <c r="P37" s="1261"/>
      <c r="Q37" s="1261"/>
      <c r="R37" s="1261"/>
      <c r="S37" s="1261"/>
      <c r="T37" s="1262"/>
    </row>
    <row r="38" spans="2:24" ht="17.5" x14ac:dyDescent="0.45">
      <c r="B38" s="39" t="s">
        <v>243</v>
      </c>
      <c r="C38" s="49"/>
      <c r="D38" s="49"/>
      <c r="E38" s="49"/>
      <c r="F38" s="50"/>
      <c r="G38" s="49"/>
      <c r="H38" s="51" t="s">
        <v>244</v>
      </c>
      <c r="I38" s="49"/>
      <c r="J38" s="49"/>
      <c r="K38" s="52">
        <f>K37^4/(L36)</f>
        <v>51.552105698937837</v>
      </c>
      <c r="L38" s="53"/>
      <c r="N38" s="502"/>
      <c r="T38" s="503"/>
    </row>
    <row r="39" spans="2:24" ht="15.5" x14ac:dyDescent="0.35">
      <c r="B39" s="43" t="s">
        <v>247</v>
      </c>
      <c r="C39" s="44"/>
      <c r="D39" s="44"/>
      <c r="E39" s="44"/>
      <c r="F39" s="45"/>
      <c r="G39" s="44"/>
      <c r="H39" s="54" t="s">
        <v>248</v>
      </c>
      <c r="I39" s="44"/>
      <c r="J39" s="44"/>
      <c r="K39" s="55">
        <f>1.95996+(2.37356/K38)+(2.818745/K38^2)+(2.546662/K38^3)+(1.761829/K38^4)+(0.245458/K38^5)+(1.000764/K38^6)</f>
        <v>2.0070814260851542</v>
      </c>
      <c r="L39" s="48"/>
      <c r="N39" s="502" t="s">
        <v>266</v>
      </c>
      <c r="O39" s="1" t="s">
        <v>267</v>
      </c>
      <c r="T39" s="503"/>
    </row>
    <row r="40" spans="2:24" ht="14.5" x14ac:dyDescent="0.35">
      <c r="B40" s="56" t="s">
        <v>250</v>
      </c>
      <c r="C40" s="57"/>
      <c r="D40" s="57"/>
      <c r="E40" s="57"/>
      <c r="F40" s="58"/>
      <c r="G40" s="57"/>
      <c r="H40" s="59" t="s">
        <v>251</v>
      </c>
      <c r="I40" s="57"/>
      <c r="J40" s="57"/>
      <c r="K40" s="60">
        <f>K37*K39</f>
        <v>2.9197592528480493E-2</v>
      </c>
      <c r="L40" s="61" t="str">
        <f>N18</f>
        <v>Km/h</v>
      </c>
      <c r="N40" s="502" t="s">
        <v>268</v>
      </c>
      <c r="O40" s="1" t="s">
        <v>269</v>
      </c>
      <c r="T40" s="503"/>
    </row>
    <row r="41" spans="2:24" x14ac:dyDescent="0.3">
      <c r="B41" s="9"/>
      <c r="K41" s="434">
        <f>K40/D29*100</f>
        <v>0.53086531869964526</v>
      </c>
      <c r="L41" s="435" t="s">
        <v>253</v>
      </c>
      <c r="N41" s="502" t="s">
        <v>270</v>
      </c>
      <c r="O41" s="1" t="s">
        <v>271</v>
      </c>
      <c r="T41" s="503"/>
    </row>
    <row r="42" spans="2:24" x14ac:dyDescent="0.3">
      <c r="B42" s="11" t="s">
        <v>203</v>
      </c>
      <c r="C42" s="12"/>
      <c r="D42" s="194">
        <f>ID!B39</f>
        <v>6.8</v>
      </c>
      <c r="E42" s="14"/>
      <c r="F42" s="15"/>
      <c r="G42" s="15"/>
      <c r="H42" s="15"/>
      <c r="I42" s="15"/>
      <c r="J42" s="15"/>
      <c r="K42" s="15"/>
      <c r="L42" s="16"/>
      <c r="N42" s="502"/>
      <c r="T42" s="503"/>
    </row>
    <row r="43" spans="2:24" ht="15.5" x14ac:dyDescent="0.35">
      <c r="B43" s="17" t="s">
        <v>207</v>
      </c>
      <c r="C43" s="18" t="s">
        <v>208</v>
      </c>
      <c r="D43" s="19" t="s">
        <v>209</v>
      </c>
      <c r="E43" s="18" t="s">
        <v>210</v>
      </c>
      <c r="F43" s="20" t="s">
        <v>211</v>
      </c>
      <c r="G43" s="18" t="s">
        <v>212</v>
      </c>
      <c r="H43" s="19" t="s">
        <v>213</v>
      </c>
      <c r="I43" s="18" t="s">
        <v>214</v>
      </c>
      <c r="J43" s="19" t="s">
        <v>205</v>
      </c>
      <c r="K43" s="18" t="s">
        <v>215</v>
      </c>
      <c r="L43" s="21" t="s">
        <v>216</v>
      </c>
      <c r="N43" s="1266" t="s">
        <v>272</v>
      </c>
      <c r="O43" s="1267"/>
      <c r="Q43" s="515" t="str">
        <f>ID!C47</f>
        <v>Km/h</v>
      </c>
      <c r="R43" s="1264" t="s">
        <v>83</v>
      </c>
      <c r="S43" s="1269"/>
      <c r="T43" s="1270"/>
    </row>
    <row r="44" spans="2:24" x14ac:dyDescent="0.3">
      <c r="B44" s="22" t="s">
        <v>220</v>
      </c>
      <c r="C44" s="496" t="s">
        <v>221</v>
      </c>
      <c r="D44" s="24" t="s">
        <v>222</v>
      </c>
      <c r="E44" s="493">
        <f>STDEV(ID!C39:H39)</f>
        <v>5.4772255750521283E-2</v>
      </c>
      <c r="F44" s="25">
        <f>SQRT(6)</f>
        <v>2.4494897427831779</v>
      </c>
      <c r="G44" s="23">
        <v>5</v>
      </c>
      <c r="H44" s="199">
        <f>E44/F44</f>
        <v>2.2360679774999805E-2</v>
      </c>
      <c r="I44" s="497">
        <f>R22</f>
        <v>6.0000000000000005E-2</v>
      </c>
      <c r="J44" s="26">
        <f>H44*I44</f>
        <v>1.3416407864999885E-3</v>
      </c>
      <c r="K44" s="27">
        <f>J44^2</f>
        <v>1.8000000000003076E-6</v>
      </c>
      <c r="L44" s="28">
        <f>J44^4/G44</f>
        <v>6.480000000002215E-13</v>
      </c>
      <c r="N44" s="526" t="str">
        <f>Q43</f>
        <v>Km/h</v>
      </c>
      <c r="O44" s="77" t="str">
        <f>Q43&amp;" to RPM"</f>
        <v>Km/h to RPM</v>
      </c>
      <c r="Q44" s="483" t="s">
        <v>163</v>
      </c>
      <c r="R44" s="211">
        <f>(1000/3600)/($Q$13*0.10472)</f>
        <v>167.3549641632774</v>
      </c>
      <c r="S44" s="501" t="s">
        <v>268</v>
      </c>
      <c r="T44" s="1268">
        <f>VLOOKUP(Q43,Q44:R45,2,FALSE)</f>
        <v>167.3549641632774</v>
      </c>
    </row>
    <row r="45" spans="2:24" x14ac:dyDescent="0.3">
      <c r="B45" s="29" t="s">
        <v>224</v>
      </c>
      <c r="C45" s="496" t="str">
        <f>N18</f>
        <v>Km/h</v>
      </c>
      <c r="D45" s="30" t="s">
        <v>225</v>
      </c>
      <c r="E45" s="494">
        <f>E6</f>
        <v>2.5000000000000001E-2</v>
      </c>
      <c r="F45" s="31">
        <f>SQRT(3)</f>
        <v>1.7320508075688772</v>
      </c>
      <c r="G45" s="23">
        <v>50</v>
      </c>
      <c r="H45" s="195">
        <f>E45/F45</f>
        <v>1.4433756729740645E-2</v>
      </c>
      <c r="I45" s="491">
        <v>1</v>
      </c>
      <c r="J45" s="32">
        <f>H45*I45</f>
        <v>1.4433756729740645E-2</v>
      </c>
      <c r="K45" s="33">
        <f>J45^2</f>
        <v>2.0833333333333337E-4</v>
      </c>
      <c r="L45" s="34">
        <f>J45^4/G45</f>
        <v>8.6805555555555585E-10</v>
      </c>
      <c r="N45" s="504">
        <f>ID!B36</f>
        <v>2.7</v>
      </c>
      <c r="O45" s="211">
        <f>N$45*$T$44</f>
        <v>451.85840324084899</v>
      </c>
      <c r="Q45" s="483" t="s">
        <v>256</v>
      </c>
      <c r="R45" s="211">
        <f>(1609.34/3600)/($Q$13*0.10472)</f>
        <v>269.33103802652886</v>
      </c>
      <c r="S45" s="212" t="s">
        <v>270</v>
      </c>
      <c r="T45" s="1268"/>
    </row>
    <row r="46" spans="2:24" x14ac:dyDescent="0.3">
      <c r="B46" s="22" t="s">
        <v>227</v>
      </c>
      <c r="C46" s="492" t="s">
        <v>228</v>
      </c>
      <c r="D46" s="23" t="s">
        <v>225</v>
      </c>
      <c r="E46" s="197">
        <f>'Konversi RPM'!Q6</f>
        <v>-6.9679340355139022E-2</v>
      </c>
      <c r="F46" s="35">
        <f>SQRT(3)</f>
        <v>1.7320508075688772</v>
      </c>
      <c r="G46" s="23">
        <v>50</v>
      </c>
      <c r="H46" s="202">
        <f>E46/F46*O4</f>
        <v>-144.82578927958227</v>
      </c>
      <c r="I46" s="498">
        <f>Q13*0.10472*P22</f>
        <v>1.6598119999999999E-6</v>
      </c>
      <c r="J46" s="36">
        <f>H46*I46</f>
        <v>-2.4038358295572199E-4</v>
      </c>
      <c r="K46" s="33">
        <f>J46^2</f>
        <v>5.7784266954630472E-8</v>
      </c>
      <c r="L46" s="33">
        <f>J46^4/G46</f>
        <v>6.6780430149679991E-17</v>
      </c>
      <c r="N46" s="504">
        <f>ID!B37</f>
        <v>4</v>
      </c>
      <c r="O46" s="211">
        <f>N$46*$T$44</f>
        <v>669.4198566531096</v>
      </c>
      <c r="T46" s="503"/>
    </row>
    <row r="47" spans="2:24" x14ac:dyDescent="0.3">
      <c r="B47" s="37" t="s">
        <v>232</v>
      </c>
      <c r="C47" s="492" t="s">
        <v>228</v>
      </c>
      <c r="D47" s="30" t="s">
        <v>222</v>
      </c>
      <c r="E47" s="495">
        <f>'Konversi RPM'!O6</f>
        <v>0.33994798288457567</v>
      </c>
      <c r="F47" s="38">
        <v>2</v>
      </c>
      <c r="G47" s="23">
        <v>50</v>
      </c>
      <c r="H47" s="196">
        <f>E47/F47*O4</f>
        <v>611.90636919223618</v>
      </c>
      <c r="I47" s="498">
        <f>Q13*0.10472*P22</f>
        <v>1.6598119999999999E-6</v>
      </c>
      <c r="J47" s="32">
        <f>H47*I47</f>
        <v>1.0156495344617038E-3</v>
      </c>
      <c r="K47" s="33">
        <f>J47^2</f>
        <v>1.0315439768522757E-6</v>
      </c>
      <c r="L47" s="33">
        <f>J47^4/G47</f>
        <v>2.1281659523604166E-14</v>
      </c>
      <c r="N47" s="504">
        <f>ID!B38</f>
        <v>5.5</v>
      </c>
      <c r="O47" s="211">
        <f>N$47*$T$44</f>
        <v>920.45230289802566</v>
      </c>
      <c r="T47" s="503"/>
    </row>
    <row r="48" spans="2:24" x14ac:dyDescent="0.3">
      <c r="B48" s="187" t="s">
        <v>234</v>
      </c>
      <c r="C48" s="496" t="s">
        <v>221</v>
      </c>
      <c r="D48" s="188" t="s">
        <v>225</v>
      </c>
      <c r="E48" s="193">
        <f>E35</f>
        <v>2.5000000000000001E-2</v>
      </c>
      <c r="F48" s="189">
        <f>SQRT(3)</f>
        <v>1.7320508075688772</v>
      </c>
      <c r="G48" s="188">
        <f>0.5*(100/10)^2</f>
        <v>50</v>
      </c>
      <c r="H48" s="198">
        <f>E48/F48</f>
        <v>1.4433756729740645E-2</v>
      </c>
      <c r="I48" s="492">
        <f>R22</f>
        <v>6.0000000000000005E-2</v>
      </c>
      <c r="J48" s="190">
        <f>H48*I48</f>
        <v>8.660254037844388E-4</v>
      </c>
      <c r="K48" s="191">
        <f>J48^2</f>
        <v>7.5000000000000023E-7</v>
      </c>
      <c r="L48" s="192">
        <f>J48^4/G48</f>
        <v>1.1250000000000007E-14</v>
      </c>
      <c r="N48" s="504">
        <f>ID!B39</f>
        <v>6.8</v>
      </c>
      <c r="O48" s="211">
        <f>N$48*$T$44</f>
        <v>1138.0137563102862</v>
      </c>
      <c r="T48" s="503"/>
    </row>
    <row r="49" spans="1:20" ht="15" thickBot="1" x14ac:dyDescent="0.4">
      <c r="B49" s="39" t="s">
        <v>236</v>
      </c>
      <c r="C49" s="40"/>
      <c r="D49" s="40"/>
      <c r="E49" s="40"/>
      <c r="F49" s="41"/>
      <c r="G49" s="40"/>
      <c r="H49" s="40"/>
      <c r="I49" s="40"/>
      <c r="J49" s="40"/>
      <c r="K49" s="42">
        <f>SUM(K44:K48)</f>
        <v>2.1197266157714059E-4</v>
      </c>
      <c r="L49" s="27">
        <f>SUM(L44:L48)</f>
        <v>8.6873615399550979E-10</v>
      </c>
      <c r="N49" s="507">
        <f>ID!B40</f>
        <v>8</v>
      </c>
      <c r="O49" s="513">
        <f>N$49*$T$44</f>
        <v>1338.8397133062192</v>
      </c>
      <c r="P49" s="505"/>
      <c r="Q49" s="505"/>
      <c r="R49" s="505"/>
      <c r="S49" s="505"/>
      <c r="T49" s="506"/>
    </row>
    <row r="50" spans="1:20" ht="17" thickBot="1" x14ac:dyDescent="0.5">
      <c r="B50" s="43" t="s">
        <v>237</v>
      </c>
      <c r="C50" s="44"/>
      <c r="D50" s="44"/>
      <c r="E50" s="44"/>
      <c r="F50" s="45"/>
      <c r="G50" s="44"/>
      <c r="H50" s="46" t="s">
        <v>238</v>
      </c>
      <c r="I50" s="44"/>
      <c r="J50" s="44"/>
      <c r="K50" s="47">
        <f>SQRT(K49)</f>
        <v>1.4559280942997858E-2</v>
      </c>
      <c r="L50" s="48"/>
    </row>
    <row r="51" spans="1:20" ht="18.5" x14ac:dyDescent="0.45">
      <c r="B51" s="39" t="s">
        <v>243</v>
      </c>
      <c r="C51" s="49"/>
      <c r="D51" s="49"/>
      <c r="E51" s="49"/>
      <c r="F51" s="50"/>
      <c r="G51" s="49"/>
      <c r="H51" s="51" t="s">
        <v>244</v>
      </c>
      <c r="I51" s="49"/>
      <c r="J51" s="49"/>
      <c r="K51" s="52">
        <f>K50^4/(L49)</f>
        <v>51.721583186612968</v>
      </c>
      <c r="L51" s="53"/>
      <c r="N51" s="1260" t="str">
        <f>"KONVERSI RPM to "&amp;R59</f>
        <v>KONVERSI RPM to Km/h</v>
      </c>
      <c r="O51" s="1261"/>
      <c r="P51" s="1261"/>
      <c r="Q51" s="1261"/>
      <c r="R51" s="1261"/>
      <c r="S51" s="1261"/>
      <c r="T51" s="1262"/>
    </row>
    <row r="52" spans="1:20" ht="15.5" x14ac:dyDescent="0.35">
      <c r="A52" s="9"/>
      <c r="B52" s="43" t="s">
        <v>247</v>
      </c>
      <c r="C52" s="44"/>
      <c r="D52" s="44"/>
      <c r="E52" s="44"/>
      <c r="F52" s="45"/>
      <c r="G52" s="44"/>
      <c r="H52" s="54" t="s">
        <v>248</v>
      </c>
      <c r="I52" s="44"/>
      <c r="J52" s="44"/>
      <c r="K52" s="55">
        <f>1.95996+(2.37356/K51)+(2.818745/K51^2)+(2.546662/K51^3)+(1.761829/K51^4)+(0.245458/K51^5)+(1.000764/K51^6)</f>
        <v>2.0069234343924425</v>
      </c>
      <c r="L52" s="48"/>
      <c r="N52" s="502"/>
      <c r="T52" s="503"/>
    </row>
    <row r="53" spans="1:20" ht="14.5" x14ac:dyDescent="0.35">
      <c r="A53" s="9"/>
      <c r="B53" s="43" t="s">
        <v>250</v>
      </c>
      <c r="C53" s="57"/>
      <c r="D53" s="57"/>
      <c r="E53" s="57"/>
      <c r="F53" s="58"/>
      <c r="G53" s="57"/>
      <c r="H53" s="59" t="s">
        <v>251</v>
      </c>
      <c r="I53" s="57"/>
      <c r="J53" s="57"/>
      <c r="K53" s="60">
        <f>K50*K52</f>
        <v>2.9219362112405698E-2</v>
      </c>
      <c r="L53" s="61" t="str">
        <f>N18</f>
        <v>Km/h</v>
      </c>
      <c r="N53" s="502"/>
      <c r="P53" s="1264" t="s">
        <v>204</v>
      </c>
      <c r="Q53" s="1265"/>
      <c r="T53" s="503"/>
    </row>
    <row r="54" spans="1:20" ht="15.75" customHeight="1" x14ac:dyDescent="0.3">
      <c r="A54" s="9"/>
      <c r="C54" s="62"/>
      <c r="K54" s="434">
        <f>K53/D42*100</f>
        <v>0.42969650165302503</v>
      </c>
      <c r="L54" s="435" t="s">
        <v>253</v>
      </c>
      <c r="N54" s="502"/>
      <c r="T54" s="503"/>
    </row>
    <row r="55" spans="1:20" ht="15.75" customHeight="1" x14ac:dyDescent="0.3">
      <c r="B55" s="11" t="s">
        <v>203</v>
      </c>
      <c r="C55" s="12"/>
      <c r="D55" s="194">
        <f>ID!B40</f>
        <v>8</v>
      </c>
      <c r="E55" s="14"/>
      <c r="F55" s="15"/>
      <c r="G55" s="15"/>
      <c r="H55" s="15"/>
      <c r="I55" s="15"/>
      <c r="J55" s="15"/>
      <c r="K55" s="15"/>
      <c r="L55" s="16"/>
      <c r="N55" s="502" t="s">
        <v>217</v>
      </c>
      <c r="O55" s="201">
        <v>3600</v>
      </c>
      <c r="Q55" s="1" t="s">
        <v>229</v>
      </c>
      <c r="R55" s="201">
        <v>3600</v>
      </c>
      <c r="T55" s="503"/>
    </row>
    <row r="56" spans="1:20" ht="15.75" customHeight="1" x14ac:dyDescent="0.35">
      <c r="B56" s="17" t="s">
        <v>207</v>
      </c>
      <c r="C56" s="18" t="s">
        <v>208</v>
      </c>
      <c r="D56" s="19" t="s">
        <v>209</v>
      </c>
      <c r="E56" s="18" t="s">
        <v>210</v>
      </c>
      <c r="F56" s="20" t="s">
        <v>211</v>
      </c>
      <c r="G56" s="18" t="s">
        <v>212</v>
      </c>
      <c r="H56" s="19" t="s">
        <v>213</v>
      </c>
      <c r="I56" s="18" t="s">
        <v>214</v>
      </c>
      <c r="J56" s="19" t="s">
        <v>205</v>
      </c>
      <c r="K56" s="18" t="s">
        <v>215</v>
      </c>
      <c r="L56" s="21" t="s">
        <v>216</v>
      </c>
      <c r="N56" s="502"/>
      <c r="O56" s="200">
        <v>1000</v>
      </c>
      <c r="R56" s="200">
        <v>1609.34</v>
      </c>
      <c r="T56" s="503"/>
    </row>
    <row r="57" spans="1:20" ht="15.75" customHeight="1" x14ac:dyDescent="0.3">
      <c r="B57" s="22" t="s">
        <v>220</v>
      </c>
      <c r="C57" s="496" t="s">
        <v>221</v>
      </c>
      <c r="D57" s="24" t="s">
        <v>222</v>
      </c>
      <c r="E57" s="493">
        <f>STDEV(ID!C40:H40)</f>
        <v>5.4772255750529061E-2</v>
      </c>
      <c r="F57" s="25">
        <f>SQRT(6)</f>
        <v>2.4494897427831779</v>
      </c>
      <c r="G57" s="23">
        <v>5</v>
      </c>
      <c r="H57" s="199">
        <f>E57/F57</f>
        <v>2.2360679775002983E-2</v>
      </c>
      <c r="I57" s="497">
        <f>R22</f>
        <v>6.0000000000000005E-2</v>
      </c>
      <c r="J57" s="26">
        <f>H57*I57</f>
        <v>1.3416407865001791E-3</v>
      </c>
      <c r="K57" s="27">
        <f>J57^2</f>
        <v>1.800000000000819E-6</v>
      </c>
      <c r="L57" s="28">
        <f>J57^4/G57</f>
        <v>6.4800000000058965E-13</v>
      </c>
      <c r="N57" s="502" t="s">
        <v>273</v>
      </c>
      <c r="Q57" s="1" t="s">
        <v>274</v>
      </c>
      <c r="T57" s="503"/>
    </row>
    <row r="58" spans="1:20" ht="15.75" customHeight="1" x14ac:dyDescent="0.3">
      <c r="B58" s="29" t="s">
        <v>224</v>
      </c>
      <c r="C58" s="496" t="str">
        <f>N18</f>
        <v>Km/h</v>
      </c>
      <c r="D58" s="30" t="s">
        <v>225</v>
      </c>
      <c r="E58" s="494">
        <f>E6</f>
        <v>2.5000000000000001E-2</v>
      </c>
      <c r="F58" s="31">
        <f>SQRT(3)</f>
        <v>1.7320508075688772</v>
      </c>
      <c r="G58" s="23">
        <v>50</v>
      </c>
      <c r="H58" s="195">
        <f>E58/F58</f>
        <v>1.4433756729740645E-2</v>
      </c>
      <c r="I58" s="491">
        <v>1</v>
      </c>
      <c r="J58" s="32">
        <f>H58*I58</f>
        <v>1.4433756729740645E-2</v>
      </c>
      <c r="K58" s="33">
        <f>J58^2</f>
        <v>2.0833333333333337E-4</v>
      </c>
      <c r="L58" s="34">
        <f>J58^4/G58</f>
        <v>8.6805555555555585E-10</v>
      </c>
      <c r="N58" s="502"/>
      <c r="T58" s="503"/>
    </row>
    <row r="59" spans="1:20" ht="15.75" customHeight="1" x14ac:dyDescent="0.3">
      <c r="B59" s="22" t="s">
        <v>227</v>
      </c>
      <c r="C59" s="492" t="s">
        <v>228</v>
      </c>
      <c r="D59" s="23" t="s">
        <v>225</v>
      </c>
      <c r="E59" s="197">
        <f>'Konversi RPM'!Q7</f>
        <v>-6.423918446856848E-2</v>
      </c>
      <c r="F59" s="35">
        <f>SQRT(3)</f>
        <v>1.7320508075688772</v>
      </c>
      <c r="G59" s="23">
        <v>50</v>
      </c>
      <c r="H59" s="202">
        <f>E59/F59*O4</f>
        <v>-133.51863760362016</v>
      </c>
      <c r="I59" s="498">
        <f>Q13*0.10472*P22</f>
        <v>1.6598119999999999E-6</v>
      </c>
      <c r="J59" s="36">
        <f>H59*I59</f>
        <v>-2.2161583691813997E-4</v>
      </c>
      <c r="K59" s="33">
        <f>J59^2</f>
        <v>4.9113579172927613E-8</v>
      </c>
      <c r="L59" s="33">
        <f>J59^4/G59</f>
        <v>4.8242873183508577E-17</v>
      </c>
      <c r="N59" s="525" t="s">
        <v>272</v>
      </c>
      <c r="O59" s="1263" t="s">
        <v>275</v>
      </c>
      <c r="P59" s="1263"/>
      <c r="R59" s="514" t="str">
        <f>ID!C47</f>
        <v>Km/h</v>
      </c>
      <c r="S59" s="1258" t="s">
        <v>83</v>
      </c>
      <c r="T59" s="1259"/>
    </row>
    <row r="60" spans="1:20" ht="15.75" customHeight="1" x14ac:dyDescent="0.3">
      <c r="B60" s="37" t="s">
        <v>232</v>
      </c>
      <c r="C60" s="492" t="s">
        <v>228</v>
      </c>
      <c r="D60" s="30" t="s">
        <v>222</v>
      </c>
      <c r="E60" s="495">
        <f>'Konversi RPM'!O7</f>
        <v>0.40441358751040851</v>
      </c>
      <c r="F60" s="38">
        <v>2</v>
      </c>
      <c r="G60" s="23">
        <v>50</v>
      </c>
      <c r="H60" s="196">
        <f>E60/F60*O4</f>
        <v>727.94445751873536</v>
      </c>
      <c r="I60" s="498">
        <f>Q13*0.10472*P22</f>
        <v>1.6598119999999999E-6</v>
      </c>
      <c r="J60" s="32">
        <f>H60*I60</f>
        <v>1.2082509459230872E-3</v>
      </c>
      <c r="K60" s="33">
        <f>J60^2</f>
        <v>1.459870348324035E-6</v>
      </c>
      <c r="L60" s="33">
        <f>J60^4/G60</f>
        <v>4.2624428678314788E-14</v>
      </c>
      <c r="N60" s="509" t="str">
        <f>R59</f>
        <v>Km/h</v>
      </c>
      <c r="O60" s="77" t="s">
        <v>228</v>
      </c>
      <c r="P60" s="77" t="str">
        <f>R59</f>
        <v>Km/h</v>
      </c>
      <c r="R60" s="483" t="s">
        <v>163</v>
      </c>
      <c r="S60" s="499">
        <f>($Q$13*0.10472)*3600/1000</f>
        <v>5.9753231999999995E-3</v>
      </c>
      <c r="T60" s="1257">
        <f>VLOOKUP(R59,R60:S61,2,FALSE)</f>
        <v>5.9753231999999995E-3</v>
      </c>
    </row>
    <row r="61" spans="1:20" ht="15.75" customHeight="1" x14ac:dyDescent="0.3">
      <c r="B61" s="187" t="s">
        <v>234</v>
      </c>
      <c r="C61" s="496" t="s">
        <v>221</v>
      </c>
      <c r="D61" s="188" t="s">
        <v>225</v>
      </c>
      <c r="E61" s="193">
        <f>E48</f>
        <v>2.5000000000000001E-2</v>
      </c>
      <c r="F61" s="189">
        <f>SQRT(3)</f>
        <v>1.7320508075688772</v>
      </c>
      <c r="G61" s="188">
        <f>0.5*(100/10)^2</f>
        <v>50</v>
      </c>
      <c r="H61" s="198">
        <f>E61/F61</f>
        <v>1.4433756729740645E-2</v>
      </c>
      <c r="I61" s="492">
        <f>R22</f>
        <v>6.0000000000000005E-2</v>
      </c>
      <c r="J61" s="190">
        <f>H61*I61</f>
        <v>8.660254037844388E-4</v>
      </c>
      <c r="K61" s="191">
        <f>J61^2</f>
        <v>7.5000000000000023E-7</v>
      </c>
      <c r="L61" s="192">
        <f>J61^4/G61</f>
        <v>1.1250000000000007E-14</v>
      </c>
      <c r="N61" s="504">
        <f>N45</f>
        <v>2.7</v>
      </c>
      <c r="O61" s="63">
        <f>'Konversi RPM'!G3</f>
        <v>452.15946633650441</v>
      </c>
      <c r="P61" s="63">
        <f>O61*$T$60</f>
        <v>2.7017989493001338</v>
      </c>
      <c r="R61" s="483" t="s">
        <v>256</v>
      </c>
      <c r="S61" s="499">
        <f>($Q$13*0.10472)*3600/1609.34</f>
        <v>3.7129029291510804E-3</v>
      </c>
      <c r="T61" s="1257"/>
    </row>
    <row r="62" spans="1:20" ht="15.75" customHeight="1" x14ac:dyDescent="0.35">
      <c r="B62" s="39" t="s">
        <v>236</v>
      </c>
      <c r="C62" s="40"/>
      <c r="D62" s="40"/>
      <c r="E62" s="40"/>
      <c r="F62" s="41"/>
      <c r="G62" s="40"/>
      <c r="H62" s="40"/>
      <c r="I62" s="40"/>
      <c r="J62" s="40"/>
      <c r="K62" s="42">
        <f>SUM(K57:K61)</f>
        <v>2.1239231726083115E-4</v>
      </c>
      <c r="L62" s="27">
        <f>SUM(L57:L61)</f>
        <v>8.6875747822710788E-10</v>
      </c>
      <c r="N62" s="504">
        <f>N46</f>
        <v>4</v>
      </c>
      <c r="O62" s="63">
        <f>'Konversi RPM'!G4</f>
        <v>674.54980318668947</v>
      </c>
      <c r="P62" s="63">
        <f>O62*$T$60</f>
        <v>4.0306530885368588</v>
      </c>
      <c r="T62" s="503"/>
    </row>
    <row r="63" spans="1:20" ht="15.75" customHeight="1" x14ac:dyDescent="0.45">
      <c r="B63" s="43" t="s">
        <v>237</v>
      </c>
      <c r="C63" s="44"/>
      <c r="D63" s="44"/>
      <c r="E63" s="44"/>
      <c r="F63" s="45"/>
      <c r="G63" s="44"/>
      <c r="H63" s="46" t="s">
        <v>238</v>
      </c>
      <c r="I63" s="44"/>
      <c r="J63" s="44"/>
      <c r="K63" s="47">
        <f>SQRT(K62)</f>
        <v>1.4573685781600726E-2</v>
      </c>
      <c r="L63" s="48"/>
      <c r="N63" s="504">
        <f>N47</f>
        <v>5.5</v>
      </c>
      <c r="O63" s="63">
        <f>'Konversi RPM'!G5</f>
        <v>915.51278559395053</v>
      </c>
      <c r="P63" s="63">
        <f>O63*$T$60</f>
        <v>5.470484787656158</v>
      </c>
      <c r="T63" s="503"/>
    </row>
    <row r="64" spans="1:20" ht="15.75" customHeight="1" x14ac:dyDescent="0.45">
      <c r="B64" s="39" t="s">
        <v>243</v>
      </c>
      <c r="C64" s="49"/>
      <c r="D64" s="49"/>
      <c r="E64" s="49"/>
      <c r="F64" s="50"/>
      <c r="G64" s="49"/>
      <c r="H64" s="51" t="s">
        <v>244</v>
      </c>
      <c r="I64" s="49"/>
      <c r="J64" s="49"/>
      <c r="K64" s="52">
        <f>K63^4/(L62)</f>
        <v>51.925304313332106</v>
      </c>
      <c r="L64" s="53"/>
      <c r="N64" s="504">
        <f>N48</f>
        <v>6.8</v>
      </c>
      <c r="O64" s="63">
        <f>'Konversi RPM'!G6</f>
        <v>1133.3845384117271</v>
      </c>
      <c r="P64" s="63">
        <f>O64*$T$60</f>
        <v>6.7723389268928837</v>
      </c>
      <c r="T64" s="503"/>
    </row>
    <row r="65" spans="2:20" ht="15.75" customHeight="1" thickBot="1" x14ac:dyDescent="0.4">
      <c r="B65" s="43" t="s">
        <v>247</v>
      </c>
      <c r="C65" s="44"/>
      <c r="D65" s="44"/>
      <c r="E65" s="44"/>
      <c r="F65" s="45"/>
      <c r="G65" s="44"/>
      <c r="H65" s="54" t="s">
        <v>248</v>
      </c>
      <c r="I65" s="44"/>
      <c r="J65" s="44"/>
      <c r="K65" s="55">
        <f>1.95996+(2.37356/K64)+(2.818745/K64^2)+(2.546662/K64^3)+(1.761829/K64^4)+(0.245458/K64^5)+(1.000764/K64^6)</f>
        <v>2.006734916185172</v>
      </c>
      <c r="L65" s="48"/>
      <c r="N65" s="517">
        <f>N49</f>
        <v>8</v>
      </c>
      <c r="O65" s="518">
        <f>'Konversi RPM'!G7</f>
        <v>1348.2457796070887</v>
      </c>
      <c r="P65" s="519">
        <f>O65*$T$60</f>
        <v>8.0562042861883238</v>
      </c>
      <c r="Q65" s="505"/>
      <c r="R65" s="505"/>
      <c r="S65" s="505"/>
      <c r="T65" s="506"/>
    </row>
    <row r="66" spans="2:20" ht="15.75" customHeight="1" x14ac:dyDescent="0.35">
      <c r="B66" s="43" t="s">
        <v>250</v>
      </c>
      <c r="C66" s="57"/>
      <c r="D66" s="57"/>
      <c r="E66" s="57"/>
      <c r="F66" s="58"/>
      <c r="G66" s="57"/>
      <c r="H66" s="59" t="s">
        <v>251</v>
      </c>
      <c r="I66" s="57"/>
      <c r="J66" s="57"/>
      <c r="K66" s="60">
        <f>K63*K65</f>
        <v>2.9245524115449565E-2</v>
      </c>
      <c r="L66" s="61" t="str">
        <f>N18</f>
        <v>Km/h</v>
      </c>
    </row>
    <row r="67" spans="2:20" ht="15.75" customHeight="1" x14ac:dyDescent="0.3">
      <c r="K67" s="434">
        <f>K66/D55*100</f>
        <v>0.36556905144311957</v>
      </c>
      <c r="L67" s="435" t="s">
        <v>253</v>
      </c>
    </row>
    <row r="68" spans="2:20" ht="15.75" customHeight="1" x14ac:dyDescent="0.3"/>
    <row r="71" spans="2:20" ht="22.5" customHeight="1" x14ac:dyDescent="0.3"/>
    <row r="78" spans="2:20" ht="14.25" customHeight="1" x14ac:dyDescent="0.3"/>
    <row r="81" spans="1:1" x14ac:dyDescent="0.3">
      <c r="A81" s="69"/>
    </row>
    <row r="82" spans="1:1" x14ac:dyDescent="0.3">
      <c r="A82" s="69"/>
    </row>
  </sheetData>
  <mergeCells count="37">
    <mergeCell ref="Z14:AI14"/>
    <mergeCell ref="AJ3:AK3"/>
    <mergeCell ref="AJ4:AK4"/>
    <mergeCell ref="AJ5:AK5"/>
    <mergeCell ref="AJ6:AK6"/>
    <mergeCell ref="AJ12:AK12"/>
    <mergeCell ref="AJ13:AK13"/>
    <mergeCell ref="AJ7:AK7"/>
    <mergeCell ref="AJ8:AK8"/>
    <mergeCell ref="AJ9:AK9"/>
    <mergeCell ref="AJ10:AK10"/>
    <mergeCell ref="AJ11:AK11"/>
    <mergeCell ref="Q13:Q14"/>
    <mergeCell ref="Q11:Q12"/>
    <mergeCell ref="P18:P19"/>
    <mergeCell ref="Q18:Q19"/>
    <mergeCell ref="R18:S19"/>
    <mergeCell ref="B1:L1"/>
    <mergeCell ref="N11:N12"/>
    <mergeCell ref="O11:P11"/>
    <mergeCell ref="N20:O20"/>
    <mergeCell ref="N21:O21"/>
    <mergeCell ref="N18:O19"/>
    <mergeCell ref="T60:T61"/>
    <mergeCell ref="S59:T59"/>
    <mergeCell ref="N16:X16"/>
    <mergeCell ref="N37:T37"/>
    <mergeCell ref="N51:T51"/>
    <mergeCell ref="O59:P59"/>
    <mergeCell ref="P53:Q53"/>
    <mergeCell ref="N43:O43"/>
    <mergeCell ref="O29:T29"/>
    <mergeCell ref="T44:T45"/>
    <mergeCell ref="R43:T43"/>
    <mergeCell ref="N22:O22"/>
    <mergeCell ref="R23:S23"/>
    <mergeCell ref="R22:S22"/>
  </mergeCells>
  <printOptions horizontalCentered="1"/>
  <pageMargins left="0.5" right="0.25" top="0.75" bottom="0.25" header="0.25" footer="0.25"/>
  <pageSetup paperSize="9" scale="70" orientation="portrait" horizontalDpi="4294967294" r:id="rId1"/>
  <headerFooter>
    <oddHeader>&amp;R&amp;"-,Regular"&amp;8WF.UB 054-18 / REV : 0</oddHeader>
    <oddFooter>&amp;C&amp;8&amp;K00-024software treadmill 2017
&amp;R&amp;8Page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DBB8-B35C-4442-B786-4D1E0235280D}">
  <dimension ref="B2:L67"/>
  <sheetViews>
    <sheetView view="pageBreakPreview" zoomScaleNormal="100" zoomScaleSheetLayoutView="100" workbookViewId="0">
      <selection activeCell="J19" sqref="J19"/>
    </sheetView>
  </sheetViews>
  <sheetFormatPr defaultRowHeight="12.5" x14ac:dyDescent="0.25"/>
  <sheetData>
    <row r="2" spans="2:12" ht="13.5" thickBot="1" x14ac:dyDescent="0.35">
      <c r="B2" s="234" t="s">
        <v>276</v>
      </c>
      <c r="C2" s="179" t="s">
        <v>258</v>
      </c>
      <c r="E2" s="178"/>
    </row>
    <row r="3" spans="2:12" ht="14" x14ac:dyDescent="0.3">
      <c r="B3" s="235" t="s">
        <v>207</v>
      </c>
      <c r="C3" s="236" t="s">
        <v>208</v>
      </c>
      <c r="D3" s="237" t="s">
        <v>209</v>
      </c>
      <c r="E3" s="236" t="s">
        <v>210</v>
      </c>
      <c r="F3" s="238" t="s">
        <v>211</v>
      </c>
      <c r="G3" s="236" t="s">
        <v>212</v>
      </c>
      <c r="H3" s="237" t="s">
        <v>213</v>
      </c>
      <c r="I3" s="236" t="s">
        <v>214</v>
      </c>
      <c r="J3" s="237" t="s">
        <v>205</v>
      </c>
      <c r="K3" s="236" t="s">
        <v>215</v>
      </c>
      <c r="L3" s="239" t="s">
        <v>216</v>
      </c>
    </row>
    <row r="4" spans="2:12" ht="13" x14ac:dyDescent="0.3">
      <c r="B4" s="240" t="s">
        <v>220</v>
      </c>
      <c r="C4" s="241" t="s">
        <v>44</v>
      </c>
      <c r="D4" s="242" t="s">
        <v>222</v>
      </c>
      <c r="E4" s="291">
        <f>STDEV(ID!E53:J53)</f>
        <v>0</v>
      </c>
      <c r="F4" s="244">
        <f>SQRT(6)</f>
        <v>2.4494897427831779</v>
      </c>
      <c r="G4" s="241">
        <v>5</v>
      </c>
      <c r="H4" s="245">
        <f>E4/F4</f>
        <v>0</v>
      </c>
      <c r="I4" s="246">
        <v>1</v>
      </c>
      <c r="J4" s="245">
        <f>H4*I4</f>
        <v>0</v>
      </c>
      <c r="K4" s="247">
        <f>J4^2</f>
        <v>0</v>
      </c>
      <c r="L4" s="248">
        <f>J4^4/G4</f>
        <v>0</v>
      </c>
    </row>
    <row r="5" spans="2:12" ht="13" x14ac:dyDescent="0.3">
      <c r="B5" s="249" t="s">
        <v>224</v>
      </c>
      <c r="C5" s="241" t="s">
        <v>44</v>
      </c>
      <c r="D5" s="250" t="s">
        <v>225</v>
      </c>
      <c r="E5" s="292">
        <f>0.5*ID!E8</f>
        <v>0.5</v>
      </c>
      <c r="F5" s="251">
        <f>SQRT(3)</f>
        <v>1.7320508075688772</v>
      </c>
      <c r="G5" s="241">
        <v>50</v>
      </c>
      <c r="H5" s="252">
        <f>E5/F5</f>
        <v>0.28867513459481292</v>
      </c>
      <c r="I5" s="241">
        <v>1</v>
      </c>
      <c r="J5" s="252">
        <f>H5*I5</f>
        <v>0.28867513459481292</v>
      </c>
      <c r="K5" s="253">
        <f>J5^2</f>
        <v>8.3333333333333356E-2</v>
      </c>
      <c r="L5" s="254">
        <f>J5^4/G5</f>
        <v>1.3888888888888897E-4</v>
      </c>
    </row>
    <row r="6" spans="2:12" ht="13" x14ac:dyDescent="0.3">
      <c r="B6" s="255" t="s">
        <v>277</v>
      </c>
      <c r="C6" s="241" t="s">
        <v>44</v>
      </c>
      <c r="D6" s="241" t="s">
        <v>225</v>
      </c>
      <c r="E6" s="293">
        <f>'DB ECG'!L156</f>
        <v>0.06</v>
      </c>
      <c r="F6" s="256">
        <f>SQRT(3)</f>
        <v>1.7320508075688772</v>
      </c>
      <c r="G6" s="241">
        <v>50</v>
      </c>
      <c r="H6" s="257">
        <f>E6/F6</f>
        <v>3.4641016151377546E-2</v>
      </c>
      <c r="I6" s="241">
        <v>1</v>
      </c>
      <c r="J6" s="257">
        <f>H6*I6</f>
        <v>3.4641016151377546E-2</v>
      </c>
      <c r="K6" s="253">
        <f>J6^2</f>
        <v>1.2000000000000001E-3</v>
      </c>
      <c r="L6" s="258">
        <f>J6^4/G6</f>
        <v>2.8800000000000003E-8</v>
      </c>
    </row>
    <row r="7" spans="2:12" ht="13" x14ac:dyDescent="0.3">
      <c r="B7" s="259" t="s">
        <v>278</v>
      </c>
      <c r="C7" s="241" t="s">
        <v>44</v>
      </c>
      <c r="D7" s="250" t="s">
        <v>222</v>
      </c>
      <c r="E7" s="260">
        <f>'DB ECG'!J156</f>
        <v>0.18</v>
      </c>
      <c r="F7" s="261">
        <v>2</v>
      </c>
      <c r="G7" s="241">
        <v>50</v>
      </c>
      <c r="H7" s="252">
        <f>E7/F7</f>
        <v>0.09</v>
      </c>
      <c r="I7" s="241">
        <v>1</v>
      </c>
      <c r="J7" s="252">
        <f>H7*I7</f>
        <v>0.09</v>
      </c>
      <c r="K7" s="253">
        <f>J7^2</f>
        <v>8.0999999999999996E-3</v>
      </c>
      <c r="L7" s="258">
        <f>J7^4/G7</f>
        <v>1.3121999999999999E-6</v>
      </c>
    </row>
    <row r="8" spans="2:12" x14ac:dyDescent="0.25">
      <c r="B8" s="187" t="s">
        <v>234</v>
      </c>
      <c r="C8" s="295" t="s">
        <v>44</v>
      </c>
      <c r="D8" s="188" t="s">
        <v>225</v>
      </c>
      <c r="E8" s="290">
        <f>'DB ECG'!L175</f>
        <v>0.5</v>
      </c>
      <c r="F8" s="189">
        <f>SQRT(3)</f>
        <v>1.7320508075688772</v>
      </c>
      <c r="G8" s="188">
        <f>0.5*(100/10)^2</f>
        <v>50</v>
      </c>
      <c r="H8" s="198">
        <f>E8/F8</f>
        <v>0.28867513459481292</v>
      </c>
      <c r="I8" s="188">
        <v>1</v>
      </c>
      <c r="J8" s="190">
        <f>H8*I8</f>
        <v>0.28867513459481292</v>
      </c>
      <c r="K8" s="191">
        <f>J8^2</f>
        <v>8.3333333333333356E-2</v>
      </c>
      <c r="L8" s="192">
        <f>J8^4/G8</f>
        <v>1.3888888888888897E-4</v>
      </c>
    </row>
    <row r="9" spans="2:12" ht="14" x14ac:dyDescent="0.3">
      <c r="B9" s="262" t="s">
        <v>236</v>
      </c>
      <c r="C9" s="180"/>
      <c r="D9" s="180"/>
      <c r="E9" s="180"/>
      <c r="F9" s="263"/>
      <c r="G9" s="180"/>
      <c r="H9" s="180"/>
      <c r="I9" s="180"/>
      <c r="J9" s="180"/>
      <c r="K9" s="264">
        <f>SUM(K4:K8)</f>
        <v>0.17596666666666672</v>
      </c>
      <c r="L9" s="265">
        <f>SUM(L4:L8)</f>
        <v>2.7911877777777791E-4</v>
      </c>
    </row>
    <row r="10" spans="2:12" ht="17" x14ac:dyDescent="0.45">
      <c r="B10" s="266" t="s">
        <v>237</v>
      </c>
      <c r="C10" s="267"/>
      <c r="D10" s="267"/>
      <c r="E10" s="267"/>
      <c r="F10" s="268"/>
      <c r="G10" s="267"/>
      <c r="H10" s="269" t="s">
        <v>279</v>
      </c>
      <c r="I10" s="267"/>
      <c r="J10" s="267"/>
      <c r="K10" s="270">
        <f>SQRT(K9)</f>
        <v>0.41948380977895527</v>
      </c>
      <c r="L10" s="271"/>
    </row>
    <row r="11" spans="2:12" ht="17.5" x14ac:dyDescent="0.45">
      <c r="B11" s="262" t="s">
        <v>243</v>
      </c>
      <c r="C11" s="272"/>
      <c r="D11" s="272"/>
      <c r="E11" s="272"/>
      <c r="F11" s="273"/>
      <c r="G11" s="272"/>
      <c r="H11" s="274" t="s">
        <v>280</v>
      </c>
      <c r="I11" s="272"/>
      <c r="J11" s="272"/>
      <c r="K11" s="275">
        <f>K10^4/(L9)</f>
        <v>110.9358102822813</v>
      </c>
      <c r="L11" s="276"/>
    </row>
    <row r="12" spans="2:12" ht="15.5" x14ac:dyDescent="0.35">
      <c r="B12" s="266" t="s">
        <v>281</v>
      </c>
      <c r="C12" s="267"/>
      <c r="D12" s="267"/>
      <c r="E12" s="267"/>
      <c r="F12" s="268"/>
      <c r="G12" s="267"/>
      <c r="H12" s="277" t="s">
        <v>248</v>
      </c>
      <c r="I12" s="267"/>
      <c r="J12" s="267"/>
      <c r="K12" s="278">
        <f>1.95996+(2.37356/K11)+(2.818745/K11^2)+(2.546662/K11^3)+(1.761829/K11^4)+(0.245458/K11^5)+(1.000764/K11^6)</f>
        <v>1.9815867137793666</v>
      </c>
      <c r="L12" s="271"/>
    </row>
    <row r="13" spans="2:12" ht="14.5" thickBot="1" x14ac:dyDescent="0.35">
      <c r="B13" s="279" t="s">
        <v>250</v>
      </c>
      <c r="C13" s="280"/>
      <c r="D13" s="280"/>
      <c r="E13" s="280"/>
      <c r="F13" s="281"/>
      <c r="G13" s="280"/>
      <c r="H13" s="282" t="s">
        <v>251</v>
      </c>
      <c r="I13" s="280"/>
      <c r="J13" s="280"/>
      <c r="K13" s="438">
        <f>K10*K12</f>
        <v>0.83124354410352885</v>
      </c>
      <c r="L13" s="439" t="s">
        <v>44</v>
      </c>
    </row>
    <row r="14" spans="2:12" ht="14" x14ac:dyDescent="0.3">
      <c r="B14" s="283"/>
      <c r="K14" s="440">
        <f>K13/ID!D53*100</f>
        <v>2.7708118136784297</v>
      </c>
      <c r="L14" s="441" t="s">
        <v>253</v>
      </c>
    </row>
    <row r="15" spans="2:12" ht="13.5" thickBot="1" x14ac:dyDescent="0.35">
      <c r="B15" s="234" t="s">
        <v>282</v>
      </c>
      <c r="C15" s="179" t="s">
        <v>258</v>
      </c>
      <c r="E15" s="178"/>
    </row>
    <row r="16" spans="2:12" ht="14" x14ac:dyDescent="0.3">
      <c r="B16" s="235" t="s">
        <v>207</v>
      </c>
      <c r="C16" s="236" t="s">
        <v>208</v>
      </c>
      <c r="D16" s="237" t="s">
        <v>209</v>
      </c>
      <c r="E16" s="236" t="s">
        <v>210</v>
      </c>
      <c r="F16" s="238" t="s">
        <v>211</v>
      </c>
      <c r="G16" s="236" t="s">
        <v>212</v>
      </c>
      <c r="H16" s="237" t="s">
        <v>213</v>
      </c>
      <c r="I16" s="236" t="s">
        <v>214</v>
      </c>
      <c r="J16" s="237" t="s">
        <v>205</v>
      </c>
      <c r="K16" s="236" t="s">
        <v>215</v>
      </c>
      <c r="L16" s="239" t="s">
        <v>216</v>
      </c>
    </row>
    <row r="17" spans="2:12" ht="13" x14ac:dyDescent="0.3">
      <c r="B17" s="240" t="s">
        <v>220</v>
      </c>
      <c r="C17" s="241" t="s">
        <v>44</v>
      </c>
      <c r="D17" s="242" t="s">
        <v>222</v>
      </c>
      <c r="E17" s="291">
        <f>STDEV(ID!E54:J54)</f>
        <v>0</v>
      </c>
      <c r="F17" s="244">
        <f>SQRT(6)</f>
        <v>2.4494897427831779</v>
      </c>
      <c r="G17" s="241">
        <v>5</v>
      </c>
      <c r="H17" s="245">
        <f>E17/F17</f>
        <v>0</v>
      </c>
      <c r="I17" s="246">
        <v>1</v>
      </c>
      <c r="J17" s="245">
        <f>H17*I17</f>
        <v>0</v>
      </c>
      <c r="K17" s="247">
        <f>J17^2</f>
        <v>0</v>
      </c>
      <c r="L17" s="248">
        <f>J17^4/G17</f>
        <v>0</v>
      </c>
    </row>
    <row r="18" spans="2:12" ht="13" x14ac:dyDescent="0.3">
      <c r="B18" s="249" t="s">
        <v>224</v>
      </c>
      <c r="C18" s="241" t="s">
        <v>44</v>
      </c>
      <c r="D18" s="250" t="s">
        <v>225</v>
      </c>
      <c r="E18" s="292">
        <f>E5</f>
        <v>0.5</v>
      </c>
      <c r="F18" s="251">
        <f>SQRT(3)</f>
        <v>1.7320508075688772</v>
      </c>
      <c r="G18" s="241">
        <v>50</v>
      </c>
      <c r="H18" s="252">
        <f>E18/F18</f>
        <v>0.28867513459481292</v>
      </c>
      <c r="I18" s="241">
        <v>1</v>
      </c>
      <c r="J18" s="252">
        <f>H18*I18</f>
        <v>0.28867513459481292</v>
      </c>
      <c r="K18" s="253">
        <f>J18^2</f>
        <v>8.3333333333333356E-2</v>
      </c>
      <c r="L18" s="254">
        <f>J18^4/G18</f>
        <v>1.3888888888888897E-4</v>
      </c>
    </row>
    <row r="19" spans="2:12" ht="13" x14ac:dyDescent="0.3">
      <c r="B19" s="255" t="s">
        <v>277</v>
      </c>
      <c r="C19" s="241" t="s">
        <v>44</v>
      </c>
      <c r="D19" s="241" t="s">
        <v>225</v>
      </c>
      <c r="E19" s="293">
        <f>'DB ECG'!L157</f>
        <v>0.06</v>
      </c>
      <c r="F19" s="256">
        <f>SQRT(3)</f>
        <v>1.7320508075688772</v>
      </c>
      <c r="G19" s="241">
        <v>50</v>
      </c>
      <c r="H19" s="257">
        <f>E19/F19</f>
        <v>3.4641016151377546E-2</v>
      </c>
      <c r="I19" s="241">
        <v>1</v>
      </c>
      <c r="J19" s="257">
        <f>H19*I19</f>
        <v>3.4641016151377546E-2</v>
      </c>
      <c r="K19" s="253">
        <f>J19^2</f>
        <v>1.2000000000000001E-3</v>
      </c>
      <c r="L19" s="258">
        <f>J19^4/G19</f>
        <v>2.8800000000000003E-8</v>
      </c>
    </row>
    <row r="20" spans="2:12" ht="13" x14ac:dyDescent="0.3">
      <c r="B20" s="259" t="s">
        <v>278</v>
      </c>
      <c r="C20" s="241" t="s">
        <v>44</v>
      </c>
      <c r="D20" s="250" t="s">
        <v>222</v>
      </c>
      <c r="E20" s="260">
        <f>'DB ECG'!J157</f>
        <v>0.18</v>
      </c>
      <c r="F20" s="261">
        <v>2</v>
      </c>
      <c r="G20" s="241">
        <v>50</v>
      </c>
      <c r="H20" s="252">
        <f>E20/F20</f>
        <v>0.09</v>
      </c>
      <c r="I20" s="241">
        <v>1</v>
      </c>
      <c r="J20" s="252">
        <f>H20*I20</f>
        <v>0.09</v>
      </c>
      <c r="K20" s="253">
        <f>J20^2</f>
        <v>8.0999999999999996E-3</v>
      </c>
      <c r="L20" s="258">
        <f>J20^4/G20</f>
        <v>1.3121999999999999E-6</v>
      </c>
    </row>
    <row r="21" spans="2:12" x14ac:dyDescent="0.25">
      <c r="B21" s="187" t="s">
        <v>234</v>
      </c>
      <c r="C21" s="295" t="s">
        <v>44</v>
      </c>
      <c r="D21" s="188" t="s">
        <v>225</v>
      </c>
      <c r="E21" s="290">
        <f>'DB ECG'!L175</f>
        <v>0.5</v>
      </c>
      <c r="F21" s="189">
        <f>SQRT(3)</f>
        <v>1.7320508075688772</v>
      </c>
      <c r="G21" s="188">
        <f>0.5*(100/10)^2</f>
        <v>50</v>
      </c>
      <c r="H21" s="198">
        <f>E21/F21</f>
        <v>0.28867513459481292</v>
      </c>
      <c r="I21" s="188">
        <v>1</v>
      </c>
      <c r="J21" s="190">
        <f>H21*I21</f>
        <v>0.28867513459481292</v>
      </c>
      <c r="K21" s="191">
        <f>J21^2</f>
        <v>8.3333333333333356E-2</v>
      </c>
      <c r="L21" s="192">
        <f>J21^4/G21</f>
        <v>1.3888888888888897E-4</v>
      </c>
    </row>
    <row r="22" spans="2:12" ht="14" x14ac:dyDescent="0.3">
      <c r="B22" s="262" t="s">
        <v>236</v>
      </c>
      <c r="C22" s="180"/>
      <c r="D22" s="180"/>
      <c r="E22" s="180"/>
      <c r="F22" s="263"/>
      <c r="G22" s="180"/>
      <c r="H22" s="180"/>
      <c r="I22" s="180"/>
      <c r="J22" s="180"/>
      <c r="K22" s="264">
        <f>SUM(K17:K21)</f>
        <v>0.17596666666666672</v>
      </c>
      <c r="L22" s="265">
        <f>SUM(L17:L21)</f>
        <v>2.7911877777777791E-4</v>
      </c>
    </row>
    <row r="23" spans="2:12" ht="17" x14ac:dyDescent="0.45">
      <c r="B23" s="266" t="s">
        <v>237</v>
      </c>
      <c r="C23" s="267"/>
      <c r="D23" s="267"/>
      <c r="E23" s="267"/>
      <c r="F23" s="268"/>
      <c r="G23" s="267"/>
      <c r="H23" s="269" t="s">
        <v>279</v>
      </c>
      <c r="I23" s="267"/>
      <c r="J23" s="267"/>
      <c r="K23" s="270">
        <f>SQRT(K22)</f>
        <v>0.41948380977895527</v>
      </c>
      <c r="L23" s="271"/>
    </row>
    <row r="24" spans="2:12" ht="17.5" x14ac:dyDescent="0.45">
      <c r="B24" s="262" t="s">
        <v>243</v>
      </c>
      <c r="C24" s="272"/>
      <c r="D24" s="272"/>
      <c r="E24" s="272"/>
      <c r="F24" s="273"/>
      <c r="G24" s="272"/>
      <c r="H24" s="274" t="s">
        <v>280</v>
      </c>
      <c r="I24" s="272"/>
      <c r="J24" s="272"/>
      <c r="K24" s="275">
        <f>K23^4/(L22)</f>
        <v>110.9358102822813</v>
      </c>
      <c r="L24" s="276"/>
    </row>
    <row r="25" spans="2:12" ht="15.5" x14ac:dyDescent="0.35">
      <c r="B25" s="266" t="s">
        <v>281</v>
      </c>
      <c r="C25" s="267"/>
      <c r="D25" s="267"/>
      <c r="E25" s="267"/>
      <c r="F25" s="268"/>
      <c r="G25" s="267"/>
      <c r="H25" s="277" t="s">
        <v>248</v>
      </c>
      <c r="I25" s="267"/>
      <c r="J25" s="267"/>
      <c r="K25" s="278">
        <f>1.95996+(2.37356/K24)+(2.818745/K24^2)+(2.546662/K24^3)+(1.761829/K24^4)+(0.245458/K24^5)+(1.000764/K24^6)</f>
        <v>1.9815867137793666</v>
      </c>
      <c r="L25" s="271"/>
    </row>
    <row r="26" spans="2:12" ht="14.5" thickBot="1" x14ac:dyDescent="0.35">
      <c r="B26" s="285" t="s">
        <v>250</v>
      </c>
      <c r="C26" s="286"/>
      <c r="D26" s="286"/>
      <c r="E26" s="286"/>
      <c r="F26" s="287"/>
      <c r="G26" s="286"/>
      <c r="H26" s="288" t="s">
        <v>251</v>
      </c>
      <c r="I26" s="286"/>
      <c r="J26" s="286"/>
      <c r="K26" s="442">
        <f>K23*K25</f>
        <v>0.83124354410352885</v>
      </c>
      <c r="L26" s="443" t="s">
        <v>44</v>
      </c>
    </row>
    <row r="27" spans="2:12" ht="14" x14ac:dyDescent="0.3">
      <c r="B27" s="262"/>
      <c r="C27" s="272"/>
      <c r="D27" s="272"/>
      <c r="E27" s="272"/>
      <c r="F27" s="273"/>
      <c r="G27" s="272"/>
      <c r="H27" s="289"/>
      <c r="I27" s="272"/>
      <c r="J27" s="272"/>
      <c r="K27" s="444">
        <f>K26/ID!D54*100</f>
        <v>1.3854059068392148</v>
      </c>
      <c r="L27" s="445" t="s">
        <v>253</v>
      </c>
    </row>
    <row r="28" spans="2:12" ht="13.5" thickBot="1" x14ac:dyDescent="0.35">
      <c r="B28" s="234" t="s">
        <v>283</v>
      </c>
      <c r="C28" s="179" t="s">
        <v>258</v>
      </c>
      <c r="E28" s="178"/>
    </row>
    <row r="29" spans="2:12" ht="14" x14ac:dyDescent="0.3">
      <c r="B29" s="235" t="s">
        <v>207</v>
      </c>
      <c r="C29" s="236" t="s">
        <v>208</v>
      </c>
      <c r="D29" s="237" t="s">
        <v>209</v>
      </c>
      <c r="E29" s="236" t="s">
        <v>210</v>
      </c>
      <c r="F29" s="238" t="s">
        <v>211</v>
      </c>
      <c r="G29" s="236" t="s">
        <v>212</v>
      </c>
      <c r="H29" s="237" t="s">
        <v>213</v>
      </c>
      <c r="I29" s="236" t="s">
        <v>214</v>
      </c>
      <c r="J29" s="237" t="s">
        <v>205</v>
      </c>
      <c r="K29" s="236" t="s">
        <v>215</v>
      </c>
      <c r="L29" s="239" t="s">
        <v>216</v>
      </c>
    </row>
    <row r="30" spans="2:12" ht="13" x14ac:dyDescent="0.3">
      <c r="B30" s="240" t="s">
        <v>220</v>
      </c>
      <c r="C30" s="241" t="s">
        <v>44</v>
      </c>
      <c r="D30" s="242" t="s">
        <v>222</v>
      </c>
      <c r="E30" s="243">
        <f>STDEV(ID!E55:J55)</f>
        <v>0</v>
      </c>
      <c r="F30" s="244">
        <f>SQRT(6)</f>
        <v>2.4494897427831779</v>
      </c>
      <c r="G30" s="241">
        <v>5</v>
      </c>
      <c r="H30" s="245">
        <f>E30/F30</f>
        <v>0</v>
      </c>
      <c r="I30" s="246">
        <v>1</v>
      </c>
      <c r="J30" s="245">
        <f>H30*I30</f>
        <v>0</v>
      </c>
      <c r="K30" s="247">
        <f>J30^2</f>
        <v>0</v>
      </c>
      <c r="L30" s="248">
        <f>J30^4/G30</f>
        <v>0</v>
      </c>
    </row>
    <row r="31" spans="2:12" ht="13" x14ac:dyDescent="0.3">
      <c r="B31" s="249" t="s">
        <v>224</v>
      </c>
      <c r="C31" s="241" t="s">
        <v>44</v>
      </c>
      <c r="D31" s="250" t="s">
        <v>225</v>
      </c>
      <c r="E31" s="292">
        <f>E5</f>
        <v>0.5</v>
      </c>
      <c r="F31" s="251">
        <f>SQRT(3)</f>
        <v>1.7320508075688772</v>
      </c>
      <c r="G31" s="241">
        <v>50</v>
      </c>
      <c r="H31" s="252">
        <f>E31/F31</f>
        <v>0.28867513459481292</v>
      </c>
      <c r="I31" s="241">
        <v>1</v>
      </c>
      <c r="J31" s="252">
        <f>H31*I31</f>
        <v>0.28867513459481292</v>
      </c>
      <c r="K31" s="253">
        <f>J31^2</f>
        <v>8.3333333333333356E-2</v>
      </c>
      <c r="L31" s="254">
        <f>J31^4/G31</f>
        <v>1.3888888888888897E-4</v>
      </c>
    </row>
    <row r="32" spans="2:12" ht="13" x14ac:dyDescent="0.3">
      <c r="B32" s="255" t="s">
        <v>277</v>
      </c>
      <c r="C32" s="241" t="s">
        <v>44</v>
      </c>
      <c r="D32" s="241" t="s">
        <v>225</v>
      </c>
      <c r="E32" s="293">
        <f>'DB ECG'!L158</f>
        <v>0.06</v>
      </c>
      <c r="F32" s="256">
        <f>SQRT(3)</f>
        <v>1.7320508075688772</v>
      </c>
      <c r="G32" s="241">
        <v>50</v>
      </c>
      <c r="H32" s="257">
        <f>E32/F32</f>
        <v>3.4641016151377546E-2</v>
      </c>
      <c r="I32" s="241">
        <v>1</v>
      </c>
      <c r="J32" s="257">
        <f>H32*I32</f>
        <v>3.4641016151377546E-2</v>
      </c>
      <c r="K32" s="253">
        <f>J32^2</f>
        <v>1.2000000000000001E-3</v>
      </c>
      <c r="L32" s="258">
        <f>J32^4/G32</f>
        <v>2.8800000000000003E-8</v>
      </c>
    </row>
    <row r="33" spans="2:12" ht="13" x14ac:dyDescent="0.3">
      <c r="B33" s="259" t="s">
        <v>278</v>
      </c>
      <c r="C33" s="241" t="s">
        <v>44</v>
      </c>
      <c r="D33" s="250" t="s">
        <v>222</v>
      </c>
      <c r="E33" s="284">
        <f>'DB ECG'!J158</f>
        <v>0.18</v>
      </c>
      <c r="F33" s="261">
        <v>2</v>
      </c>
      <c r="G33" s="241">
        <v>50</v>
      </c>
      <c r="H33" s="252">
        <f>E33/F33</f>
        <v>0.09</v>
      </c>
      <c r="I33" s="241">
        <v>1</v>
      </c>
      <c r="J33" s="252">
        <f>H33*I33</f>
        <v>0.09</v>
      </c>
      <c r="K33" s="253">
        <f>J33^2</f>
        <v>8.0999999999999996E-3</v>
      </c>
      <c r="L33" s="258">
        <f>J33^4/G33</f>
        <v>1.3121999999999999E-6</v>
      </c>
    </row>
    <row r="34" spans="2:12" x14ac:dyDescent="0.25">
      <c r="B34" s="187" t="s">
        <v>234</v>
      </c>
      <c r="C34" s="295" t="s">
        <v>44</v>
      </c>
      <c r="D34" s="188" t="s">
        <v>225</v>
      </c>
      <c r="E34" s="290">
        <f>'DB ECG'!L175</f>
        <v>0.5</v>
      </c>
      <c r="F34" s="189">
        <f>SQRT(3)</f>
        <v>1.7320508075688772</v>
      </c>
      <c r="G34" s="188">
        <f>0.5*(100/10)^2</f>
        <v>50</v>
      </c>
      <c r="H34" s="198">
        <f>E34/F34</f>
        <v>0.28867513459481292</v>
      </c>
      <c r="I34" s="188">
        <v>1</v>
      </c>
      <c r="J34" s="190">
        <f>H34*I34</f>
        <v>0.28867513459481292</v>
      </c>
      <c r="K34" s="191">
        <f>J34^2</f>
        <v>8.3333333333333356E-2</v>
      </c>
      <c r="L34" s="192">
        <f>J34^4/G34</f>
        <v>1.3888888888888897E-4</v>
      </c>
    </row>
    <row r="35" spans="2:12" ht="14" x14ac:dyDescent="0.3">
      <c r="B35" s="262" t="s">
        <v>236</v>
      </c>
      <c r="C35" s="180"/>
      <c r="D35" s="180"/>
      <c r="E35" s="180"/>
      <c r="F35" s="263"/>
      <c r="G35" s="180"/>
      <c r="H35" s="180"/>
      <c r="I35" s="180"/>
      <c r="J35" s="180"/>
      <c r="K35" s="264">
        <f>SUM(K30:K34)</f>
        <v>0.17596666666666672</v>
      </c>
      <c r="L35" s="265">
        <f>SUM(L30:L34)</f>
        <v>2.7911877777777791E-4</v>
      </c>
    </row>
    <row r="36" spans="2:12" ht="17" x14ac:dyDescent="0.45">
      <c r="B36" s="266" t="s">
        <v>237</v>
      </c>
      <c r="C36" s="267"/>
      <c r="D36" s="267"/>
      <c r="E36" s="267"/>
      <c r="F36" s="268"/>
      <c r="G36" s="267"/>
      <c r="H36" s="269" t="s">
        <v>279</v>
      </c>
      <c r="I36" s="267"/>
      <c r="J36" s="267"/>
      <c r="K36" s="270">
        <f>SQRT(K35)</f>
        <v>0.41948380977895527</v>
      </c>
      <c r="L36" s="271"/>
    </row>
    <row r="37" spans="2:12" ht="17.5" x14ac:dyDescent="0.45">
      <c r="B37" s="262" t="s">
        <v>243</v>
      </c>
      <c r="C37" s="272"/>
      <c r="D37" s="272"/>
      <c r="E37" s="272"/>
      <c r="F37" s="273"/>
      <c r="G37" s="272"/>
      <c r="H37" s="274" t="s">
        <v>280</v>
      </c>
      <c r="I37" s="272"/>
      <c r="J37" s="272"/>
      <c r="K37" s="275">
        <f>K36^4/(L35)</f>
        <v>110.9358102822813</v>
      </c>
      <c r="L37" s="276"/>
    </row>
    <row r="38" spans="2:12" ht="15.5" x14ac:dyDescent="0.35">
      <c r="B38" s="266" t="s">
        <v>281</v>
      </c>
      <c r="C38" s="267"/>
      <c r="D38" s="267"/>
      <c r="E38" s="267"/>
      <c r="F38" s="268"/>
      <c r="G38" s="267"/>
      <c r="H38" s="277" t="s">
        <v>248</v>
      </c>
      <c r="I38" s="267"/>
      <c r="J38" s="267"/>
      <c r="K38" s="278">
        <f>1.95996+(2.37356/K37)+(2.818745/K37^2)+(2.546662/K37^3)+(1.761829/K37^4)+(0.245458/K37^5)+(1.000764/K37^6)</f>
        <v>1.9815867137793666</v>
      </c>
      <c r="L38" s="271"/>
    </row>
    <row r="39" spans="2:12" ht="14.5" thickBot="1" x14ac:dyDescent="0.35">
      <c r="B39" s="285" t="s">
        <v>250</v>
      </c>
      <c r="C39" s="286"/>
      <c r="D39" s="286"/>
      <c r="E39" s="286"/>
      <c r="F39" s="287"/>
      <c r="G39" s="286"/>
      <c r="H39" s="288" t="s">
        <v>251</v>
      </c>
      <c r="I39" s="286"/>
      <c r="J39" s="286"/>
      <c r="K39" s="442">
        <f>K36*K38</f>
        <v>0.83124354410352885</v>
      </c>
      <c r="L39" s="443" t="s">
        <v>44</v>
      </c>
    </row>
    <row r="40" spans="2:12" ht="14" x14ac:dyDescent="0.3">
      <c r="B40" s="262"/>
      <c r="C40" s="272"/>
      <c r="D40" s="272"/>
      <c r="E40" s="272"/>
      <c r="F40" s="273"/>
      <c r="G40" s="272"/>
      <c r="H40" s="289"/>
      <c r="I40" s="272"/>
      <c r="J40" s="272"/>
      <c r="K40" s="444">
        <f>K39/ID!D55*100</f>
        <v>0.69270295341960741</v>
      </c>
      <c r="L40" s="445" t="s">
        <v>253</v>
      </c>
    </row>
    <row r="41" spans="2:12" ht="13.5" thickBot="1" x14ac:dyDescent="0.35">
      <c r="B41" s="234" t="s">
        <v>284</v>
      </c>
      <c r="C41" s="179" t="s">
        <v>258</v>
      </c>
      <c r="E41" s="178"/>
    </row>
    <row r="42" spans="2:12" ht="14" x14ac:dyDescent="0.3">
      <c r="B42" s="235" t="s">
        <v>207</v>
      </c>
      <c r="C42" s="236" t="s">
        <v>208</v>
      </c>
      <c r="D42" s="237" t="s">
        <v>209</v>
      </c>
      <c r="E42" s="236" t="s">
        <v>210</v>
      </c>
      <c r="F42" s="238" t="s">
        <v>211</v>
      </c>
      <c r="G42" s="236" t="s">
        <v>212</v>
      </c>
      <c r="H42" s="237" t="s">
        <v>213</v>
      </c>
      <c r="I42" s="236" t="s">
        <v>214</v>
      </c>
      <c r="J42" s="237" t="s">
        <v>205</v>
      </c>
      <c r="K42" s="236" t="s">
        <v>215</v>
      </c>
      <c r="L42" s="239" t="s">
        <v>216</v>
      </c>
    </row>
    <row r="43" spans="2:12" ht="13" x14ac:dyDescent="0.3">
      <c r="B43" s="240" t="s">
        <v>220</v>
      </c>
      <c r="C43" s="241" t="s">
        <v>44</v>
      </c>
      <c r="D43" s="242" t="s">
        <v>222</v>
      </c>
      <c r="E43" s="243">
        <f>STDEV(ID!E56:J56)</f>
        <v>0</v>
      </c>
      <c r="F43" s="244">
        <f>SQRT(6)</f>
        <v>2.4494897427831779</v>
      </c>
      <c r="G43" s="241">
        <v>5</v>
      </c>
      <c r="H43" s="245">
        <f>E43/F43</f>
        <v>0</v>
      </c>
      <c r="I43" s="246">
        <v>1</v>
      </c>
      <c r="J43" s="245">
        <f>H43*I43</f>
        <v>0</v>
      </c>
      <c r="K43" s="247">
        <f>J43^2</f>
        <v>0</v>
      </c>
      <c r="L43" s="248">
        <f>J43^4/G43</f>
        <v>0</v>
      </c>
    </row>
    <row r="44" spans="2:12" ht="13" x14ac:dyDescent="0.3">
      <c r="B44" s="249" t="s">
        <v>224</v>
      </c>
      <c r="C44" s="241" t="s">
        <v>44</v>
      </c>
      <c r="D44" s="250" t="s">
        <v>225</v>
      </c>
      <c r="E44" s="292">
        <f>E5</f>
        <v>0.5</v>
      </c>
      <c r="F44" s="251">
        <f>SQRT(3)</f>
        <v>1.7320508075688772</v>
      </c>
      <c r="G44" s="241">
        <v>50</v>
      </c>
      <c r="H44" s="252">
        <f>E44/F44</f>
        <v>0.28867513459481292</v>
      </c>
      <c r="I44" s="241">
        <v>1</v>
      </c>
      <c r="J44" s="252">
        <f>H44*I44</f>
        <v>0.28867513459481292</v>
      </c>
      <c r="K44" s="253">
        <f>J44^2</f>
        <v>8.3333333333333356E-2</v>
      </c>
      <c r="L44" s="254">
        <f>J44^4/G44</f>
        <v>1.3888888888888897E-4</v>
      </c>
    </row>
    <row r="45" spans="2:12" ht="13" x14ac:dyDescent="0.3">
      <c r="B45" s="255" t="s">
        <v>277</v>
      </c>
      <c r="C45" s="241" t="s">
        <v>44</v>
      </c>
      <c r="D45" s="241" t="s">
        <v>225</v>
      </c>
      <c r="E45" s="293">
        <f>'DB ECG'!L159</f>
        <v>0.06</v>
      </c>
      <c r="F45" s="256">
        <f>SQRT(3)</f>
        <v>1.7320508075688772</v>
      </c>
      <c r="G45" s="241">
        <v>50</v>
      </c>
      <c r="H45" s="257">
        <f>E45/F45</f>
        <v>3.4641016151377546E-2</v>
      </c>
      <c r="I45" s="241">
        <v>1</v>
      </c>
      <c r="J45" s="257">
        <f>H45*I45</f>
        <v>3.4641016151377546E-2</v>
      </c>
      <c r="K45" s="253">
        <f>J45^2</f>
        <v>1.2000000000000001E-3</v>
      </c>
      <c r="L45" s="258">
        <f>J45^4/G45</f>
        <v>2.8800000000000003E-8</v>
      </c>
    </row>
    <row r="46" spans="2:12" ht="13" x14ac:dyDescent="0.3">
      <c r="B46" s="259" t="s">
        <v>278</v>
      </c>
      <c r="C46" s="241" t="s">
        <v>44</v>
      </c>
      <c r="D46" s="250" t="s">
        <v>222</v>
      </c>
      <c r="E46" s="284">
        <f>'DB ECG'!J159</f>
        <v>0.18</v>
      </c>
      <c r="F46" s="261">
        <v>2</v>
      </c>
      <c r="G46" s="241">
        <v>50</v>
      </c>
      <c r="H46" s="252">
        <f>E46/F46</f>
        <v>0.09</v>
      </c>
      <c r="I46" s="241">
        <v>1</v>
      </c>
      <c r="J46" s="252">
        <f>H46*I46</f>
        <v>0.09</v>
      </c>
      <c r="K46" s="253">
        <f>J46^2</f>
        <v>8.0999999999999996E-3</v>
      </c>
      <c r="L46" s="258">
        <f>J46^4/G46</f>
        <v>1.3121999999999999E-6</v>
      </c>
    </row>
    <row r="47" spans="2:12" x14ac:dyDescent="0.25">
      <c r="B47" s="187" t="s">
        <v>234</v>
      </c>
      <c r="C47" s="295" t="s">
        <v>44</v>
      </c>
      <c r="D47" s="188" t="s">
        <v>225</v>
      </c>
      <c r="E47" s="290">
        <f>'DB ECG'!L175</f>
        <v>0.5</v>
      </c>
      <c r="F47" s="189">
        <f>SQRT(3)</f>
        <v>1.7320508075688772</v>
      </c>
      <c r="G47" s="188">
        <f>0.5*(100/10)^2</f>
        <v>50</v>
      </c>
      <c r="H47" s="198">
        <f>E47/F47</f>
        <v>0.28867513459481292</v>
      </c>
      <c r="I47" s="188">
        <v>1</v>
      </c>
      <c r="J47" s="190">
        <f>H47*I47</f>
        <v>0.28867513459481292</v>
      </c>
      <c r="K47" s="191">
        <f>J47^2</f>
        <v>8.3333333333333356E-2</v>
      </c>
      <c r="L47" s="192">
        <f>J47^4/G47</f>
        <v>1.3888888888888897E-4</v>
      </c>
    </row>
    <row r="48" spans="2:12" ht="14" x14ac:dyDescent="0.3">
      <c r="B48" s="262" t="s">
        <v>236</v>
      </c>
      <c r="C48" s="180"/>
      <c r="D48" s="180"/>
      <c r="E48" s="180"/>
      <c r="F48" s="263"/>
      <c r="G48" s="180"/>
      <c r="H48" s="180"/>
      <c r="I48" s="180"/>
      <c r="J48" s="180"/>
      <c r="K48" s="264">
        <f>SUM(K43:K47)</f>
        <v>0.17596666666666672</v>
      </c>
      <c r="L48" s="265">
        <f>SUM(L43:L47)</f>
        <v>2.7911877777777791E-4</v>
      </c>
    </row>
    <row r="49" spans="2:12" ht="17" x14ac:dyDescent="0.45">
      <c r="B49" s="266" t="s">
        <v>237</v>
      </c>
      <c r="C49" s="267"/>
      <c r="D49" s="267"/>
      <c r="E49" s="267"/>
      <c r="F49" s="268"/>
      <c r="G49" s="267"/>
      <c r="H49" s="269" t="s">
        <v>279</v>
      </c>
      <c r="I49" s="267"/>
      <c r="J49" s="267"/>
      <c r="K49" s="270">
        <f>SQRT(K48)</f>
        <v>0.41948380977895527</v>
      </c>
      <c r="L49" s="271"/>
    </row>
    <row r="50" spans="2:12" ht="17.5" x14ac:dyDescent="0.45">
      <c r="B50" s="262" t="s">
        <v>243</v>
      </c>
      <c r="C50" s="272"/>
      <c r="D50" s="272"/>
      <c r="E50" s="272"/>
      <c r="F50" s="273"/>
      <c r="G50" s="272"/>
      <c r="H50" s="274" t="s">
        <v>280</v>
      </c>
      <c r="I50" s="272"/>
      <c r="J50" s="272"/>
      <c r="K50" s="275">
        <f>K49^4/(L48)</f>
        <v>110.9358102822813</v>
      </c>
      <c r="L50" s="276"/>
    </row>
    <row r="51" spans="2:12" ht="15.5" x14ac:dyDescent="0.35">
      <c r="B51" s="266" t="s">
        <v>281</v>
      </c>
      <c r="C51" s="267"/>
      <c r="D51" s="267"/>
      <c r="E51" s="267"/>
      <c r="F51" s="268"/>
      <c r="G51" s="267"/>
      <c r="H51" s="277" t="s">
        <v>248</v>
      </c>
      <c r="I51" s="267"/>
      <c r="J51" s="267"/>
      <c r="K51" s="278">
        <f>1.95996+(2.37356/K50)+(2.818745/K50^2)+(2.546662/K50^3)+(1.761829/K50^4)+(0.245458/K50^5)+(1.000764/K50^6)</f>
        <v>1.9815867137793666</v>
      </c>
      <c r="L51" s="271"/>
    </row>
    <row r="52" spans="2:12" ht="14.5" thickBot="1" x14ac:dyDescent="0.35">
      <c r="B52" s="285" t="s">
        <v>250</v>
      </c>
      <c r="C52" s="286"/>
      <c r="D52" s="286"/>
      <c r="E52" s="286"/>
      <c r="F52" s="287"/>
      <c r="G52" s="286"/>
      <c r="H52" s="288" t="s">
        <v>251</v>
      </c>
      <c r="I52" s="286"/>
      <c r="J52" s="286"/>
      <c r="K52" s="442">
        <f>K49*K51</f>
        <v>0.83124354410352885</v>
      </c>
      <c r="L52" s="443" t="s">
        <v>44</v>
      </c>
    </row>
    <row r="53" spans="2:12" ht="14.5" x14ac:dyDescent="0.35">
      <c r="B53" s="1"/>
      <c r="C53" s="1"/>
      <c r="D53" s="1"/>
      <c r="E53" s="1"/>
      <c r="F53" s="1"/>
      <c r="G53" s="1"/>
      <c r="H53" s="1"/>
      <c r="I53" s="1"/>
      <c r="J53" s="1"/>
      <c r="K53" s="446">
        <f>K52/ID!D56*100</f>
        <v>0.46180196894640491</v>
      </c>
      <c r="L53" s="447" t="s">
        <v>253</v>
      </c>
    </row>
    <row r="54" spans="2:12" ht="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ht="13.5" thickBot="1" x14ac:dyDescent="0.35">
      <c r="B55" s="234" t="s">
        <v>285</v>
      </c>
      <c r="C55" s="179" t="s">
        <v>258</v>
      </c>
      <c r="E55" s="178"/>
    </row>
    <row r="56" spans="2:12" ht="14" x14ac:dyDescent="0.3">
      <c r="B56" s="235" t="s">
        <v>207</v>
      </c>
      <c r="C56" s="236" t="s">
        <v>208</v>
      </c>
      <c r="D56" s="237" t="s">
        <v>209</v>
      </c>
      <c r="E56" s="236" t="s">
        <v>210</v>
      </c>
      <c r="F56" s="238" t="s">
        <v>211</v>
      </c>
      <c r="G56" s="236" t="s">
        <v>212</v>
      </c>
      <c r="H56" s="237" t="s">
        <v>213</v>
      </c>
      <c r="I56" s="236" t="s">
        <v>214</v>
      </c>
      <c r="J56" s="237" t="s">
        <v>205</v>
      </c>
      <c r="K56" s="236" t="s">
        <v>215</v>
      </c>
      <c r="L56" s="239" t="s">
        <v>216</v>
      </c>
    </row>
    <row r="57" spans="2:12" ht="13" x14ac:dyDescent="0.3">
      <c r="B57" s="240" t="s">
        <v>220</v>
      </c>
      <c r="C57" s="241" t="s">
        <v>44</v>
      </c>
      <c r="D57" s="242" t="s">
        <v>222</v>
      </c>
      <c r="E57" s="243">
        <f>STDEV(ID!E57:J57)</f>
        <v>0</v>
      </c>
      <c r="F57" s="244">
        <f>SQRT(6)</f>
        <v>2.4494897427831779</v>
      </c>
      <c r="G57" s="241">
        <v>5</v>
      </c>
      <c r="H57" s="245">
        <f>E57/F57</f>
        <v>0</v>
      </c>
      <c r="I57" s="246">
        <v>1</v>
      </c>
      <c r="J57" s="245">
        <f>H57*I57</f>
        <v>0</v>
      </c>
      <c r="K57" s="247">
        <f>J57^2</f>
        <v>0</v>
      </c>
      <c r="L57" s="248">
        <f>J57^4/G57</f>
        <v>0</v>
      </c>
    </row>
    <row r="58" spans="2:12" ht="13" x14ac:dyDescent="0.3">
      <c r="B58" s="249" t="s">
        <v>224</v>
      </c>
      <c r="C58" s="241" t="s">
        <v>44</v>
      </c>
      <c r="D58" s="250" t="s">
        <v>225</v>
      </c>
      <c r="E58" s="292">
        <f>E5</f>
        <v>0.5</v>
      </c>
      <c r="F58" s="251">
        <f>SQRT(3)</f>
        <v>1.7320508075688772</v>
      </c>
      <c r="G58" s="241">
        <v>50</v>
      </c>
      <c r="H58" s="252">
        <f>E58/F58</f>
        <v>0.28867513459481292</v>
      </c>
      <c r="I58" s="241">
        <v>1</v>
      </c>
      <c r="J58" s="252">
        <f>H58*I58</f>
        <v>0.28867513459481292</v>
      </c>
      <c r="K58" s="253">
        <f>J58^2</f>
        <v>8.3333333333333356E-2</v>
      </c>
      <c r="L58" s="254">
        <f>J58^4/G58</f>
        <v>1.3888888888888897E-4</v>
      </c>
    </row>
    <row r="59" spans="2:12" ht="13" x14ac:dyDescent="0.3">
      <c r="B59" s="255" t="s">
        <v>277</v>
      </c>
      <c r="C59" s="241" t="s">
        <v>44</v>
      </c>
      <c r="D59" s="241" t="s">
        <v>225</v>
      </c>
      <c r="E59" s="293">
        <f>'DB ECG'!L160</f>
        <v>0.06</v>
      </c>
      <c r="F59" s="256">
        <f>SQRT(3)</f>
        <v>1.7320508075688772</v>
      </c>
      <c r="G59" s="241">
        <v>50</v>
      </c>
      <c r="H59" s="257">
        <f>E59/F59</f>
        <v>3.4641016151377546E-2</v>
      </c>
      <c r="I59" s="241">
        <v>1</v>
      </c>
      <c r="J59" s="257">
        <f>H59*I59</f>
        <v>3.4641016151377546E-2</v>
      </c>
      <c r="K59" s="253">
        <f>J59^2</f>
        <v>1.2000000000000001E-3</v>
      </c>
      <c r="L59" s="258">
        <f>J59^4/G59</f>
        <v>2.8800000000000003E-8</v>
      </c>
    </row>
    <row r="60" spans="2:12" ht="13" x14ac:dyDescent="0.3">
      <c r="B60" s="259" t="s">
        <v>278</v>
      </c>
      <c r="C60" s="241" t="s">
        <v>44</v>
      </c>
      <c r="D60" s="250" t="s">
        <v>222</v>
      </c>
      <c r="E60" s="284">
        <f>'DB ECG'!J160</f>
        <v>0.18</v>
      </c>
      <c r="F60" s="261">
        <v>2</v>
      </c>
      <c r="G60" s="241">
        <v>50</v>
      </c>
      <c r="H60" s="252">
        <f>E60/F60</f>
        <v>0.09</v>
      </c>
      <c r="I60" s="241">
        <v>1</v>
      </c>
      <c r="J60" s="252">
        <f>H60*I60</f>
        <v>0.09</v>
      </c>
      <c r="K60" s="253">
        <f>J60^2</f>
        <v>8.0999999999999996E-3</v>
      </c>
      <c r="L60" s="258">
        <f>J60^4/G60</f>
        <v>1.3121999999999999E-6</v>
      </c>
    </row>
    <row r="61" spans="2:12" x14ac:dyDescent="0.25">
      <c r="B61" s="187" t="s">
        <v>234</v>
      </c>
      <c r="C61" s="295" t="s">
        <v>44</v>
      </c>
      <c r="D61" s="188" t="s">
        <v>225</v>
      </c>
      <c r="E61" s="290">
        <f>'DB ECG'!L175</f>
        <v>0.5</v>
      </c>
      <c r="F61" s="189">
        <f>SQRT(3)</f>
        <v>1.7320508075688772</v>
      </c>
      <c r="G61" s="188">
        <f>0.5*(100/10)^2</f>
        <v>50</v>
      </c>
      <c r="H61" s="198">
        <f>E61/F61</f>
        <v>0.28867513459481292</v>
      </c>
      <c r="I61" s="188">
        <v>1</v>
      </c>
      <c r="J61" s="190">
        <f>H61*I61</f>
        <v>0.28867513459481292</v>
      </c>
      <c r="K61" s="191">
        <f>J61^2</f>
        <v>8.3333333333333356E-2</v>
      </c>
      <c r="L61" s="192">
        <f>J61^4/G61</f>
        <v>1.3888888888888897E-4</v>
      </c>
    </row>
    <row r="62" spans="2:12" ht="14" x14ac:dyDescent="0.3">
      <c r="B62" s="262" t="s">
        <v>236</v>
      </c>
      <c r="C62" s="180"/>
      <c r="D62" s="180"/>
      <c r="E62" s="180"/>
      <c r="F62" s="263"/>
      <c r="G62" s="180"/>
      <c r="H62" s="180"/>
      <c r="I62" s="180"/>
      <c r="J62" s="180"/>
      <c r="K62" s="264">
        <f>SUM(K57:K61)</f>
        <v>0.17596666666666672</v>
      </c>
      <c r="L62" s="265">
        <f>SUM(L57:L61)</f>
        <v>2.7911877777777791E-4</v>
      </c>
    </row>
    <row r="63" spans="2:12" ht="17" x14ac:dyDescent="0.45">
      <c r="B63" s="266" t="s">
        <v>237</v>
      </c>
      <c r="C63" s="267"/>
      <c r="D63" s="267"/>
      <c r="E63" s="267"/>
      <c r="F63" s="268"/>
      <c r="G63" s="267"/>
      <c r="H63" s="269" t="s">
        <v>279</v>
      </c>
      <c r="I63" s="267"/>
      <c r="J63" s="267"/>
      <c r="K63" s="270">
        <f>SQRT(K62)</f>
        <v>0.41948380977895527</v>
      </c>
      <c r="L63" s="271"/>
    </row>
    <row r="64" spans="2:12" ht="17.5" x14ac:dyDescent="0.45">
      <c r="B64" s="262" t="s">
        <v>243</v>
      </c>
      <c r="C64" s="272"/>
      <c r="D64" s="272"/>
      <c r="E64" s="272"/>
      <c r="F64" s="273"/>
      <c r="G64" s="272"/>
      <c r="H64" s="274" t="s">
        <v>280</v>
      </c>
      <c r="I64" s="272"/>
      <c r="J64" s="272"/>
      <c r="K64" s="275">
        <f>K63^4/(L62)</f>
        <v>110.9358102822813</v>
      </c>
      <c r="L64" s="276"/>
    </row>
    <row r="65" spans="2:12" ht="15.5" x14ac:dyDescent="0.35">
      <c r="B65" s="266" t="s">
        <v>281</v>
      </c>
      <c r="C65" s="267"/>
      <c r="D65" s="267"/>
      <c r="E65" s="267"/>
      <c r="F65" s="268"/>
      <c r="G65" s="267"/>
      <c r="H65" s="277" t="s">
        <v>248</v>
      </c>
      <c r="I65" s="267"/>
      <c r="J65" s="267"/>
      <c r="K65" s="278">
        <f>1.95996+(2.37356/K64)+(2.818745/K64^2)+(2.546662/K64^3)+(1.761829/K64^4)+(0.245458/K64^5)+(1.000764/K64^6)</f>
        <v>1.9815867137793666</v>
      </c>
      <c r="L65" s="271"/>
    </row>
    <row r="66" spans="2:12" ht="14.5" thickBot="1" x14ac:dyDescent="0.35">
      <c r="B66" s="285" t="s">
        <v>250</v>
      </c>
      <c r="C66" s="286"/>
      <c r="D66" s="286"/>
      <c r="E66" s="286"/>
      <c r="F66" s="287"/>
      <c r="G66" s="286"/>
      <c r="H66" s="288" t="s">
        <v>251</v>
      </c>
      <c r="I66" s="286"/>
      <c r="J66" s="286"/>
      <c r="K66" s="442">
        <f>K63*K65</f>
        <v>0.83124354410352885</v>
      </c>
      <c r="L66" s="443" t="s">
        <v>44</v>
      </c>
    </row>
    <row r="67" spans="2:12" ht="14.5" x14ac:dyDescent="0.35">
      <c r="B67" s="1"/>
      <c r="C67" s="1"/>
      <c r="D67" s="1"/>
      <c r="E67" s="1"/>
      <c r="F67" s="1"/>
      <c r="G67" s="1"/>
      <c r="H67" s="1"/>
      <c r="I67" s="1"/>
      <c r="J67" s="1"/>
      <c r="K67" s="446">
        <f>K66/ID!D57*100</f>
        <v>0.34635147670980371</v>
      </c>
      <c r="L67" s="447" t="s">
        <v>253</v>
      </c>
    </row>
  </sheetData>
  <pageMargins left="0.7" right="0.7" top="0.75" bottom="0.75" header="0.3" footer="0.3"/>
  <pageSetup paperSize="9"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J95"/>
  <sheetViews>
    <sheetView showGridLines="0" view="pageBreakPreview" zoomScaleNormal="100" zoomScaleSheetLayoutView="100" workbookViewId="0">
      <selection activeCell="P42" sqref="P42:Q43"/>
    </sheetView>
  </sheetViews>
  <sheetFormatPr defaultColWidth="9.1796875" defaultRowHeight="15.5" x14ac:dyDescent="0.25"/>
  <cols>
    <col min="1" max="1" width="5" style="2" customWidth="1"/>
    <col min="2" max="2" width="9.54296875" style="2" customWidth="1"/>
    <col min="3" max="3" width="10.81640625" style="2" customWidth="1"/>
    <col min="4" max="4" width="1.7265625" style="2" customWidth="1"/>
    <col min="5" max="5" width="20.7265625" style="2" customWidth="1"/>
    <col min="6" max="6" width="5.81640625" style="2" customWidth="1"/>
    <col min="7" max="7" width="7.1796875" style="2" customWidth="1"/>
    <col min="8" max="8" width="9.7265625" style="2" customWidth="1"/>
    <col min="9" max="9" width="11.1796875" style="2" customWidth="1"/>
    <col min="10" max="11" width="10.26953125" style="2" customWidth="1"/>
    <col min="12" max="12" width="7" style="2" customWidth="1"/>
    <col min="13" max="13" width="10.54296875" style="2" bestFit="1" customWidth="1"/>
    <col min="14" max="14" width="12" style="2" customWidth="1"/>
    <col min="15" max="15" width="9.26953125" style="2" customWidth="1"/>
    <col min="16" max="17" width="11.453125" style="2" bestFit="1" customWidth="1"/>
    <col min="18" max="18" width="8.7265625" style="2" customWidth="1"/>
    <col min="19" max="19" width="9.1796875" style="2"/>
    <col min="20" max="20" width="9.453125" style="2" bestFit="1" customWidth="1"/>
    <col min="21" max="16384" width="9.1796875" style="2"/>
  </cols>
  <sheetData>
    <row r="1" spans="1:18" ht="18.5" x14ac:dyDescent="0.25">
      <c r="A1" s="1202" t="s">
        <v>286</v>
      </c>
      <c r="B1" s="1202"/>
      <c r="C1" s="1202"/>
      <c r="D1" s="1202"/>
      <c r="E1" s="1202"/>
      <c r="F1" s="1202"/>
      <c r="G1" s="1202"/>
      <c r="H1" s="1202"/>
      <c r="I1" s="1202"/>
      <c r="J1" s="1202"/>
      <c r="K1" s="1202"/>
      <c r="L1" s="1202"/>
      <c r="M1" s="1202"/>
      <c r="N1" s="1202"/>
      <c r="O1" s="396"/>
      <c r="P1" s="545"/>
      <c r="Q1" s="545"/>
      <c r="R1" s="545"/>
    </row>
    <row r="2" spans="1:18" ht="17" x14ac:dyDescent="0.25">
      <c r="A2" s="1203" t="str">
        <f>ID!E2&amp;ID!Q1&amp;ID!I2</f>
        <v>Nomor Sertifikat : 54 / 1 / VIII - 22 / E - 008.27 DL</v>
      </c>
      <c r="B2" s="1203"/>
      <c r="C2" s="1203"/>
      <c r="D2" s="1203"/>
      <c r="E2" s="1203"/>
      <c r="F2" s="1203"/>
      <c r="G2" s="1203"/>
      <c r="H2" s="1203"/>
      <c r="I2" s="1203"/>
      <c r="J2" s="1203"/>
      <c r="K2" s="1203"/>
      <c r="L2" s="1203"/>
      <c r="M2" s="1203"/>
      <c r="N2" s="1203"/>
      <c r="O2" s="397"/>
      <c r="P2" s="546"/>
      <c r="Q2" s="546"/>
      <c r="R2" s="546"/>
    </row>
    <row r="3" spans="1:18" x14ac:dyDescent="0.25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</row>
    <row r="4" spans="1:18" x14ac:dyDescent="0.25">
      <c r="A4" s="321" t="str">
        <f>ID!A4</f>
        <v>Merek Treadmill / ECG</v>
      </c>
      <c r="B4" s="321"/>
      <c r="C4" s="321"/>
      <c r="D4" s="356" t="str">
        <f>ID!D4</f>
        <v>:</v>
      </c>
      <c r="E4" s="357" t="str">
        <f>ID!E4</f>
        <v>Lode</v>
      </c>
      <c r="F4" s="321"/>
      <c r="G4" s="321"/>
      <c r="H4" s="321"/>
      <c r="I4" s="321"/>
      <c r="J4" s="321"/>
      <c r="K4" s="321"/>
      <c r="L4" s="321"/>
      <c r="M4" s="321"/>
      <c r="N4" s="321"/>
    </row>
    <row r="5" spans="1:18" x14ac:dyDescent="0.25">
      <c r="A5" s="321" t="str">
        <f>ID!A5</f>
        <v>Model/Tipe</v>
      </c>
      <c r="B5" s="321"/>
      <c r="C5" s="321"/>
      <c r="D5" s="356" t="str">
        <f>ID!D5</f>
        <v>:</v>
      </c>
      <c r="E5" s="357" t="str">
        <f>ID!E5</f>
        <v>Valiant</v>
      </c>
      <c r="F5" s="321"/>
      <c r="G5" s="321"/>
      <c r="H5" s="321"/>
      <c r="I5" s="321"/>
      <c r="J5" s="321"/>
      <c r="K5" s="321"/>
      <c r="L5" s="321"/>
      <c r="M5" s="321"/>
      <c r="N5" s="321"/>
    </row>
    <row r="6" spans="1:18" x14ac:dyDescent="0.25">
      <c r="A6" s="321" t="str">
        <f>ID!A6</f>
        <v>Nomor Seri</v>
      </c>
      <c r="B6" s="321"/>
      <c r="C6" s="321"/>
      <c r="D6" s="356" t="str">
        <f>ID!D6</f>
        <v>:</v>
      </c>
      <c r="E6" s="357" t="str">
        <f>ID!E6</f>
        <v>20170071</v>
      </c>
      <c r="F6" s="321"/>
      <c r="G6" s="321"/>
      <c r="H6" s="321"/>
      <c r="I6" s="321"/>
      <c r="J6" s="321"/>
      <c r="K6" s="321"/>
      <c r="L6" s="321"/>
      <c r="M6" s="321"/>
      <c r="N6" s="321"/>
    </row>
    <row r="7" spans="1:18" x14ac:dyDescent="0.25">
      <c r="A7" s="321" t="str">
        <f>ID!A7</f>
        <v>Resolusi Kecepatan</v>
      </c>
      <c r="B7" s="321"/>
      <c r="C7" s="321"/>
      <c r="D7" s="356" t="str">
        <f>ID!D7</f>
        <v>:</v>
      </c>
      <c r="E7" s="357">
        <f>ID!E7</f>
        <v>1</v>
      </c>
      <c r="F7" s="321" t="str">
        <f>ID!F7</f>
        <v>Km/h</v>
      </c>
      <c r="G7" s="321"/>
      <c r="H7" s="321"/>
      <c r="I7" s="321"/>
      <c r="J7" s="321"/>
      <c r="K7" s="321"/>
      <c r="L7" s="321"/>
      <c r="M7" s="321"/>
      <c r="N7" s="321"/>
    </row>
    <row r="8" spans="1:18" x14ac:dyDescent="0.25">
      <c r="A8" s="321"/>
      <c r="B8" s="321"/>
      <c r="C8" s="321"/>
      <c r="D8" s="356"/>
      <c r="E8" s="357">
        <f>ID!E8</f>
        <v>1</v>
      </c>
      <c r="F8" s="321" t="str">
        <f>ID!F8</f>
        <v>BPM</v>
      </c>
      <c r="G8" s="321"/>
      <c r="H8" s="321"/>
      <c r="I8" s="321"/>
      <c r="J8" s="321"/>
      <c r="K8" s="321"/>
      <c r="L8" s="321"/>
      <c r="M8" s="321"/>
      <c r="N8" s="321"/>
    </row>
    <row r="9" spans="1:18" x14ac:dyDescent="0.25">
      <c r="A9" s="321" t="str">
        <f>ID!A9</f>
        <v>Tanggal Penerimaan Alat</v>
      </c>
      <c r="B9" s="321"/>
      <c r="C9" s="321"/>
      <c r="D9" s="356" t="str">
        <f>ID!D9</f>
        <v>:</v>
      </c>
      <c r="E9" s="1074" t="str">
        <f>ID!E9</f>
        <v>22 Agustus 2023</v>
      </c>
      <c r="F9" s="321"/>
      <c r="G9" s="321"/>
      <c r="H9" s="321"/>
      <c r="I9" s="321"/>
      <c r="J9" s="321"/>
      <c r="K9" s="321"/>
      <c r="L9" s="321"/>
      <c r="M9" s="321"/>
      <c r="N9" s="321"/>
    </row>
    <row r="10" spans="1:18" x14ac:dyDescent="0.25">
      <c r="A10" s="321" t="str">
        <f>ID!A10</f>
        <v>Tanggal Kalibrasi</v>
      </c>
      <c r="B10" s="321"/>
      <c r="C10" s="321"/>
      <c r="D10" s="356" t="str">
        <f>ID!D10</f>
        <v>:</v>
      </c>
      <c r="E10" s="1074" t="str">
        <f>ID!E10</f>
        <v>22 Agustus 2023</v>
      </c>
      <c r="F10" s="321"/>
      <c r="G10" s="321"/>
      <c r="H10" s="321"/>
      <c r="I10" s="321"/>
      <c r="J10" s="321"/>
      <c r="K10" s="321"/>
      <c r="L10" s="321"/>
      <c r="M10" s="321"/>
      <c r="N10" s="321"/>
    </row>
    <row r="11" spans="1:18" x14ac:dyDescent="0.25">
      <c r="A11" s="321" t="str">
        <f>ID!A11</f>
        <v>Tempat Kalibrasi</v>
      </c>
      <c r="B11" s="321"/>
      <c r="C11" s="321"/>
      <c r="D11" s="356" t="str">
        <f>ID!D11</f>
        <v>:</v>
      </c>
      <c r="E11" s="357" t="str">
        <f>ID!E11</f>
        <v>Ruang Treadmill</v>
      </c>
      <c r="F11" s="321"/>
      <c r="G11" s="321"/>
      <c r="H11" s="321"/>
      <c r="I11" s="321"/>
      <c r="J11" s="321"/>
      <c r="K11" s="321"/>
      <c r="L11" s="321"/>
      <c r="M11" s="321"/>
      <c r="N11" s="321"/>
    </row>
    <row r="12" spans="1:18" x14ac:dyDescent="0.25">
      <c r="A12" s="321" t="str">
        <f>ID!A12</f>
        <v>Nama Ruang</v>
      </c>
      <c r="B12" s="321"/>
      <c r="C12" s="321"/>
      <c r="D12" s="356" t="str">
        <f>ID!D12</f>
        <v>:</v>
      </c>
      <c r="E12" s="357" t="str">
        <f>ID!E12</f>
        <v>Ruang Treadmill</v>
      </c>
      <c r="F12" s="321"/>
      <c r="G12" s="321"/>
      <c r="H12" s="321"/>
      <c r="I12" s="321"/>
      <c r="J12" s="321"/>
      <c r="K12" s="321"/>
      <c r="L12" s="321"/>
      <c r="M12" s="321"/>
      <c r="N12" s="321"/>
    </row>
    <row r="13" spans="1:18" x14ac:dyDescent="0.25">
      <c r="A13" s="321" t="str">
        <f>ID!A13</f>
        <v>Metode Kerja</v>
      </c>
      <c r="B13" s="321"/>
      <c r="C13" s="321"/>
      <c r="D13" s="356" t="str">
        <f>ID!D13</f>
        <v>:</v>
      </c>
      <c r="E13" s="357" t="str">
        <f>ID!E13</f>
        <v>MK 054-18</v>
      </c>
      <c r="F13" s="321"/>
      <c r="G13" s="321"/>
      <c r="H13" s="321"/>
      <c r="I13" s="321"/>
      <c r="J13" s="321"/>
      <c r="K13" s="321"/>
      <c r="L13" s="321"/>
      <c r="M13" s="321"/>
      <c r="N13" s="321"/>
    </row>
    <row r="14" spans="1:18" ht="9.75" customHeight="1" x14ac:dyDescent="0.25">
      <c r="A14" s="321"/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21"/>
      <c r="N14" s="321"/>
    </row>
    <row r="15" spans="1:18" x14ac:dyDescent="0.25">
      <c r="A15" s="324" t="s">
        <v>51</v>
      </c>
      <c r="B15" s="324" t="s">
        <v>52</v>
      </c>
      <c r="C15" s="324"/>
      <c r="D15" s="321"/>
      <c r="E15" s="321"/>
      <c r="F15" s="321"/>
      <c r="G15" s="321"/>
      <c r="H15" s="324"/>
      <c r="I15" s="324"/>
      <c r="J15" s="324"/>
      <c r="K15" s="324"/>
      <c r="L15" s="324"/>
      <c r="M15" s="324"/>
      <c r="N15" s="324"/>
    </row>
    <row r="16" spans="1:18" ht="14.15" customHeight="1" x14ac:dyDescent="0.25">
      <c r="A16" s="321"/>
      <c r="B16" s="321" t="str">
        <f>ID!B17</f>
        <v xml:space="preserve">1. Suhu </v>
      </c>
      <c r="C16" s="321"/>
      <c r="D16" s="321" t="s">
        <v>39</v>
      </c>
      <c r="E16" s="982" t="str">
        <f>'DB SUHU'!T381</f>
        <v>( 22.0 ± 0.1 ) °C</v>
      </c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36" ht="14.15" customHeight="1" x14ac:dyDescent="0.25">
      <c r="A17" s="321"/>
      <c r="B17" s="321" t="str">
        <f>ID!B18</f>
        <v>2. Kelembaban</v>
      </c>
      <c r="C17" s="321"/>
      <c r="D17" s="321" t="s">
        <v>39</v>
      </c>
      <c r="E17" s="982" t="str">
        <f>'DB SUHU'!T382</f>
        <v>( 65.4 ± 1.5 ) %RH</v>
      </c>
      <c r="F17" s="398"/>
      <c r="G17" s="398"/>
      <c r="H17" s="321"/>
      <c r="I17" s="321"/>
      <c r="J17" s="321"/>
      <c r="K17" s="321"/>
      <c r="L17" s="321"/>
      <c r="M17" s="321"/>
      <c r="N17" s="321"/>
    </row>
    <row r="18" spans="1:36" ht="14.15" customHeight="1" x14ac:dyDescent="0.25">
      <c r="A18" s="321"/>
      <c r="B18" s="321" t="str">
        <f>ID!B19</f>
        <v>3. Tegangan Jala-jala</v>
      </c>
      <c r="C18" s="321"/>
      <c r="D18" s="321" t="s">
        <v>39</v>
      </c>
      <c r="E18" s="595" t="str">
        <f>'DB ESA'!H274</f>
        <v>( 221.8 ± 2.7 ) Volt</v>
      </c>
      <c r="F18" s="595"/>
      <c r="G18" s="321"/>
      <c r="H18" s="321"/>
      <c r="I18" s="321"/>
      <c r="J18" s="321"/>
      <c r="K18" s="321"/>
      <c r="L18" s="321"/>
      <c r="M18" s="321"/>
      <c r="N18" s="321"/>
    </row>
    <row r="19" spans="1:36" ht="4.5" customHeight="1" x14ac:dyDescent="0.25">
      <c r="A19" s="321"/>
      <c r="B19" s="321"/>
      <c r="C19" s="321"/>
      <c r="D19" s="321"/>
      <c r="E19" s="321"/>
      <c r="F19" s="321"/>
      <c r="G19" s="321"/>
      <c r="H19" s="321"/>
      <c r="I19" s="321"/>
      <c r="J19" s="321"/>
      <c r="M19" s="321"/>
      <c r="N19" s="321"/>
    </row>
    <row r="20" spans="1:36" x14ac:dyDescent="0.25">
      <c r="A20" s="324" t="s">
        <v>60</v>
      </c>
      <c r="B20" s="324" t="s">
        <v>287</v>
      </c>
      <c r="C20" s="324"/>
      <c r="D20" s="321"/>
      <c r="E20" s="321"/>
      <c r="F20" s="321"/>
      <c r="G20" s="321"/>
      <c r="H20" s="324"/>
      <c r="I20" s="324"/>
      <c r="J20" s="324"/>
      <c r="M20" s="321"/>
      <c r="N20" s="399" t="s">
        <v>288</v>
      </c>
      <c r="Q20" s="1296" t="str">
        <f>IF(OR(K28="-",K29="-"),T28,ID!R27)</f>
        <v>G</v>
      </c>
      <c r="R20" s="1296"/>
      <c r="S20" s="1292" t="s">
        <v>77</v>
      </c>
      <c r="T20" s="1292" t="s">
        <v>289</v>
      </c>
      <c r="U20" s="1292" t="s">
        <v>86</v>
      </c>
      <c r="W20" s="1199" t="str">
        <f>IF(OR(K28="-",Q20=T28),W21,IF(OR(T22&gt;U22,C28=W29),"",IF(K28&gt;L28,W22,"")))</f>
        <v>Alat tidak boleh digunakan pada instalasi tanpa dilengkapi grounding</v>
      </c>
      <c r="X20" s="1199"/>
      <c r="Y20" s="1199"/>
      <c r="Z20" s="1199"/>
      <c r="AA20" s="1199"/>
      <c r="AB20" s="1199"/>
      <c r="AC20" s="1199"/>
      <c r="AD20" s="1199"/>
      <c r="AE20" s="1199"/>
    </row>
    <row r="21" spans="1:36" x14ac:dyDescent="0.3">
      <c r="A21" s="321"/>
      <c r="B21" s="321" t="s">
        <v>62</v>
      </c>
      <c r="C21" s="321"/>
      <c r="D21" s="321" t="s">
        <v>39</v>
      </c>
      <c r="E21" s="321" t="str">
        <f>ID!E22</f>
        <v>Baik</v>
      </c>
      <c r="F21" s="321"/>
      <c r="G21" s="321"/>
      <c r="H21" s="321"/>
      <c r="I21" s="321"/>
      <c r="J21" s="321"/>
      <c r="M21" s="321"/>
      <c r="N21" s="400">
        <f>IF(E21="baik",5,IF(E21="Tidak Baik",0))</f>
        <v>5</v>
      </c>
      <c r="Q21" s="1296"/>
      <c r="R21" s="1296"/>
      <c r="S21" s="1292"/>
      <c r="T21" s="1292"/>
      <c r="U21" s="1292"/>
      <c r="W21" s="1291" t="s">
        <v>290</v>
      </c>
      <c r="X21" s="1291"/>
      <c r="Y21" s="1291"/>
      <c r="Z21" s="1291"/>
      <c r="AA21" s="1291"/>
      <c r="AB21" s="1291"/>
      <c r="AC21" s="1291"/>
      <c r="AD21" s="1291"/>
      <c r="AE21" s="1291"/>
    </row>
    <row r="22" spans="1:36" ht="16.5" customHeight="1" x14ac:dyDescent="0.3">
      <c r="A22" s="321"/>
      <c r="B22" s="321" t="s">
        <v>64</v>
      </c>
      <c r="C22" s="321"/>
      <c r="D22" s="321" t="s">
        <v>39</v>
      </c>
      <c r="E22" s="321" t="str">
        <f>ID!E23</f>
        <v>Baik</v>
      </c>
      <c r="F22" s="321"/>
      <c r="G22" s="321"/>
      <c r="H22" s="321"/>
      <c r="I22" s="321"/>
      <c r="J22" s="321"/>
      <c r="M22" s="321"/>
      <c r="N22" s="400">
        <f>IF(E22="baik",5,IF(E22="Tidak Baik",0))</f>
        <v>5</v>
      </c>
      <c r="Q22" s="318" t="s">
        <v>149</v>
      </c>
      <c r="R22" s="547" t="s">
        <v>150</v>
      </c>
      <c r="S22" s="320">
        <f>ID!T29</f>
        <v>10</v>
      </c>
      <c r="T22" s="387">
        <f>'DB ESA'!O272</f>
        <v>11.366888701481241</v>
      </c>
      <c r="U22" s="548">
        <v>100</v>
      </c>
      <c r="W22" s="1291" t="s">
        <v>291</v>
      </c>
      <c r="X22" s="1291"/>
      <c r="Y22" s="1291"/>
      <c r="Z22" s="1291"/>
      <c r="AA22" s="1291"/>
      <c r="AB22" s="1291"/>
      <c r="AC22" s="1291"/>
      <c r="AD22" s="1291"/>
      <c r="AE22" s="1291"/>
    </row>
    <row r="23" spans="1:36" ht="3.75" customHeight="1" x14ac:dyDescent="0.25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M23" s="321"/>
      <c r="N23" s="321"/>
    </row>
    <row r="24" spans="1:36" x14ac:dyDescent="0.25">
      <c r="A24" s="324" t="s">
        <v>65</v>
      </c>
      <c r="B24" s="324" t="s">
        <v>66</v>
      </c>
      <c r="C24" s="324"/>
      <c r="D24" s="321"/>
      <c r="E24" s="321"/>
      <c r="F24" s="321"/>
      <c r="G24" s="321"/>
      <c r="H24" s="321"/>
      <c r="I24" s="321"/>
      <c r="J24" s="321"/>
      <c r="M24" s="321"/>
      <c r="N24" s="321"/>
    </row>
    <row r="25" spans="1:36" ht="33.75" customHeight="1" x14ac:dyDescent="0.25">
      <c r="A25" s="321"/>
      <c r="B25" s="368" t="s">
        <v>0</v>
      </c>
      <c r="C25" s="1182" t="s">
        <v>67</v>
      </c>
      <c r="D25" s="1208"/>
      <c r="E25" s="1208"/>
      <c r="F25" s="1208"/>
      <c r="G25" s="1208"/>
      <c r="H25" s="1208"/>
      <c r="I25" s="1208"/>
      <c r="J25" s="1183"/>
      <c r="K25" s="540" t="s">
        <v>68</v>
      </c>
      <c r="L25" s="1311" t="s">
        <v>143</v>
      </c>
      <c r="M25" s="1303"/>
      <c r="N25" s="527" t="s">
        <v>288</v>
      </c>
      <c r="O25" s="422"/>
      <c r="W25" s="1295" t="s">
        <v>564</v>
      </c>
      <c r="X25" s="1295"/>
      <c r="Y25" s="1295"/>
      <c r="Z25" s="1295"/>
      <c r="AA25" s="1295"/>
      <c r="AB25" s="1295"/>
      <c r="AC25" s="1295"/>
    </row>
    <row r="26" spans="1:36" ht="15" customHeight="1" x14ac:dyDescent="0.25">
      <c r="A26" s="321"/>
      <c r="B26" s="401">
        <v>1</v>
      </c>
      <c r="C26" s="402" t="str">
        <f>ID!C28</f>
        <v xml:space="preserve">Resistansi isolasi </v>
      </c>
      <c r="D26" s="403"/>
      <c r="E26" s="403"/>
      <c r="F26" s="403"/>
      <c r="G26" s="403"/>
      <c r="H26" s="403"/>
      <c r="I26" s="403"/>
      <c r="J26" s="550"/>
      <c r="K26" s="411" t="str">
        <f>'DB ESA'!O269</f>
        <v>OL</v>
      </c>
      <c r="L26" s="404">
        <f>ID!K28</f>
        <v>2</v>
      </c>
      <c r="M26" s="405" t="s">
        <v>146</v>
      </c>
      <c r="N26" s="1299">
        <f>IF(OR(K28="-",K29="-",O28+O29=20),SUM(O26:O29),0)</f>
        <v>30</v>
      </c>
      <c r="O26" s="406">
        <f>IF(OR(K26="-",K26="OL",K26&gt;L26),10,0)</f>
        <v>10</v>
      </c>
      <c r="Q26" s="1292" t="s">
        <v>292</v>
      </c>
      <c r="R26" s="1293" t="s">
        <v>86</v>
      </c>
      <c r="S26" s="321"/>
      <c r="T26" s="318" t="s">
        <v>293</v>
      </c>
      <c r="W26" s="549" t="s">
        <v>147</v>
      </c>
      <c r="X26" s="551"/>
      <c r="Y26" s="551"/>
      <c r="Z26" s="551"/>
      <c r="AA26" s="551"/>
      <c r="AB26" s="552"/>
      <c r="AC26" s="553">
        <v>0.2</v>
      </c>
      <c r="AD26" s="2" t="s">
        <v>294</v>
      </c>
      <c r="AJ26" s="321"/>
    </row>
    <row r="27" spans="1:36" ht="15" customHeight="1" x14ac:dyDescent="0.25">
      <c r="A27" s="321"/>
      <c r="B27" s="401">
        <v>2</v>
      </c>
      <c r="C27" s="402" t="str">
        <f>W25</f>
        <v>Resistansi pembumian protektif</v>
      </c>
      <c r="D27" s="403"/>
      <c r="E27" s="403"/>
      <c r="F27" s="403"/>
      <c r="G27" s="403"/>
      <c r="H27" s="403"/>
      <c r="I27" s="403"/>
      <c r="J27" s="554"/>
      <c r="K27" s="412">
        <f>'DB ESA'!O270</f>
        <v>1.0013452686901474</v>
      </c>
      <c r="L27" s="407">
        <f>ID!K29</f>
        <v>0.2</v>
      </c>
      <c r="M27" s="405" t="s">
        <v>148</v>
      </c>
      <c r="N27" s="1299"/>
      <c r="O27" s="406">
        <f>IF(OR(K27="-",K27="OL",K27&lt;=L27,C28=W29),10,0)</f>
        <v>0</v>
      </c>
      <c r="Q27" s="1292"/>
      <c r="R27" s="1294"/>
      <c r="S27" s="321"/>
      <c r="T27" s="318" t="s">
        <v>144</v>
      </c>
      <c r="W27" s="555" t="s">
        <v>295</v>
      </c>
      <c r="X27" s="556"/>
      <c r="Y27" s="556"/>
      <c r="Z27" s="556"/>
      <c r="AA27" s="556"/>
      <c r="AB27" s="557"/>
      <c r="AC27" s="553">
        <v>0.3</v>
      </c>
      <c r="AD27" s="2" t="s">
        <v>296</v>
      </c>
      <c r="AJ27" s="321"/>
    </row>
    <row r="28" spans="1:36" ht="15" customHeight="1" x14ac:dyDescent="0.25">
      <c r="A28" s="321"/>
      <c r="B28" s="401">
        <v>3</v>
      </c>
      <c r="C28" s="402" t="str">
        <f>ID!C30</f>
        <v>Arus bocor peralatan untuk peralatan elektromedik kelas I</v>
      </c>
      <c r="D28" s="403"/>
      <c r="E28" s="403"/>
      <c r="F28" s="403"/>
      <c r="G28" s="403"/>
      <c r="H28" s="403"/>
      <c r="I28" s="403"/>
      <c r="K28" s="413">
        <f>'DB ESA'!O271</f>
        <v>550.16238808519836</v>
      </c>
      <c r="L28" s="408">
        <f>ID!K30</f>
        <v>500</v>
      </c>
      <c r="M28" s="405" t="s">
        <v>77</v>
      </c>
      <c r="N28" s="1299"/>
      <c r="O28" s="406">
        <f>IF(Q28&lt;=R28,10,0)</f>
        <v>10</v>
      </c>
      <c r="Q28" s="387">
        <f>IF(OR(S22="",C28=W29,Q20=T28),K28,IF(K28&gt;L28,T22,K28))</f>
        <v>11.366888701481241</v>
      </c>
      <c r="R28" s="318">
        <f>IF(OR(S22="",C28=W29,Q20=T28),L28,IF(K28&gt;L28,U22,L28))</f>
        <v>100</v>
      </c>
      <c r="S28" s="321"/>
      <c r="T28" s="318" t="s">
        <v>297</v>
      </c>
      <c r="W28" s="558" t="s">
        <v>151</v>
      </c>
      <c r="X28" s="559"/>
      <c r="Y28" s="559"/>
      <c r="Z28" s="559"/>
      <c r="AA28" s="559"/>
      <c r="AB28" s="557"/>
      <c r="AC28" s="560">
        <v>500</v>
      </c>
      <c r="AJ28" s="321"/>
    </row>
    <row r="29" spans="1:36" ht="15" customHeight="1" x14ac:dyDescent="0.25">
      <c r="A29" s="321"/>
      <c r="B29" s="401">
        <v>4</v>
      </c>
      <c r="C29" s="402" t="str">
        <f>ID!C31</f>
        <v>Arus bocor peralatan yang diaplikasikan</v>
      </c>
      <c r="D29" s="403"/>
      <c r="E29" s="403"/>
      <c r="F29" s="403"/>
      <c r="G29" s="403"/>
      <c r="H29" s="403"/>
      <c r="I29" s="403"/>
      <c r="J29" s="554"/>
      <c r="K29" s="413">
        <f>'DB ESA'!O273</f>
        <v>12.355504296680722</v>
      </c>
      <c r="L29" s="408">
        <f>ID!K31</f>
        <v>50</v>
      </c>
      <c r="M29" s="405" t="s">
        <v>77</v>
      </c>
      <c r="N29" s="1299"/>
      <c r="O29" s="406">
        <f>IF(K29&lt;=L29,10,0)</f>
        <v>10</v>
      </c>
      <c r="R29" s="321"/>
      <c r="S29" s="321"/>
      <c r="T29" s="321"/>
      <c r="U29" s="321"/>
      <c r="V29" s="321"/>
      <c r="W29" s="558" t="s">
        <v>298</v>
      </c>
      <c r="X29" s="559"/>
      <c r="Y29" s="559"/>
      <c r="Z29" s="559"/>
      <c r="AA29" s="559"/>
      <c r="AB29" s="557"/>
      <c r="AC29" s="560">
        <v>100</v>
      </c>
      <c r="AG29" s="321"/>
      <c r="AH29" s="321"/>
      <c r="AI29" s="321"/>
      <c r="AJ29" s="321"/>
    </row>
    <row r="30" spans="1:36" x14ac:dyDescent="0.25">
      <c r="A30" s="321"/>
      <c r="B30" s="321"/>
      <c r="C30" s="321"/>
      <c r="D30" s="321"/>
      <c r="E30" s="321"/>
      <c r="F30" s="321"/>
      <c r="G30" s="321"/>
      <c r="H30" s="321"/>
      <c r="I30" s="321"/>
      <c r="J30" s="343"/>
      <c r="K30" s="321"/>
      <c r="L30" s="321"/>
      <c r="M30" s="321"/>
      <c r="N30" s="321"/>
      <c r="R30" s="321"/>
      <c r="S30" s="321"/>
      <c r="T30" s="321"/>
      <c r="U30" s="321"/>
      <c r="V30" s="321"/>
      <c r="W30" s="321"/>
      <c r="X30" s="321"/>
      <c r="Y30" s="321"/>
      <c r="Z30" s="321"/>
      <c r="AA30" s="321"/>
      <c r="AB30" s="321"/>
      <c r="AC30" s="321"/>
      <c r="AD30" s="321"/>
      <c r="AE30" s="321"/>
      <c r="AF30" s="321"/>
      <c r="AG30" s="321"/>
      <c r="AH30" s="321"/>
      <c r="AI30" s="321"/>
      <c r="AJ30" s="321"/>
    </row>
    <row r="31" spans="1:36" x14ac:dyDescent="0.25">
      <c r="A31" s="324" t="s">
        <v>80</v>
      </c>
      <c r="B31" s="324" t="s">
        <v>81</v>
      </c>
      <c r="C31" s="324"/>
      <c r="D31" s="349"/>
      <c r="E31" s="349"/>
      <c r="F31" s="350"/>
      <c r="G31" s="350"/>
      <c r="H31" s="350"/>
      <c r="I31" s="350"/>
      <c r="J31" s="347"/>
      <c r="K31" s="351"/>
      <c r="L31" s="347"/>
      <c r="M31" s="409"/>
      <c r="N31" s="347"/>
      <c r="P31" s="4"/>
      <c r="Q31" s="561"/>
      <c r="R31" s="321"/>
      <c r="U31" s="321"/>
      <c r="V31" s="321"/>
      <c r="W31" s="321"/>
      <c r="X31" s="321"/>
      <c r="Y31" s="321"/>
      <c r="Z31" s="321"/>
    </row>
    <row r="32" spans="1:36" x14ac:dyDescent="0.25">
      <c r="A32" s="324"/>
      <c r="B32" s="324" t="str">
        <f>LK!B34</f>
        <v>A. Kalibrasi Akurasi Kecepatan Treadmill</v>
      </c>
      <c r="C32" s="324"/>
      <c r="D32" s="324"/>
      <c r="E32" s="324"/>
      <c r="F32" s="324"/>
      <c r="G32" s="321"/>
      <c r="H32" s="321"/>
      <c r="I32" s="321"/>
      <c r="J32" s="321"/>
      <c r="K32" s="321"/>
      <c r="L32" s="321"/>
      <c r="M32" s="321"/>
      <c r="N32" s="321"/>
      <c r="P32" s="5"/>
      <c r="U32" s="321"/>
      <c r="V32" s="321"/>
      <c r="W32" s="321"/>
      <c r="X32" s="321"/>
      <c r="Y32" s="321"/>
      <c r="Z32" s="321"/>
    </row>
    <row r="33" spans="1:36" ht="28.5" customHeight="1" x14ac:dyDescent="0.25">
      <c r="A33" s="321"/>
      <c r="B33" s="1204" t="s">
        <v>0</v>
      </c>
      <c r="C33" s="1204" t="s">
        <v>67</v>
      </c>
      <c r="D33" s="1302" t="s">
        <v>507</v>
      </c>
      <c r="E33" s="1303"/>
      <c r="F33" s="1302" t="s">
        <v>299</v>
      </c>
      <c r="G33" s="1303"/>
      <c r="H33" s="368" t="s">
        <v>158</v>
      </c>
      <c r="I33" s="1189" t="s">
        <v>159</v>
      </c>
      <c r="J33" s="1189" t="s">
        <v>86</v>
      </c>
      <c r="K33" s="1302" t="s">
        <v>300</v>
      </c>
      <c r="L33" s="1311"/>
      <c r="M33" s="1297" t="s">
        <v>301</v>
      </c>
      <c r="N33" s="1325" t="s">
        <v>288</v>
      </c>
      <c r="O33" s="422"/>
      <c r="U33" s="321"/>
      <c r="V33" s="321"/>
      <c r="W33" s="321"/>
      <c r="X33" s="321"/>
      <c r="Y33" s="321"/>
      <c r="Z33" s="321"/>
    </row>
    <row r="34" spans="1:36" ht="33.75" customHeight="1" x14ac:dyDescent="0.25">
      <c r="A34" s="321"/>
      <c r="B34" s="1205"/>
      <c r="C34" s="1205"/>
      <c r="D34" s="1304" t="str">
        <f>W40</f>
        <v>(Km/h)</v>
      </c>
      <c r="E34" s="1305"/>
      <c r="F34" s="1304" t="str">
        <f>W40</f>
        <v>(Km/h)</v>
      </c>
      <c r="G34" s="1305"/>
      <c r="H34" s="704" t="str">
        <f>W40</f>
        <v>(Km/h)</v>
      </c>
      <c r="I34" s="1190"/>
      <c r="J34" s="1190"/>
      <c r="K34" s="1304"/>
      <c r="L34" s="1326"/>
      <c r="M34" s="1298"/>
      <c r="N34" s="1325"/>
      <c r="O34" s="422"/>
      <c r="U34" s="321"/>
      <c r="V34" s="321"/>
      <c r="W34" s="321"/>
      <c r="X34" s="321"/>
      <c r="Y34" s="321"/>
      <c r="Z34" s="321"/>
    </row>
    <row r="35" spans="1:36" x14ac:dyDescent="0.25">
      <c r="A35" s="321"/>
      <c r="B35" s="318">
        <v>1</v>
      </c>
      <c r="C35" s="1309" t="str">
        <f>ID!C44</f>
        <v>Akurasi Setting Kecepatan</v>
      </c>
      <c r="D35" s="1215">
        <f>ID!D44</f>
        <v>2.7</v>
      </c>
      <c r="E35" s="1215"/>
      <c r="F35" s="1300">
        <f>IFERROR(ID!K44,"-")</f>
        <v>2.7017989493001338</v>
      </c>
      <c r="G35" s="1306"/>
      <c r="H35" s="387">
        <f>IFERROR(ID!L44,"-")</f>
        <v>1.7989493001335788E-3</v>
      </c>
      <c r="I35" s="387">
        <f>IFERROR(ID!M44,"-")</f>
        <v>6.6583388841703922E-2</v>
      </c>
      <c r="J35" s="1312">
        <v>10</v>
      </c>
      <c r="K35" s="1300">
        <f>IFERROR(ID!O44,"-")</f>
        <v>1.0760827703714337</v>
      </c>
      <c r="L35" s="1301"/>
      <c r="M35" s="410">
        <f>IFERROR((ABS(I35)+K35),"-")</f>
        <v>1.1426661592131377</v>
      </c>
      <c r="N35" s="1313">
        <f>IF(SUM(O35:O39)&gt;=20,25,0)</f>
        <v>25</v>
      </c>
      <c r="O35" s="562">
        <f>IF(OR(H35="-",M35&lt;=$J$35),5,0)</f>
        <v>5</v>
      </c>
      <c r="P35" s="563"/>
      <c r="R35" s="321"/>
      <c r="S35" s="321"/>
      <c r="T35" s="321"/>
      <c r="U35" s="321"/>
      <c r="V35" s="321"/>
      <c r="W35" s="321"/>
      <c r="X35" s="321"/>
      <c r="Y35" s="321"/>
      <c r="Z35" s="321"/>
    </row>
    <row r="36" spans="1:36" x14ac:dyDescent="0.25">
      <c r="A36" s="321"/>
      <c r="B36" s="318">
        <v>2</v>
      </c>
      <c r="C36" s="1310"/>
      <c r="D36" s="1215">
        <f>ID!D45</f>
        <v>4</v>
      </c>
      <c r="E36" s="1215"/>
      <c r="F36" s="1300">
        <f>IFERROR(ID!K45,"-")</f>
        <v>4.0306530885368588</v>
      </c>
      <c r="G36" s="1306"/>
      <c r="H36" s="387">
        <f>IFERROR(ID!L45,"-")</f>
        <v>3.0653088536858775E-2</v>
      </c>
      <c r="I36" s="387">
        <f>IFERROR(ID!M45,"-")</f>
        <v>0.76049930032519752</v>
      </c>
      <c r="J36" s="1312"/>
      <c r="K36" s="1300">
        <f>IFERROR(ID!O45,"-")</f>
        <v>0.72947757055074436</v>
      </c>
      <c r="L36" s="1301"/>
      <c r="M36" s="410">
        <f>IFERROR((ABS(I36)+K36),"-")</f>
        <v>1.489976870875942</v>
      </c>
      <c r="N36" s="1313"/>
      <c r="O36" s="562">
        <f>IF(OR(H36="-",M36&lt;=$J$35),5,0)</f>
        <v>5</v>
      </c>
      <c r="P36" s="563"/>
      <c r="R36" s="321"/>
      <c r="S36" s="321"/>
      <c r="T36" s="321"/>
      <c r="U36" s="321"/>
      <c r="V36" s="321"/>
      <c r="W36" s="321"/>
      <c r="X36" s="321"/>
      <c r="Y36" s="321"/>
      <c r="Z36" s="321"/>
      <c r="AA36" s="349"/>
      <c r="AB36" s="324"/>
      <c r="AC36" s="321"/>
      <c r="AD36" s="321"/>
      <c r="AE36" s="321"/>
      <c r="AF36" s="321"/>
      <c r="AG36" s="321"/>
      <c r="AH36" s="321"/>
      <c r="AI36" s="321"/>
      <c r="AJ36" s="321"/>
    </row>
    <row r="37" spans="1:36" x14ac:dyDescent="0.25">
      <c r="A37" s="321"/>
      <c r="B37" s="318">
        <v>3</v>
      </c>
      <c r="C37" s="1310"/>
      <c r="D37" s="1215">
        <f>ID!D46</f>
        <v>5.5</v>
      </c>
      <c r="E37" s="1215"/>
      <c r="F37" s="1300">
        <f>IFERROR(ID!K46,"-")</f>
        <v>5.470484787656158</v>
      </c>
      <c r="G37" s="1306"/>
      <c r="H37" s="387">
        <f>IFERROR(ID!L46,"-")</f>
        <v>-2.9515212343842023E-2</v>
      </c>
      <c r="I37" s="387">
        <f>IFERROR(ID!M46,"-")</f>
        <v>-0.53953558943151514</v>
      </c>
      <c r="J37" s="1312"/>
      <c r="K37" s="1300">
        <f>IFERROR(ID!O46,"-")</f>
        <v>0.53086531869964526</v>
      </c>
      <c r="L37" s="1301"/>
      <c r="M37" s="410">
        <f>IFERROR((ABS(I37)+K37),"-")</f>
        <v>1.0704009081311603</v>
      </c>
      <c r="N37" s="1313"/>
      <c r="O37" s="562">
        <f>IF(OR(H37="-",M37&lt;=$J$35),5,0)</f>
        <v>5</v>
      </c>
      <c r="P37" s="563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</row>
    <row r="38" spans="1:36" ht="15.75" customHeight="1" x14ac:dyDescent="0.25">
      <c r="A38" s="321"/>
      <c r="B38" s="318">
        <v>4</v>
      </c>
      <c r="C38" s="1308" t="str">
        <f>ID!C47</f>
        <v>Km/h</v>
      </c>
      <c r="D38" s="1215">
        <f>ID!D47</f>
        <v>6.8</v>
      </c>
      <c r="E38" s="1215"/>
      <c r="F38" s="1300">
        <f>IFERROR(ID!K47,"-")</f>
        <v>6.7723389268928837</v>
      </c>
      <c r="G38" s="1306"/>
      <c r="H38" s="387">
        <f>IFERROR(ID!L47,"-")</f>
        <v>-2.7661073107116074E-2</v>
      </c>
      <c r="I38" s="387">
        <f>IFERROR(ID!M47,"-")</f>
        <v>-0.40844194901814873</v>
      </c>
      <c r="J38" s="1312"/>
      <c r="K38" s="1300">
        <f>IFERROR(ID!O47,"-")</f>
        <v>0.42969650165302503</v>
      </c>
      <c r="L38" s="1301"/>
      <c r="M38" s="410">
        <f>IFERROR((ABS(I38)+K38),"-")</f>
        <v>0.83813845067117376</v>
      </c>
      <c r="N38" s="1313"/>
      <c r="O38" s="1073">
        <f>IF(OR(H38="-",M38&lt;=$J$35),5,0)</f>
        <v>5</v>
      </c>
      <c r="P38" s="1198" t="s">
        <v>302</v>
      </c>
      <c r="Q38" s="1198"/>
      <c r="R38" s="1198"/>
      <c r="S38" s="1198"/>
    </row>
    <row r="39" spans="1:36" x14ac:dyDescent="0.25">
      <c r="A39" s="321"/>
      <c r="B39" s="318">
        <v>5</v>
      </c>
      <c r="C39" s="1294"/>
      <c r="D39" s="1215">
        <f>ID!D48</f>
        <v>8</v>
      </c>
      <c r="E39" s="1215"/>
      <c r="F39" s="1300">
        <f>IFERROR(ID!K48,"-")</f>
        <v>8.0562042861883238</v>
      </c>
      <c r="G39" s="1306"/>
      <c r="H39" s="387">
        <f>IFERROR(ID!L48,"-")</f>
        <v>5.6204286188323849E-2</v>
      </c>
      <c r="I39" s="387">
        <f>IFERROR(ID!M48,"-")</f>
        <v>0.69765219688732705</v>
      </c>
      <c r="J39" s="1312"/>
      <c r="K39" s="1300">
        <f>IFERROR(ID!O48,"-")</f>
        <v>0.36556905144311957</v>
      </c>
      <c r="L39" s="1301"/>
      <c r="M39" s="410">
        <f>IFERROR((ABS(I39)+K39),"-")</f>
        <v>1.0632212483304466</v>
      </c>
      <c r="N39" s="1313"/>
      <c r="O39" s="1073">
        <f>IF(OR(H39="-",M39&lt;=$J$35),5,0)</f>
        <v>5</v>
      </c>
      <c r="P39" s="1198"/>
      <c r="Q39" s="1198"/>
      <c r="R39" s="1198"/>
      <c r="S39" s="1198"/>
    </row>
    <row r="40" spans="1:36" ht="12" customHeight="1" x14ac:dyDescent="0.25">
      <c r="A40" s="343"/>
      <c r="B40" s="343"/>
      <c r="C40" s="343"/>
      <c r="D40" s="349"/>
      <c r="E40" s="349"/>
      <c r="F40" s="350"/>
      <c r="G40" s="350"/>
      <c r="H40" s="350"/>
      <c r="I40" s="350"/>
      <c r="J40" s="350"/>
      <c r="K40" s="350"/>
      <c r="L40" s="347"/>
      <c r="M40" s="409"/>
      <c r="N40" s="347"/>
      <c r="P40" s="1290" t="s">
        <v>303</v>
      </c>
      <c r="Q40" s="1290"/>
      <c r="R40" s="1290" t="s">
        <v>304</v>
      </c>
      <c r="S40" s="1290"/>
      <c r="W40" s="2" t="str">
        <f>IF(C38="Km/h","(Km/h)","(Mph)")</f>
        <v>(Km/h)</v>
      </c>
    </row>
    <row r="41" spans="1:36" ht="15" customHeight="1" x14ac:dyDescent="0.25">
      <c r="A41" s="324"/>
      <c r="B41" s="324" t="str">
        <f>LK!B43</f>
        <v>B. Kalibrasi Akurasi ECG</v>
      </c>
      <c r="C41" s="324"/>
      <c r="D41" s="324"/>
      <c r="E41" s="324"/>
      <c r="F41" s="324"/>
      <c r="G41" s="321"/>
      <c r="H41" s="321"/>
      <c r="I41" s="321"/>
      <c r="J41" s="321"/>
      <c r="K41" s="321"/>
      <c r="L41" s="347"/>
      <c r="M41" s="409"/>
      <c r="N41" s="347"/>
      <c r="P41" s="1290"/>
      <c r="Q41" s="1290"/>
      <c r="R41" s="1290"/>
      <c r="S41" s="1290"/>
    </row>
    <row r="42" spans="1:36" ht="15" customHeight="1" x14ac:dyDescent="0.25">
      <c r="A42" s="321"/>
      <c r="B42" s="1189" t="s">
        <v>99</v>
      </c>
      <c r="C42" s="1204" t="s">
        <v>67</v>
      </c>
      <c r="D42" s="1302" t="s">
        <v>305</v>
      </c>
      <c r="E42" s="1303"/>
      <c r="F42" s="1302" t="s">
        <v>306</v>
      </c>
      <c r="G42" s="1303"/>
      <c r="H42" s="1189" t="s">
        <v>307</v>
      </c>
      <c r="I42" s="1189" t="s">
        <v>159</v>
      </c>
      <c r="J42" s="1189" t="s">
        <v>86</v>
      </c>
      <c r="K42" s="1302" t="s">
        <v>160</v>
      </c>
      <c r="L42" s="1303"/>
      <c r="M42" s="1297" t="s">
        <v>301</v>
      </c>
      <c r="N42" s="1297" t="s">
        <v>288</v>
      </c>
      <c r="P42" s="1289">
        <f>IF((N35+N44&gt;25),N35+N44,0)</f>
        <v>50</v>
      </c>
      <c r="Q42" s="1289"/>
      <c r="R42" s="1289">
        <f>IF((N35&gt;25),N35,0)</f>
        <v>0</v>
      </c>
      <c r="S42" s="1289"/>
    </row>
    <row r="43" spans="1:36" ht="37.5" customHeight="1" x14ac:dyDescent="0.25">
      <c r="A43" s="321"/>
      <c r="B43" s="1190"/>
      <c r="C43" s="1205"/>
      <c r="D43" s="1304"/>
      <c r="E43" s="1305"/>
      <c r="F43" s="1304"/>
      <c r="G43" s="1305"/>
      <c r="H43" s="1205"/>
      <c r="I43" s="1190"/>
      <c r="J43" s="1190"/>
      <c r="K43" s="1304"/>
      <c r="L43" s="1305"/>
      <c r="M43" s="1298"/>
      <c r="N43" s="1298"/>
      <c r="P43" s="1289"/>
      <c r="Q43" s="1289"/>
      <c r="R43" s="1289"/>
      <c r="S43" s="1289"/>
    </row>
    <row r="44" spans="1:36" ht="15" customHeight="1" x14ac:dyDescent="0.25">
      <c r="A44" s="321"/>
      <c r="B44" s="318">
        <v>1</v>
      </c>
      <c r="C44" s="1198" t="s">
        <v>103</v>
      </c>
      <c r="D44" s="1292">
        <f>ID!D53</f>
        <v>30</v>
      </c>
      <c r="E44" s="1292"/>
      <c r="F44" s="1307">
        <f>IFERROR('DB ECG'!B156,"-")</f>
        <v>30</v>
      </c>
      <c r="G44" s="1307"/>
      <c r="H44" s="599">
        <f>IFERROR('DB ECG'!H156,"-")</f>
        <v>0</v>
      </c>
      <c r="I44" s="599">
        <f>IFERROR('DB ECG'!I156,"-")</f>
        <v>0</v>
      </c>
      <c r="J44" s="1318">
        <v>5</v>
      </c>
      <c r="K44" s="1215">
        <f>IFERROR(ID!O53,"-")</f>
        <v>2.7708118136784297</v>
      </c>
      <c r="L44" s="1215"/>
      <c r="M44" s="410">
        <f>IFERROR((ABS(I44)+K44),"-")</f>
        <v>2.7708118136784297</v>
      </c>
      <c r="N44" s="1313">
        <f>IF(SUM(O44:O48)&gt;=20,25,0)</f>
        <v>25</v>
      </c>
      <c r="O44" s="562">
        <f>IF(OR(H44="-",M44&lt;=$J$44),5,0)</f>
        <v>5</v>
      </c>
      <c r="P44" s="563"/>
    </row>
    <row r="45" spans="1:36" ht="15" customHeight="1" x14ac:dyDescent="0.25">
      <c r="A45" s="321"/>
      <c r="B45" s="318">
        <v>2</v>
      </c>
      <c r="C45" s="1198"/>
      <c r="D45" s="1292">
        <f>ID!D54</f>
        <v>60</v>
      </c>
      <c r="E45" s="1292"/>
      <c r="F45" s="1307">
        <f>IFERROR('DB ECG'!B157,"-")</f>
        <v>60</v>
      </c>
      <c r="G45" s="1307"/>
      <c r="H45" s="599">
        <f>IFERROR('DB ECG'!H157,"-")</f>
        <v>-0.11999999999999744</v>
      </c>
      <c r="I45" s="599">
        <f>IFERROR('DB ECG'!I157,"-")</f>
        <v>-0.19999999999999576</v>
      </c>
      <c r="J45" s="1318"/>
      <c r="K45" s="1215">
        <f>IFERROR(ID!O54,"-")</f>
        <v>1.3854059068392148</v>
      </c>
      <c r="L45" s="1215"/>
      <c r="M45" s="410">
        <f>IFERROR((ABS(I45)+K45),"-")</f>
        <v>1.5854059068392106</v>
      </c>
      <c r="N45" s="1313"/>
      <c r="O45" s="562">
        <f>IF(OR(H45="-",M45&lt;=$J$44),5,0)</f>
        <v>5</v>
      </c>
      <c r="P45" s="563"/>
    </row>
    <row r="46" spans="1:36" ht="15" customHeight="1" x14ac:dyDescent="0.25">
      <c r="A46" s="321"/>
      <c r="B46" s="318">
        <v>3</v>
      </c>
      <c r="C46" s="1198"/>
      <c r="D46" s="1292">
        <f>ID!D55</f>
        <v>120</v>
      </c>
      <c r="E46" s="1292"/>
      <c r="F46" s="1307">
        <f>IFERROR('DB ECG'!B158,"-")</f>
        <v>120</v>
      </c>
      <c r="G46" s="1307"/>
      <c r="H46" s="599">
        <f>IFERROR('DB ECG'!H158,"-")</f>
        <v>-0.12000000000000455</v>
      </c>
      <c r="I46" s="599">
        <f>IFERROR('DB ECG'!I158,"-")</f>
        <v>-0.10000000000000379</v>
      </c>
      <c r="J46" s="1318"/>
      <c r="K46" s="1215">
        <f>IFERROR(ID!O55,"-")</f>
        <v>0.69270295341960741</v>
      </c>
      <c r="L46" s="1215"/>
      <c r="M46" s="410">
        <f>IFERROR((ABS(I46)+K46),"-")</f>
        <v>0.79270295341961117</v>
      </c>
      <c r="N46" s="1313"/>
      <c r="O46" s="562">
        <f>IF(OR(H46="-",M46&lt;=$J$44),5,0)</f>
        <v>5</v>
      </c>
      <c r="P46" s="563"/>
    </row>
    <row r="47" spans="1:36" ht="15" customHeight="1" x14ac:dyDescent="0.25">
      <c r="A47" s="321"/>
      <c r="B47" s="318">
        <v>4</v>
      </c>
      <c r="C47" s="1198"/>
      <c r="D47" s="1292">
        <f>ID!D56</f>
        <v>180</v>
      </c>
      <c r="E47" s="1292"/>
      <c r="F47" s="1307">
        <f>IFERROR('DB ECG'!B159,"-")</f>
        <v>180</v>
      </c>
      <c r="G47" s="1307"/>
      <c r="H47" s="599">
        <f>IFERROR('DB ECG'!H159,"-")</f>
        <v>0.12000000000000455</v>
      </c>
      <c r="I47" s="599">
        <f>IFERROR('DB ECG'!I159,"-")</f>
        <v>6.6666666666669191E-2</v>
      </c>
      <c r="J47" s="1318"/>
      <c r="K47" s="1215">
        <f>IFERROR(ID!O56,"-")</f>
        <v>0.46180196894640491</v>
      </c>
      <c r="L47" s="1215"/>
      <c r="M47" s="410">
        <f>IFERROR((ABS(I47)+K47),"-")</f>
        <v>0.52846863561307411</v>
      </c>
      <c r="N47" s="1313"/>
      <c r="O47" s="562">
        <f>IF(OR(H47="-",M47&lt;=$J$44),5,0)</f>
        <v>5</v>
      </c>
      <c r="P47" s="563"/>
    </row>
    <row r="48" spans="1:36" ht="15" customHeight="1" x14ac:dyDescent="0.25">
      <c r="A48" s="321"/>
      <c r="B48" s="318">
        <v>5</v>
      </c>
      <c r="C48" s="1198"/>
      <c r="D48" s="1206">
        <f>ID!D57</f>
        <v>240</v>
      </c>
      <c r="E48" s="1207"/>
      <c r="F48" s="1307">
        <f>IFERROR('DB ECG'!B160,"-")</f>
        <v>240</v>
      </c>
      <c r="G48" s="1307"/>
      <c r="H48" s="599">
        <f>IFERROR('DB ECG'!H160,"-")</f>
        <v>-0.12000000000000455</v>
      </c>
      <c r="I48" s="599">
        <f>IFERROR('DB ECG'!I160,"-")</f>
        <v>-5.0000000000001897E-2</v>
      </c>
      <c r="J48" s="1318"/>
      <c r="K48" s="1215">
        <f>IFERROR(ID!O57,"-")</f>
        <v>0.34635147670980371</v>
      </c>
      <c r="L48" s="1215"/>
      <c r="M48" s="410">
        <f>IFERROR((ABS(I48)+K48),"-")</f>
        <v>0.39635147670980558</v>
      </c>
      <c r="N48" s="1313"/>
      <c r="O48" s="562">
        <f>IF(OR(H48="-",M48&lt;=$J$44),5,0)</f>
        <v>5</v>
      </c>
      <c r="P48" s="563"/>
    </row>
    <row r="49" spans="1:16" ht="15" customHeight="1" x14ac:dyDescent="0.25">
      <c r="A49" s="347"/>
      <c r="B49" s="409"/>
      <c r="C49" s="347"/>
      <c r="D49" s="321"/>
      <c r="E49" s="564"/>
      <c r="F49" s="565"/>
      <c r="G49" s="321"/>
      <c r="H49" s="321"/>
      <c r="I49" s="321"/>
      <c r="J49" s="321"/>
      <c r="K49" s="321"/>
      <c r="L49" s="321"/>
      <c r="M49" s="321"/>
      <c r="N49" s="321"/>
    </row>
    <row r="50" spans="1:16" x14ac:dyDescent="0.25">
      <c r="A50" s="393" t="s">
        <v>105</v>
      </c>
      <c r="B50" s="393" t="s">
        <v>106</v>
      </c>
      <c r="C50" s="393"/>
      <c r="D50" s="389"/>
      <c r="E50" s="389"/>
      <c r="F50" s="389"/>
      <c r="G50" s="389"/>
      <c r="H50" s="389"/>
      <c r="I50" s="389"/>
      <c r="J50" s="389"/>
      <c r="K50" s="613"/>
      <c r="L50" s="374"/>
      <c r="M50" s="374"/>
      <c r="N50" s="382"/>
      <c r="O50" s="3"/>
      <c r="P50" s="3"/>
    </row>
    <row r="51" spans="1:16" x14ac:dyDescent="0.25">
      <c r="A51" s="380"/>
      <c r="B51" s="380" t="str">
        <f>ID!B60</f>
        <v>Ketidakpastian pengukuran  dilaporkan pada tingkat kepercayaan 95% dengan faktor cakupan k=2</v>
      </c>
      <c r="C51" s="380"/>
      <c r="D51" s="389"/>
      <c r="E51" s="389"/>
      <c r="F51" s="389"/>
      <c r="G51" s="389"/>
      <c r="H51" s="389"/>
      <c r="I51" s="389"/>
      <c r="J51" s="389"/>
      <c r="K51" s="613"/>
      <c r="L51" s="374"/>
      <c r="M51" s="374"/>
      <c r="N51" s="382"/>
      <c r="O51" s="3"/>
      <c r="P51" s="3"/>
    </row>
    <row r="52" spans="1:16" x14ac:dyDescent="0.25">
      <c r="A52" s="380"/>
      <c r="B52" s="380" t="str">
        <f>ID!B61</f>
        <v>Hasil pengukuran keselamatan listrik tertelusur ke Satuan Internasional ( SI ) melalui PT. Kaliman (LK-032-IDN)</v>
      </c>
      <c r="C52" s="380"/>
      <c r="D52" s="389"/>
      <c r="E52" s="389"/>
      <c r="F52" s="389"/>
      <c r="G52" s="389"/>
      <c r="H52" s="389"/>
      <c r="I52" s="389"/>
      <c r="J52" s="389"/>
      <c r="K52" s="613"/>
      <c r="L52" s="374"/>
      <c r="M52" s="374"/>
      <c r="N52" s="382"/>
      <c r="O52" s="3"/>
      <c r="P52" s="3"/>
    </row>
    <row r="53" spans="1:16" x14ac:dyDescent="0.25">
      <c r="A53" s="380"/>
      <c r="B53" s="380" t="str">
        <f>ID!B62</f>
        <v>Hasil kalibrasi kecepatan tertelusur ke Satuan Internasional ( SI ) melalui PT KALIMAN</v>
      </c>
      <c r="C53" s="380"/>
      <c r="D53" s="389"/>
      <c r="E53" s="389"/>
      <c r="F53" s="389"/>
      <c r="G53" s="389"/>
      <c r="H53" s="389"/>
      <c r="I53" s="389"/>
      <c r="J53" s="389"/>
      <c r="K53" s="613"/>
      <c r="L53" s="374"/>
      <c r="M53" s="374"/>
      <c r="N53" s="382"/>
      <c r="O53" s="3"/>
      <c r="P53" s="3"/>
    </row>
    <row r="54" spans="1:16" x14ac:dyDescent="0.25">
      <c r="A54" s="380"/>
      <c r="B54" s="380" t="str">
        <f>ID!B63</f>
        <v>Hasil kalibrasi ECG tertelusur ke Satuan Internasional melalui DIRJEN YANKES BPFK JAKARTA</v>
      </c>
      <c r="C54" s="380"/>
      <c r="D54" s="389"/>
      <c r="E54" s="389"/>
      <c r="F54" s="389"/>
      <c r="G54" s="389"/>
      <c r="H54" s="389"/>
      <c r="I54" s="389"/>
      <c r="J54" s="389"/>
      <c r="K54" s="613"/>
      <c r="L54" s="374"/>
      <c r="M54" s="374"/>
      <c r="N54" s="382"/>
      <c r="O54" s="3"/>
      <c r="P54" s="3"/>
    </row>
    <row r="55" spans="1:16" x14ac:dyDescent="0.25">
      <c r="A55" s="380"/>
      <c r="B55" s="380" t="str">
        <f>ID!B64</f>
        <v>Alat tidak boleh digunakan pada instalasi tanpa dilengkapi grounding</v>
      </c>
      <c r="C55" s="380"/>
      <c r="D55" s="389"/>
      <c r="E55" s="389"/>
      <c r="F55" s="389"/>
      <c r="G55" s="389"/>
      <c r="H55" s="389"/>
      <c r="I55" s="389"/>
      <c r="J55" s="389"/>
      <c r="K55" s="613"/>
      <c r="L55" s="374"/>
      <c r="M55" s="374"/>
      <c r="N55" s="382"/>
      <c r="O55" s="3"/>
      <c r="P55" s="3"/>
    </row>
    <row r="56" spans="1:16" ht="15.75" customHeight="1" x14ac:dyDescent="0.25">
      <c r="A56" s="380"/>
      <c r="B56" s="70"/>
      <c r="C56" s="380"/>
      <c r="D56" s="389"/>
      <c r="E56" s="389"/>
      <c r="F56" s="389"/>
      <c r="G56" s="389"/>
      <c r="H56" s="389"/>
      <c r="I56" s="389"/>
      <c r="J56" s="389"/>
      <c r="K56" s="613"/>
      <c r="L56" s="374"/>
      <c r="M56" s="374"/>
      <c r="N56" s="382"/>
      <c r="O56" s="3"/>
      <c r="P56" s="3"/>
    </row>
    <row r="57" spans="1:16" ht="15.75" customHeight="1" x14ac:dyDescent="0.25">
      <c r="A57" s="380"/>
      <c r="C57" s="380"/>
      <c r="D57" s="389"/>
      <c r="E57" s="389"/>
      <c r="F57" s="389"/>
      <c r="G57" s="389"/>
      <c r="H57" s="389"/>
      <c r="I57" s="389"/>
      <c r="J57" s="389"/>
      <c r="K57" s="613"/>
      <c r="L57" s="374"/>
      <c r="M57" s="374"/>
      <c r="N57" s="382"/>
      <c r="O57" s="3"/>
      <c r="P57" s="3"/>
    </row>
    <row r="58" spans="1:16" x14ac:dyDescent="0.25">
      <c r="A58" s="374" t="s">
        <v>107</v>
      </c>
      <c r="B58" s="374" t="s">
        <v>108</v>
      </c>
      <c r="C58" s="374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</row>
    <row r="59" spans="1:16" x14ac:dyDescent="0.25">
      <c r="A59" s="374"/>
      <c r="B59" s="372" t="str">
        <f>ID!B68</f>
        <v>Digital Tachometer, Merek : Krisbow, Model : KW06-563, SN : 180812206</v>
      </c>
      <c r="C59" s="374"/>
      <c r="D59" s="372"/>
      <c r="E59" s="372"/>
      <c r="F59" s="372"/>
      <c r="G59" s="372"/>
      <c r="H59" s="372"/>
      <c r="I59" s="372"/>
      <c r="J59" s="372"/>
      <c r="K59" s="372"/>
      <c r="L59" s="372"/>
      <c r="M59" s="372"/>
      <c r="N59" s="372"/>
    </row>
    <row r="60" spans="1:16" ht="15" customHeight="1" x14ac:dyDescent="0.25">
      <c r="A60" s="372"/>
      <c r="B60" s="372" t="str">
        <f>ID!B69</f>
        <v>Multiparameter Simulator, Merek : RIGEL , Model : PatSim200, SN : 11L-0293</v>
      </c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</row>
    <row r="61" spans="1:16" x14ac:dyDescent="0.25">
      <c r="A61" s="372"/>
      <c r="B61" s="372" t="str">
        <f>ID!B70</f>
        <v>Electrical Safety Analyzer, Merek : Fluke, Model : ESA 615, SN : 4670010</v>
      </c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</row>
    <row r="62" spans="1:16" ht="15" customHeight="1" x14ac:dyDescent="0.25">
      <c r="A62" s="372"/>
      <c r="B62" s="372" t="str">
        <f>ID!B71</f>
        <v>Thermohygrobarometer, Merek : EXTECH, Model : SD700, SN : A.100615</v>
      </c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</row>
    <row r="63" spans="1:16" x14ac:dyDescent="0.25">
      <c r="A63" s="374" t="s">
        <v>122</v>
      </c>
      <c r="B63" s="374" t="str">
        <f>ID!B73</f>
        <v>Kesimpulan</v>
      </c>
      <c r="C63" s="374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</row>
    <row r="64" spans="1:16" ht="34.5" customHeight="1" x14ac:dyDescent="0.25">
      <c r="A64" s="372"/>
      <c r="B64" s="1252" t="str">
        <f>ID!B74</f>
        <v>Alat yang dikalibrasi dalam batas toleransi dan dinyatakan LAIK PAKAI, dimana hasil atau skor akhir sama dengan atau melampaui 70% berdasarkan Keputusan Direktur Jenderal Pelayanan Kesehatan No : HK.02.02/V/0412/2020</v>
      </c>
      <c r="C64" s="1252"/>
      <c r="D64" s="1252"/>
      <c r="E64" s="1252"/>
      <c r="F64" s="1252"/>
      <c r="G64" s="1252"/>
      <c r="H64" s="1252"/>
      <c r="I64" s="1252"/>
      <c r="J64" s="1252"/>
      <c r="K64" s="1252"/>
      <c r="L64" s="1252"/>
      <c r="M64" s="1252"/>
      <c r="N64" s="1252"/>
    </row>
    <row r="65" spans="1:14" ht="6" customHeight="1" x14ac:dyDescent="0.25">
      <c r="A65" s="372"/>
      <c r="B65" s="372"/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  <c r="N65" s="372"/>
    </row>
    <row r="66" spans="1:14" x14ac:dyDescent="0.25">
      <c r="A66" s="374" t="s">
        <v>122</v>
      </c>
      <c r="B66" s="374" t="s">
        <v>126</v>
      </c>
      <c r="C66" s="374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</row>
    <row r="67" spans="1:14" x14ac:dyDescent="0.25">
      <c r="A67" s="372"/>
      <c r="B67" s="372" t="str">
        <f>ID!B77</f>
        <v>Gusti Arya Dinata</v>
      </c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</row>
    <row r="68" spans="1:14" x14ac:dyDescent="0.25">
      <c r="A68" s="321"/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</row>
    <row r="69" spans="1:14" x14ac:dyDescent="0.25">
      <c r="A69" s="321"/>
      <c r="B69" s="1292" t="s">
        <v>308</v>
      </c>
      <c r="C69" s="1292"/>
      <c r="D69" s="1292"/>
      <c r="E69" s="1292"/>
      <c r="F69" s="1292"/>
      <c r="G69" s="1292"/>
      <c r="H69" s="1292" t="s">
        <v>1</v>
      </c>
      <c r="I69" s="1292" t="s">
        <v>309</v>
      </c>
      <c r="J69" s="1292" t="s">
        <v>310</v>
      </c>
      <c r="K69" s="1292"/>
      <c r="N69" s="321"/>
    </row>
    <row r="70" spans="1:14" x14ac:dyDescent="0.25">
      <c r="A70" s="321"/>
      <c r="B70" s="1292"/>
      <c r="C70" s="1292"/>
      <c r="D70" s="1292"/>
      <c r="E70" s="1292"/>
      <c r="F70" s="1292"/>
      <c r="G70" s="1292"/>
      <c r="H70" s="1292"/>
      <c r="I70" s="1292"/>
      <c r="J70" s="1292"/>
      <c r="K70" s="1292"/>
      <c r="N70" s="321"/>
    </row>
    <row r="71" spans="1:14" x14ac:dyDescent="0.25">
      <c r="A71" s="321"/>
      <c r="B71" s="402" t="s">
        <v>311</v>
      </c>
      <c r="C71" s="566" t="str">
        <f>ID!B77</f>
        <v>Gusti Arya Dinata</v>
      </c>
      <c r="D71" s="403"/>
      <c r="E71" s="403"/>
      <c r="F71" s="403"/>
      <c r="G71" s="567"/>
      <c r="H71" s="530" t="str">
        <f>ID!B80</f>
        <v>7/8/2022</v>
      </c>
      <c r="I71" s="530"/>
      <c r="J71" s="1314">
        <f>SUM(N21,N22,N26,P42)</f>
        <v>90</v>
      </c>
      <c r="K71" s="1315"/>
      <c r="N71" s="321"/>
    </row>
    <row r="72" spans="1:14" x14ac:dyDescent="0.25">
      <c r="A72" s="321"/>
      <c r="B72" s="402" t="s">
        <v>312</v>
      </c>
      <c r="C72" s="403"/>
      <c r="D72" s="403"/>
      <c r="E72" s="403"/>
      <c r="F72" s="403"/>
      <c r="G72" s="567"/>
      <c r="H72" s="530"/>
      <c r="I72" s="530"/>
      <c r="J72" s="1316"/>
      <c r="K72" s="1317"/>
      <c r="N72" s="321"/>
    </row>
    <row r="74" spans="1:14" x14ac:dyDescent="0.25">
      <c r="M74" s="7"/>
      <c r="N74" s="568"/>
    </row>
    <row r="75" spans="1:14" x14ac:dyDescent="0.25">
      <c r="M75" s="8"/>
    </row>
    <row r="76" spans="1:14" ht="6" customHeight="1" x14ac:dyDescent="0.25"/>
    <row r="77" spans="1:14" x14ac:dyDescent="0.25">
      <c r="B77" s="2" t="s">
        <v>141</v>
      </c>
    </row>
    <row r="78" spans="1:14" x14ac:dyDescent="0.25">
      <c r="B78" s="2" t="s">
        <v>313</v>
      </c>
    </row>
    <row r="79" spans="1:14" ht="16" thickBot="1" x14ac:dyDescent="0.3"/>
    <row r="80" spans="1:14" ht="16" thickBot="1" x14ac:dyDescent="0.35">
      <c r="B80" s="569" t="str">
        <f>ID!E2</f>
        <v>Nomor Sertifikat : 54 /</v>
      </c>
      <c r="C80" s="570"/>
      <c r="D80" s="570"/>
      <c r="E80" s="571"/>
      <c r="F80" s="571"/>
      <c r="G80" s="571"/>
      <c r="H80" s="571"/>
      <c r="I80" s="571"/>
      <c r="J80" s="571"/>
      <c r="K80" s="572"/>
      <c r="L80" s="573"/>
    </row>
    <row r="81" spans="2:13" x14ac:dyDescent="0.3">
      <c r="B81" s="574" t="s">
        <v>314</v>
      </c>
      <c r="C81" s="575"/>
      <c r="D81" s="575"/>
      <c r="E81" s="574"/>
      <c r="F81" s="574"/>
      <c r="G81" s="574"/>
      <c r="H81" s="574"/>
      <c r="I81" s="574"/>
      <c r="J81" s="574"/>
      <c r="K81" s="576"/>
      <c r="L81" s="577">
        <v>1</v>
      </c>
    </row>
    <row r="82" spans="2:13" ht="16" thickBot="1" x14ac:dyDescent="0.35">
      <c r="B82" s="578" t="s">
        <v>315</v>
      </c>
      <c r="C82" s="579"/>
      <c r="D82" s="579"/>
      <c r="E82" s="578"/>
      <c r="F82" s="578"/>
      <c r="G82" s="578"/>
      <c r="H82" s="578"/>
      <c r="I82" s="578"/>
      <c r="J82" s="578"/>
      <c r="K82" s="580"/>
      <c r="L82" s="581">
        <v>2</v>
      </c>
    </row>
    <row r="83" spans="2:13" ht="16" thickBot="1" x14ac:dyDescent="0.35">
      <c r="B83" s="1319">
        <f>VLOOKUP(B80,B81:L82,11,FALSE)</f>
        <v>1</v>
      </c>
      <c r="C83" s="1320"/>
      <c r="D83" s="1320"/>
      <c r="E83" s="1320"/>
      <c r="F83" s="1320"/>
      <c r="G83" s="1320"/>
      <c r="H83" s="1320"/>
      <c r="I83" s="1320"/>
      <c r="J83" s="1320"/>
      <c r="K83" s="1321"/>
      <c r="L83" s="573"/>
    </row>
    <row r="84" spans="2:13" ht="16" thickBot="1" x14ac:dyDescent="0.3">
      <c r="B84" s="178"/>
      <c r="C84"/>
      <c r="D84"/>
      <c r="E84"/>
      <c r="F84"/>
      <c r="G84"/>
      <c r="H84"/>
      <c r="I84"/>
      <c r="J84"/>
      <c r="K84"/>
      <c r="L84"/>
      <c r="M84"/>
    </row>
    <row r="85" spans="2:13" ht="16" thickBot="1" x14ac:dyDescent="0.35">
      <c r="B85" s="1322">
        <f>B83</f>
        <v>1</v>
      </c>
      <c r="C85" s="1323"/>
      <c r="D85" s="1323"/>
      <c r="E85" s="1323"/>
      <c r="F85" s="1323"/>
      <c r="G85" s="1323"/>
      <c r="H85" s="1323"/>
      <c r="I85" s="1323"/>
      <c r="J85" s="1324"/>
      <c r="K85" s="582"/>
      <c r="L85" s="582"/>
      <c r="M85"/>
    </row>
    <row r="86" spans="2:13" x14ac:dyDescent="0.3">
      <c r="B86" s="583">
        <v>1</v>
      </c>
      <c r="C86" s="584" t="s">
        <v>316</v>
      </c>
      <c r="D86" s="575"/>
      <c r="E86" s="574"/>
      <c r="F86" s="574"/>
      <c r="G86" s="574"/>
      <c r="H86" s="574"/>
      <c r="I86" s="574"/>
      <c r="J86" s="585"/>
      <c r="K86" s="582"/>
      <c r="L86" s="582"/>
      <c r="M86"/>
    </row>
    <row r="87" spans="2:13" ht="16" thickBot="1" x14ac:dyDescent="0.35">
      <c r="B87" s="586">
        <v>2</v>
      </c>
      <c r="C87" s="587" t="s">
        <v>317</v>
      </c>
      <c r="D87" s="579"/>
      <c r="E87" s="578"/>
      <c r="F87" s="578"/>
      <c r="G87" s="578"/>
      <c r="H87" s="578"/>
      <c r="I87" s="578"/>
      <c r="J87" s="588"/>
      <c r="K87" s="582"/>
      <c r="L87" s="582"/>
      <c r="M87"/>
    </row>
    <row r="88" spans="2:13" ht="16" thickBot="1" x14ac:dyDescent="0.35">
      <c r="B88" s="569" t="str">
        <f>VLOOKUP(B85,B86:H87,2,FALSE)</f>
        <v>Alat yang dikalibrasi dalam batas toleransi dan dinyatakan LAIK PAKAI, dimana hasil atau skor akhir sama dengan atau melampaui 70% berdasarkan Keputusan Direktur Jenderal Pelayanan Kesehatan No : HK.02.02/V/0412/2020</v>
      </c>
      <c r="C88" s="589"/>
      <c r="D88" s="589"/>
      <c r="E88" s="590"/>
      <c r="F88" s="590"/>
      <c r="G88" s="590"/>
      <c r="H88" s="590"/>
      <c r="I88" s="590"/>
      <c r="J88" s="591"/>
      <c r="K88" s="582"/>
      <c r="L88" s="582"/>
      <c r="M88"/>
    </row>
    <row r="89" spans="2:13" x14ac:dyDescent="0.25">
      <c r="M89"/>
    </row>
    <row r="90" spans="2:13" x14ac:dyDescent="0.3">
      <c r="B90" s="582"/>
      <c r="C90" s="592"/>
      <c r="D90" s="592"/>
      <c r="E90" s="582"/>
      <c r="F90" s="582"/>
      <c r="G90" s="582"/>
      <c r="H90" s="582"/>
      <c r="I90" s="582"/>
      <c r="J90" s="582"/>
      <c r="K90" s="582"/>
      <c r="L90" s="582"/>
      <c r="M90"/>
    </row>
    <row r="95" spans="2:13" x14ac:dyDescent="0.25">
      <c r="B95"/>
      <c r="C95"/>
      <c r="D95"/>
      <c r="E95"/>
      <c r="F95"/>
      <c r="G95"/>
      <c r="H95"/>
      <c r="I95"/>
      <c r="J95"/>
      <c r="K95"/>
      <c r="L95"/>
      <c r="M95"/>
    </row>
  </sheetData>
  <sheetProtection formatCells="0" formatColumns="0" formatRows="0" insertColumns="0" insertRows="0" deleteColumns="0" deleteRows="0"/>
  <mergeCells count="86">
    <mergeCell ref="B83:K83"/>
    <mergeCell ref="B85:J85"/>
    <mergeCell ref="N33:N34"/>
    <mergeCell ref="N42:N43"/>
    <mergeCell ref="I33:I34"/>
    <mergeCell ref="K33:L34"/>
    <mergeCell ref="J33:J34"/>
    <mergeCell ref="C33:C34"/>
    <mergeCell ref="F47:G47"/>
    <mergeCell ref="B42:B43"/>
    <mergeCell ref="F42:G43"/>
    <mergeCell ref="H42:H43"/>
    <mergeCell ref="D39:E39"/>
    <mergeCell ref="K44:L44"/>
    <mergeCell ref="D45:E45"/>
    <mergeCell ref="K35:L35"/>
    <mergeCell ref="N35:N39"/>
    <mergeCell ref="N44:N48"/>
    <mergeCell ref="J71:K72"/>
    <mergeCell ref="B64:N64"/>
    <mergeCell ref="D48:E48"/>
    <mergeCell ref="F48:G48"/>
    <mergeCell ref="K48:L48"/>
    <mergeCell ref="J44:J48"/>
    <mergeCell ref="B69:G70"/>
    <mergeCell ref="H69:H70"/>
    <mergeCell ref="I69:I70"/>
    <mergeCell ref="J69:K70"/>
    <mergeCell ref="K36:L36"/>
    <mergeCell ref="D47:E47"/>
    <mergeCell ref="C44:C48"/>
    <mergeCell ref="D44:E44"/>
    <mergeCell ref="L25:M25"/>
    <mergeCell ref="J35:J39"/>
    <mergeCell ref="D36:E36"/>
    <mergeCell ref="D37:E37"/>
    <mergeCell ref="F35:G35"/>
    <mergeCell ref="F36:G36"/>
    <mergeCell ref="F37:G37"/>
    <mergeCell ref="D33:E33"/>
    <mergeCell ref="D34:E34"/>
    <mergeCell ref="F34:G34"/>
    <mergeCell ref="I42:I43"/>
    <mergeCell ref="F44:G44"/>
    <mergeCell ref="C25:J25"/>
    <mergeCell ref="C38:C39"/>
    <mergeCell ref="C35:C37"/>
    <mergeCell ref="F33:G33"/>
    <mergeCell ref="D35:E35"/>
    <mergeCell ref="K47:L47"/>
    <mergeCell ref="F45:G45"/>
    <mergeCell ref="K45:L45"/>
    <mergeCell ref="D46:E46"/>
    <mergeCell ref="F46:G46"/>
    <mergeCell ref="K46:L46"/>
    <mergeCell ref="M42:M43"/>
    <mergeCell ref="A1:N1"/>
    <mergeCell ref="A2:N2"/>
    <mergeCell ref="B33:B34"/>
    <mergeCell ref="N26:N29"/>
    <mergeCell ref="M33:M34"/>
    <mergeCell ref="K37:L37"/>
    <mergeCell ref="K38:L38"/>
    <mergeCell ref="K39:L39"/>
    <mergeCell ref="J42:J43"/>
    <mergeCell ref="K42:L43"/>
    <mergeCell ref="F39:G39"/>
    <mergeCell ref="D38:E38"/>
    <mergeCell ref="F38:G38"/>
    <mergeCell ref="C42:C43"/>
    <mergeCell ref="D42:E43"/>
    <mergeCell ref="Q20:R21"/>
    <mergeCell ref="S20:S21"/>
    <mergeCell ref="T20:T21"/>
    <mergeCell ref="U20:U21"/>
    <mergeCell ref="W20:AE20"/>
    <mergeCell ref="W21:AE21"/>
    <mergeCell ref="P38:S39"/>
    <mergeCell ref="R42:S43"/>
    <mergeCell ref="P40:Q41"/>
    <mergeCell ref="R40:S41"/>
    <mergeCell ref="W22:AE22"/>
    <mergeCell ref="Q26:Q27"/>
    <mergeCell ref="R26:R27"/>
    <mergeCell ref="W25:AC25"/>
    <mergeCell ref="P42:Q43"/>
  </mergeCells>
  <printOptions horizontalCentered="1"/>
  <pageMargins left="0.59055118110236204" right="0.511811023622047" top="0.39370078740157499" bottom="0.23622047244094499" header="0.23622047244094499" footer="0.23622047244094499"/>
  <pageSetup paperSize="9" scale="68" orientation="portrait" horizontalDpi="4294967294" r:id="rId1"/>
  <headerFooter>
    <oddHeader>&amp;R&amp;"-,Regular"&amp;8WF.LP 054-18 / REV : 1</oddHeader>
    <oddFooter>&amp;R&amp;K00-049Treadmill ECG 14.7.2022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13" r:id="rId4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3" r:id="rId4"/>
      </mc:Fallback>
    </mc:AlternateContent>
    <mc:AlternateContent xmlns:mc="http://schemas.openxmlformats.org/markup-compatibility/2006">
      <mc:Choice Requires="x14">
        <oleObject progId="Equation.3" shapeId="13314" r:id="rId6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4" r:id="rId6"/>
      </mc:Fallback>
    </mc:AlternateContent>
    <mc:AlternateContent xmlns:mc="http://schemas.openxmlformats.org/markup-compatibility/2006">
      <mc:Choice Requires="x14">
        <oleObject progId="Equation.3" shapeId="13315" r:id="rId7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5" r:id="rId7"/>
      </mc:Fallback>
    </mc:AlternateContent>
    <mc:AlternateContent xmlns:mc="http://schemas.openxmlformats.org/markup-compatibility/2006">
      <mc:Choice Requires="x14">
        <oleObject progId="Equation.3" shapeId="13316" r:id="rId8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6" r:id="rId8"/>
      </mc:Fallback>
    </mc:AlternateContent>
    <mc:AlternateContent xmlns:mc="http://schemas.openxmlformats.org/markup-compatibility/2006">
      <mc:Choice Requires="x14">
        <oleObject progId="Equation.3" shapeId="13317" r:id="rId9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7" r:id="rId9"/>
      </mc:Fallback>
    </mc:AlternateContent>
    <mc:AlternateContent xmlns:mc="http://schemas.openxmlformats.org/markup-compatibility/2006">
      <mc:Choice Requires="x14">
        <oleObject progId="Equation.3" shapeId="13318" r:id="rId10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8" r:id="rId10"/>
      </mc:Fallback>
    </mc:AlternateContent>
    <mc:AlternateContent xmlns:mc="http://schemas.openxmlformats.org/markup-compatibility/2006">
      <mc:Choice Requires="x14">
        <oleObject progId="Equation.3" shapeId="13319" r:id="rId11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9" r:id="rId11"/>
      </mc:Fallback>
    </mc:AlternateContent>
    <mc:AlternateContent xmlns:mc="http://schemas.openxmlformats.org/markup-compatibility/2006">
      <mc:Choice Requires="x14">
        <oleObject progId="Equation.3" shapeId="13320" r:id="rId12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0" r:id="rId12"/>
      </mc:Fallback>
    </mc:AlternateContent>
    <mc:AlternateContent xmlns:mc="http://schemas.openxmlformats.org/markup-compatibility/2006">
      <mc:Choice Requires="x14">
        <oleObject progId="Equation.3" shapeId="13321" r:id="rId13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1" r:id="rId13"/>
      </mc:Fallback>
    </mc:AlternateContent>
    <mc:AlternateContent xmlns:mc="http://schemas.openxmlformats.org/markup-compatibility/2006">
      <mc:Choice Requires="x14">
        <oleObject progId="Equation.3" shapeId="13322" r:id="rId14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2" r:id="rId14"/>
      </mc:Fallback>
    </mc:AlternateContent>
    <mc:AlternateContent xmlns:mc="http://schemas.openxmlformats.org/markup-compatibility/2006">
      <mc:Choice Requires="x14">
        <oleObject progId="Equation.3" shapeId="13323" r:id="rId15">
          <objectPr defaultSize="0" autoPict="0" r:id="rId5">
            <anchor moveWithCells="1" sizeWithCells="1">
              <from>
                <xdr:col>12</xdr:col>
                <xdr:colOff>38100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3" r:id="rId15"/>
      </mc:Fallback>
    </mc:AlternateContent>
    <mc:AlternateContent xmlns:mc="http://schemas.openxmlformats.org/markup-compatibility/2006">
      <mc:Choice Requires="x14">
        <oleObject progId="Equation.3" shapeId="13324" r:id="rId16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24" r:id="rId16"/>
      </mc:Fallback>
    </mc:AlternateContent>
    <mc:AlternateContent xmlns:mc="http://schemas.openxmlformats.org/markup-compatibility/2006">
      <mc:Choice Requires="x14">
        <oleObject progId="Equation.3" shapeId="13325" r:id="rId17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25" r:id="rId17"/>
      </mc:Fallback>
    </mc:AlternateContent>
    <mc:AlternateContent xmlns:mc="http://schemas.openxmlformats.org/markup-compatibility/2006">
      <mc:Choice Requires="x14">
        <oleObject progId="Equation.3" shapeId="13326" r:id="rId18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26" r:id="rId18"/>
      </mc:Fallback>
    </mc:AlternateContent>
    <mc:AlternateContent xmlns:mc="http://schemas.openxmlformats.org/markup-compatibility/2006">
      <mc:Choice Requires="x14">
        <oleObject progId="Equation.3" shapeId="13327" r:id="rId19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27" r:id="rId19"/>
      </mc:Fallback>
    </mc:AlternateContent>
    <mc:AlternateContent xmlns:mc="http://schemas.openxmlformats.org/markup-compatibility/2006">
      <mc:Choice Requires="x14">
        <oleObject progId="Equation.3" shapeId="13328" r:id="rId20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28" r:id="rId20"/>
      </mc:Fallback>
    </mc:AlternateContent>
    <mc:AlternateContent xmlns:mc="http://schemas.openxmlformats.org/markup-compatibility/2006">
      <mc:Choice Requires="x14">
        <oleObject progId="Equation.3" shapeId="13329" r:id="rId21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29" r:id="rId21"/>
      </mc:Fallback>
    </mc:AlternateContent>
    <mc:AlternateContent xmlns:mc="http://schemas.openxmlformats.org/markup-compatibility/2006">
      <mc:Choice Requires="x14">
        <oleObject progId="Equation.3" shapeId="13330" r:id="rId22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30" r:id="rId22"/>
      </mc:Fallback>
    </mc:AlternateContent>
    <mc:AlternateContent xmlns:mc="http://schemas.openxmlformats.org/markup-compatibility/2006">
      <mc:Choice Requires="x14">
        <oleObject progId="Equation.3" shapeId="13331" r:id="rId23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31" r:id="rId23"/>
      </mc:Fallback>
    </mc:AlternateContent>
    <mc:AlternateContent xmlns:mc="http://schemas.openxmlformats.org/markup-compatibility/2006">
      <mc:Choice Requires="x14">
        <oleObject progId="Equation.3" shapeId="13332" r:id="rId24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32" r:id="rId24"/>
      </mc:Fallback>
    </mc:AlternateContent>
    <mc:AlternateContent xmlns:mc="http://schemas.openxmlformats.org/markup-compatibility/2006">
      <mc:Choice Requires="x14">
        <oleObject progId="Equation.3" shapeId="13333" r:id="rId25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33" r:id="rId25"/>
      </mc:Fallback>
    </mc:AlternateContent>
    <mc:AlternateContent xmlns:mc="http://schemas.openxmlformats.org/markup-compatibility/2006">
      <mc:Choice Requires="x14">
        <oleObject progId="Equation.3" shapeId="13334" r:id="rId26">
          <objectPr defaultSize="0" autoPict="0" r:id="rId5">
            <anchor moveWithCells="1" sizeWithCells="1">
              <from>
                <xdr:col>12</xdr:col>
                <xdr:colOff>38100</xdr:colOff>
                <xdr:row>99</xdr:row>
                <xdr:rowOff>0</xdr:rowOff>
              </from>
              <to>
                <xdr:col>13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Equation.3" shapeId="13334" r:id="rId26"/>
      </mc:Fallback>
    </mc:AlternateContent>
    <mc:AlternateContent xmlns:mc="http://schemas.openxmlformats.org/markup-compatibility/2006">
      <mc:Choice Requires="x14">
        <oleObject progId="Equation.3" shapeId="13335" r:id="rId27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5" r:id="rId27"/>
      </mc:Fallback>
    </mc:AlternateContent>
    <mc:AlternateContent xmlns:mc="http://schemas.openxmlformats.org/markup-compatibility/2006">
      <mc:Choice Requires="x14">
        <oleObject progId="Equation.3" shapeId="13336" r:id="rId28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6" r:id="rId28"/>
      </mc:Fallback>
    </mc:AlternateContent>
    <mc:AlternateContent xmlns:mc="http://schemas.openxmlformats.org/markup-compatibility/2006">
      <mc:Choice Requires="x14">
        <oleObject progId="Equation.3" shapeId="13337" r:id="rId29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7" r:id="rId29"/>
      </mc:Fallback>
    </mc:AlternateContent>
    <mc:AlternateContent xmlns:mc="http://schemas.openxmlformats.org/markup-compatibility/2006">
      <mc:Choice Requires="x14">
        <oleObject progId="Equation.3" shapeId="13338" r:id="rId30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8" r:id="rId30"/>
      </mc:Fallback>
    </mc:AlternateContent>
    <mc:AlternateContent xmlns:mc="http://schemas.openxmlformats.org/markup-compatibility/2006">
      <mc:Choice Requires="x14">
        <oleObject progId="Equation.3" shapeId="13339" r:id="rId31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9" r:id="rId31"/>
      </mc:Fallback>
    </mc:AlternateContent>
    <mc:AlternateContent xmlns:mc="http://schemas.openxmlformats.org/markup-compatibility/2006">
      <mc:Choice Requires="x14">
        <oleObject progId="Equation.3" shapeId="13340" r:id="rId32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0" r:id="rId32"/>
      </mc:Fallback>
    </mc:AlternateContent>
    <mc:AlternateContent xmlns:mc="http://schemas.openxmlformats.org/markup-compatibility/2006">
      <mc:Choice Requires="x14">
        <oleObject progId="Equation.3" shapeId="13341" r:id="rId33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1" r:id="rId33"/>
      </mc:Fallback>
    </mc:AlternateContent>
    <mc:AlternateContent xmlns:mc="http://schemas.openxmlformats.org/markup-compatibility/2006">
      <mc:Choice Requires="x14">
        <oleObject progId="Equation.3" shapeId="13342" r:id="rId34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2" r:id="rId34"/>
      </mc:Fallback>
    </mc:AlternateContent>
    <mc:AlternateContent xmlns:mc="http://schemas.openxmlformats.org/markup-compatibility/2006">
      <mc:Choice Requires="x14">
        <oleObject progId="Equation.3" shapeId="13343" r:id="rId35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3" r:id="rId35"/>
      </mc:Fallback>
    </mc:AlternateContent>
    <mc:AlternateContent xmlns:mc="http://schemas.openxmlformats.org/markup-compatibility/2006">
      <mc:Choice Requires="x14">
        <oleObject progId="Equation.3" shapeId="13344" r:id="rId36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4" r:id="rId36"/>
      </mc:Fallback>
    </mc:AlternateContent>
    <mc:AlternateContent xmlns:mc="http://schemas.openxmlformats.org/markup-compatibility/2006">
      <mc:Choice Requires="x14">
        <oleObject progId="Equation.3" shapeId="13345" r:id="rId37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5" r:id="rId37"/>
      </mc:Fallback>
    </mc:AlternateContent>
    <mc:AlternateContent xmlns:mc="http://schemas.openxmlformats.org/markup-compatibility/2006">
      <mc:Choice Requires="x14">
        <oleObject progId="Equation.3" shapeId="13346" r:id="rId38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6" r:id="rId38"/>
      </mc:Fallback>
    </mc:AlternateContent>
    <mc:AlternateContent xmlns:mc="http://schemas.openxmlformats.org/markup-compatibility/2006">
      <mc:Choice Requires="x14">
        <oleObject progId="Equation.3" shapeId="13347" r:id="rId39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7" r:id="rId39"/>
      </mc:Fallback>
    </mc:AlternateContent>
    <mc:AlternateContent xmlns:mc="http://schemas.openxmlformats.org/markup-compatibility/2006">
      <mc:Choice Requires="x14">
        <oleObject progId="Equation.3" shapeId="13348" r:id="rId40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8" r:id="rId40"/>
      </mc:Fallback>
    </mc:AlternateContent>
    <mc:AlternateContent xmlns:mc="http://schemas.openxmlformats.org/markup-compatibility/2006">
      <mc:Choice Requires="x14">
        <oleObject progId="Equation.3" shapeId="13349" r:id="rId41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9" r:id="rId41"/>
      </mc:Fallback>
    </mc:AlternateContent>
    <mc:AlternateContent xmlns:mc="http://schemas.openxmlformats.org/markup-compatibility/2006">
      <mc:Choice Requires="x14">
        <oleObject progId="Equation.3" shapeId="13350" r:id="rId42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0" r:id="rId42"/>
      </mc:Fallback>
    </mc:AlternateContent>
    <mc:AlternateContent xmlns:mc="http://schemas.openxmlformats.org/markup-compatibility/2006">
      <mc:Choice Requires="x14">
        <oleObject progId="Equation.3" shapeId="13351" r:id="rId43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1" r:id="rId43"/>
      </mc:Fallback>
    </mc:AlternateContent>
    <mc:AlternateContent xmlns:mc="http://schemas.openxmlformats.org/markup-compatibility/2006">
      <mc:Choice Requires="x14">
        <oleObject progId="Equation.3" shapeId="13352" r:id="rId44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2" r:id="rId44"/>
      </mc:Fallback>
    </mc:AlternateContent>
    <mc:AlternateContent xmlns:mc="http://schemas.openxmlformats.org/markup-compatibility/2006">
      <mc:Choice Requires="x14">
        <oleObject progId="Equation.3" shapeId="13353" r:id="rId45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3" r:id="rId45"/>
      </mc:Fallback>
    </mc:AlternateContent>
    <mc:AlternateContent xmlns:mc="http://schemas.openxmlformats.org/markup-compatibility/2006">
      <mc:Choice Requires="x14">
        <oleObject progId="Equation.3" shapeId="13354" r:id="rId46">
          <objectPr defaultSize="0" autoPict="0" r:id="rId5">
            <anchor moveWithCells="1" sizeWithCells="1">
              <from>
                <xdr:col>9</xdr:col>
                <xdr:colOff>38100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4" r:id="rId46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C4F871A-0CE9-4E92-BB43-CC5C8ADA572E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J71</xm:sqref>
        </x14:conditionalFormatting>
        <x14:conditionalFormatting xmlns:xm="http://schemas.microsoft.com/office/excel/2006/main">
          <x14:cfRule type="iconSet" priority="3" id="{C1C01EE7-B9AE-4E45-BC71-E197F7361E3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M35:M39</xm:sqref>
        </x14:conditionalFormatting>
        <x14:conditionalFormatting xmlns:xm="http://schemas.microsoft.com/office/excel/2006/main">
          <x14:cfRule type="iconSet" priority="2" id="{4E816390-6615-43F9-B46F-9DC26E8F8362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M44:M48</xm:sqref>
        </x14:conditionalFormatting>
        <x14:conditionalFormatting xmlns:xm="http://schemas.microsoft.com/office/excel/2006/main">
          <x14:cfRule type="iconSet" priority="16" id="{EF57B28C-F366-42E9-A4DC-73F3AAFA926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N21:N22</xm:sqref>
        </x14:conditionalFormatting>
        <x14:conditionalFormatting xmlns:xm="http://schemas.microsoft.com/office/excel/2006/main">
          <x14:cfRule type="iconSet" priority="8" id="{4C6322BA-7F80-4011-9DED-3FEB19E592B1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N26:N29</xm:sqref>
        </x14:conditionalFormatting>
        <x14:conditionalFormatting xmlns:xm="http://schemas.microsoft.com/office/excel/2006/main">
          <x14:cfRule type="iconSet" priority="7" id="{D62D54D3-6E0C-4B94-B197-94A2F16325EF}">
            <x14:iconSet iconSet="3Symbols" custom="1">
              <x14:cfvo type="percent">
                <xm:f>0</xm:f>
              </x14:cfvo>
              <x14:cfvo type="num">
                <xm:f>18.75</xm:f>
              </x14:cfvo>
              <x14:cfvo type="num">
                <xm:f>18.75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N35</xm:sqref>
        </x14:conditionalFormatting>
        <x14:conditionalFormatting xmlns:xm="http://schemas.microsoft.com/office/excel/2006/main">
          <x14:cfRule type="iconSet" priority="6" id="{1D3C9811-B97F-409D-8C40-718C7DA7F51B}">
            <x14:iconSet iconSet="3Symbols" custom="1">
              <x14:cfvo type="percent">
                <xm:f>0</xm:f>
              </x14:cfvo>
              <x14:cfvo type="num">
                <xm:f>18.75</xm:f>
              </x14:cfvo>
              <x14:cfvo type="num">
                <xm:f>18.75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N44</xm:sqref>
        </x14:conditionalFormatting>
        <x14:conditionalFormatting xmlns:xm="http://schemas.microsoft.com/office/excel/2006/main">
          <x14:cfRule type="iconSet" priority="18" id="{16D135FD-740A-430F-98CE-1627A08DFC3E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O26:O27</xm:sqref>
        </x14:conditionalFormatting>
        <x14:conditionalFormatting xmlns:xm="http://schemas.microsoft.com/office/excel/2006/main">
          <x14:cfRule type="iconSet" priority="17" id="{442250D5-77EC-4B60-ADC1-436F2E34D673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O28</xm:sqref>
        </x14:conditionalFormatting>
        <x14:conditionalFormatting xmlns:xm="http://schemas.microsoft.com/office/excel/2006/main">
          <x14:cfRule type="iconSet" priority="4" id="{6023BA09-BC99-404D-B28B-74577534004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O29</xm:sqref>
        </x14:conditionalFormatting>
        <x14:conditionalFormatting xmlns:xm="http://schemas.microsoft.com/office/excel/2006/main">
          <x14:cfRule type="iconSet" priority="14" id="{F9DDFA96-92F5-4B5D-BD19-F1A2C5C3EBA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O35:O39</xm:sqref>
        </x14:conditionalFormatting>
        <x14:conditionalFormatting xmlns:xm="http://schemas.microsoft.com/office/excel/2006/main">
          <x14:cfRule type="iconSet" priority="11" id="{7DF7C216-6501-412A-A849-BF19DEBBB43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O44:O48</xm:sqref>
        </x14:conditionalFormatting>
        <x14:conditionalFormatting xmlns:xm="http://schemas.microsoft.com/office/excel/2006/main">
          <x14:cfRule type="iconSet" priority="5" id="{AB4890D6-01E4-45CE-988D-29422FAA71F3}">
            <x14:iconSet iconSet="3Symbols" custom="1">
              <x14:cfvo type="percent">
                <xm:f>0</xm:f>
              </x14:cfvo>
              <x14:cfvo type="num">
                <xm:f>40</xm:f>
              </x14:cfvo>
              <x14:cfvo type="num">
                <xm:f>40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P42</xm:sqref>
        </x14:conditionalFormatting>
        <x14:conditionalFormatting xmlns:xm="http://schemas.microsoft.com/office/excel/2006/main">
          <x14:cfRule type="iconSet" priority="1" id="{E933944A-01B5-4D43-B19F-7F695CE21C21}">
            <x14:iconSet iconSet="3Symbols" custom="1">
              <x14:cfvo type="percent">
                <xm:f>0</xm:f>
              </x14:cfvo>
              <x14:cfvo type="num" gte="0">
                <xm:f>25</xm:f>
              </x14:cfvo>
              <x14:cfvo type="num" gte="0">
                <xm:f>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R42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137"/>
  <sheetViews>
    <sheetView showGridLines="0" view="pageBreakPreview" zoomScaleNormal="100" zoomScaleSheetLayoutView="100" zoomScalePageLayoutView="90" workbookViewId="0">
      <selection activeCell="A2" sqref="A2:O2"/>
    </sheetView>
  </sheetViews>
  <sheetFormatPr defaultColWidth="9.1796875" defaultRowHeight="15.5" x14ac:dyDescent="0.25"/>
  <cols>
    <col min="1" max="1" width="4.1796875" style="298" customWidth="1"/>
    <col min="2" max="2" width="5.26953125" style="298" customWidth="1"/>
    <col min="3" max="3" width="17" style="298" customWidth="1"/>
    <col min="4" max="4" width="3.1796875" style="298" customWidth="1"/>
    <col min="5" max="5" width="14.54296875" style="298" customWidth="1"/>
    <col min="6" max="6" width="11.26953125" style="298" customWidth="1"/>
    <col min="7" max="7" width="7.26953125" style="298" customWidth="1"/>
    <col min="8" max="8" width="12.1796875" style="298" customWidth="1"/>
    <col min="9" max="9" width="15.90625" style="298" customWidth="1"/>
    <col min="10" max="11" width="10" style="298" customWidth="1"/>
    <col min="12" max="12" width="9.08984375" style="298" customWidth="1"/>
    <col min="13" max="13" width="9.1796875" style="298" customWidth="1"/>
    <col min="14" max="14" width="7.26953125" style="298" customWidth="1"/>
    <col min="15" max="15" width="10" style="298" customWidth="1"/>
    <col min="16" max="17" width="8.7265625" style="298" customWidth="1"/>
    <col min="18" max="16384" width="9.1796875" style="298"/>
  </cols>
  <sheetData>
    <row r="1" spans="1:23" ht="18" x14ac:dyDescent="0.25">
      <c r="A1" s="1343" t="str">
        <f>PENYELIA!A1</f>
        <v>HASIL KALIBRASI TREADMILL WITH ECG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  <c r="L1" s="1343"/>
      <c r="M1" s="1343"/>
      <c r="N1" s="1343"/>
      <c r="O1" s="1343"/>
      <c r="P1" s="423"/>
      <c r="Q1" s="423"/>
    </row>
    <row r="2" spans="1:23" ht="18" customHeight="1" x14ac:dyDescent="0.25">
      <c r="A2" s="1348" t="str">
        <f>PENYELIA!A2</f>
        <v>Nomor Sertifikat : 54 / 1 / VIII - 22 / E - 008.27 DL</v>
      </c>
      <c r="B2" s="1348"/>
      <c r="C2" s="1348"/>
      <c r="D2" s="1348"/>
      <c r="E2" s="1348"/>
      <c r="F2" s="1348"/>
      <c r="G2" s="1348"/>
      <c r="H2" s="1348"/>
      <c r="I2" s="1348"/>
      <c r="J2" s="1348"/>
      <c r="K2" s="1348"/>
      <c r="L2" s="1348"/>
      <c r="M2" s="1348"/>
      <c r="N2" s="1348"/>
      <c r="O2" s="1348"/>
      <c r="P2" s="301"/>
      <c r="Q2" s="301"/>
    </row>
    <row r="3" spans="1:23" ht="15.75" customHeight="1" x14ac:dyDescent="0.25"/>
    <row r="4" spans="1:23" x14ac:dyDescent="0.25">
      <c r="A4" s="298" t="str">
        <f>ID!A4</f>
        <v>Merek Treadmill / ECG</v>
      </c>
      <c r="D4" s="299" t="s">
        <v>39</v>
      </c>
      <c r="E4" s="300" t="str">
        <f>PENYELIA!E4</f>
        <v>Lode</v>
      </c>
    </row>
    <row r="5" spans="1:23" x14ac:dyDescent="0.25">
      <c r="A5" s="298" t="str">
        <f>ID!A5</f>
        <v>Model/Tipe</v>
      </c>
      <c r="D5" s="299" t="s">
        <v>39</v>
      </c>
      <c r="E5" s="300" t="str">
        <f>PENYELIA!E5</f>
        <v>Valiant</v>
      </c>
    </row>
    <row r="6" spans="1:23" x14ac:dyDescent="0.25">
      <c r="A6" s="298" t="str">
        <f>ID!A6</f>
        <v>Nomor Seri</v>
      </c>
      <c r="D6" s="299" t="s">
        <v>39</v>
      </c>
      <c r="E6" s="300" t="str">
        <f>PENYELIA!E6</f>
        <v>20170071</v>
      </c>
    </row>
    <row r="7" spans="1:23" x14ac:dyDescent="0.25">
      <c r="A7" s="298" t="str">
        <f>ID!A7</f>
        <v>Resolusi Kecepatan</v>
      </c>
      <c r="D7" s="299" t="s">
        <v>39</v>
      </c>
      <c r="E7" s="1161">
        <f>ID!E7</f>
        <v>1</v>
      </c>
      <c r="F7" s="298" t="str">
        <f>ID!F7</f>
        <v>Km/h</v>
      </c>
    </row>
    <row r="8" spans="1:23" x14ac:dyDescent="0.25">
      <c r="A8" s="298" t="str">
        <f>ID!A8</f>
        <v>Resolusi Heart Rate</v>
      </c>
      <c r="D8" s="299" t="s">
        <v>39</v>
      </c>
      <c r="E8" s="1161">
        <f>ID!E8</f>
        <v>1</v>
      </c>
      <c r="F8" s="298" t="str">
        <f>ID!F8</f>
        <v>BPM</v>
      </c>
    </row>
    <row r="9" spans="1:23" x14ac:dyDescent="0.25">
      <c r="A9" s="298" t="str">
        <f>ID!A9</f>
        <v>Tanggal Penerimaan Alat</v>
      </c>
      <c r="D9" s="299" t="s">
        <v>39</v>
      </c>
      <c r="E9" s="1357" t="str">
        <f>PENYELIA!E9</f>
        <v>22 Agustus 2023</v>
      </c>
      <c r="F9" s="1357"/>
    </row>
    <row r="10" spans="1:23" x14ac:dyDescent="0.25">
      <c r="A10" s="298" t="str">
        <f>ID!A10</f>
        <v>Tanggal Kalibrasi</v>
      </c>
      <c r="D10" s="299" t="s">
        <v>39</v>
      </c>
      <c r="E10" s="1357" t="str">
        <f>PENYELIA!E10</f>
        <v>22 Agustus 2023</v>
      </c>
      <c r="F10" s="1357"/>
    </row>
    <row r="11" spans="1:23" x14ac:dyDescent="0.25">
      <c r="A11" s="298" t="str">
        <f>ID!A11</f>
        <v>Tempat Kalibrasi</v>
      </c>
      <c r="D11" s="299" t="s">
        <v>39</v>
      </c>
      <c r="E11" s="300" t="str">
        <f>PENYELIA!E11</f>
        <v>Ruang Treadmill</v>
      </c>
      <c r="Q11" s="1084" t="str">
        <f>Q18&amp;Q16&amp;" "&amp;R18&amp;" "&amp;R16&amp;S18&amp;S16</f>
        <v>( 22.0 ± 0.1 ) °C</v>
      </c>
    </row>
    <row r="12" spans="1:23" x14ac:dyDescent="0.25">
      <c r="A12" s="298" t="str">
        <f>ID!A12</f>
        <v>Nama Ruang</v>
      </c>
      <c r="D12" s="299" t="s">
        <v>39</v>
      </c>
      <c r="E12" s="300" t="str">
        <f>PENYELIA!E12</f>
        <v>Ruang Treadmill</v>
      </c>
      <c r="Q12" s="302" t="str">
        <f>Q18&amp;Q17&amp;" "&amp;R18&amp;" "&amp;R17&amp;S18&amp;S17</f>
        <v>( 65.4 ± 1.5 ) %RH</v>
      </c>
    </row>
    <row r="13" spans="1:23" x14ac:dyDescent="0.25">
      <c r="A13" s="298" t="str">
        <f>ID!A13</f>
        <v>Metode Kerja</v>
      </c>
      <c r="D13" s="299" t="s">
        <v>39</v>
      </c>
      <c r="E13" s="298" t="str">
        <f>PENYELIA!E13</f>
        <v>MK 054-18</v>
      </c>
      <c r="Q13" s="602" t="str">
        <f>U17&amp;U16&amp;V17&amp;V16&amp;W17&amp;W16</f>
        <v>( 221.8 ± 2.7 ) Volt</v>
      </c>
    </row>
    <row r="14" spans="1:23" ht="15.75" customHeight="1" thickBot="1" x14ac:dyDescent="0.3">
      <c r="D14" s="299"/>
      <c r="E14" s="299"/>
    </row>
    <row r="15" spans="1:23" x14ac:dyDescent="0.25">
      <c r="A15" s="301" t="s">
        <v>51</v>
      </c>
      <c r="B15" s="301" t="s">
        <v>52</v>
      </c>
      <c r="C15" s="301"/>
      <c r="D15" s="299"/>
      <c r="E15" s="299"/>
      <c r="H15" s="301"/>
      <c r="I15" s="301"/>
      <c r="J15" s="301"/>
      <c r="K15" s="301"/>
      <c r="L15" s="301"/>
      <c r="M15" s="301"/>
      <c r="N15" s="301"/>
      <c r="Q15" s="1358" t="s">
        <v>318</v>
      </c>
      <c r="R15" s="1359"/>
      <c r="S15" s="1360"/>
      <c r="U15" s="1358" t="s">
        <v>318</v>
      </c>
      <c r="V15" s="1359"/>
      <c r="W15" s="1360"/>
    </row>
    <row r="16" spans="1:23" x14ac:dyDescent="0.25">
      <c r="B16" s="298" t="str">
        <f>PENYELIA!B16</f>
        <v xml:space="preserve">1. Suhu </v>
      </c>
      <c r="D16" s="299" t="s">
        <v>39</v>
      </c>
      <c r="E16" s="1162" t="str">
        <f>Q16</f>
        <v>22.0</v>
      </c>
      <c r="F16" s="1079" t="str">
        <f>R18</f>
        <v>±</v>
      </c>
      <c r="G16" s="1163" t="str">
        <f>R16</f>
        <v>0.1</v>
      </c>
      <c r="H16" s="1084" t="str">
        <f>S16</f>
        <v xml:space="preserve"> °C</v>
      </c>
      <c r="Q16" s="975" t="str">
        <f>'DB SUHU'!N390</f>
        <v>22.0</v>
      </c>
      <c r="R16" s="975" t="str">
        <f>'DB SUHU'!O390</f>
        <v>0.1</v>
      </c>
      <c r="S16" s="976" t="s">
        <v>319</v>
      </c>
      <c r="U16" s="975" t="str">
        <f>'DB ESA'!H272</f>
        <v>221.8</v>
      </c>
      <c r="V16" s="975" t="str">
        <f>'DB ESA'!I272</f>
        <v>2.7</v>
      </c>
      <c r="W16" s="976" t="s">
        <v>320</v>
      </c>
    </row>
    <row r="17" spans="1:23" ht="16" thickBot="1" x14ac:dyDescent="0.35">
      <c r="B17" s="298" t="str">
        <f>PENYELIA!B17</f>
        <v>2. Kelembaban</v>
      </c>
      <c r="D17" s="299" t="s">
        <v>39</v>
      </c>
      <c r="E17" s="1162" t="str">
        <f>Q17</f>
        <v>65.4</v>
      </c>
      <c r="F17" s="1080" t="str">
        <f>R18</f>
        <v>±</v>
      </c>
      <c r="G17" s="1163" t="str">
        <f>R17</f>
        <v>1.5</v>
      </c>
      <c r="H17" s="1084" t="str">
        <f>S17</f>
        <v xml:space="preserve"> %RH</v>
      </c>
      <c r="Q17" s="975" t="str">
        <f>'DB SUHU'!N391</f>
        <v>65.4</v>
      </c>
      <c r="R17" s="975" t="str">
        <f>'DB SUHU'!O391</f>
        <v>1.5</v>
      </c>
      <c r="S17" s="976" t="s">
        <v>321</v>
      </c>
      <c r="U17" s="978" t="s">
        <v>322</v>
      </c>
      <c r="V17" s="979" t="s">
        <v>323</v>
      </c>
      <c r="W17" s="980" t="s">
        <v>324</v>
      </c>
    </row>
    <row r="18" spans="1:23" ht="16" thickBot="1" x14ac:dyDescent="0.35">
      <c r="B18" s="298" t="str">
        <f>PENYELIA!B18</f>
        <v>3. Tegangan Jala-jala</v>
      </c>
      <c r="D18" s="299" t="s">
        <v>39</v>
      </c>
      <c r="E18" s="1162" t="str">
        <f>U16</f>
        <v>221.8</v>
      </c>
      <c r="F18" s="1081" t="str">
        <f>V17</f>
        <v xml:space="preserve"> ± </v>
      </c>
      <c r="G18" s="1163" t="str">
        <f>V16</f>
        <v>2.7</v>
      </c>
      <c r="H18" s="1084" t="str">
        <f>W16</f>
        <v xml:space="preserve"> Volt</v>
      </c>
      <c r="Q18" s="978" t="s">
        <v>322</v>
      </c>
      <c r="R18" s="979" t="s">
        <v>524</v>
      </c>
      <c r="S18" s="980" t="s">
        <v>324</v>
      </c>
    </row>
    <row r="19" spans="1:23" ht="15.75" customHeight="1" x14ac:dyDescent="0.25">
      <c r="D19" s="299"/>
      <c r="E19" s="299"/>
    </row>
    <row r="20" spans="1:23" x14ac:dyDescent="0.25">
      <c r="A20" s="301" t="s">
        <v>60</v>
      </c>
      <c r="B20" s="301" t="s">
        <v>287</v>
      </c>
      <c r="C20" s="301"/>
      <c r="D20" s="299"/>
      <c r="E20" s="299"/>
      <c r="H20" s="301"/>
      <c r="I20" s="301"/>
      <c r="J20" s="301"/>
      <c r="K20" s="301"/>
    </row>
    <row r="21" spans="1:23" x14ac:dyDescent="0.25">
      <c r="B21" s="298" t="s">
        <v>62</v>
      </c>
      <c r="D21" s="299" t="s">
        <v>39</v>
      </c>
      <c r="E21" s="298" t="str">
        <f>PENYELIA!E21</f>
        <v>Baik</v>
      </c>
    </row>
    <row r="22" spans="1:23" x14ac:dyDescent="0.25">
      <c r="B22" s="298" t="s">
        <v>64</v>
      </c>
      <c r="D22" s="299" t="s">
        <v>39</v>
      </c>
      <c r="E22" s="298" t="str">
        <f>PENYELIA!E22</f>
        <v>Baik</v>
      </c>
    </row>
    <row r="23" spans="1:23" ht="15.75" customHeight="1" x14ac:dyDescent="0.25"/>
    <row r="24" spans="1:23" x14ac:dyDescent="0.25">
      <c r="A24" s="301" t="s">
        <v>65</v>
      </c>
      <c r="B24" s="301" t="s">
        <v>66</v>
      </c>
      <c r="C24" s="301"/>
    </row>
    <row r="25" spans="1:23" ht="15" customHeight="1" x14ac:dyDescent="0.25">
      <c r="B25" s="1349" t="s">
        <v>0</v>
      </c>
      <c r="C25" s="1353" t="s">
        <v>67</v>
      </c>
      <c r="D25" s="1354"/>
      <c r="E25" s="1354"/>
      <c r="F25" s="1354"/>
      <c r="G25" s="1354"/>
      <c r="H25" s="1354"/>
      <c r="I25" s="1355"/>
      <c r="J25" s="1349" t="s">
        <v>68</v>
      </c>
      <c r="K25" s="1349"/>
      <c r="L25" s="1361" t="s">
        <v>143</v>
      </c>
      <c r="M25" s="1361"/>
    </row>
    <row r="26" spans="1:23" ht="15" customHeight="1" x14ac:dyDescent="0.25">
      <c r="B26" s="1349"/>
      <c r="C26" s="1333"/>
      <c r="D26" s="1356"/>
      <c r="E26" s="1356"/>
      <c r="F26" s="1356"/>
      <c r="G26" s="1356"/>
      <c r="H26" s="1356"/>
      <c r="I26" s="1334"/>
      <c r="J26" s="1349"/>
      <c r="K26" s="1349"/>
      <c r="L26" s="1361"/>
      <c r="M26" s="1361"/>
    </row>
    <row r="27" spans="1:23" x14ac:dyDescent="0.25">
      <c r="B27" s="303">
        <v>1</v>
      </c>
      <c r="C27" s="1352" t="str">
        <f>PENYELIA!C26</f>
        <v xml:space="preserve">Resistansi isolasi </v>
      </c>
      <c r="D27" s="1352"/>
      <c r="E27" s="1352"/>
      <c r="F27" s="1352"/>
      <c r="G27" s="1352"/>
      <c r="H27" s="1352"/>
      <c r="I27" s="1352"/>
      <c r="J27" s="1164" t="str">
        <f>PENYELIA!K26</f>
        <v>OL</v>
      </c>
      <c r="K27" s="304" t="str">
        <f>IF(OR(J27="OL",J27="-"),"","MΩ")</f>
        <v/>
      </c>
      <c r="L27" s="313">
        <f>PENYELIA!L26</f>
        <v>2</v>
      </c>
      <c r="M27" s="304" t="s">
        <v>146</v>
      </c>
    </row>
    <row r="28" spans="1:23" x14ac:dyDescent="0.25">
      <c r="B28" s="303">
        <v>2</v>
      </c>
      <c r="C28" s="1362" t="str">
        <f>PENYELIA!C27</f>
        <v>Resistansi pembumian protektif</v>
      </c>
      <c r="D28" s="1362"/>
      <c r="E28" s="1362"/>
      <c r="F28" s="1362"/>
      <c r="G28" s="1362"/>
      <c r="H28" s="1362"/>
      <c r="I28" s="1362"/>
      <c r="J28" s="1165">
        <f>PENYELIA!K27</f>
        <v>1.0013452686901474</v>
      </c>
      <c r="K28" s="304" t="str">
        <f>IF(OR(J28="OL",J28="-"),"","Ω")</f>
        <v>Ω</v>
      </c>
      <c r="L28" s="314">
        <f>PENYELIA!L27</f>
        <v>0.2</v>
      </c>
      <c r="M28" s="304" t="s">
        <v>148</v>
      </c>
    </row>
    <row r="29" spans="1:23" x14ac:dyDescent="0.25">
      <c r="B29" s="303">
        <v>3</v>
      </c>
      <c r="C29" s="1362" t="str">
        <f>PENYELIA!C28</f>
        <v>Arus bocor peralatan untuk peralatan elektromedik kelas I</v>
      </c>
      <c r="D29" s="1362"/>
      <c r="E29" s="1362"/>
      <c r="F29" s="1362"/>
      <c r="G29" s="1362"/>
      <c r="H29" s="1362"/>
      <c r="I29" s="1362"/>
      <c r="J29" s="1164">
        <f>PENYELIA!K28</f>
        <v>550.16238808519836</v>
      </c>
      <c r="K29" s="304" t="str">
        <f>IF(OR(J29="OL",J29="-"),"","µA")</f>
        <v>µA</v>
      </c>
      <c r="L29" s="315">
        <f>PENYELIA!L28</f>
        <v>500</v>
      </c>
      <c r="M29" s="304" t="s">
        <v>77</v>
      </c>
    </row>
    <row r="30" spans="1:23" x14ac:dyDescent="0.25">
      <c r="A30" s="450"/>
      <c r="B30" s="308">
        <v>4</v>
      </c>
      <c r="C30" s="1363" t="str">
        <f>PENYELIA!C29</f>
        <v>Arus bocor peralatan yang diaplikasikan</v>
      </c>
      <c r="D30" s="1363"/>
      <c r="E30" s="1363"/>
      <c r="F30" s="1363"/>
      <c r="G30" s="1363"/>
      <c r="H30" s="1363"/>
      <c r="I30" s="1363"/>
      <c r="J30" s="1164">
        <f>PENYELIA!K29</f>
        <v>12.355504296680722</v>
      </c>
      <c r="K30" s="304" t="str">
        <f>IF(OR(J30="OL",J30="-"),"","µA")</f>
        <v>µA</v>
      </c>
      <c r="L30" s="315">
        <f>PENYELIA!L29</f>
        <v>50</v>
      </c>
      <c r="M30" s="304" t="s">
        <v>77</v>
      </c>
    </row>
    <row r="31" spans="1:23" ht="15.75" customHeight="1" x14ac:dyDescent="0.25"/>
    <row r="32" spans="1:23" ht="15.75" customHeight="1" x14ac:dyDescent="0.25">
      <c r="A32" s="301" t="s">
        <v>80</v>
      </c>
      <c r="B32" s="301" t="s">
        <v>81</v>
      </c>
      <c r="C32" s="301"/>
      <c r="D32" s="305"/>
      <c r="E32" s="305"/>
      <c r="F32" s="306"/>
      <c r="G32" s="306"/>
      <c r="H32" s="306"/>
      <c r="I32" s="306"/>
      <c r="L32" s="307"/>
      <c r="M32" s="424"/>
      <c r="N32" s="307"/>
      <c r="P32" s="425"/>
    </row>
    <row r="33" spans="1:21" x14ac:dyDescent="0.25">
      <c r="A33" s="301"/>
      <c r="B33" s="301" t="str">
        <f>PENYELIA!B32</f>
        <v>A. Kalibrasi Akurasi Kecepatan Treadmill</v>
      </c>
      <c r="C33" s="301"/>
      <c r="D33" s="301"/>
      <c r="E33" s="301"/>
      <c r="F33" s="301"/>
    </row>
    <row r="34" spans="1:21" ht="33" customHeight="1" x14ac:dyDescent="0.25">
      <c r="B34" s="1330" t="s">
        <v>0</v>
      </c>
      <c r="C34" s="1330" t="s">
        <v>67</v>
      </c>
      <c r="D34" s="1339" t="str">
        <f>PENYELIA!D33</f>
        <v>Setting Alat</v>
      </c>
      <c r="E34" s="1340"/>
      <c r="F34" s="1339" t="str">
        <f>PENYELIA!F33</f>
        <v>Pembacaan Standar</v>
      </c>
      <c r="G34" s="1340"/>
      <c r="H34" s="703" t="s">
        <v>158</v>
      </c>
      <c r="I34" s="1076" t="s">
        <v>526</v>
      </c>
      <c r="J34" s="1335" t="s">
        <v>86</v>
      </c>
      <c r="K34" s="1335"/>
      <c r="L34" s="1335" t="s">
        <v>528</v>
      </c>
      <c r="M34" s="1335"/>
    </row>
    <row r="35" spans="1:21" ht="15.75" customHeight="1" x14ac:dyDescent="0.25">
      <c r="B35" s="1331"/>
      <c r="C35" s="1331"/>
      <c r="D35" s="1350" t="str">
        <f>PENYELIA!D34</f>
        <v>(Km/h)</v>
      </c>
      <c r="E35" s="1351"/>
      <c r="F35" s="1350" t="str">
        <f>PENYELIA!F34</f>
        <v>(Km/h)</v>
      </c>
      <c r="G35" s="1351"/>
      <c r="H35" s="702" t="str">
        <f>PENYELIA!H34</f>
        <v>(Km/h)</v>
      </c>
      <c r="I35" s="1077" t="s">
        <v>527</v>
      </c>
      <c r="J35" s="1336" t="str">
        <f>I35</f>
        <v>(%)</v>
      </c>
      <c r="K35" s="1336"/>
      <c r="L35" s="1336" t="str">
        <f>J35</f>
        <v>(%)</v>
      </c>
      <c r="M35" s="1336"/>
    </row>
    <row r="36" spans="1:21" ht="19" customHeight="1" x14ac:dyDescent="0.25">
      <c r="B36" s="308">
        <v>1</v>
      </c>
      <c r="C36" s="1337" t="s">
        <v>161</v>
      </c>
      <c r="D36" s="1332">
        <f>PENYELIA!D35</f>
        <v>2.7</v>
      </c>
      <c r="E36" s="1332"/>
      <c r="F36" s="1342">
        <f>PENYELIA!F35</f>
        <v>2.7017989493001338</v>
      </c>
      <c r="G36" s="1342"/>
      <c r="H36" s="1167">
        <f>PENYELIA!H35</f>
        <v>1.7989493001335788E-3</v>
      </c>
      <c r="I36" s="1168">
        <f>PENYELIA!I35</f>
        <v>6.6583388841703922E-2</v>
      </c>
      <c r="J36" s="1341" t="s">
        <v>524</v>
      </c>
      <c r="K36" s="1364" t="s">
        <v>523</v>
      </c>
      <c r="L36" s="1088" t="str">
        <f>IF(P36="-",""," ± ")</f>
        <v xml:space="preserve"> ± </v>
      </c>
      <c r="M36" s="1170" t="str">
        <f>IF(P36&gt;=10,TEXT(P36,"0"),IF(P36&gt;=1,TEXT(P36,"0.0"),TEXT(P36,"0.00")))</f>
        <v>1.1</v>
      </c>
      <c r="P36" s="1090">
        <f>PENYELIA!K35</f>
        <v>1.0760827703714337</v>
      </c>
    </row>
    <row r="37" spans="1:21" ht="19" customHeight="1" x14ac:dyDescent="0.25">
      <c r="B37" s="308">
        <v>2</v>
      </c>
      <c r="C37" s="1338"/>
      <c r="D37" s="1332">
        <f>PENYELIA!D36</f>
        <v>4</v>
      </c>
      <c r="E37" s="1332"/>
      <c r="F37" s="1342">
        <f>PENYELIA!F36</f>
        <v>4.0306530885368588</v>
      </c>
      <c r="G37" s="1342"/>
      <c r="H37" s="1167">
        <f>PENYELIA!H36</f>
        <v>3.0653088536858775E-2</v>
      </c>
      <c r="I37" s="1169">
        <f>PENYELIA!I36</f>
        <v>0.76049930032519752</v>
      </c>
      <c r="J37" s="1341"/>
      <c r="K37" s="1364"/>
      <c r="L37" s="1088" t="str">
        <f>IF(P37="-",""," ± ")</f>
        <v xml:space="preserve"> ± </v>
      </c>
      <c r="M37" s="1170" t="str">
        <f t="shared" ref="M37:M39" si="0">IF(P37&gt;=10,TEXT(P37,"0"),IF(P37&gt;=1,TEXT(P37,"0.0"),TEXT(P37,"0.00")))</f>
        <v>0.73</v>
      </c>
      <c r="P37" s="1090">
        <f>PENYELIA!K36</f>
        <v>0.72947757055074436</v>
      </c>
    </row>
    <row r="38" spans="1:21" ht="19" customHeight="1" x14ac:dyDescent="0.25">
      <c r="B38" s="308">
        <v>3</v>
      </c>
      <c r="C38" s="1338"/>
      <c r="D38" s="1332">
        <f>PENYELIA!D37</f>
        <v>5.5</v>
      </c>
      <c r="E38" s="1332"/>
      <c r="F38" s="1342">
        <f>PENYELIA!F37</f>
        <v>5.470484787656158</v>
      </c>
      <c r="G38" s="1342"/>
      <c r="H38" s="1167">
        <f>PENYELIA!H37</f>
        <v>-2.9515212343842023E-2</v>
      </c>
      <c r="I38" s="1169">
        <f>PENYELIA!I37</f>
        <v>-0.53953558943151514</v>
      </c>
      <c r="J38" s="1341"/>
      <c r="K38" s="1364"/>
      <c r="L38" s="1088" t="str">
        <f>IF(P38="-",""," ± ")</f>
        <v xml:space="preserve"> ± </v>
      </c>
      <c r="M38" s="1170" t="str">
        <f t="shared" si="0"/>
        <v>0.53</v>
      </c>
      <c r="P38" s="1090">
        <f>PENYELIA!K37</f>
        <v>0.53086531869964526</v>
      </c>
    </row>
    <row r="39" spans="1:21" ht="19" customHeight="1" x14ac:dyDescent="0.25">
      <c r="B39" s="308">
        <v>4</v>
      </c>
      <c r="C39" s="1346" t="str">
        <f>"("&amp;PENYELIA!C38&amp;")"</f>
        <v>(Km/h)</v>
      </c>
      <c r="D39" s="1332">
        <f>PENYELIA!D38</f>
        <v>6.8</v>
      </c>
      <c r="E39" s="1332"/>
      <c r="F39" s="1342">
        <f>PENYELIA!F38</f>
        <v>6.7723389268928837</v>
      </c>
      <c r="G39" s="1342"/>
      <c r="H39" s="1167">
        <f>PENYELIA!H38</f>
        <v>-2.7661073107116074E-2</v>
      </c>
      <c r="I39" s="1169">
        <f>PENYELIA!I38</f>
        <v>-0.40844194901814873</v>
      </c>
      <c r="J39" s="1341"/>
      <c r="K39" s="1364"/>
      <c r="L39" s="1088" t="str">
        <f>IF(P39="-",""," ± ")</f>
        <v xml:space="preserve"> ± </v>
      </c>
      <c r="M39" s="1170" t="str">
        <f t="shared" si="0"/>
        <v>0.43</v>
      </c>
      <c r="P39" s="1090">
        <f>PENYELIA!K38</f>
        <v>0.42969650165302503</v>
      </c>
    </row>
    <row r="40" spans="1:21" ht="19" customHeight="1" x14ac:dyDescent="0.25">
      <c r="B40" s="308">
        <v>5</v>
      </c>
      <c r="C40" s="1347"/>
      <c r="D40" s="1332">
        <f>PENYELIA!D39</f>
        <v>8</v>
      </c>
      <c r="E40" s="1332"/>
      <c r="F40" s="1342">
        <f>PENYELIA!F39</f>
        <v>8.0562042861883238</v>
      </c>
      <c r="G40" s="1342"/>
      <c r="H40" s="1167">
        <f>PENYELIA!H39</f>
        <v>5.6204286188323849E-2</v>
      </c>
      <c r="I40" s="1169">
        <f>PENYELIA!I39</f>
        <v>0.69765219688732705</v>
      </c>
      <c r="J40" s="1341"/>
      <c r="K40" s="1364"/>
      <c r="L40" s="1088" t="str">
        <f>IF(P40="-",""," ± ")</f>
        <v xml:space="preserve"> ± </v>
      </c>
      <c r="M40" s="1170" t="str">
        <f>IF(P40&gt;=10,TEXT(P40,"0"),IF(P40&gt;=1,TEXT(P40,"0.0"),TEXT(P40,"0.00")))</f>
        <v>0.37</v>
      </c>
      <c r="P40" s="1090">
        <f>PENYELIA!K39</f>
        <v>0.36556905144311957</v>
      </c>
    </row>
    <row r="41" spans="1:21" ht="19" customHeight="1" x14ac:dyDescent="0.25">
      <c r="A41" s="299"/>
      <c r="B41" s="309"/>
      <c r="C41" s="310"/>
      <c r="D41" s="310"/>
      <c r="E41" s="306"/>
      <c r="F41" s="306"/>
      <c r="G41" s="306"/>
      <c r="H41" s="311"/>
      <c r="I41" s="312"/>
      <c r="J41" s="312"/>
      <c r="L41" s="1089"/>
      <c r="Q41" s="299"/>
      <c r="R41" s="299"/>
      <c r="S41" s="299"/>
    </row>
    <row r="42" spans="1:21" ht="19" customHeight="1" x14ac:dyDescent="0.25">
      <c r="A42" s="301"/>
      <c r="B42" s="301" t="str">
        <f>PENYELIA!B41</f>
        <v>B. Kalibrasi Akurasi ECG</v>
      </c>
      <c r="C42" s="301"/>
      <c r="D42" s="301"/>
      <c r="E42" s="301"/>
      <c r="F42" s="301"/>
      <c r="L42" s="1089"/>
      <c r="P42" s="299"/>
      <c r="T42" s="299"/>
      <c r="U42" s="299"/>
    </row>
    <row r="43" spans="1:21" ht="30.75" customHeight="1" x14ac:dyDescent="0.25">
      <c r="B43" s="1335" t="s">
        <v>99</v>
      </c>
      <c r="C43" s="1335" t="s">
        <v>67</v>
      </c>
      <c r="D43" s="1339" t="s">
        <v>165</v>
      </c>
      <c r="E43" s="1340"/>
      <c r="F43" s="1339" t="s">
        <v>562</v>
      </c>
      <c r="G43" s="1340"/>
      <c r="H43" s="703" t="s">
        <v>158</v>
      </c>
      <c r="I43" s="1076" t="str">
        <f>I34</f>
        <v>Koreksi Relatif</v>
      </c>
      <c r="J43" s="1335" t="s">
        <v>86</v>
      </c>
      <c r="K43" s="1335"/>
      <c r="L43" s="1335" t="s">
        <v>528</v>
      </c>
      <c r="M43" s="1335"/>
    </row>
    <row r="44" spans="1:21" ht="15" customHeight="1" x14ac:dyDescent="0.25">
      <c r="B44" s="1336"/>
      <c r="C44" s="1336"/>
      <c r="D44" s="1333" t="s">
        <v>325</v>
      </c>
      <c r="E44" s="1334"/>
      <c r="F44" s="1333" t="s">
        <v>325</v>
      </c>
      <c r="G44" s="1334"/>
      <c r="H44" s="702" t="s">
        <v>325</v>
      </c>
      <c r="I44" s="1077" t="str">
        <f>I35</f>
        <v>(%)</v>
      </c>
      <c r="J44" s="1336" t="str">
        <f>I44</f>
        <v>(%)</v>
      </c>
      <c r="K44" s="1336"/>
      <c r="L44" s="1336" t="str">
        <f>L35</f>
        <v>(%)</v>
      </c>
      <c r="M44" s="1336"/>
    </row>
    <row r="45" spans="1:21" ht="19" customHeight="1" x14ac:dyDescent="0.25">
      <c r="B45" s="308">
        <v>1</v>
      </c>
      <c r="C45" s="1345" t="str">
        <f>PENYELIA!C44</f>
        <v xml:space="preserve">Frekuensi              Heart Rate                      (BPM) </v>
      </c>
      <c r="D45" s="1328">
        <f>PENYELIA!D44</f>
        <v>30</v>
      </c>
      <c r="E45" s="1328"/>
      <c r="F45" s="1329">
        <f>PENYELIA!F44</f>
        <v>30</v>
      </c>
      <c r="G45" s="1329"/>
      <c r="H45" s="1166">
        <f>PENYELIA!H44</f>
        <v>0</v>
      </c>
      <c r="I45" s="1168">
        <f>PENYELIA!I44</f>
        <v>0</v>
      </c>
      <c r="J45" s="1341" t="s">
        <v>524</v>
      </c>
      <c r="K45" s="1344" t="s">
        <v>525</v>
      </c>
      <c r="L45" s="1088" t="str">
        <f>IF(P45="-",""," ± ")</f>
        <v xml:space="preserve"> ± </v>
      </c>
      <c r="M45" s="1170" t="str">
        <f>IF(P45&gt;=10,TEXT(P45,"0"),IF(P45&gt;=1,TEXT(P45,"0.0"),TEXT(P45,"0.00")))</f>
        <v>2.8</v>
      </c>
      <c r="P45" s="1090">
        <f>PENYELIA!K44</f>
        <v>2.7708118136784297</v>
      </c>
    </row>
    <row r="46" spans="1:21" ht="15.75" customHeight="1" x14ac:dyDescent="0.25">
      <c r="B46" s="308">
        <v>2</v>
      </c>
      <c r="C46" s="1345"/>
      <c r="D46" s="1328">
        <f>PENYELIA!D45</f>
        <v>60</v>
      </c>
      <c r="E46" s="1328"/>
      <c r="F46" s="1329">
        <f>PENYELIA!F45</f>
        <v>60</v>
      </c>
      <c r="G46" s="1329"/>
      <c r="H46" s="1166">
        <f>PENYELIA!H45</f>
        <v>-0.11999999999999744</v>
      </c>
      <c r="I46" s="1168">
        <f>PENYELIA!I45</f>
        <v>-0.19999999999999576</v>
      </c>
      <c r="J46" s="1341"/>
      <c r="K46" s="1344"/>
      <c r="L46" s="1088" t="str">
        <f>IF(P46="-",""," ± ")</f>
        <v xml:space="preserve"> ± </v>
      </c>
      <c r="M46" s="1170" t="str">
        <f t="shared" ref="M46:M49" si="1">IF(P46&gt;=10,TEXT(P46,"0"),IF(P46&gt;=1,TEXT(P46,"0.0"),TEXT(P46,"0.00")))</f>
        <v>1.4</v>
      </c>
      <c r="P46" s="1090">
        <f>PENYELIA!K45</f>
        <v>1.3854059068392148</v>
      </c>
    </row>
    <row r="47" spans="1:21" ht="15.75" customHeight="1" x14ac:dyDescent="0.25">
      <c r="B47" s="308">
        <v>3</v>
      </c>
      <c r="C47" s="1345"/>
      <c r="D47" s="1328">
        <f>PENYELIA!D46</f>
        <v>120</v>
      </c>
      <c r="E47" s="1328"/>
      <c r="F47" s="1329">
        <f>PENYELIA!F46</f>
        <v>120</v>
      </c>
      <c r="G47" s="1329"/>
      <c r="H47" s="1166">
        <f>PENYELIA!H46</f>
        <v>-0.12000000000000455</v>
      </c>
      <c r="I47" s="1168">
        <f>PENYELIA!I46</f>
        <v>-0.10000000000000379</v>
      </c>
      <c r="J47" s="1341"/>
      <c r="K47" s="1344"/>
      <c r="L47" s="1088" t="str">
        <f>IF(P47="-",""," ± ")</f>
        <v xml:space="preserve"> ± </v>
      </c>
      <c r="M47" s="1170" t="str">
        <f t="shared" si="1"/>
        <v>0.69</v>
      </c>
      <c r="P47" s="1090">
        <f>PENYELIA!K46</f>
        <v>0.69270295341960741</v>
      </c>
    </row>
    <row r="48" spans="1:21" ht="15.75" customHeight="1" x14ac:dyDescent="0.25">
      <c r="B48" s="308">
        <v>4</v>
      </c>
      <c r="C48" s="1345"/>
      <c r="D48" s="1328">
        <f>PENYELIA!D47</f>
        <v>180</v>
      </c>
      <c r="E48" s="1328"/>
      <c r="F48" s="1329">
        <f>PENYELIA!F47</f>
        <v>180</v>
      </c>
      <c r="G48" s="1329"/>
      <c r="H48" s="1166">
        <f>PENYELIA!H47</f>
        <v>0.12000000000000455</v>
      </c>
      <c r="I48" s="1168">
        <f>PENYELIA!I47</f>
        <v>6.6666666666669191E-2</v>
      </c>
      <c r="J48" s="1341"/>
      <c r="K48" s="1344"/>
      <c r="L48" s="1088" t="str">
        <f>IF(P48="-",""," ± ")</f>
        <v xml:space="preserve"> ± </v>
      </c>
      <c r="M48" s="1170" t="str">
        <f t="shared" si="1"/>
        <v>0.46</v>
      </c>
      <c r="P48" s="1090">
        <f>PENYELIA!K47</f>
        <v>0.46180196894640491</v>
      </c>
    </row>
    <row r="49" spans="1:16" ht="15.75" customHeight="1" x14ac:dyDescent="0.25">
      <c r="B49" s="308">
        <v>5</v>
      </c>
      <c r="C49" s="1345"/>
      <c r="D49" s="1328">
        <f>PENYELIA!D48</f>
        <v>240</v>
      </c>
      <c r="E49" s="1328"/>
      <c r="F49" s="1329">
        <f>PENYELIA!F48</f>
        <v>240</v>
      </c>
      <c r="G49" s="1329"/>
      <c r="H49" s="1166">
        <f>PENYELIA!H48</f>
        <v>-0.12000000000000455</v>
      </c>
      <c r="I49" s="1168">
        <f>PENYELIA!I48</f>
        <v>-5.0000000000001897E-2</v>
      </c>
      <c r="J49" s="1341"/>
      <c r="K49" s="1344"/>
      <c r="L49" s="1088" t="str">
        <f>IF(P49="-",""," ± ")</f>
        <v xml:space="preserve"> ± </v>
      </c>
      <c r="M49" s="1170" t="str">
        <f t="shared" si="1"/>
        <v>0.35</v>
      </c>
      <c r="P49" s="1090">
        <f>PENYELIA!K48</f>
        <v>0.34635147670980371</v>
      </c>
    </row>
    <row r="50" spans="1:16" ht="15.75" customHeight="1" x14ac:dyDescent="0.25">
      <c r="A50" s="427"/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N50" s="427"/>
      <c r="P50" s="425"/>
    </row>
    <row r="51" spans="1:16" x14ac:dyDescent="0.25">
      <c r="A51" s="603" t="s">
        <v>105</v>
      </c>
      <c r="B51" s="603" t="s">
        <v>106</v>
      </c>
      <c r="C51" s="603"/>
      <c r="D51" s="604"/>
      <c r="E51" s="604"/>
      <c r="F51" s="604"/>
      <c r="G51" s="604"/>
      <c r="H51" s="604"/>
      <c r="I51" s="604"/>
      <c r="J51" s="604"/>
      <c r="K51" s="605"/>
      <c r="L51" s="606"/>
      <c r="M51" s="606"/>
      <c r="N51" s="607"/>
      <c r="O51" s="607"/>
    </row>
    <row r="52" spans="1:16" x14ac:dyDescent="0.25">
      <c r="A52" s="608"/>
      <c r="B52" s="608" t="str">
        <f>PENYELIA!B51</f>
        <v>Ketidakpastian pengukuran  dilaporkan pada tingkat kepercayaan 95% dengan faktor cakupan k=2</v>
      </c>
      <c r="C52" s="608"/>
      <c r="D52" s="604"/>
      <c r="E52" s="604"/>
      <c r="F52" s="604"/>
      <c r="G52" s="604"/>
      <c r="H52" s="604"/>
      <c r="I52" s="604"/>
      <c r="J52" s="604"/>
      <c r="K52" s="605"/>
      <c r="L52" s="606"/>
      <c r="M52" s="606"/>
      <c r="N52" s="607"/>
      <c r="O52" s="607"/>
    </row>
    <row r="53" spans="1:16" x14ac:dyDescent="0.25">
      <c r="A53" s="608"/>
      <c r="B53" s="608" t="str">
        <f>PENYELIA!B52</f>
        <v>Hasil pengukuran keselamatan listrik tertelusur ke Satuan Internasional ( SI ) melalui PT. Kaliman (LK-032-IDN)</v>
      </c>
      <c r="C53" s="608"/>
      <c r="D53" s="604"/>
      <c r="E53" s="604"/>
      <c r="F53" s="604"/>
      <c r="G53" s="604"/>
      <c r="H53" s="604"/>
      <c r="I53" s="604"/>
      <c r="J53" s="604"/>
      <c r="K53" s="605"/>
      <c r="L53" s="606"/>
      <c r="M53" s="606"/>
      <c r="N53" s="607"/>
      <c r="O53" s="607"/>
    </row>
    <row r="54" spans="1:16" x14ac:dyDescent="0.25">
      <c r="A54" s="608"/>
      <c r="B54" s="608" t="str">
        <f>PENYELIA!B53</f>
        <v>Hasil kalibrasi kecepatan tertelusur ke Satuan Internasional ( SI ) melalui PT KALIMAN</v>
      </c>
      <c r="C54" s="608"/>
      <c r="D54" s="604"/>
      <c r="E54" s="604"/>
      <c r="F54" s="604"/>
      <c r="G54" s="604"/>
      <c r="H54" s="604"/>
      <c r="I54" s="604"/>
      <c r="J54" s="604"/>
      <c r="K54" s="605"/>
      <c r="L54" s="606"/>
      <c r="M54" s="606"/>
      <c r="N54" s="607"/>
      <c r="O54" s="607"/>
    </row>
    <row r="55" spans="1:16" x14ac:dyDescent="0.25">
      <c r="A55" s="608"/>
      <c r="B55" s="608" t="str">
        <f>PENYELIA!B54</f>
        <v>Hasil kalibrasi ECG tertelusur ke Satuan Internasional melalui DIRJEN YANKES BPFK JAKARTA</v>
      </c>
      <c r="C55" s="608"/>
      <c r="D55" s="604"/>
      <c r="E55" s="604"/>
      <c r="F55" s="604"/>
      <c r="G55" s="604"/>
      <c r="H55" s="604"/>
      <c r="I55" s="604"/>
      <c r="J55" s="604"/>
      <c r="K55" s="605"/>
      <c r="L55" s="606"/>
      <c r="M55" s="606"/>
      <c r="N55" s="607"/>
      <c r="O55" s="607"/>
    </row>
    <row r="56" spans="1:16" x14ac:dyDescent="0.25">
      <c r="A56" s="608"/>
      <c r="B56" s="1171" t="str">
        <f>PENYELIA!B55</f>
        <v>Alat tidak boleh digunakan pada instalasi tanpa dilengkapi grounding</v>
      </c>
      <c r="C56" s="608"/>
      <c r="D56" s="604"/>
      <c r="E56" s="604"/>
      <c r="F56" s="604"/>
      <c r="G56" s="604"/>
      <c r="H56" s="604"/>
      <c r="I56" s="604"/>
      <c r="J56" s="604"/>
      <c r="K56" s="605"/>
      <c r="L56" s="606"/>
      <c r="M56" s="606"/>
      <c r="N56" s="607"/>
      <c r="O56" s="607"/>
    </row>
    <row r="57" spans="1:16" x14ac:dyDescent="0.25">
      <c r="A57" s="608"/>
      <c r="C57" s="608"/>
      <c r="D57" s="604"/>
      <c r="E57" s="604"/>
      <c r="F57" s="604"/>
      <c r="G57" s="604"/>
      <c r="H57" s="604"/>
      <c r="I57" s="604"/>
      <c r="J57" s="604"/>
      <c r="K57" s="605"/>
      <c r="L57" s="606"/>
      <c r="M57" s="606"/>
      <c r="N57" s="607"/>
      <c r="O57" s="607"/>
    </row>
    <row r="58" spans="1:16" x14ac:dyDescent="0.25">
      <c r="A58" s="606" t="s">
        <v>107</v>
      </c>
      <c r="B58" s="606" t="s">
        <v>108</v>
      </c>
      <c r="C58" s="606"/>
      <c r="D58" s="609"/>
      <c r="E58" s="609"/>
      <c r="F58" s="609"/>
      <c r="G58" s="609"/>
      <c r="H58" s="609"/>
      <c r="I58" s="609"/>
      <c r="J58" s="609"/>
      <c r="K58" s="609"/>
      <c r="L58" s="609"/>
      <c r="M58" s="609"/>
      <c r="N58" s="609"/>
      <c r="O58" s="609"/>
    </row>
    <row r="59" spans="1:16" x14ac:dyDescent="0.25">
      <c r="A59" s="606"/>
      <c r="B59" s="609" t="str">
        <f>PENYELIA!B59</f>
        <v>Digital Tachometer, Merek : Krisbow, Model : KW06-563, SN : 180812206</v>
      </c>
      <c r="C59" s="606"/>
      <c r="D59" s="609"/>
      <c r="E59" s="609"/>
      <c r="F59" s="609"/>
      <c r="G59" s="609"/>
      <c r="H59" s="609"/>
      <c r="I59" s="609"/>
      <c r="J59" s="609"/>
      <c r="K59" s="609"/>
      <c r="L59" s="609"/>
      <c r="M59" s="609"/>
      <c r="N59" s="609"/>
      <c r="O59" s="609"/>
    </row>
    <row r="60" spans="1:16" x14ac:dyDescent="0.25">
      <c r="A60" s="609"/>
      <c r="B60" s="609" t="str">
        <f>PENYELIA!B60</f>
        <v>Multiparameter Simulator, Merek : RIGEL , Model : PatSim200, SN : 11L-0293</v>
      </c>
      <c r="C60" s="609"/>
      <c r="D60" s="609"/>
      <c r="E60" s="609"/>
      <c r="F60" s="609"/>
      <c r="G60" s="609"/>
      <c r="H60" s="609"/>
      <c r="I60" s="609"/>
      <c r="J60" s="609"/>
      <c r="K60" s="609"/>
      <c r="L60" s="609"/>
      <c r="M60" s="609"/>
      <c r="N60" s="609"/>
      <c r="O60" s="609"/>
    </row>
    <row r="61" spans="1:16" x14ac:dyDescent="0.25">
      <c r="A61" s="609"/>
      <c r="B61" s="609" t="str">
        <f>PENYELIA!B61</f>
        <v>Electrical Safety Analyzer, Merek : Fluke, Model : ESA 615, SN : 4670010</v>
      </c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</row>
    <row r="62" spans="1:16" x14ac:dyDescent="0.25">
      <c r="A62" s="609"/>
      <c r="B62" s="609"/>
      <c r="C62" s="609"/>
      <c r="D62" s="609"/>
      <c r="E62" s="609"/>
      <c r="F62" s="609"/>
      <c r="G62" s="609"/>
      <c r="H62" s="609"/>
      <c r="I62" s="609"/>
      <c r="J62" s="609"/>
      <c r="K62" s="609"/>
      <c r="L62" s="609"/>
      <c r="M62" s="609"/>
      <c r="N62" s="609"/>
      <c r="O62" s="609"/>
    </row>
    <row r="63" spans="1:16" x14ac:dyDescent="0.25">
      <c r="A63" s="606" t="s">
        <v>122</v>
      </c>
      <c r="B63" s="606" t="str">
        <f>ID!B73</f>
        <v>Kesimpulan</v>
      </c>
      <c r="C63" s="609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</row>
    <row r="64" spans="1:16" x14ac:dyDescent="0.25">
      <c r="A64" s="609"/>
      <c r="B64" s="1327" t="str">
        <f>ID!B74</f>
        <v>Alat yang dikalibrasi dalam batas toleransi dan dinyatakan LAIK PAKAI, dimana hasil atau skor akhir sama dengan atau melampaui 70% berdasarkan Keputusan Direktur Jenderal Pelayanan Kesehatan No : HK.02.02/V/0412/2020</v>
      </c>
      <c r="C64" s="1327"/>
      <c r="D64" s="1327"/>
      <c r="E64" s="1327"/>
      <c r="F64" s="1327"/>
      <c r="G64" s="1327"/>
      <c r="H64" s="1327"/>
      <c r="I64" s="1327"/>
      <c r="J64" s="1327"/>
      <c r="K64" s="1327"/>
      <c r="L64" s="1327"/>
      <c r="M64" s="1327"/>
      <c r="N64" s="1327"/>
      <c r="O64" s="609"/>
    </row>
    <row r="65" spans="1:15" x14ac:dyDescent="0.25">
      <c r="A65" s="609"/>
      <c r="B65" s="1327"/>
      <c r="C65" s="1327"/>
      <c r="D65" s="1327"/>
      <c r="E65" s="1327"/>
      <c r="F65" s="1327"/>
      <c r="G65" s="1327"/>
      <c r="H65" s="1327"/>
      <c r="I65" s="1327"/>
      <c r="J65" s="1327"/>
      <c r="K65" s="1327"/>
      <c r="L65" s="1327"/>
      <c r="M65" s="1327"/>
      <c r="N65" s="1327"/>
      <c r="O65" s="609"/>
    </row>
    <row r="66" spans="1:15" x14ac:dyDescent="0.25">
      <c r="A66" s="609"/>
      <c r="B66" s="609"/>
      <c r="C66" s="609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</row>
    <row r="67" spans="1:15" x14ac:dyDescent="0.25">
      <c r="A67" s="606" t="s">
        <v>125</v>
      </c>
      <c r="B67" s="606" t="str">
        <f>PENYELIA!B66</f>
        <v>Petugas Kalibrasi</v>
      </c>
      <c r="C67" s="606"/>
      <c r="D67" s="609"/>
      <c r="E67" s="609"/>
      <c r="F67" s="609"/>
      <c r="G67" s="609"/>
      <c r="H67" s="609"/>
      <c r="I67" s="609"/>
      <c r="J67" s="609"/>
      <c r="K67" s="609"/>
      <c r="L67" s="609"/>
      <c r="M67" s="609"/>
      <c r="N67" s="609"/>
      <c r="O67" s="609"/>
    </row>
    <row r="68" spans="1:15" x14ac:dyDescent="0.25">
      <c r="A68" s="609"/>
      <c r="B68" s="609" t="str">
        <f>PENYELIA!B67</f>
        <v>Gusti Arya Dinata</v>
      </c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09"/>
      <c r="N68" s="609"/>
      <c r="O68" s="609"/>
    </row>
    <row r="69" spans="1:15" x14ac:dyDescent="0.25">
      <c r="A69" s="606"/>
      <c r="B69" s="609"/>
      <c r="C69" s="606"/>
      <c r="D69" s="609"/>
      <c r="E69" s="609"/>
      <c r="F69" s="609"/>
      <c r="G69" s="609"/>
      <c r="H69" s="609"/>
      <c r="I69" s="609"/>
      <c r="J69" s="609" t="s">
        <v>326</v>
      </c>
      <c r="K69" s="609"/>
      <c r="L69" s="609"/>
      <c r="M69" s="609"/>
      <c r="N69" s="609"/>
      <c r="O69" s="609"/>
    </row>
    <row r="70" spans="1:15" ht="15.75" customHeight="1" x14ac:dyDescent="0.25">
      <c r="A70" s="609"/>
      <c r="B70" s="609"/>
      <c r="C70" s="609"/>
      <c r="D70" s="609"/>
      <c r="E70" s="609"/>
      <c r="F70" s="609"/>
      <c r="G70" s="609"/>
      <c r="H70" s="609"/>
      <c r="I70" s="609"/>
      <c r="J70" s="609" t="s">
        <v>327</v>
      </c>
      <c r="K70" s="609"/>
      <c r="L70" s="609"/>
      <c r="M70" s="609"/>
      <c r="N70" s="609"/>
      <c r="O70" s="609"/>
    </row>
    <row r="71" spans="1:15" x14ac:dyDescent="0.25">
      <c r="A71" s="609"/>
      <c r="B71" s="609"/>
      <c r="C71" s="609"/>
      <c r="D71" s="609"/>
      <c r="E71" s="609"/>
      <c r="F71" s="609"/>
      <c r="G71" s="609"/>
      <c r="H71" s="609"/>
      <c r="I71" s="609"/>
      <c r="J71" s="609" t="s">
        <v>328</v>
      </c>
      <c r="K71" s="609"/>
      <c r="L71" s="609"/>
      <c r="M71" s="609"/>
      <c r="N71" s="609"/>
      <c r="O71" s="609"/>
    </row>
    <row r="72" spans="1:15" ht="15.75" customHeight="1" x14ac:dyDescent="0.25">
      <c r="A72" s="609"/>
      <c r="B72" s="609"/>
      <c r="C72" s="609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</row>
    <row r="73" spans="1:15" x14ac:dyDescent="0.25">
      <c r="A73" s="609"/>
      <c r="B73" s="609"/>
      <c r="C73" s="609"/>
      <c r="D73" s="609"/>
      <c r="E73" s="609"/>
      <c r="F73" s="609"/>
      <c r="G73" s="609"/>
      <c r="H73" s="609"/>
      <c r="I73" s="609"/>
      <c r="J73" s="609"/>
      <c r="K73" s="609"/>
      <c r="L73" s="609"/>
      <c r="M73" s="609"/>
      <c r="N73" s="609"/>
      <c r="O73" s="609"/>
    </row>
    <row r="74" spans="1:15" x14ac:dyDescent="0.25">
      <c r="A74" s="609"/>
      <c r="B74" s="609"/>
      <c r="C74" s="609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</row>
    <row r="75" spans="1:15" x14ac:dyDescent="0.25">
      <c r="A75" s="609"/>
      <c r="B75" s="609"/>
      <c r="C75" s="609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</row>
    <row r="76" spans="1:15" ht="15.75" customHeight="1" x14ac:dyDescent="0.25">
      <c r="A76" s="609"/>
      <c r="B76" s="609"/>
      <c r="C76" s="609"/>
      <c r="D76" s="609"/>
      <c r="E76" s="609"/>
      <c r="F76" s="609"/>
      <c r="G76" s="609"/>
      <c r="H76" s="609"/>
      <c r="I76" s="609"/>
      <c r="J76" s="610" t="s">
        <v>329</v>
      </c>
      <c r="K76" s="609"/>
      <c r="L76" s="609"/>
      <c r="M76" s="609"/>
      <c r="N76" s="609"/>
      <c r="O76" s="609"/>
    </row>
    <row r="77" spans="1:15" x14ac:dyDescent="0.25">
      <c r="A77" s="609"/>
      <c r="B77" s="609"/>
      <c r="C77" s="609"/>
      <c r="D77" s="609"/>
      <c r="E77" s="609"/>
      <c r="F77" s="609"/>
      <c r="G77" s="609"/>
      <c r="H77" s="609"/>
      <c r="I77" s="609"/>
      <c r="J77" s="611" t="str">
        <f>VLOOKUP(J76,Q83:R84,2,0)</f>
        <v>NIP 198008062010121001</v>
      </c>
      <c r="K77" s="609"/>
      <c r="L77" s="609"/>
      <c r="M77" s="609"/>
      <c r="N77" s="609"/>
      <c r="O77" s="609"/>
    </row>
    <row r="78" spans="1:15" ht="22.5" customHeight="1" x14ac:dyDescent="0.2">
      <c r="A78" s="609"/>
      <c r="B78" s="609"/>
      <c r="C78" s="609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12" t="s">
        <v>330</v>
      </c>
    </row>
    <row r="83" spans="1:18" x14ac:dyDescent="0.35">
      <c r="Q83" s="1159" t="s">
        <v>180</v>
      </c>
      <c r="R83" s="430" t="s">
        <v>331</v>
      </c>
    </row>
    <row r="84" spans="1:18" x14ac:dyDescent="0.25">
      <c r="K84" s="299"/>
      <c r="Q84" s="432" t="s">
        <v>329</v>
      </c>
      <c r="R84" s="430" t="s">
        <v>332</v>
      </c>
    </row>
    <row r="86" spans="1:18" x14ac:dyDescent="0.25">
      <c r="M86" s="431"/>
    </row>
    <row r="87" spans="1:18" ht="15.75" customHeight="1" x14ac:dyDescent="0.25">
      <c r="A87" s="427"/>
      <c r="B87" s="427"/>
      <c r="C87" s="427"/>
      <c r="D87" s="427"/>
      <c r="E87" s="427"/>
      <c r="F87" s="427"/>
      <c r="G87" s="427"/>
      <c r="H87" s="427"/>
      <c r="I87" s="427"/>
      <c r="J87" s="427"/>
      <c r="K87" s="427"/>
      <c r="N87" s="427"/>
    </row>
    <row r="88" spans="1:18" ht="15.75" customHeight="1" x14ac:dyDescent="0.25">
      <c r="N88" s="427"/>
    </row>
    <row r="89" spans="1:18" ht="15.75" customHeight="1" x14ac:dyDescent="0.25">
      <c r="N89" s="427"/>
    </row>
    <row r="90" spans="1:18" ht="12" customHeight="1" x14ac:dyDescent="0.25"/>
    <row r="123" spans="15:15" ht="408.75" customHeight="1" x14ac:dyDescent="0.2">
      <c r="O123" s="428"/>
    </row>
    <row r="136" spans="3:4" x14ac:dyDescent="0.35">
      <c r="C136" s="1160"/>
      <c r="D136" s="1160"/>
    </row>
    <row r="137" spans="3:4" x14ac:dyDescent="0.35">
      <c r="C137" s="1160"/>
      <c r="D137" s="1160"/>
    </row>
  </sheetData>
  <sheetProtection formatCells="0" formatColumns="0" formatRows="0" insertColumns="0" insertRows="0" deleteColumns="0" deleteRows="0"/>
  <mergeCells count="62">
    <mergeCell ref="J43:K43"/>
    <mergeCell ref="J36:J40"/>
    <mergeCell ref="F44:G44"/>
    <mergeCell ref="C28:I28"/>
    <mergeCell ref="C29:I29"/>
    <mergeCell ref="C30:I30"/>
    <mergeCell ref="F37:G37"/>
    <mergeCell ref="F38:G38"/>
    <mergeCell ref="F40:G40"/>
    <mergeCell ref="F39:G39"/>
    <mergeCell ref="K36:K40"/>
    <mergeCell ref="U15:W15"/>
    <mergeCell ref="J25:K26"/>
    <mergeCell ref="L25:M26"/>
    <mergeCell ref="J34:K34"/>
    <mergeCell ref="Q15:S15"/>
    <mergeCell ref="A2:O2"/>
    <mergeCell ref="B34:B35"/>
    <mergeCell ref="B25:B26"/>
    <mergeCell ref="D34:E34"/>
    <mergeCell ref="D35:E35"/>
    <mergeCell ref="F34:G34"/>
    <mergeCell ref="F35:G35"/>
    <mergeCell ref="C27:I27"/>
    <mergeCell ref="L34:M34"/>
    <mergeCell ref="L35:M35"/>
    <mergeCell ref="C25:I26"/>
    <mergeCell ref="J35:K35"/>
    <mergeCell ref="E9:F9"/>
    <mergeCell ref="E10:F10"/>
    <mergeCell ref="A1:O1"/>
    <mergeCell ref="D49:E49"/>
    <mergeCell ref="F49:G49"/>
    <mergeCell ref="K45:K49"/>
    <mergeCell ref="C45:C49"/>
    <mergeCell ref="D46:E46"/>
    <mergeCell ref="F46:G46"/>
    <mergeCell ref="D47:E47"/>
    <mergeCell ref="F47:G47"/>
    <mergeCell ref="D48:E48"/>
    <mergeCell ref="F48:G48"/>
    <mergeCell ref="B43:B44"/>
    <mergeCell ref="C43:C44"/>
    <mergeCell ref="C39:C40"/>
    <mergeCell ref="D37:E37"/>
    <mergeCell ref="D38:E38"/>
    <mergeCell ref="B64:N65"/>
    <mergeCell ref="D45:E45"/>
    <mergeCell ref="F45:G45"/>
    <mergeCell ref="C34:C35"/>
    <mergeCell ref="D36:E36"/>
    <mergeCell ref="D39:E39"/>
    <mergeCell ref="D40:E40"/>
    <mergeCell ref="D44:E44"/>
    <mergeCell ref="L43:M43"/>
    <mergeCell ref="L44:M44"/>
    <mergeCell ref="C36:C38"/>
    <mergeCell ref="D43:E43"/>
    <mergeCell ref="F43:G43"/>
    <mergeCell ref="J45:J49"/>
    <mergeCell ref="J44:K44"/>
    <mergeCell ref="F36:G36"/>
  </mergeCells>
  <dataValidations count="1">
    <dataValidation type="list" allowBlank="1" showInputMessage="1" showErrorMessage="1" sqref="J76" xr:uid="{E6D64449-3DA9-43A2-9445-9069690E5B97}">
      <formula1>$Q$83:$Q$84</formula1>
    </dataValidation>
  </dataValidations>
  <printOptions horizontalCentered="1"/>
  <pageMargins left="0.75" right="0.5" top="0.5" bottom="0.4" header="0.25" footer="0.25"/>
  <pageSetup paperSize="9" scale="61" orientation="portrait" horizontalDpi="4294967293" r:id="rId1"/>
  <headerFooter>
    <oddHeader xml:space="preserve">&amp;R&amp;"-,Regular"&amp;8WF.LHK 054-18 / REV : 1
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4348" r:id="rId4">
          <objectPr defaultSize="0" autoPict="0" r:id="rId5">
            <anchor moveWithCells="1" sizeWithCells="1">
              <from>
                <xdr:col>12</xdr:col>
                <xdr:colOff>12700</xdr:colOff>
                <xdr:row>112</xdr:row>
                <xdr:rowOff>0</xdr:rowOff>
              </from>
              <to>
                <xdr:col>12</xdr:col>
                <xdr:colOff>355600</xdr:colOff>
                <xdr:row>112</xdr:row>
                <xdr:rowOff>0</xdr:rowOff>
              </to>
            </anchor>
          </objectPr>
        </oleObject>
      </mc:Choice>
      <mc:Fallback>
        <oleObject progId="Equation.3" shapeId="14348" r:id="rId4"/>
      </mc:Fallback>
    </mc:AlternateContent>
    <mc:AlternateContent xmlns:mc="http://schemas.openxmlformats.org/markup-compatibility/2006">
      <mc:Choice Requires="x14">
        <oleObject progId="Equation.3" shapeId="14359" r:id="rId6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59" r:id="rId6"/>
      </mc:Fallback>
    </mc:AlternateContent>
    <mc:AlternateContent xmlns:mc="http://schemas.openxmlformats.org/markup-compatibility/2006">
      <mc:Choice Requires="x14">
        <oleObject progId="Equation.3" shapeId="14360" r:id="rId8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0" r:id="rId8"/>
      </mc:Fallback>
    </mc:AlternateContent>
    <mc:AlternateContent xmlns:mc="http://schemas.openxmlformats.org/markup-compatibility/2006">
      <mc:Choice Requires="x14">
        <oleObject progId="Equation.3" shapeId="14361" r:id="rId9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1" r:id="rId9"/>
      </mc:Fallback>
    </mc:AlternateContent>
    <mc:AlternateContent xmlns:mc="http://schemas.openxmlformats.org/markup-compatibility/2006">
      <mc:Choice Requires="x14">
        <oleObject progId="Equation.3" shapeId="14362" r:id="rId10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2" r:id="rId10"/>
      </mc:Fallback>
    </mc:AlternateContent>
    <mc:AlternateContent xmlns:mc="http://schemas.openxmlformats.org/markup-compatibility/2006">
      <mc:Choice Requires="x14">
        <oleObject progId="Equation.3" shapeId="14363" r:id="rId11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3" r:id="rId11"/>
      </mc:Fallback>
    </mc:AlternateContent>
    <mc:AlternateContent xmlns:mc="http://schemas.openxmlformats.org/markup-compatibility/2006">
      <mc:Choice Requires="x14">
        <oleObject progId="Equation.3" shapeId="14364" r:id="rId12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4" r:id="rId12"/>
      </mc:Fallback>
    </mc:AlternateContent>
    <mc:AlternateContent xmlns:mc="http://schemas.openxmlformats.org/markup-compatibility/2006">
      <mc:Choice Requires="x14">
        <oleObject progId="Equation.3" shapeId="14365" r:id="rId13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5" r:id="rId13"/>
      </mc:Fallback>
    </mc:AlternateContent>
    <mc:AlternateContent xmlns:mc="http://schemas.openxmlformats.org/markup-compatibility/2006">
      <mc:Choice Requires="x14">
        <oleObject progId="Equation.3" shapeId="14366" r:id="rId14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6" r:id="rId14"/>
      </mc:Fallback>
    </mc:AlternateContent>
    <mc:AlternateContent xmlns:mc="http://schemas.openxmlformats.org/markup-compatibility/2006">
      <mc:Choice Requires="x14">
        <oleObject progId="Equation.3" shapeId="14367" r:id="rId15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7" r:id="rId15"/>
      </mc:Fallback>
    </mc:AlternateContent>
    <mc:AlternateContent xmlns:mc="http://schemas.openxmlformats.org/markup-compatibility/2006">
      <mc:Choice Requires="x14">
        <oleObject progId="Equation.3" shapeId="14368" r:id="rId16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8" r:id="rId16"/>
      </mc:Fallback>
    </mc:AlternateContent>
    <mc:AlternateContent xmlns:mc="http://schemas.openxmlformats.org/markup-compatibility/2006">
      <mc:Choice Requires="x14">
        <oleObject progId="Equation.3" shapeId="14369" r:id="rId17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69" r:id="rId17"/>
      </mc:Fallback>
    </mc:AlternateContent>
    <mc:AlternateContent xmlns:mc="http://schemas.openxmlformats.org/markup-compatibility/2006">
      <mc:Choice Requires="x14">
        <oleObject progId="Equation.3" shapeId="14370" r:id="rId18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0" r:id="rId18"/>
      </mc:Fallback>
    </mc:AlternateContent>
    <mc:AlternateContent xmlns:mc="http://schemas.openxmlformats.org/markup-compatibility/2006">
      <mc:Choice Requires="x14">
        <oleObject progId="Equation.3" shapeId="14371" r:id="rId19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1" r:id="rId19"/>
      </mc:Fallback>
    </mc:AlternateContent>
    <mc:AlternateContent xmlns:mc="http://schemas.openxmlformats.org/markup-compatibility/2006">
      <mc:Choice Requires="x14">
        <oleObject progId="Equation.3" shapeId="14372" r:id="rId20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2" r:id="rId20"/>
      </mc:Fallback>
    </mc:AlternateContent>
    <mc:AlternateContent xmlns:mc="http://schemas.openxmlformats.org/markup-compatibility/2006">
      <mc:Choice Requires="x14">
        <oleObject progId="Equation.3" shapeId="14373" r:id="rId21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3" r:id="rId21"/>
      </mc:Fallback>
    </mc:AlternateContent>
    <mc:AlternateContent xmlns:mc="http://schemas.openxmlformats.org/markup-compatibility/2006">
      <mc:Choice Requires="x14">
        <oleObject progId="Equation.3" shapeId="14374" r:id="rId22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4" r:id="rId22"/>
      </mc:Fallback>
    </mc:AlternateContent>
    <mc:AlternateContent xmlns:mc="http://schemas.openxmlformats.org/markup-compatibility/2006">
      <mc:Choice Requires="x14">
        <oleObject progId="Equation.3" shapeId="14375" r:id="rId23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5" r:id="rId23"/>
      </mc:Fallback>
    </mc:AlternateContent>
    <mc:AlternateContent xmlns:mc="http://schemas.openxmlformats.org/markup-compatibility/2006">
      <mc:Choice Requires="x14">
        <oleObject progId="Equation.3" shapeId="14376" r:id="rId24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6" r:id="rId24"/>
      </mc:Fallback>
    </mc:AlternateContent>
    <mc:AlternateContent xmlns:mc="http://schemas.openxmlformats.org/markup-compatibility/2006">
      <mc:Choice Requires="x14">
        <oleObject progId="Equation.3" shapeId="14377" r:id="rId25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7" r:id="rId25"/>
      </mc:Fallback>
    </mc:AlternateContent>
    <mc:AlternateContent xmlns:mc="http://schemas.openxmlformats.org/markup-compatibility/2006">
      <mc:Choice Requires="x14">
        <oleObject progId="Equation.3" shapeId="14378" r:id="rId26">
          <objectPr defaultSize="0" autoPict="0" r:id="rId7">
            <anchor moveWithCells="1" sizeWithCells="1">
              <from>
                <xdr:col>11</xdr:col>
                <xdr:colOff>38100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4378" r:id="rId2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2564-83E0-4651-905E-A7EE47C1EF4D}">
  <dimension ref="A1:O61"/>
  <sheetViews>
    <sheetView tabSelected="1" view="pageBreakPreview" zoomScaleNormal="100" zoomScaleSheetLayoutView="100" workbookViewId="0">
      <selection activeCell="A4" sqref="A4"/>
    </sheetView>
  </sheetViews>
  <sheetFormatPr defaultColWidth="9.1796875" defaultRowHeight="12.5" x14ac:dyDescent="0.25"/>
  <cols>
    <col min="1" max="1" width="18.1796875" style="1091" customWidth="1"/>
    <col min="2" max="2" width="26.1796875" style="1091" customWidth="1"/>
    <col min="3" max="3" width="3.1796875" style="1091" customWidth="1"/>
    <col min="4" max="4" width="11.54296875" style="1091" customWidth="1"/>
    <col min="5" max="5" width="9.453125" style="1091" customWidth="1"/>
    <col min="6" max="6" width="22.54296875" style="1091" customWidth="1"/>
    <col min="7" max="7" width="9.1796875" style="1091"/>
    <col min="8" max="8" width="18.81640625" style="1091" customWidth="1"/>
    <col min="9" max="9" width="12.1796875" style="1091" customWidth="1"/>
    <col min="10" max="16384" width="9.1796875" style="1091"/>
  </cols>
  <sheetData>
    <row r="1" spans="1:15" x14ac:dyDescent="0.25">
      <c r="H1" s="1092" t="str">
        <f>IF(PENYELIA!J71&lt;70,"TIDAK LAIK","LAIK")</f>
        <v>LAIK</v>
      </c>
      <c r="I1" s="1093"/>
      <c r="J1" s="1093"/>
    </row>
    <row r="2" spans="1:15" ht="30" x14ac:dyDescent="0.25">
      <c r="A2" s="1367" t="str">
        <f>B46</f>
        <v>SERTIFIKAT KALIBRASI</v>
      </c>
      <c r="B2" s="1367"/>
      <c r="C2" s="1367"/>
      <c r="D2" s="1367"/>
      <c r="E2" s="1367"/>
      <c r="F2" s="1367"/>
      <c r="H2" s="1094"/>
      <c r="I2" s="1368"/>
      <c r="J2" s="1369"/>
    </row>
    <row r="3" spans="1:15" ht="14" x14ac:dyDescent="0.3">
      <c r="A3" s="1370" t="str">
        <f>"Nomor : 54 /"&amp;" "&amp;ID!I2</f>
        <v>Nomor : 54 / 1 / VIII - 22 / E - 008.27 DL</v>
      </c>
      <c r="B3" s="1370"/>
      <c r="C3" s="1370"/>
      <c r="D3" s="1370"/>
      <c r="E3" s="1370"/>
      <c r="F3" s="1370"/>
    </row>
    <row r="4" spans="1:15" ht="13" x14ac:dyDescent="0.3">
      <c r="C4" s="1091" t="s">
        <v>529</v>
      </c>
      <c r="D4" s="1371" t="s">
        <v>530</v>
      </c>
      <c r="E4" s="1371"/>
      <c r="F4" s="1371"/>
      <c r="H4" s="1095"/>
      <c r="I4" s="1095"/>
      <c r="J4" s="1095"/>
    </row>
    <row r="5" spans="1:15" ht="14.5" x14ac:dyDescent="0.35">
      <c r="H5" s="1372"/>
      <c r="I5" s="1372"/>
      <c r="J5" s="1372"/>
    </row>
    <row r="6" spans="1:15" ht="14" x14ac:dyDescent="0.25">
      <c r="A6" s="1096" t="s">
        <v>531</v>
      </c>
      <c r="B6" s="1097" t="s">
        <v>303</v>
      </c>
      <c r="C6" s="1098"/>
      <c r="D6" s="1365" t="s">
        <v>532</v>
      </c>
      <c r="E6" s="1366"/>
      <c r="F6" s="1099" t="str">
        <f>MID(A3,SEARCH("E - ",A3),LEN(A3))</f>
        <v>E - 008.27 DL</v>
      </c>
    </row>
    <row r="7" spans="1:15" ht="14" x14ac:dyDescent="0.25">
      <c r="A7" s="1100"/>
      <c r="B7" s="1100"/>
      <c r="C7" s="1100"/>
    </row>
    <row r="8" spans="1:15" ht="14" x14ac:dyDescent="0.25">
      <c r="A8" s="1374" t="s">
        <v>38</v>
      </c>
      <c r="B8" s="1374"/>
      <c r="C8" s="1102" t="s">
        <v>39</v>
      </c>
      <c r="D8" s="1374" t="str">
        <f>ID!E4</f>
        <v>Lode</v>
      </c>
      <c r="E8" s="1374"/>
      <c r="F8" s="1374"/>
      <c r="I8" s="1375"/>
      <c r="J8" s="1375"/>
    </row>
    <row r="9" spans="1:15" ht="14" x14ac:dyDescent="0.25">
      <c r="A9" s="1374" t="s">
        <v>533</v>
      </c>
      <c r="B9" s="1374"/>
      <c r="C9" s="1102" t="s">
        <v>39</v>
      </c>
      <c r="D9" s="1374" t="str">
        <f>ID!E5</f>
        <v>Valiant</v>
      </c>
      <c r="E9" s="1374"/>
      <c r="F9" s="1374"/>
      <c r="I9" s="1375"/>
      <c r="J9" s="1375"/>
    </row>
    <row r="10" spans="1:15" ht="14.5" x14ac:dyDescent="0.35">
      <c r="A10" s="1374" t="s">
        <v>41</v>
      </c>
      <c r="B10" s="1374"/>
      <c r="C10" s="1102" t="s">
        <v>39</v>
      </c>
      <c r="D10" s="1374" t="str">
        <f>ID!E6</f>
        <v>20170071</v>
      </c>
      <c r="E10" s="1374"/>
      <c r="F10" s="1374"/>
      <c r="I10" s="1376"/>
      <c r="J10" s="1373"/>
      <c r="O10" s="1103"/>
    </row>
    <row r="11" spans="1:15" s="1093" customFormat="1" ht="14.5" x14ac:dyDescent="0.35">
      <c r="A11" s="1377" t="str">
        <f>ID!A7</f>
        <v>Resolusi Kecepatan</v>
      </c>
      <c r="B11" s="1377"/>
      <c r="C11" s="1105" t="s">
        <v>39</v>
      </c>
      <c r="D11" s="1101">
        <f>ID!E7</f>
        <v>1</v>
      </c>
      <c r="E11" s="1099" t="str">
        <f>ID!F7</f>
        <v>Km/h</v>
      </c>
      <c r="F11" s="1107"/>
      <c r="I11" s="1108"/>
      <c r="J11" s="1109"/>
      <c r="O11" s="1109"/>
    </row>
    <row r="12" spans="1:15" ht="14.5" x14ac:dyDescent="0.35">
      <c r="A12" s="1377" t="str">
        <f>ID!A8</f>
        <v>Resolusi Heart Rate</v>
      </c>
      <c r="B12" s="1377"/>
      <c r="C12" s="1105" t="s">
        <v>39</v>
      </c>
      <c r="D12" s="1101">
        <f>ID!E8</f>
        <v>1</v>
      </c>
      <c r="E12" s="1099" t="str">
        <f>ID!F8</f>
        <v>BPM</v>
      </c>
      <c r="I12" s="1378"/>
      <c r="J12" s="1378"/>
      <c r="O12" s="1103"/>
    </row>
    <row r="13" spans="1:15" ht="14.5" x14ac:dyDescent="0.35">
      <c r="A13" s="1104"/>
      <c r="B13" s="1104"/>
      <c r="C13" s="1105"/>
      <c r="D13" s="1102"/>
      <c r="E13" s="1106"/>
      <c r="I13" s="1110"/>
      <c r="J13" s="1110"/>
      <c r="O13" s="1103"/>
    </row>
    <row r="14" spans="1:15" ht="28.5" customHeight="1" x14ac:dyDescent="0.35">
      <c r="A14" s="1111" t="s">
        <v>534</v>
      </c>
      <c r="B14" s="1112"/>
      <c r="C14" s="1100"/>
      <c r="D14" s="1365" t="s">
        <v>535</v>
      </c>
      <c r="E14" s="1366"/>
      <c r="F14" s="1113"/>
      <c r="I14" s="1373"/>
      <c r="J14" s="1373"/>
      <c r="O14" s="1103"/>
    </row>
    <row r="15" spans="1:15" ht="14.5" x14ac:dyDescent="0.25">
      <c r="A15" s="1114"/>
      <c r="B15" s="1100"/>
      <c r="C15" s="1100"/>
      <c r="D15" s="1100"/>
      <c r="E15" s="1100"/>
      <c r="I15" s="1379"/>
      <c r="J15" s="1379"/>
    </row>
    <row r="16" spans="1:15" s="1093" customFormat="1" ht="42.75" customHeight="1" x14ac:dyDescent="0.3">
      <c r="A16" s="1380" t="s">
        <v>536</v>
      </c>
      <c r="B16" s="1380"/>
      <c r="C16" s="1115" t="s">
        <v>39</v>
      </c>
      <c r="D16" s="1381" t="s">
        <v>537</v>
      </c>
      <c r="E16" s="1381"/>
      <c r="F16" s="1381"/>
      <c r="H16" s="1116"/>
      <c r="I16" s="1382"/>
      <c r="J16" s="1383"/>
    </row>
    <row r="17" spans="1:10" ht="14.5" x14ac:dyDescent="0.35">
      <c r="A17" s="1374" t="s">
        <v>538</v>
      </c>
      <c r="B17" s="1374"/>
      <c r="C17" s="1102" t="s">
        <v>39</v>
      </c>
      <c r="D17" s="1384" t="str">
        <f>ID!E12</f>
        <v>Ruang Treadmill</v>
      </c>
      <c r="E17" s="1384"/>
      <c r="F17" s="1384"/>
      <c r="H17" s="1385"/>
      <c r="I17" s="1385"/>
      <c r="J17" s="1385"/>
    </row>
    <row r="18" spans="1:10" ht="14.5" x14ac:dyDescent="0.35">
      <c r="A18" s="1374" t="s">
        <v>45</v>
      </c>
      <c r="B18" s="1374"/>
      <c r="C18" s="1102" t="s">
        <v>39</v>
      </c>
      <c r="D18" s="1386" t="str">
        <f>ID!E9</f>
        <v>22 Agustus 2023</v>
      </c>
      <c r="E18" s="1386"/>
      <c r="F18" s="1386"/>
      <c r="H18" s="1117"/>
      <c r="I18" s="1117"/>
      <c r="J18" s="1117"/>
    </row>
    <row r="19" spans="1:10" ht="14.25" customHeight="1" x14ac:dyDescent="0.25">
      <c r="A19" s="1374" t="str">
        <f>"Tanggal "&amp;B50</f>
        <v>Tanggal Kalibrasi</v>
      </c>
      <c r="B19" s="1374"/>
      <c r="C19" s="1102" t="s">
        <v>39</v>
      </c>
      <c r="D19" s="1386" t="str">
        <f>ID!E10</f>
        <v>22 Agustus 2023</v>
      </c>
      <c r="E19" s="1386"/>
      <c r="F19" s="1386"/>
    </row>
    <row r="20" spans="1:10" ht="14" x14ac:dyDescent="0.25">
      <c r="A20" s="1374" t="str">
        <f>"Penanggungjawab "&amp;B50</f>
        <v>Penanggungjawab Kalibrasi</v>
      </c>
      <c r="B20" s="1374"/>
      <c r="C20" s="1102" t="s">
        <v>39</v>
      </c>
      <c r="D20" s="1374" t="str">
        <f>ID!B77</f>
        <v>Gusti Arya Dinata</v>
      </c>
      <c r="E20" s="1374"/>
      <c r="F20" s="1374"/>
    </row>
    <row r="21" spans="1:10" ht="14.5" x14ac:dyDescent="0.35">
      <c r="A21" s="1374" t="str">
        <f>"Lokasi "&amp;B50</f>
        <v>Lokasi Kalibrasi</v>
      </c>
      <c r="B21" s="1374"/>
      <c r="C21" s="1102" t="s">
        <v>39</v>
      </c>
      <c r="D21" s="1384" t="str">
        <f>ID!E11</f>
        <v>Ruang Treadmill</v>
      </c>
      <c r="E21" s="1384"/>
      <c r="F21" s="1384"/>
      <c r="H21" s="1118"/>
    </row>
    <row r="22" spans="1:10" ht="31.5" customHeight="1" x14ac:dyDescent="0.25">
      <c r="A22" s="1384" t="str">
        <f>"Hasil "&amp;B50</f>
        <v>Hasil Kalibrasi</v>
      </c>
      <c r="B22" s="1384"/>
      <c r="C22" s="1119" t="s">
        <v>39</v>
      </c>
      <c r="D22" s="1387" t="s">
        <v>539</v>
      </c>
      <c r="E22" s="1387"/>
      <c r="F22" s="1387"/>
    </row>
    <row r="23" spans="1:10" ht="14" x14ac:dyDescent="0.25">
      <c r="A23" s="1374" t="s">
        <v>49</v>
      </c>
      <c r="B23" s="1374"/>
      <c r="C23" s="1102" t="s">
        <v>39</v>
      </c>
      <c r="D23" s="1374" t="str">
        <f>ID!E13</f>
        <v>MK 054-18</v>
      </c>
      <c r="E23" s="1374"/>
      <c r="F23" s="1374"/>
    </row>
    <row r="26" spans="1:10" ht="26.25" customHeight="1" x14ac:dyDescent="0.25">
      <c r="D26" s="1120" t="s">
        <v>540</v>
      </c>
      <c r="E26" s="1388">
        <f ca="1">TODAY()</f>
        <v>45197</v>
      </c>
      <c r="F26" s="1388"/>
    </row>
    <row r="27" spans="1:10" ht="14" x14ac:dyDescent="0.25">
      <c r="D27" s="1374" t="s">
        <v>541</v>
      </c>
      <c r="E27" s="1374"/>
      <c r="F27" s="1374"/>
    </row>
    <row r="28" spans="1:10" ht="14" x14ac:dyDescent="0.25">
      <c r="D28" s="1374" t="s">
        <v>542</v>
      </c>
      <c r="E28" s="1374"/>
      <c r="F28" s="1374"/>
    </row>
    <row r="29" spans="1:10" ht="14" x14ac:dyDescent="0.25">
      <c r="D29" s="1121"/>
      <c r="E29" s="1121"/>
    </row>
    <row r="30" spans="1:10" ht="14" x14ac:dyDescent="0.25">
      <c r="D30" s="1121"/>
      <c r="E30" s="1121"/>
    </row>
    <row r="31" spans="1:10" ht="14" x14ac:dyDescent="0.25">
      <c r="D31" s="1121"/>
      <c r="E31" s="1121"/>
    </row>
    <row r="32" spans="1:10" ht="14" x14ac:dyDescent="0.25">
      <c r="D32" s="1374" t="s">
        <v>543</v>
      </c>
      <c r="E32" s="1374"/>
      <c r="F32" s="1374"/>
    </row>
    <row r="33" spans="1:6" ht="14" x14ac:dyDescent="0.25">
      <c r="D33" s="1389" t="s">
        <v>544</v>
      </c>
      <c r="E33" s="1389"/>
      <c r="F33" s="1389"/>
    </row>
    <row r="36" spans="1:6" ht="13" x14ac:dyDescent="0.25">
      <c r="A36" s="1122"/>
      <c r="B36" s="1122"/>
      <c r="C36" s="1122"/>
      <c r="D36" s="1122"/>
      <c r="E36" s="1122"/>
      <c r="F36" s="1122"/>
    </row>
    <row r="42" spans="1:6" ht="13" thickBot="1" x14ac:dyDescent="0.3"/>
    <row r="43" spans="1:6" ht="31.5" customHeight="1" x14ac:dyDescent="0.25">
      <c r="A43" s="1123" t="s">
        <v>545</v>
      </c>
      <c r="B43" s="1124" t="str">
        <f>MID([1]ID!I2,SEARCH("E - ",[1]ID!I2),LEN([1]ID!I2))</f>
        <v>E - 008.27 DL</v>
      </c>
    </row>
    <row r="44" spans="1:6" x14ac:dyDescent="0.25">
      <c r="A44" s="1125"/>
      <c r="B44" s="1126"/>
    </row>
    <row r="45" spans="1:6" ht="24" customHeight="1" x14ac:dyDescent="0.25">
      <c r="A45" s="1127" t="s">
        <v>546</v>
      </c>
      <c r="B45" s="1128" t="str">
        <f>[1]ID!A1</f>
        <v>Input Data Kalibrasi Centrifuge</v>
      </c>
    </row>
    <row r="46" spans="1:6" ht="39" customHeight="1" x14ac:dyDescent="0.25">
      <c r="A46" s="1127" t="s">
        <v>547</v>
      </c>
      <c r="B46" s="1129" t="str">
        <f>IF(B45="INPUT DATA KALIBRASI Centrifuge",B47,B48)</f>
        <v>SERTIFIKAT KALIBRASI</v>
      </c>
    </row>
    <row r="47" spans="1:6" ht="22.5" customHeight="1" x14ac:dyDescent="0.25">
      <c r="A47" s="1127" t="s">
        <v>548</v>
      </c>
      <c r="B47" s="1126" t="s">
        <v>549</v>
      </c>
    </row>
    <row r="48" spans="1:6" x14ac:dyDescent="0.25">
      <c r="A48" s="1125"/>
      <c r="B48" s="1126" t="s">
        <v>550</v>
      </c>
    </row>
    <row r="49" spans="1:2" x14ac:dyDescent="0.25">
      <c r="A49" s="1125"/>
      <c r="B49" s="1126"/>
    </row>
    <row r="50" spans="1:2" ht="48" customHeight="1" x14ac:dyDescent="0.25">
      <c r="A50" s="1127" t="s">
        <v>551</v>
      </c>
      <c r="B50" s="1126" t="str">
        <f>IF(RIGHT(A2,10)=" KALIBRASI","Kalibrasi","Pengujian")</f>
        <v>Kalibrasi</v>
      </c>
    </row>
    <row r="51" spans="1:2" x14ac:dyDescent="0.25">
      <c r="A51" s="1125"/>
      <c r="B51" s="1126"/>
    </row>
    <row r="52" spans="1:2" s="1131" customFormat="1" ht="34.5" customHeight="1" x14ac:dyDescent="0.3">
      <c r="A52" s="1127" t="s">
        <v>552</v>
      </c>
      <c r="B52" s="1130" t="s">
        <v>553</v>
      </c>
    </row>
    <row r="53" spans="1:2" x14ac:dyDescent="0.25">
      <c r="A53" s="1125"/>
      <c r="B53" s="1126"/>
    </row>
    <row r="54" spans="1:2" ht="50.25" customHeight="1" x14ac:dyDescent="0.3">
      <c r="A54" s="1132" t="s">
        <v>554</v>
      </c>
      <c r="B54" s="1133"/>
    </row>
    <row r="55" spans="1:2" ht="27" customHeight="1" x14ac:dyDescent="0.25">
      <c r="A55" s="1127" t="s">
        <v>555</v>
      </c>
      <c r="B55" s="1134"/>
    </row>
    <row r="56" spans="1:2" x14ac:dyDescent="0.25">
      <c r="A56" s="1125"/>
      <c r="B56" s="1126"/>
    </row>
    <row r="57" spans="1:2" ht="30" customHeight="1" x14ac:dyDescent="0.3">
      <c r="A57" s="1132" t="s">
        <v>556</v>
      </c>
      <c r="B57" s="1135" t="str">
        <f>IF(B46=B47,B58,B59)</f>
        <v xml:space="preserve">Laik Pakai, disarankan untuk dikalibrasi ulang pada tanggal </v>
      </c>
    </row>
    <row r="58" spans="1:2" ht="28" x14ac:dyDescent="0.3">
      <c r="A58" s="1125" t="s">
        <v>557</v>
      </c>
      <c r="B58" s="1136" t="str">
        <f>CONCATENATE(B60,B55)</f>
        <v xml:space="preserve">Laik Pakai, disarankan untuk dikalibrasi ulang pada tanggal </v>
      </c>
    </row>
    <row r="59" spans="1:2" ht="28" x14ac:dyDescent="0.3">
      <c r="A59" s="1125"/>
      <c r="B59" s="1136" t="str">
        <f>CONCATENATE(B61,B55)</f>
        <v xml:space="preserve">Laik Pakai, disarankan untuk diuji ulang pada tanggal </v>
      </c>
    </row>
    <row r="60" spans="1:2" ht="42" customHeight="1" x14ac:dyDescent="0.3">
      <c r="A60" s="1137" t="s">
        <v>548</v>
      </c>
      <c r="B60" s="1136" t="s">
        <v>558</v>
      </c>
    </row>
    <row r="61" spans="1:2" ht="39.75" customHeight="1" thickBot="1" x14ac:dyDescent="0.35">
      <c r="A61" s="1138"/>
      <c r="B61" s="1139" t="s">
        <v>559</v>
      </c>
    </row>
  </sheetData>
  <mergeCells count="44">
    <mergeCell ref="E26:F26"/>
    <mergeCell ref="D27:F27"/>
    <mergeCell ref="D28:F28"/>
    <mergeCell ref="D32:F32"/>
    <mergeCell ref="D33:F33"/>
    <mergeCell ref="A23:B23"/>
    <mergeCell ref="D23:F23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I15:J15"/>
    <mergeCell ref="A16:B16"/>
    <mergeCell ref="D16:F16"/>
    <mergeCell ref="I16:J16"/>
    <mergeCell ref="A17:B17"/>
    <mergeCell ref="D17:F17"/>
    <mergeCell ref="H17:J17"/>
    <mergeCell ref="I14:J14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I12:J12"/>
    <mergeCell ref="A12:B12"/>
    <mergeCell ref="D14:E14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J11" xr:uid="{DC1E0CFF-F645-4359-90C9-E0DBD1D4A04F}">
      <formula1>$O$9:$O$14</formula1>
    </dataValidation>
    <dataValidation type="list" allowBlank="1" showInputMessage="1" showErrorMessage="1" sqref="A2:F2" xr:uid="{F4FADF08-3F73-44AF-8DD5-01BC32F8324F}">
      <formula1>"SERTIFIKAT KALIBRASI,SERTIFIKAT PENGUJIAN"</formula1>
    </dataValidation>
  </dataValidations>
  <pageMargins left="0.7" right="0.7" top="0.75" bottom="0.75" header="0.3" footer="0.3"/>
  <pageSetup paperSize="9" scale="98" orientation="portrait" r:id="rId1"/>
  <rowBreaks count="1" manualBreakCount="1">
    <brk id="34" max="5" man="1"/>
  </rowBreaks>
  <colBreaks count="1" manualBreakCount="1">
    <brk id="6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4965-C4C1-4A67-9870-F309A56C78C2}">
  <dimension ref="A1:W137"/>
  <sheetViews>
    <sheetView view="pageBreakPreview" topLeftCell="A16" zoomScale="80" zoomScaleNormal="25" zoomScaleSheetLayoutView="80" workbookViewId="0">
      <selection activeCell="U16" sqref="U16"/>
    </sheetView>
  </sheetViews>
  <sheetFormatPr defaultColWidth="9.1796875" defaultRowHeight="15.5" x14ac:dyDescent="0.25"/>
  <cols>
    <col min="1" max="1" width="4.1796875" style="298" customWidth="1"/>
    <col min="2" max="2" width="5.26953125" style="298" customWidth="1"/>
    <col min="3" max="3" width="17" style="298" customWidth="1"/>
    <col min="4" max="4" width="3.1796875" style="298" customWidth="1"/>
    <col min="5" max="5" width="18.1796875" style="298" customWidth="1"/>
    <col min="6" max="6" width="7.81640625" style="298" customWidth="1"/>
    <col min="7" max="7" width="10" style="298" customWidth="1"/>
    <col min="8" max="8" width="12.1796875" style="298" customWidth="1"/>
    <col min="9" max="9" width="11.26953125" style="298" customWidth="1"/>
    <col min="10" max="11" width="10" style="298" customWidth="1"/>
    <col min="12" max="12" width="9.08984375" style="298" customWidth="1"/>
    <col min="13" max="13" width="9.1796875" style="298"/>
    <col min="14" max="14" width="7.26953125" style="298" customWidth="1"/>
    <col min="15" max="15" width="10" style="298" customWidth="1"/>
    <col min="16" max="17" width="8.7265625" style="298" customWidth="1"/>
    <col min="18" max="16384" width="9.1796875" style="298"/>
  </cols>
  <sheetData>
    <row r="1" spans="1:23" ht="18" x14ac:dyDescent="0.25">
      <c r="A1" s="1343" t="str">
        <f>PENYELIA!A1</f>
        <v>HASIL KALIBRASI TREADMILL WITH ECG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  <c r="L1" s="1343"/>
      <c r="M1" s="1343"/>
      <c r="N1" s="1343"/>
      <c r="O1" s="1343"/>
      <c r="P1" s="423"/>
      <c r="Q1" s="423"/>
    </row>
    <row r="2" spans="1:23" ht="18" customHeight="1" x14ac:dyDescent="0.25">
      <c r="A2" s="1390" t="str">
        <f>PENYELIA!A2</f>
        <v>Nomor Sertifikat : 54 / 1 / VIII - 22 / E - 008.27 DL</v>
      </c>
      <c r="B2" s="1390"/>
      <c r="C2" s="1390"/>
      <c r="D2" s="1390"/>
      <c r="E2" s="1390"/>
      <c r="F2" s="1390"/>
      <c r="G2" s="1390"/>
      <c r="H2" s="1390"/>
      <c r="I2" s="1390"/>
      <c r="J2" s="1390"/>
      <c r="K2" s="1390"/>
      <c r="L2" s="1390"/>
      <c r="M2" s="1390"/>
      <c r="N2" s="1390"/>
      <c r="O2" s="1390"/>
      <c r="P2" s="301"/>
      <c r="Q2" s="301"/>
    </row>
    <row r="3" spans="1:23" ht="15.75" customHeight="1" x14ac:dyDescent="0.25"/>
    <row r="4" spans="1:23" x14ac:dyDescent="0.25">
      <c r="A4" s="298" t="str">
        <f>ID!A4</f>
        <v>Merek Treadmill / ECG</v>
      </c>
      <c r="D4" s="299" t="s">
        <v>39</v>
      </c>
      <c r="E4" s="300" t="str">
        <f>PENYELIA!E4</f>
        <v>Lode</v>
      </c>
    </row>
    <row r="5" spans="1:23" x14ac:dyDescent="0.25">
      <c r="A5" s="298" t="str">
        <f>ID!A5</f>
        <v>Model/Tipe</v>
      </c>
      <c r="D5" s="299" t="s">
        <v>39</v>
      </c>
      <c r="E5" s="300" t="str">
        <f>PENYELIA!E5</f>
        <v>Valiant</v>
      </c>
    </row>
    <row r="6" spans="1:23" x14ac:dyDescent="0.25">
      <c r="A6" s="298" t="str">
        <f>ID!A6</f>
        <v>Nomor Seri</v>
      </c>
      <c r="D6" s="299" t="s">
        <v>39</v>
      </c>
      <c r="E6" s="300" t="str">
        <f>PENYELIA!E6</f>
        <v>20170071</v>
      </c>
    </row>
    <row r="7" spans="1:23" x14ac:dyDescent="0.25">
      <c r="A7" s="298" t="str">
        <f>LH!A7</f>
        <v>Resolusi Kecepatan</v>
      </c>
      <c r="D7" s="299" t="s">
        <v>39</v>
      </c>
      <c r="E7" s="1140">
        <f>LH!E7</f>
        <v>1</v>
      </c>
    </row>
    <row r="8" spans="1:23" x14ac:dyDescent="0.25">
      <c r="A8" s="298" t="str">
        <f>LH!A8</f>
        <v>Resolusi Heart Rate</v>
      </c>
      <c r="D8" s="299" t="s">
        <v>39</v>
      </c>
      <c r="E8" s="1141">
        <f>LH!E8</f>
        <v>1</v>
      </c>
    </row>
    <row r="9" spans="1:23" x14ac:dyDescent="0.25">
      <c r="A9" s="298" t="str">
        <f>ID!A9</f>
        <v>Tanggal Penerimaan Alat</v>
      </c>
      <c r="D9" s="299" t="s">
        <v>39</v>
      </c>
      <c r="E9" s="1075" t="str">
        <f>PENYELIA!E9</f>
        <v>22 Agustus 2023</v>
      </c>
    </row>
    <row r="10" spans="1:23" x14ac:dyDescent="0.25">
      <c r="A10" s="298" t="str">
        <f>ID!A10</f>
        <v>Tanggal Kalibrasi</v>
      </c>
      <c r="D10" s="299" t="s">
        <v>39</v>
      </c>
      <c r="E10" s="1075" t="str">
        <f>PENYELIA!E10</f>
        <v>22 Agustus 2023</v>
      </c>
    </row>
    <row r="11" spans="1:23" x14ac:dyDescent="0.25">
      <c r="A11" s="298" t="str">
        <f>ID!A11</f>
        <v>Tempat Kalibrasi</v>
      </c>
      <c r="D11" s="299" t="s">
        <v>39</v>
      </c>
      <c r="E11" s="300" t="str">
        <f>PENYELIA!E11</f>
        <v>Ruang Treadmill</v>
      </c>
    </row>
    <row r="12" spans="1:23" x14ac:dyDescent="0.25">
      <c r="A12" s="298" t="str">
        <f>ID!A12</f>
        <v>Nama Ruang</v>
      </c>
      <c r="D12" s="299" t="s">
        <v>39</v>
      </c>
      <c r="E12" s="300" t="str">
        <f>PENYELIA!E12</f>
        <v>Ruang Treadmill</v>
      </c>
    </row>
    <row r="13" spans="1:23" x14ac:dyDescent="0.25">
      <c r="A13" s="298" t="str">
        <f>ID!A13</f>
        <v>Metode Kerja</v>
      </c>
      <c r="D13" s="299" t="s">
        <v>39</v>
      </c>
      <c r="E13" s="298" t="str">
        <f>PENYELIA!E13</f>
        <v>MK 054-18</v>
      </c>
    </row>
    <row r="14" spans="1:23" ht="15.75" customHeight="1" thickBot="1" x14ac:dyDescent="0.3">
      <c r="D14" s="299"/>
      <c r="E14" s="299"/>
    </row>
    <row r="15" spans="1:23" x14ac:dyDescent="0.25">
      <c r="A15" s="301" t="s">
        <v>51</v>
      </c>
      <c r="B15" s="301" t="s">
        <v>52</v>
      </c>
      <c r="C15" s="301"/>
      <c r="D15" s="299"/>
      <c r="E15" s="299"/>
      <c r="H15" s="301"/>
      <c r="I15" s="301"/>
      <c r="J15" s="301"/>
      <c r="K15" s="301"/>
      <c r="L15" s="301"/>
      <c r="M15" s="301"/>
      <c r="N15" s="301"/>
      <c r="Q15" s="1358" t="s">
        <v>318</v>
      </c>
      <c r="R15" s="1359"/>
      <c r="S15" s="1360"/>
      <c r="U15" s="1358" t="s">
        <v>318</v>
      </c>
      <c r="V15" s="1359"/>
      <c r="W15" s="1360"/>
    </row>
    <row r="16" spans="1:23" x14ac:dyDescent="0.25">
      <c r="B16" s="298" t="str">
        <f>PENYELIA!B16</f>
        <v xml:space="preserve">1. Suhu </v>
      </c>
      <c r="D16" s="299" t="s">
        <v>39</v>
      </c>
      <c r="E16" s="302" t="str">
        <f>Q18&amp;Q16&amp;" "&amp;R18&amp;" "&amp;R16&amp;S18&amp;S16</f>
        <v>( 22.0 ± 0.1 ) °C</v>
      </c>
      <c r="Q16" s="975" t="str">
        <f>LH!Q16</f>
        <v>22.0</v>
      </c>
      <c r="R16" s="975" t="str">
        <f>LH!R16</f>
        <v>0.1</v>
      </c>
      <c r="S16" s="976" t="s">
        <v>319</v>
      </c>
      <c r="U16" s="975" t="str">
        <f>LH!U16</f>
        <v>221.8</v>
      </c>
      <c r="V16" s="975" t="str">
        <f>LH!V16</f>
        <v>2.7</v>
      </c>
      <c r="W16" s="976" t="s">
        <v>320</v>
      </c>
    </row>
    <row r="17" spans="1:23" ht="16" thickBot="1" x14ac:dyDescent="0.35">
      <c r="B17" s="298" t="str">
        <f>PENYELIA!B17</f>
        <v>2. Kelembaban</v>
      </c>
      <c r="D17" s="299" t="s">
        <v>39</v>
      </c>
      <c r="E17" s="302" t="str">
        <f>Q18&amp;Q17&amp;" "&amp;R18&amp;" "&amp;R17&amp;S18&amp;S17</f>
        <v>( 65.4 ± 1.5 ) %RH</v>
      </c>
      <c r="Q17" s="975" t="str">
        <f>LH!Q17</f>
        <v>65.4</v>
      </c>
      <c r="R17" s="975" t="str">
        <f>LH!R17</f>
        <v>1.5</v>
      </c>
      <c r="S17" s="976" t="s">
        <v>321</v>
      </c>
      <c r="U17" s="978" t="s">
        <v>322</v>
      </c>
      <c r="V17" s="979" t="s">
        <v>323</v>
      </c>
      <c r="W17" s="980" t="s">
        <v>324</v>
      </c>
    </row>
    <row r="18" spans="1:23" ht="16" thickBot="1" x14ac:dyDescent="0.35">
      <c r="B18" s="298" t="str">
        <f>PENYELIA!B18</f>
        <v>3. Tegangan Jala-jala</v>
      </c>
      <c r="D18" s="299" t="s">
        <v>39</v>
      </c>
      <c r="E18" s="602" t="str">
        <f>U17&amp;U16&amp;V17&amp;V16&amp;W17&amp;W16</f>
        <v>( 221.8 ± 2.7 ) Volt</v>
      </c>
      <c r="Q18" s="978" t="s">
        <v>322</v>
      </c>
      <c r="R18" s="979" t="s">
        <v>524</v>
      </c>
      <c r="S18" s="980" t="s">
        <v>324</v>
      </c>
    </row>
    <row r="19" spans="1:23" ht="15.75" customHeight="1" x14ac:dyDescent="0.25">
      <c r="D19" s="299"/>
      <c r="E19" s="299"/>
    </row>
    <row r="20" spans="1:23" x14ac:dyDescent="0.25">
      <c r="A20" s="301" t="s">
        <v>60</v>
      </c>
      <c r="B20" s="301" t="s">
        <v>287</v>
      </c>
      <c r="C20" s="301"/>
      <c r="D20" s="299"/>
      <c r="E20" s="299"/>
      <c r="H20" s="301"/>
      <c r="I20" s="301"/>
      <c r="J20" s="301"/>
      <c r="K20" s="301"/>
      <c r="Q20" s="1078" t="str">
        <f>Q16</f>
        <v>22.0</v>
      </c>
      <c r="R20" s="1079" t="str">
        <f>R18</f>
        <v>±</v>
      </c>
      <c r="S20" s="1082" t="str">
        <f>R16</f>
        <v>0.1</v>
      </c>
      <c r="T20" s="1084" t="str">
        <f>S16</f>
        <v xml:space="preserve"> °C</v>
      </c>
    </row>
    <row r="21" spans="1:23" x14ac:dyDescent="0.25">
      <c r="B21" s="298" t="s">
        <v>62</v>
      </c>
      <c r="D21" s="299" t="s">
        <v>39</v>
      </c>
      <c r="E21" s="298" t="str">
        <f>PENYELIA!E21</f>
        <v>Baik</v>
      </c>
      <c r="Q21" s="1078" t="str">
        <f>Q17</f>
        <v>65.4</v>
      </c>
      <c r="R21" s="1080" t="str">
        <f>R18</f>
        <v>±</v>
      </c>
      <c r="S21" s="1083" t="str">
        <f>R17</f>
        <v>1.5</v>
      </c>
      <c r="T21" s="1084" t="str">
        <f>S17</f>
        <v xml:space="preserve"> %RH</v>
      </c>
    </row>
    <row r="22" spans="1:23" x14ac:dyDescent="0.25">
      <c r="B22" s="298" t="s">
        <v>64</v>
      </c>
      <c r="D22" s="299" t="s">
        <v>39</v>
      </c>
      <c r="E22" s="298" t="str">
        <f>PENYELIA!E22</f>
        <v>Baik</v>
      </c>
      <c r="Q22" s="1078" t="str">
        <f>U16</f>
        <v>221.8</v>
      </c>
      <c r="R22" s="1081" t="str">
        <f>V17</f>
        <v xml:space="preserve"> ± </v>
      </c>
      <c r="S22" s="1084" t="str">
        <f>V16</f>
        <v>2.7</v>
      </c>
      <c r="T22" s="1084" t="str">
        <f>W16</f>
        <v xml:space="preserve"> Volt</v>
      </c>
    </row>
    <row r="23" spans="1:23" ht="15.75" customHeight="1" x14ac:dyDescent="0.25"/>
    <row r="24" spans="1:23" x14ac:dyDescent="0.25">
      <c r="A24" s="301" t="s">
        <v>65</v>
      </c>
      <c r="B24" s="301" t="s">
        <v>66</v>
      </c>
      <c r="C24" s="301"/>
    </row>
    <row r="25" spans="1:23" ht="15" customHeight="1" x14ac:dyDescent="0.25">
      <c r="B25" s="1349" t="s">
        <v>0</v>
      </c>
      <c r="C25" s="1349" t="s">
        <v>67</v>
      </c>
      <c r="D25" s="1349"/>
      <c r="E25" s="1349"/>
      <c r="F25" s="1349"/>
      <c r="G25" s="1349"/>
      <c r="H25" s="1349"/>
      <c r="I25" s="1349"/>
      <c r="J25" s="1349" t="s">
        <v>68</v>
      </c>
      <c r="K25" s="1349"/>
      <c r="L25" s="1361" t="s">
        <v>143</v>
      </c>
      <c r="M25" s="1361"/>
    </row>
    <row r="26" spans="1:23" ht="15" customHeight="1" x14ac:dyDescent="0.25">
      <c r="B26" s="1349"/>
      <c r="C26" s="1349"/>
      <c r="D26" s="1349"/>
      <c r="E26" s="1349"/>
      <c r="F26" s="1349"/>
      <c r="G26" s="1349"/>
      <c r="H26" s="1349"/>
      <c r="I26" s="1349"/>
      <c r="J26" s="1349"/>
      <c r="K26" s="1349"/>
      <c r="L26" s="1361"/>
      <c r="M26" s="1361"/>
    </row>
    <row r="27" spans="1:23" x14ac:dyDescent="0.25">
      <c r="B27" s="303">
        <v>1</v>
      </c>
      <c r="C27" s="1352" t="str">
        <f>PENYELIA!C26</f>
        <v xml:space="preserve">Resistansi isolasi </v>
      </c>
      <c r="D27" s="1352"/>
      <c r="E27" s="1352"/>
      <c r="F27" s="1352"/>
      <c r="G27" s="1352"/>
      <c r="H27" s="1352"/>
      <c r="I27" s="1352"/>
      <c r="J27" s="1086" t="str">
        <f>PENYELIA!K26</f>
        <v>OL</v>
      </c>
      <c r="K27" s="304" t="str">
        <f>IF(OR(J27="OL",J27="-"),"","MΩ")</f>
        <v/>
      </c>
      <c r="L27" s="313">
        <f>PENYELIA!L26</f>
        <v>2</v>
      </c>
      <c r="M27" s="304" t="s">
        <v>146</v>
      </c>
    </row>
    <row r="28" spans="1:23" x14ac:dyDescent="0.25">
      <c r="B28" s="303">
        <v>2</v>
      </c>
      <c r="C28" s="1352" t="str">
        <f>PENYELIA!C27</f>
        <v>Resistansi pembumian protektif</v>
      </c>
      <c r="D28" s="1352"/>
      <c r="E28" s="1352"/>
      <c r="F28" s="1352"/>
      <c r="G28" s="1352"/>
      <c r="H28" s="1352"/>
      <c r="I28" s="1352"/>
      <c r="J28" s="1087">
        <f>PENYELIA!K27</f>
        <v>1.0013452686901474</v>
      </c>
      <c r="K28" s="304" t="str">
        <f>IF(OR(J28="OL",J28="-"),"","Ω")</f>
        <v>Ω</v>
      </c>
      <c r="L28" s="314">
        <f>PENYELIA!L27</f>
        <v>0.2</v>
      </c>
      <c r="M28" s="304" t="s">
        <v>148</v>
      </c>
    </row>
    <row r="29" spans="1:23" x14ac:dyDescent="0.25">
      <c r="B29" s="303">
        <v>3</v>
      </c>
      <c r="C29" s="1352" t="str">
        <f>PENYELIA!C28</f>
        <v>Arus bocor peralatan untuk peralatan elektromedik kelas I</v>
      </c>
      <c r="D29" s="1352"/>
      <c r="E29" s="1352"/>
      <c r="F29" s="1352"/>
      <c r="G29" s="1352"/>
      <c r="H29" s="1352"/>
      <c r="I29" s="1352"/>
      <c r="J29" s="1086">
        <f>PENYELIA!K28</f>
        <v>550.16238808519836</v>
      </c>
      <c r="K29" s="304" t="str">
        <f>IF(OR(J29="OL",J29="-"),"","µA")</f>
        <v>µA</v>
      </c>
      <c r="L29" s="315">
        <f>PENYELIA!L28</f>
        <v>500</v>
      </c>
      <c r="M29" s="304" t="s">
        <v>77</v>
      </c>
    </row>
    <row r="30" spans="1:23" x14ac:dyDescent="0.25">
      <c r="A30" s="450"/>
      <c r="B30" s="308">
        <v>4</v>
      </c>
      <c r="C30" s="1363" t="str">
        <f>PENYELIA!C29</f>
        <v>Arus bocor peralatan yang diaplikasikan</v>
      </c>
      <c r="D30" s="1363"/>
      <c r="E30" s="1363"/>
      <c r="F30" s="1363"/>
      <c r="G30" s="1363"/>
      <c r="H30" s="1363"/>
      <c r="I30" s="1363"/>
      <c r="J30" s="1086">
        <f>PENYELIA!K29</f>
        <v>12.355504296680722</v>
      </c>
      <c r="K30" s="304" t="str">
        <f>IF(OR(J30="OL",J30="-"),"","µA")</f>
        <v>µA</v>
      </c>
      <c r="L30" s="315">
        <f>PENYELIA!L29</f>
        <v>50</v>
      </c>
      <c r="M30" s="304" t="s">
        <v>77</v>
      </c>
    </row>
    <row r="31" spans="1:23" ht="15.75" customHeight="1" x14ac:dyDescent="0.25"/>
    <row r="32" spans="1:23" ht="15.75" customHeight="1" x14ac:dyDescent="0.25">
      <c r="A32" s="301" t="s">
        <v>80</v>
      </c>
      <c r="B32" s="301" t="s">
        <v>81</v>
      </c>
      <c r="C32" s="301"/>
      <c r="D32" s="305"/>
      <c r="E32" s="305"/>
      <c r="F32" s="306"/>
      <c r="G32" s="306"/>
      <c r="H32" s="306"/>
      <c r="I32" s="306"/>
      <c r="L32" s="307"/>
      <c r="M32" s="424"/>
      <c r="N32" s="307"/>
      <c r="P32" s="425"/>
    </row>
    <row r="33" spans="1:21" x14ac:dyDescent="0.25">
      <c r="A33" s="301"/>
      <c r="B33" s="301" t="str">
        <f>PENYELIA!B32</f>
        <v>A. Kalibrasi Akurasi Kecepatan Treadmill</v>
      </c>
      <c r="C33" s="301"/>
      <c r="D33" s="301"/>
      <c r="E33" s="301"/>
      <c r="F33" s="301"/>
    </row>
    <row r="34" spans="1:21" ht="33" customHeight="1" x14ac:dyDescent="0.25">
      <c r="B34" s="1330" t="s">
        <v>0</v>
      </c>
      <c r="C34" s="1330" t="s">
        <v>67</v>
      </c>
      <c r="D34" s="1339" t="str">
        <f>PENYELIA!D33</f>
        <v>Setting Alat</v>
      </c>
      <c r="E34" s="1340"/>
      <c r="F34" s="1339" t="str">
        <f>PENYELIA!F33</f>
        <v>Pembacaan Standar</v>
      </c>
      <c r="G34" s="1340"/>
      <c r="H34" s="703" t="s">
        <v>158</v>
      </c>
      <c r="I34" s="1076" t="s">
        <v>526</v>
      </c>
      <c r="J34" s="1335" t="s">
        <v>86</v>
      </c>
      <c r="K34" s="1335"/>
      <c r="L34" s="1335" t="s">
        <v>528</v>
      </c>
      <c r="M34" s="1335"/>
    </row>
    <row r="35" spans="1:21" ht="15.75" customHeight="1" x14ac:dyDescent="0.25">
      <c r="B35" s="1331"/>
      <c r="C35" s="1331"/>
      <c r="D35" s="1350" t="str">
        <f>PENYELIA!D34</f>
        <v>(Km/h)</v>
      </c>
      <c r="E35" s="1351"/>
      <c r="F35" s="1350" t="str">
        <f>PENYELIA!F34</f>
        <v>(Km/h)</v>
      </c>
      <c r="G35" s="1351"/>
      <c r="H35" s="702" t="str">
        <f>PENYELIA!H34</f>
        <v>(Km/h)</v>
      </c>
      <c r="I35" s="1077" t="s">
        <v>527</v>
      </c>
      <c r="J35" s="1336" t="str">
        <f>I35</f>
        <v>(%)</v>
      </c>
      <c r="K35" s="1336"/>
      <c r="L35" s="1336" t="str">
        <f>J35</f>
        <v>(%)</v>
      </c>
      <c r="M35" s="1336"/>
    </row>
    <row r="36" spans="1:21" ht="19" customHeight="1" x14ac:dyDescent="0.25">
      <c r="B36" s="308">
        <v>1</v>
      </c>
      <c r="C36" s="1337" t="s">
        <v>161</v>
      </c>
      <c r="D36" s="1391">
        <f>PENYELIA!D35</f>
        <v>2.7</v>
      </c>
      <c r="E36" s="1391"/>
      <c r="F36" s="1392">
        <f>PENYELIA!F35</f>
        <v>2.7017989493001338</v>
      </c>
      <c r="G36" s="1392"/>
      <c r="H36" s="449">
        <f>PENYELIA!H35</f>
        <v>1.7989493001335788E-3</v>
      </c>
      <c r="I36" s="426">
        <f>PENYELIA!I35</f>
        <v>6.6583388841703922E-2</v>
      </c>
      <c r="J36" s="1341" t="s">
        <v>524</v>
      </c>
      <c r="K36" s="1364" t="s">
        <v>523</v>
      </c>
      <c r="L36" s="1088" t="str">
        <f>IF(P36="-",""," ± ")</f>
        <v xml:space="preserve"> ± </v>
      </c>
      <c r="M36" s="1085" t="str">
        <f>IF(P36&gt;=10,TEXT(P36,"0"),IF(P36&gt;=1,TEXT(P36,"0.0"),TEXT(P36,"0.00")))</f>
        <v>1.1</v>
      </c>
      <c r="P36" s="1090">
        <f>PENYELIA!K35</f>
        <v>1.0760827703714337</v>
      </c>
    </row>
    <row r="37" spans="1:21" ht="19" customHeight="1" x14ac:dyDescent="0.25">
      <c r="B37" s="308">
        <v>2</v>
      </c>
      <c r="C37" s="1338"/>
      <c r="D37" s="1391">
        <f>PENYELIA!D36</f>
        <v>4</v>
      </c>
      <c r="E37" s="1391"/>
      <c r="F37" s="1392">
        <f>PENYELIA!F36</f>
        <v>4.0306530885368588</v>
      </c>
      <c r="G37" s="1392"/>
      <c r="H37" s="449">
        <f>PENYELIA!H36</f>
        <v>3.0653088536858775E-2</v>
      </c>
      <c r="I37" s="700">
        <f>PENYELIA!I36</f>
        <v>0.76049930032519752</v>
      </c>
      <c r="J37" s="1341"/>
      <c r="K37" s="1364"/>
      <c r="L37" s="1088" t="str">
        <f>IF(P37="-",""," ± ")</f>
        <v xml:space="preserve"> ± </v>
      </c>
      <c r="M37" s="1085" t="str">
        <f t="shared" ref="M37:M39" si="0">IF(P37&gt;=10,TEXT(P37,"0"),IF(P37&gt;=1,TEXT(P37,"0.0"),TEXT(P37,"0.00")))</f>
        <v>0.73</v>
      </c>
      <c r="P37" s="1090">
        <f>PENYELIA!K36</f>
        <v>0.72947757055074436</v>
      </c>
    </row>
    <row r="38" spans="1:21" ht="19" customHeight="1" x14ac:dyDescent="0.25">
      <c r="B38" s="308">
        <v>3</v>
      </c>
      <c r="C38" s="1338"/>
      <c r="D38" s="1391">
        <f>PENYELIA!D37</f>
        <v>5.5</v>
      </c>
      <c r="E38" s="1391"/>
      <c r="F38" s="1392">
        <f>PENYELIA!F37</f>
        <v>5.470484787656158</v>
      </c>
      <c r="G38" s="1392"/>
      <c r="H38" s="449">
        <f>PENYELIA!H37</f>
        <v>-2.9515212343842023E-2</v>
      </c>
      <c r="I38" s="700">
        <f>PENYELIA!I37</f>
        <v>-0.53953558943151514</v>
      </c>
      <c r="J38" s="1341"/>
      <c r="K38" s="1364"/>
      <c r="L38" s="1088" t="str">
        <f>IF(P38="-",""," ± ")</f>
        <v xml:space="preserve"> ± </v>
      </c>
      <c r="M38" s="1085" t="str">
        <f t="shared" si="0"/>
        <v>0.53</v>
      </c>
      <c r="P38" s="1090">
        <f>PENYELIA!K37</f>
        <v>0.53086531869964526</v>
      </c>
    </row>
    <row r="39" spans="1:21" ht="19" customHeight="1" x14ac:dyDescent="0.25">
      <c r="B39" s="308">
        <v>4</v>
      </c>
      <c r="C39" s="1346" t="str">
        <f>"("&amp;PENYELIA!C38&amp;")"</f>
        <v>(Km/h)</v>
      </c>
      <c r="D39" s="1391">
        <f>PENYELIA!D38</f>
        <v>6.8</v>
      </c>
      <c r="E39" s="1391"/>
      <c r="F39" s="1392">
        <f>PENYELIA!F38</f>
        <v>6.7723389268928837</v>
      </c>
      <c r="G39" s="1392"/>
      <c r="H39" s="449">
        <f>PENYELIA!H38</f>
        <v>-2.7661073107116074E-2</v>
      </c>
      <c r="I39" s="700">
        <f>PENYELIA!I38</f>
        <v>-0.40844194901814873</v>
      </c>
      <c r="J39" s="1341"/>
      <c r="K39" s="1364"/>
      <c r="L39" s="1088" t="str">
        <f>IF(P39="-",""," ± ")</f>
        <v xml:space="preserve"> ± </v>
      </c>
      <c r="M39" s="1085" t="str">
        <f t="shared" si="0"/>
        <v>0.43</v>
      </c>
      <c r="P39" s="1090">
        <f>PENYELIA!K38</f>
        <v>0.42969650165302503</v>
      </c>
    </row>
    <row r="40" spans="1:21" ht="19" customHeight="1" x14ac:dyDescent="0.25">
      <c r="B40" s="308">
        <v>5</v>
      </c>
      <c r="C40" s="1347"/>
      <c r="D40" s="1391">
        <f>PENYELIA!D39</f>
        <v>8</v>
      </c>
      <c r="E40" s="1391"/>
      <c r="F40" s="1392">
        <f>PENYELIA!F39</f>
        <v>8.0562042861883238</v>
      </c>
      <c r="G40" s="1392"/>
      <c r="H40" s="449">
        <f>PENYELIA!H39</f>
        <v>5.6204286188323849E-2</v>
      </c>
      <c r="I40" s="700">
        <f>PENYELIA!I39</f>
        <v>0.69765219688732705</v>
      </c>
      <c r="J40" s="1341"/>
      <c r="K40" s="1364"/>
      <c r="L40" s="1088" t="str">
        <f>IF(P40="-",""," ± ")</f>
        <v xml:space="preserve"> ± </v>
      </c>
      <c r="M40" s="1085" t="str">
        <f>IF(P40&gt;=10,TEXT(P40,"0"),IF(P40&gt;=1,TEXT(P40,"0.0"),TEXT(P40,"0.00")))</f>
        <v>0.37</v>
      </c>
      <c r="P40" s="1090">
        <f>PENYELIA!K39</f>
        <v>0.36556905144311957</v>
      </c>
    </row>
    <row r="41" spans="1:21" ht="19" customHeight="1" x14ac:dyDescent="0.25">
      <c r="A41" s="299"/>
      <c r="B41" s="309"/>
      <c r="C41" s="310"/>
      <c r="D41" s="310"/>
      <c r="E41" s="306"/>
      <c r="F41" s="306"/>
      <c r="G41" s="306"/>
      <c r="H41" s="311"/>
      <c r="I41" s="312"/>
      <c r="J41" s="312"/>
      <c r="L41" s="1089"/>
      <c r="Q41" s="299"/>
      <c r="R41" s="299"/>
      <c r="S41" s="299"/>
    </row>
    <row r="42" spans="1:21" ht="19" customHeight="1" x14ac:dyDescent="0.25">
      <c r="A42" s="301"/>
      <c r="B42" s="301" t="str">
        <f>PENYELIA!B41</f>
        <v>B. Kalibrasi Akurasi ECG</v>
      </c>
      <c r="C42" s="301"/>
      <c r="D42" s="301"/>
      <c r="E42" s="301"/>
      <c r="F42" s="301"/>
      <c r="L42" s="1089"/>
      <c r="P42" s="299"/>
      <c r="T42" s="299"/>
      <c r="U42" s="299"/>
    </row>
    <row r="43" spans="1:21" ht="30.75" customHeight="1" x14ac:dyDescent="0.25">
      <c r="B43" s="1335" t="s">
        <v>99</v>
      </c>
      <c r="C43" s="1335" t="s">
        <v>67</v>
      </c>
      <c r="D43" s="1339" t="str">
        <f>LH!D43</f>
        <v>Setting Standar</v>
      </c>
      <c r="E43" s="1340"/>
      <c r="F43" s="1339" t="str">
        <f>LH!F43</f>
        <v>Pembacaan Alat</v>
      </c>
      <c r="G43" s="1340"/>
      <c r="H43" s="703" t="s">
        <v>158</v>
      </c>
      <c r="I43" s="1076" t="str">
        <f>I34</f>
        <v>Koreksi Relatif</v>
      </c>
      <c r="J43" s="1335" t="s">
        <v>86</v>
      </c>
      <c r="K43" s="1335"/>
      <c r="L43" s="1335" t="s">
        <v>528</v>
      </c>
      <c r="M43" s="1335"/>
    </row>
    <row r="44" spans="1:21" ht="15" customHeight="1" x14ac:dyDescent="0.25">
      <c r="B44" s="1336"/>
      <c r="C44" s="1336"/>
      <c r="D44" s="1333" t="s">
        <v>325</v>
      </c>
      <c r="E44" s="1334"/>
      <c r="F44" s="1333" t="s">
        <v>325</v>
      </c>
      <c r="G44" s="1334"/>
      <c r="H44" s="702" t="s">
        <v>325</v>
      </c>
      <c r="I44" s="1077" t="str">
        <f>I35</f>
        <v>(%)</v>
      </c>
      <c r="J44" s="1336" t="str">
        <f>I44</f>
        <v>(%)</v>
      </c>
      <c r="K44" s="1336"/>
      <c r="L44" s="1336" t="str">
        <f>L35</f>
        <v>(%)</v>
      </c>
      <c r="M44" s="1336"/>
    </row>
    <row r="45" spans="1:21" ht="19" customHeight="1" x14ac:dyDescent="0.25">
      <c r="B45" s="308">
        <v>1</v>
      </c>
      <c r="C45" s="1345" t="str">
        <f>PENYELIA!C44</f>
        <v xml:space="preserve">Frekuensi              Heart Rate                      (BPM) </v>
      </c>
      <c r="D45" s="1393">
        <f>PENYELIA!D44</f>
        <v>30</v>
      </c>
      <c r="E45" s="1393"/>
      <c r="F45" s="1394">
        <f>PENYELIA!F44</f>
        <v>30</v>
      </c>
      <c r="G45" s="1394"/>
      <c r="H45" s="626">
        <f>PENYELIA!H44</f>
        <v>0</v>
      </c>
      <c r="I45" s="426">
        <f>PENYELIA!I44</f>
        <v>0</v>
      </c>
      <c r="J45" s="1341" t="s">
        <v>524</v>
      </c>
      <c r="K45" s="1344" t="s">
        <v>525</v>
      </c>
      <c r="L45" s="1088" t="str">
        <f>IF(P45="-",""," ± ")</f>
        <v xml:space="preserve"> ± </v>
      </c>
      <c r="M45" s="1085" t="str">
        <f>IF(P45&gt;=10,TEXT(P45,"0"),IF(P45&gt;=1,TEXT(P45,"0.0"),TEXT(P45,"0.00")))</f>
        <v>2.8</v>
      </c>
      <c r="P45" s="1090">
        <f>PENYELIA!K44</f>
        <v>2.7708118136784297</v>
      </c>
    </row>
    <row r="46" spans="1:21" ht="15.75" customHeight="1" x14ac:dyDescent="0.25">
      <c r="B46" s="308">
        <v>2</v>
      </c>
      <c r="C46" s="1345"/>
      <c r="D46" s="1393">
        <f>PENYELIA!D45</f>
        <v>60</v>
      </c>
      <c r="E46" s="1393"/>
      <c r="F46" s="1394">
        <f>PENYELIA!F45</f>
        <v>60</v>
      </c>
      <c r="G46" s="1394"/>
      <c r="H46" s="626">
        <f>PENYELIA!H45</f>
        <v>-0.11999999999999744</v>
      </c>
      <c r="I46" s="426">
        <f>PENYELIA!I45</f>
        <v>-0.19999999999999576</v>
      </c>
      <c r="J46" s="1341"/>
      <c r="K46" s="1344"/>
      <c r="L46" s="1088" t="str">
        <f>IF(P46="-",""," ± ")</f>
        <v xml:space="preserve"> ± </v>
      </c>
      <c r="M46" s="1085" t="str">
        <f t="shared" ref="M46:M49" si="1">IF(P46&gt;=10,TEXT(P46,"0"),IF(P46&gt;=1,TEXT(P46,"0.0"),TEXT(P46,"0.00")))</f>
        <v>1.4</v>
      </c>
      <c r="P46" s="1090">
        <f>PENYELIA!K45</f>
        <v>1.3854059068392148</v>
      </c>
    </row>
    <row r="47" spans="1:21" ht="15.75" customHeight="1" x14ac:dyDescent="0.25">
      <c r="B47" s="308">
        <v>3</v>
      </c>
      <c r="C47" s="1345"/>
      <c r="D47" s="1393">
        <f>PENYELIA!D46</f>
        <v>120</v>
      </c>
      <c r="E47" s="1393"/>
      <c r="F47" s="1394">
        <f>PENYELIA!F46</f>
        <v>120</v>
      </c>
      <c r="G47" s="1394"/>
      <c r="H47" s="626">
        <f>PENYELIA!H46</f>
        <v>-0.12000000000000455</v>
      </c>
      <c r="I47" s="426">
        <f>PENYELIA!I46</f>
        <v>-0.10000000000000379</v>
      </c>
      <c r="J47" s="1341"/>
      <c r="K47" s="1344"/>
      <c r="L47" s="1088" t="str">
        <f>IF(P47="-",""," ± ")</f>
        <v xml:space="preserve"> ± </v>
      </c>
      <c r="M47" s="1085" t="str">
        <f t="shared" si="1"/>
        <v>0.69</v>
      </c>
      <c r="P47" s="1090">
        <f>PENYELIA!K46</f>
        <v>0.69270295341960741</v>
      </c>
    </row>
    <row r="48" spans="1:21" ht="15.75" customHeight="1" x14ac:dyDescent="0.25">
      <c r="B48" s="308">
        <v>4</v>
      </c>
      <c r="C48" s="1345"/>
      <c r="D48" s="1393">
        <f>PENYELIA!D47</f>
        <v>180</v>
      </c>
      <c r="E48" s="1393"/>
      <c r="F48" s="1394">
        <f>PENYELIA!F47</f>
        <v>180</v>
      </c>
      <c r="G48" s="1394"/>
      <c r="H48" s="626">
        <f>PENYELIA!H47</f>
        <v>0.12000000000000455</v>
      </c>
      <c r="I48" s="426">
        <f>PENYELIA!I47</f>
        <v>6.6666666666669191E-2</v>
      </c>
      <c r="J48" s="1341"/>
      <c r="K48" s="1344"/>
      <c r="L48" s="1088" t="str">
        <f>IF(P48="-",""," ± ")</f>
        <v xml:space="preserve"> ± </v>
      </c>
      <c r="M48" s="1085" t="str">
        <f t="shared" si="1"/>
        <v>0.46</v>
      </c>
      <c r="P48" s="1090">
        <f>PENYELIA!K47</f>
        <v>0.46180196894640491</v>
      </c>
    </row>
    <row r="49" spans="1:16" ht="15.75" customHeight="1" x14ac:dyDescent="0.25">
      <c r="B49" s="308">
        <v>5</v>
      </c>
      <c r="C49" s="1345"/>
      <c r="D49" s="1393">
        <f>PENYELIA!D48</f>
        <v>240</v>
      </c>
      <c r="E49" s="1393"/>
      <c r="F49" s="1394">
        <f>PENYELIA!F48</f>
        <v>240</v>
      </c>
      <c r="G49" s="1394"/>
      <c r="H49" s="626">
        <f>PENYELIA!H48</f>
        <v>-0.12000000000000455</v>
      </c>
      <c r="I49" s="426">
        <f>PENYELIA!I48</f>
        <v>-5.0000000000001897E-2</v>
      </c>
      <c r="J49" s="1341"/>
      <c r="K49" s="1344"/>
      <c r="L49" s="1088" t="str">
        <f>IF(P49="-",""," ± ")</f>
        <v xml:space="preserve"> ± </v>
      </c>
      <c r="M49" s="1085" t="str">
        <f t="shared" si="1"/>
        <v>0.35</v>
      </c>
      <c r="P49" s="1090">
        <f>PENYELIA!K48</f>
        <v>0.34635147670980371</v>
      </c>
    </row>
    <row r="50" spans="1:16" ht="15.75" customHeight="1" x14ac:dyDescent="0.25">
      <c r="A50" s="427"/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N50" s="427"/>
      <c r="P50" s="425"/>
    </row>
    <row r="51" spans="1:16" x14ac:dyDescent="0.25">
      <c r="A51" s="603" t="s">
        <v>105</v>
      </c>
      <c r="B51" s="603" t="s">
        <v>106</v>
      </c>
      <c r="C51" s="603"/>
      <c r="D51" s="604"/>
      <c r="E51" s="604"/>
      <c r="F51" s="604"/>
      <c r="G51" s="604"/>
      <c r="H51" s="604"/>
      <c r="I51" s="604"/>
      <c r="J51" s="604"/>
      <c r="K51" s="605"/>
      <c r="L51" s="606"/>
      <c r="M51" s="606"/>
      <c r="N51" s="607"/>
      <c r="O51" s="607"/>
    </row>
    <row r="52" spans="1:16" x14ac:dyDescent="0.25">
      <c r="A52" s="608"/>
      <c r="B52" s="608" t="str">
        <f>PENYELIA!B51</f>
        <v>Ketidakpastian pengukuran  dilaporkan pada tingkat kepercayaan 95% dengan faktor cakupan k=2</v>
      </c>
      <c r="C52" s="608"/>
      <c r="D52" s="604"/>
      <c r="E52" s="604"/>
      <c r="F52" s="604"/>
      <c r="G52" s="604"/>
      <c r="H52" s="604"/>
      <c r="I52" s="604"/>
      <c r="J52" s="604"/>
      <c r="K52" s="605"/>
      <c r="L52" s="606"/>
      <c r="M52" s="606"/>
      <c r="N52" s="607"/>
      <c r="O52" s="607"/>
    </row>
    <row r="53" spans="1:16" x14ac:dyDescent="0.25">
      <c r="A53" s="608"/>
      <c r="B53" s="608" t="str">
        <f>PENYELIA!B52</f>
        <v>Hasil pengukuran keselamatan listrik tertelusur ke Satuan Internasional ( SI ) melalui PT. Kaliman (LK-032-IDN)</v>
      </c>
      <c r="C53" s="608"/>
      <c r="D53" s="604"/>
      <c r="E53" s="604"/>
      <c r="F53" s="604"/>
      <c r="G53" s="604"/>
      <c r="H53" s="604"/>
      <c r="I53" s="604"/>
      <c r="J53" s="604"/>
      <c r="K53" s="605"/>
      <c r="L53" s="606"/>
      <c r="M53" s="606"/>
      <c r="N53" s="607"/>
      <c r="O53" s="607"/>
    </row>
    <row r="54" spans="1:16" x14ac:dyDescent="0.25">
      <c r="A54" s="608"/>
      <c r="B54" s="608" t="str">
        <f>PENYELIA!B53</f>
        <v>Hasil kalibrasi kecepatan tertelusur ke Satuan Internasional ( SI ) melalui PT KALIMAN</v>
      </c>
      <c r="C54" s="608"/>
      <c r="D54" s="604"/>
      <c r="E54" s="604"/>
      <c r="F54" s="604"/>
      <c r="G54" s="604"/>
      <c r="H54" s="604"/>
      <c r="I54" s="604"/>
      <c r="J54" s="604"/>
      <c r="K54" s="605"/>
      <c r="L54" s="606"/>
      <c r="M54" s="606"/>
      <c r="N54" s="607"/>
      <c r="O54" s="607"/>
    </row>
    <row r="55" spans="1:16" x14ac:dyDescent="0.25">
      <c r="A55" s="608"/>
      <c r="B55" s="608" t="str">
        <f>PENYELIA!B54</f>
        <v>Hasil kalibrasi ECG tertelusur ke Satuan Internasional melalui DIRJEN YANKES BPFK JAKARTA</v>
      </c>
      <c r="C55" s="608"/>
      <c r="D55" s="604"/>
      <c r="E55" s="604"/>
      <c r="F55" s="604"/>
      <c r="G55" s="604"/>
      <c r="H55" s="604"/>
      <c r="I55" s="604"/>
      <c r="J55" s="604"/>
      <c r="K55" s="605"/>
      <c r="L55" s="606"/>
      <c r="M55" s="606"/>
      <c r="N55" s="607"/>
      <c r="O55" s="607"/>
    </row>
    <row r="56" spans="1:16" x14ac:dyDescent="0.25">
      <c r="A56" s="608"/>
      <c r="B56" s="608" t="str">
        <f>PENYELIA!B55</f>
        <v>Alat tidak boleh digunakan pada instalasi tanpa dilengkapi grounding</v>
      </c>
      <c r="C56" s="608"/>
      <c r="D56" s="604"/>
      <c r="E56" s="604"/>
      <c r="F56" s="604"/>
      <c r="G56" s="604"/>
      <c r="H56" s="604"/>
      <c r="I56" s="604"/>
      <c r="J56" s="604"/>
      <c r="K56" s="605"/>
      <c r="L56" s="606"/>
      <c r="M56" s="606"/>
      <c r="N56" s="607"/>
      <c r="O56" s="607"/>
    </row>
    <row r="57" spans="1:16" x14ac:dyDescent="0.25">
      <c r="A57" s="608"/>
      <c r="C57" s="608"/>
      <c r="D57" s="604"/>
      <c r="E57" s="604"/>
      <c r="F57" s="604"/>
      <c r="G57" s="604"/>
      <c r="H57" s="604"/>
      <c r="I57" s="604"/>
      <c r="J57" s="604"/>
      <c r="K57" s="605"/>
      <c r="L57" s="606"/>
      <c r="M57" s="606"/>
      <c r="N57" s="607"/>
      <c r="O57" s="607"/>
    </row>
    <row r="58" spans="1:16" x14ac:dyDescent="0.25">
      <c r="A58" s="606" t="s">
        <v>107</v>
      </c>
      <c r="B58" s="606" t="s">
        <v>108</v>
      </c>
      <c r="C58" s="606"/>
      <c r="D58" s="609"/>
      <c r="E58" s="609"/>
      <c r="F58" s="609"/>
      <c r="G58" s="609"/>
      <c r="H58" s="609"/>
      <c r="I58" s="609"/>
      <c r="J58" s="609"/>
      <c r="K58" s="609"/>
      <c r="L58" s="609"/>
      <c r="M58" s="609"/>
      <c r="N58" s="609"/>
      <c r="O58" s="609"/>
    </row>
    <row r="59" spans="1:16" x14ac:dyDescent="0.25">
      <c r="A59" s="606"/>
      <c r="B59" s="609" t="str">
        <f>PENYELIA!B59</f>
        <v>Digital Tachometer, Merek : Krisbow, Model : KW06-563, SN : 180812206</v>
      </c>
      <c r="C59" s="606"/>
      <c r="D59" s="609"/>
      <c r="E59" s="609"/>
      <c r="F59" s="609"/>
      <c r="G59" s="609"/>
      <c r="H59" s="609"/>
      <c r="I59" s="609"/>
      <c r="J59" s="609"/>
      <c r="K59" s="609"/>
      <c r="L59" s="609"/>
      <c r="M59" s="609"/>
      <c r="N59" s="609"/>
      <c r="O59" s="609"/>
    </row>
    <row r="60" spans="1:16" x14ac:dyDescent="0.25">
      <c r="A60" s="609"/>
      <c r="B60" s="609" t="str">
        <f>PENYELIA!B60</f>
        <v>Multiparameter Simulator, Merek : RIGEL , Model : PatSim200, SN : 11L-0293</v>
      </c>
      <c r="C60" s="609"/>
      <c r="D60" s="609"/>
      <c r="E60" s="609"/>
      <c r="F60" s="609"/>
      <c r="G60" s="609"/>
      <c r="H60" s="609"/>
      <c r="I60" s="609"/>
      <c r="J60" s="609"/>
      <c r="K60" s="609"/>
      <c r="L60" s="609"/>
      <c r="M60" s="609"/>
      <c r="N60" s="609"/>
      <c r="O60" s="609"/>
    </row>
    <row r="61" spans="1:16" x14ac:dyDescent="0.25">
      <c r="A61" s="609"/>
      <c r="B61" s="609" t="str">
        <f>PENYELIA!B61</f>
        <v>Electrical Safety Analyzer, Merek : Fluke, Model : ESA 615, SN : 4670010</v>
      </c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</row>
    <row r="62" spans="1:16" x14ac:dyDescent="0.25">
      <c r="A62" s="609"/>
      <c r="B62" s="609"/>
      <c r="C62" s="609"/>
      <c r="D62" s="609"/>
      <c r="E62" s="609"/>
      <c r="F62" s="609"/>
      <c r="G62" s="609"/>
      <c r="H62" s="609"/>
      <c r="I62" s="609"/>
      <c r="J62" s="609"/>
      <c r="K62" s="609"/>
      <c r="L62" s="609"/>
      <c r="M62" s="609"/>
      <c r="N62" s="609"/>
      <c r="O62" s="609"/>
    </row>
    <row r="63" spans="1:16" x14ac:dyDescent="0.25">
      <c r="A63" s="606" t="s">
        <v>122</v>
      </c>
      <c r="B63" s="606" t="str">
        <f>ID!B73</f>
        <v>Kesimpulan</v>
      </c>
      <c r="C63" s="609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</row>
    <row r="64" spans="1:16" x14ac:dyDescent="0.25">
      <c r="A64" s="609"/>
      <c r="B64" s="1327" t="str">
        <f>ID!B74</f>
        <v>Alat yang dikalibrasi dalam batas toleransi dan dinyatakan LAIK PAKAI, dimana hasil atau skor akhir sama dengan atau melampaui 70% berdasarkan Keputusan Direktur Jenderal Pelayanan Kesehatan No : HK.02.02/V/0412/2020</v>
      </c>
      <c r="C64" s="1327"/>
      <c r="D64" s="1327"/>
      <c r="E64" s="1327"/>
      <c r="F64" s="1327"/>
      <c r="G64" s="1327"/>
      <c r="H64" s="1327"/>
      <c r="I64" s="1327"/>
      <c r="J64" s="1327"/>
      <c r="K64" s="1327"/>
      <c r="L64" s="1327"/>
      <c r="M64" s="1327"/>
      <c r="N64" s="1327"/>
      <c r="O64" s="609"/>
    </row>
    <row r="65" spans="1:15" x14ac:dyDescent="0.25">
      <c r="A65" s="609"/>
      <c r="B65" s="1327"/>
      <c r="C65" s="1327"/>
      <c r="D65" s="1327"/>
      <c r="E65" s="1327"/>
      <c r="F65" s="1327"/>
      <c r="G65" s="1327"/>
      <c r="H65" s="1327"/>
      <c r="I65" s="1327"/>
      <c r="J65" s="1327"/>
      <c r="K65" s="1327"/>
      <c r="L65" s="1327"/>
      <c r="M65" s="1327"/>
      <c r="N65" s="1327"/>
      <c r="O65" s="609"/>
    </row>
    <row r="66" spans="1:15" x14ac:dyDescent="0.25">
      <c r="A66" s="609"/>
      <c r="B66" s="609"/>
      <c r="C66" s="609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</row>
    <row r="67" spans="1:15" x14ac:dyDescent="0.25">
      <c r="A67" s="606" t="s">
        <v>125</v>
      </c>
      <c r="B67" s="606" t="str">
        <f>PENYELIA!B66</f>
        <v>Petugas Kalibrasi</v>
      </c>
      <c r="C67" s="606"/>
      <c r="D67" s="609"/>
      <c r="E67" s="609"/>
      <c r="F67" s="609"/>
      <c r="G67" s="609"/>
      <c r="H67" s="609"/>
      <c r="I67" s="609"/>
      <c r="J67" s="609"/>
      <c r="K67" s="609"/>
      <c r="L67" s="609"/>
      <c r="M67" s="609"/>
      <c r="N67" s="609"/>
      <c r="O67" s="609"/>
    </row>
    <row r="68" spans="1:15" x14ac:dyDescent="0.25">
      <c r="A68" s="609"/>
      <c r="B68" s="609" t="str">
        <f>PENYELIA!B67</f>
        <v>Gusti Arya Dinata</v>
      </c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09"/>
      <c r="N68" s="609"/>
      <c r="O68" s="609"/>
    </row>
    <row r="69" spans="1:15" x14ac:dyDescent="0.25">
      <c r="A69" s="606"/>
      <c r="B69" s="609"/>
      <c r="C69" s="606"/>
      <c r="D69" s="609"/>
      <c r="E69" s="609"/>
      <c r="F69" s="609"/>
      <c r="G69" s="609"/>
      <c r="H69" s="609"/>
      <c r="I69" s="609"/>
      <c r="J69" s="609" t="s">
        <v>326</v>
      </c>
      <c r="K69" s="609"/>
      <c r="L69" s="609"/>
      <c r="M69" s="609"/>
      <c r="N69" s="609"/>
      <c r="O69" s="609"/>
    </row>
    <row r="70" spans="1:15" ht="15.75" customHeight="1" x14ac:dyDescent="0.25">
      <c r="A70" s="609"/>
      <c r="B70" s="609"/>
      <c r="C70" s="609"/>
      <c r="D70" s="609"/>
      <c r="E70" s="609"/>
      <c r="F70" s="609"/>
      <c r="G70" s="609"/>
      <c r="H70" s="609"/>
      <c r="I70" s="609"/>
      <c r="J70" s="609" t="s">
        <v>327</v>
      </c>
      <c r="K70" s="609"/>
      <c r="L70" s="609"/>
      <c r="M70" s="609"/>
      <c r="N70" s="609"/>
      <c r="O70" s="609"/>
    </row>
    <row r="71" spans="1:15" x14ac:dyDescent="0.25">
      <c r="A71" s="609"/>
      <c r="B71" s="609"/>
      <c r="C71" s="609"/>
      <c r="D71" s="609"/>
      <c r="E71" s="609"/>
      <c r="F71" s="609"/>
      <c r="G71" s="609"/>
      <c r="H71" s="609"/>
      <c r="I71" s="609"/>
      <c r="J71" s="609" t="s">
        <v>328</v>
      </c>
      <c r="K71" s="609"/>
      <c r="L71" s="609"/>
      <c r="M71" s="609"/>
      <c r="N71" s="609"/>
      <c r="O71" s="609"/>
    </row>
    <row r="72" spans="1:15" ht="15.75" customHeight="1" x14ac:dyDescent="0.25">
      <c r="A72" s="609"/>
      <c r="B72" s="609"/>
      <c r="C72" s="609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</row>
    <row r="73" spans="1:15" x14ac:dyDescent="0.25">
      <c r="A73" s="609"/>
      <c r="B73" s="609"/>
      <c r="C73" s="609"/>
      <c r="D73" s="609"/>
      <c r="E73" s="609"/>
      <c r="F73" s="609"/>
      <c r="G73" s="609"/>
      <c r="H73" s="609"/>
      <c r="I73" s="609"/>
      <c r="J73" s="609"/>
      <c r="K73" s="609"/>
      <c r="L73" s="609"/>
      <c r="M73" s="609"/>
      <c r="N73" s="609"/>
      <c r="O73" s="609"/>
    </row>
    <row r="74" spans="1:15" x14ac:dyDescent="0.25">
      <c r="A74" s="609"/>
      <c r="B74" s="609"/>
      <c r="C74" s="609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</row>
    <row r="75" spans="1:15" x14ac:dyDescent="0.25">
      <c r="A75" s="609"/>
      <c r="B75" s="609"/>
      <c r="C75" s="609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</row>
    <row r="76" spans="1:15" ht="15.75" customHeight="1" x14ac:dyDescent="0.25">
      <c r="A76" s="609"/>
      <c r="B76" s="609"/>
      <c r="C76" s="609"/>
      <c r="D76" s="609"/>
      <c r="E76" s="609"/>
      <c r="F76" s="609"/>
      <c r="G76" s="609"/>
      <c r="H76" s="609"/>
      <c r="I76" s="609"/>
      <c r="J76" s="610" t="s">
        <v>329</v>
      </c>
      <c r="K76" s="609"/>
      <c r="L76" s="609"/>
      <c r="M76" s="609"/>
      <c r="N76" s="609"/>
      <c r="O76" s="609"/>
    </row>
    <row r="77" spans="1:15" x14ac:dyDescent="0.25">
      <c r="A77" s="609"/>
      <c r="B77" s="609"/>
      <c r="C77" s="609"/>
      <c r="D77" s="609"/>
      <c r="E77" s="609"/>
      <c r="F77" s="609"/>
      <c r="G77" s="609"/>
      <c r="H77" s="609"/>
      <c r="I77" s="609"/>
      <c r="J77" s="611" t="str">
        <f>VLOOKUP(J76,Q83:R84,2,0)</f>
        <v>NIP 198008062010121001</v>
      </c>
      <c r="K77" s="609"/>
      <c r="L77" s="609"/>
      <c r="M77" s="609"/>
      <c r="N77" s="609"/>
      <c r="O77" s="609"/>
    </row>
    <row r="78" spans="1:15" ht="22.5" customHeight="1" x14ac:dyDescent="0.2">
      <c r="A78" s="609"/>
      <c r="B78" s="609"/>
      <c r="C78" s="609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12" t="s">
        <v>330</v>
      </c>
    </row>
    <row r="83" spans="1:18" x14ac:dyDescent="0.35">
      <c r="Q83" s="429" t="s">
        <v>180</v>
      </c>
      <c r="R83" s="430" t="s">
        <v>331</v>
      </c>
    </row>
    <row r="84" spans="1:18" x14ac:dyDescent="0.25">
      <c r="K84" s="299"/>
      <c r="Q84" s="432" t="s">
        <v>329</v>
      </c>
      <c r="R84" s="430" t="s">
        <v>332</v>
      </c>
    </row>
    <row r="86" spans="1:18" x14ac:dyDescent="0.25">
      <c r="M86" s="431"/>
    </row>
    <row r="87" spans="1:18" ht="15.75" customHeight="1" x14ac:dyDescent="0.25">
      <c r="A87" s="427"/>
      <c r="B87" s="427"/>
      <c r="C87" s="427"/>
      <c r="D87" s="427"/>
      <c r="E87" s="427"/>
      <c r="F87" s="427"/>
      <c r="G87" s="427"/>
      <c r="H87" s="427"/>
      <c r="I87" s="427"/>
      <c r="J87" s="427"/>
      <c r="K87" s="427"/>
      <c r="N87" s="427"/>
    </row>
    <row r="88" spans="1:18" ht="15.75" customHeight="1" x14ac:dyDescent="0.25">
      <c r="N88" s="427"/>
    </row>
    <row r="89" spans="1:18" ht="15.75" customHeight="1" x14ac:dyDescent="0.25">
      <c r="N89" s="427"/>
    </row>
    <row r="90" spans="1:18" ht="12" customHeight="1" x14ac:dyDescent="0.25"/>
    <row r="123" spans="15:15" ht="408.75" customHeight="1" x14ac:dyDescent="0.2">
      <c r="O123" s="428"/>
    </row>
    <row r="136" spans="3:4" x14ac:dyDescent="0.35">
      <c r="C136" s="433"/>
      <c r="D136" s="433"/>
    </row>
    <row r="137" spans="3:4" x14ac:dyDescent="0.35">
      <c r="C137" s="433"/>
      <c r="D137" s="433"/>
    </row>
  </sheetData>
  <mergeCells count="60">
    <mergeCell ref="B64:N65"/>
    <mergeCell ref="C27:I27"/>
    <mergeCell ref="C28:I28"/>
    <mergeCell ref="C29:I29"/>
    <mergeCell ref="C30:I30"/>
    <mergeCell ref="D48:E48"/>
    <mergeCell ref="F48:G48"/>
    <mergeCell ref="D49:E49"/>
    <mergeCell ref="F49:G49"/>
    <mergeCell ref="J43:K43"/>
    <mergeCell ref="L43:M43"/>
    <mergeCell ref="J44:K44"/>
    <mergeCell ref="L44:M44"/>
    <mergeCell ref="J45:J49"/>
    <mergeCell ref="K45:K49"/>
    <mergeCell ref="B43:B44"/>
    <mergeCell ref="C45:C49"/>
    <mergeCell ref="D45:E45"/>
    <mergeCell ref="F45:G45"/>
    <mergeCell ref="D46:E46"/>
    <mergeCell ref="D39:E39"/>
    <mergeCell ref="F39:G39"/>
    <mergeCell ref="D40:E40"/>
    <mergeCell ref="F40:G40"/>
    <mergeCell ref="C43:C44"/>
    <mergeCell ref="D43:E43"/>
    <mergeCell ref="F44:G44"/>
    <mergeCell ref="D44:E44"/>
    <mergeCell ref="F46:G46"/>
    <mergeCell ref="D47:E47"/>
    <mergeCell ref="F47:G47"/>
    <mergeCell ref="F43:G43"/>
    <mergeCell ref="C36:C38"/>
    <mergeCell ref="D36:E36"/>
    <mergeCell ref="F36:G36"/>
    <mergeCell ref="J36:J40"/>
    <mergeCell ref="C39:C40"/>
    <mergeCell ref="K36:K40"/>
    <mergeCell ref="D37:E37"/>
    <mergeCell ref="F37:G37"/>
    <mergeCell ref="D38:E38"/>
    <mergeCell ref="F38:G38"/>
    <mergeCell ref="B34:B35"/>
    <mergeCell ref="C34:C35"/>
    <mergeCell ref="D34:E34"/>
    <mergeCell ref="F34:G34"/>
    <mergeCell ref="A1:O1"/>
    <mergeCell ref="A2:O2"/>
    <mergeCell ref="J34:K34"/>
    <mergeCell ref="L34:M34"/>
    <mergeCell ref="D35:E35"/>
    <mergeCell ref="F35:G35"/>
    <mergeCell ref="J35:K35"/>
    <mergeCell ref="L35:M35"/>
    <mergeCell ref="C25:I26"/>
    <mergeCell ref="Q15:S15"/>
    <mergeCell ref="U15:W15"/>
    <mergeCell ref="B25:B26"/>
    <mergeCell ref="J25:K26"/>
    <mergeCell ref="L25:M26"/>
  </mergeCells>
  <dataValidations count="1">
    <dataValidation type="list" allowBlank="1" showInputMessage="1" showErrorMessage="1" sqref="J76" xr:uid="{07E0D9FD-CA43-4681-9619-C477631DA499}">
      <formula1>$Q$83:$Q$84</formula1>
    </dataValidation>
  </dataValidations>
  <pageMargins left="0.7" right="0.7" top="0.75" bottom="0.75" header="0.3" footer="0.3"/>
  <pageSetup paperSize="9" scale="57" orientation="portrait" r:id="rId1"/>
  <rowBreaks count="1" manualBreakCount="1">
    <brk id="78" max="14" man="1"/>
  </rowBreaks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12</xdr:col>
                <xdr:colOff>12700</xdr:colOff>
                <xdr:row>112</xdr:row>
                <xdr:rowOff>0</xdr:rowOff>
              </from>
              <to>
                <xdr:col>12</xdr:col>
                <xdr:colOff>355600</xdr:colOff>
                <xdr:row>112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8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35" r:id="rId8"/>
      </mc:Fallback>
    </mc:AlternateContent>
    <mc:AlternateContent xmlns:mc="http://schemas.openxmlformats.org/markup-compatibility/2006">
      <mc:Choice Requires="x14">
        <oleObject progId="Equation.3" shapeId="18436" r:id="rId9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36" r:id="rId9"/>
      </mc:Fallback>
    </mc:AlternateContent>
    <mc:AlternateContent xmlns:mc="http://schemas.openxmlformats.org/markup-compatibility/2006">
      <mc:Choice Requires="x14">
        <oleObject progId="Equation.3" shapeId="18437" r:id="rId10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37" r:id="rId10"/>
      </mc:Fallback>
    </mc:AlternateContent>
    <mc:AlternateContent xmlns:mc="http://schemas.openxmlformats.org/markup-compatibility/2006">
      <mc:Choice Requires="x14">
        <oleObject progId="Equation.3" shapeId="18438" r:id="rId11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38" r:id="rId11"/>
      </mc:Fallback>
    </mc:AlternateContent>
    <mc:AlternateContent xmlns:mc="http://schemas.openxmlformats.org/markup-compatibility/2006">
      <mc:Choice Requires="x14">
        <oleObject progId="Equation.3" shapeId="18439" r:id="rId12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39" r:id="rId12"/>
      </mc:Fallback>
    </mc:AlternateContent>
    <mc:AlternateContent xmlns:mc="http://schemas.openxmlformats.org/markup-compatibility/2006">
      <mc:Choice Requires="x14">
        <oleObject progId="Equation.3" shapeId="18440" r:id="rId13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0" r:id="rId13"/>
      </mc:Fallback>
    </mc:AlternateContent>
    <mc:AlternateContent xmlns:mc="http://schemas.openxmlformats.org/markup-compatibility/2006">
      <mc:Choice Requires="x14">
        <oleObject progId="Equation.3" shapeId="18441" r:id="rId14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1" r:id="rId14"/>
      </mc:Fallback>
    </mc:AlternateContent>
    <mc:AlternateContent xmlns:mc="http://schemas.openxmlformats.org/markup-compatibility/2006">
      <mc:Choice Requires="x14">
        <oleObject progId="Equation.3" shapeId="18442" r:id="rId15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2" r:id="rId15"/>
      </mc:Fallback>
    </mc:AlternateContent>
    <mc:AlternateContent xmlns:mc="http://schemas.openxmlformats.org/markup-compatibility/2006">
      <mc:Choice Requires="x14">
        <oleObject progId="Equation.3" shapeId="18443" r:id="rId16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3" r:id="rId16"/>
      </mc:Fallback>
    </mc:AlternateContent>
    <mc:AlternateContent xmlns:mc="http://schemas.openxmlformats.org/markup-compatibility/2006">
      <mc:Choice Requires="x14">
        <oleObject progId="Equation.3" shapeId="18444" r:id="rId17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4" r:id="rId17"/>
      </mc:Fallback>
    </mc:AlternateContent>
    <mc:AlternateContent xmlns:mc="http://schemas.openxmlformats.org/markup-compatibility/2006">
      <mc:Choice Requires="x14">
        <oleObject progId="Equation.3" shapeId="18445" r:id="rId18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5" r:id="rId18"/>
      </mc:Fallback>
    </mc:AlternateContent>
    <mc:AlternateContent xmlns:mc="http://schemas.openxmlformats.org/markup-compatibility/2006">
      <mc:Choice Requires="x14">
        <oleObject progId="Equation.3" shapeId="18446" r:id="rId19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6" r:id="rId19"/>
      </mc:Fallback>
    </mc:AlternateContent>
    <mc:AlternateContent xmlns:mc="http://schemas.openxmlformats.org/markup-compatibility/2006">
      <mc:Choice Requires="x14">
        <oleObject progId="Equation.3" shapeId="18447" r:id="rId20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7" r:id="rId20"/>
      </mc:Fallback>
    </mc:AlternateContent>
    <mc:AlternateContent xmlns:mc="http://schemas.openxmlformats.org/markup-compatibility/2006">
      <mc:Choice Requires="x14">
        <oleObject progId="Equation.3" shapeId="18448" r:id="rId21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8" r:id="rId21"/>
      </mc:Fallback>
    </mc:AlternateContent>
    <mc:AlternateContent xmlns:mc="http://schemas.openxmlformats.org/markup-compatibility/2006">
      <mc:Choice Requires="x14">
        <oleObject progId="Equation.3" shapeId="18449" r:id="rId22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49" r:id="rId22"/>
      </mc:Fallback>
    </mc:AlternateContent>
    <mc:AlternateContent xmlns:mc="http://schemas.openxmlformats.org/markup-compatibility/2006">
      <mc:Choice Requires="x14">
        <oleObject progId="Equation.3" shapeId="18450" r:id="rId23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50" r:id="rId23"/>
      </mc:Fallback>
    </mc:AlternateContent>
    <mc:AlternateContent xmlns:mc="http://schemas.openxmlformats.org/markup-compatibility/2006">
      <mc:Choice Requires="x14">
        <oleObject progId="Equation.3" shapeId="18451" r:id="rId24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51" r:id="rId24"/>
      </mc:Fallback>
    </mc:AlternateContent>
    <mc:AlternateContent xmlns:mc="http://schemas.openxmlformats.org/markup-compatibility/2006">
      <mc:Choice Requires="x14">
        <oleObject progId="Equation.3" shapeId="18452" r:id="rId25">
          <objectPr defaultSize="0" autoPict="0" r:id="rId7">
            <anchor moveWithCells="1" sizeWithCells="1">
              <from>
                <xdr:col>11</xdr:col>
                <xdr:colOff>12700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52" r:id="rId25"/>
      </mc:Fallback>
    </mc:AlternateContent>
    <mc:AlternateContent xmlns:mc="http://schemas.openxmlformats.org/markup-compatibility/2006">
      <mc:Choice Requires="x14">
        <oleObject progId="Equation.3" shapeId="18453" r:id="rId26">
          <objectPr defaultSize="0" autoPict="0" r:id="rId7">
            <anchor moveWithCells="1" sizeWithCells="1">
              <from>
                <xdr:col>11</xdr:col>
                <xdr:colOff>38100</xdr:colOff>
                <xdr:row>27</xdr:row>
                <xdr:rowOff>0</xdr:rowOff>
              </from>
              <to>
                <xdr:col>11</xdr:col>
                <xdr:colOff>323850</xdr:colOff>
                <xdr:row>27</xdr:row>
                <xdr:rowOff>0</xdr:rowOff>
              </to>
            </anchor>
          </objectPr>
        </oleObject>
      </mc:Choice>
      <mc:Fallback>
        <oleObject progId="Equation.3" shapeId="18453" r:id="rId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Riwayat Revisi</vt:lpstr>
      <vt:lpstr>LK</vt:lpstr>
      <vt:lpstr>ID</vt:lpstr>
      <vt:lpstr>UB TACHO</vt:lpstr>
      <vt:lpstr>UB BPM</vt:lpstr>
      <vt:lpstr>PENYELIA</vt:lpstr>
      <vt:lpstr>LH</vt:lpstr>
      <vt:lpstr>SERTIFIKAT</vt:lpstr>
      <vt:lpstr>LAPORAN</vt:lpstr>
      <vt:lpstr>DB ESA</vt:lpstr>
      <vt:lpstr>DB SUHU</vt:lpstr>
      <vt:lpstr>Konversi RPM</vt:lpstr>
      <vt:lpstr>DB TACHO</vt:lpstr>
      <vt:lpstr>DB ECG</vt:lpstr>
      <vt:lpstr>TES FORECAST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TACHO'!Print_Area</vt:lpstr>
    </vt:vector>
  </TitlesOfParts>
  <Manager/>
  <Company>BPFK Banjarbaru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software treadmill 2017</dc:creator>
  <cp:keywords/>
  <dc:description/>
  <cp:lastModifiedBy>MyBook PRO K5</cp:lastModifiedBy>
  <cp:revision/>
  <dcterms:created xsi:type="dcterms:W3CDTF">2004-10-08T07:10:33Z</dcterms:created>
  <dcterms:modified xsi:type="dcterms:W3CDTF">2023-09-28T05:52:21Z</dcterms:modified>
  <cp:category/>
  <cp:contentStatus/>
</cp:coreProperties>
</file>