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9F4A534C-A7D5-4C73-8F24-A8B4E36C751E}" xr6:coauthVersionLast="45" xr6:coauthVersionMax="45" xr10:uidLastSave="{00000000-0000-0000-0000-000000000000}"/>
  <bookViews>
    <workbookView xWindow="-110" yWindow="-110" windowWidth="19420" windowHeight="10300" tabRatio="612" firstSheet="1" activeTab="8" xr2:uid="{00000000-000D-0000-FFFF-FFFF00000000}"/>
  </bookViews>
  <sheets>
    <sheet name="DB Stopwatch" sheetId="28" r:id="rId1"/>
    <sheet name="SERTIFIKAT" sheetId="32" r:id="rId2"/>
    <sheet name="ESA" sheetId="29" r:id="rId3"/>
    <sheet name="Riwayat Revisi" sheetId="31" r:id="rId4"/>
    <sheet name="LK" sheetId="8" r:id="rId5"/>
    <sheet name="ID" sheetId="13" r:id="rId6"/>
    <sheet name="Budget" sheetId="12" r:id="rId7"/>
    <sheet name="Penyelia" sheetId="4" r:id="rId8"/>
    <sheet name="LH" sheetId="21" r:id="rId9"/>
    <sheet name="DB Thermohygro" sheetId="30" r:id="rId10"/>
  </sheets>
  <externalReferences>
    <externalReference r:id="rId11"/>
    <externalReference r:id="rId12"/>
  </externalReferences>
  <definedNames>
    <definedName name="_xlnm.Print_Area" localSheetId="6">Budget!$A$1:$W$46</definedName>
    <definedName name="_xlnm.Print_Area" localSheetId="0">'DB Stopwatch'!$A$1:$T$95,'DB Stopwatch'!$A$205:$O$228</definedName>
    <definedName name="_xlnm.Print_Area" localSheetId="9">'DB Thermohygro'!#REF!,'DB Thermohygro'!#REF!</definedName>
    <definedName name="_xlnm.Print_Area" localSheetId="2">ESA!$AA$185:$AN$220</definedName>
    <definedName name="_xlnm.Print_Area" localSheetId="5">ID!$A$1:$M$70</definedName>
    <definedName name="_xlnm.Print_Area" localSheetId="8">LH!$A$1:$K$64,LH!$A$67:$K$135</definedName>
    <definedName name="_xlnm.Print_Area" localSheetId="4">LK!$A$1:$Q$76</definedName>
    <definedName name="_xlnm.Print_Area" localSheetId="7">Penyelia!$A$1:$M$71</definedName>
    <definedName name="_xlnm.Print_Area" localSheetId="1">SERTIFIKAT!$A$1:$F$33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7" i="28" l="1"/>
  <c r="O248" i="28"/>
  <c r="B53" i="13"/>
  <c r="F15" i="21"/>
  <c r="M125" i="13" l="1"/>
  <c r="L128" i="13"/>
  <c r="M131" i="13"/>
  <c r="L132" i="13"/>
  <c r="L130" i="13" s="1"/>
  <c r="K135" i="29" l="1"/>
  <c r="O137" i="29" s="1"/>
  <c r="E7" i="4" l="1"/>
  <c r="D7" i="21"/>
  <c r="E21" i="21" l="1"/>
  <c r="E20" i="21"/>
  <c r="O141" i="29"/>
  <c r="N137" i="29"/>
  <c r="I135" i="29" s="1"/>
  <c r="N138" i="29"/>
  <c r="O138" i="29" s="1"/>
  <c r="N139" i="29"/>
  <c r="I139" i="29" s="1"/>
  <c r="N140" i="29"/>
  <c r="O140" i="29" s="1"/>
  <c r="N141" i="29"/>
  <c r="P141" i="29"/>
  <c r="N142" i="29"/>
  <c r="I145" i="29" s="1"/>
  <c r="O142" i="29" l="1"/>
  <c r="I143" i="29"/>
  <c r="K143" i="29" s="1"/>
  <c r="I141" i="29"/>
  <c r="K141" i="29" s="1"/>
  <c r="I137" i="29"/>
  <c r="P142" i="29"/>
  <c r="P140" i="29"/>
  <c r="O147" i="29" s="1"/>
  <c r="P138" i="29" l="1"/>
  <c r="B50" i="32" l="1"/>
  <c r="A19" i="32" s="1"/>
  <c r="B45" i="32"/>
  <c r="B46" i="32" s="1"/>
  <c r="B43" i="32"/>
  <c r="E26" i="32"/>
  <c r="D23" i="32"/>
  <c r="D21" i="32"/>
  <c r="D20" i="32"/>
  <c r="D19" i="32"/>
  <c r="B54" i="32" s="1"/>
  <c r="B55" i="32" s="1"/>
  <c r="D18" i="32"/>
  <c r="D17" i="32"/>
  <c r="A17" i="32"/>
  <c r="F11" i="32"/>
  <c r="D11" i="32"/>
  <c r="D10" i="32"/>
  <c r="D9" i="32"/>
  <c r="D8" i="32"/>
  <c r="D4" i="32"/>
  <c r="A3" i="32"/>
  <c r="F6" i="32" s="1"/>
  <c r="A20" i="32" l="1"/>
  <c r="B59" i="32"/>
  <c r="B57" i="32" s="1"/>
  <c r="B58" i="32"/>
  <c r="A21" i="32"/>
  <c r="A22" i="32"/>
  <c r="E4" i="4" l="1"/>
  <c r="E5" i="4"/>
  <c r="E6" i="4"/>
  <c r="E8" i="4"/>
  <c r="E10" i="4"/>
  <c r="E11" i="4"/>
  <c r="E12" i="4"/>
  <c r="H88" i="21" l="1"/>
  <c r="G81" i="21"/>
  <c r="Q26" i="12" l="1"/>
  <c r="Q16" i="12"/>
  <c r="Q6" i="12"/>
  <c r="E37" i="12"/>
  <c r="E26" i="12"/>
  <c r="E16" i="12"/>
  <c r="E6" i="12" l="1"/>
  <c r="E7" i="12"/>
  <c r="A1" i="21"/>
  <c r="F70" i="4" l="1"/>
  <c r="U89" i="29" l="1"/>
  <c r="T89" i="29"/>
  <c r="U83" i="29"/>
  <c r="T83" i="29"/>
  <c r="U75" i="29"/>
  <c r="T75" i="29"/>
  <c r="A166" i="29" l="1"/>
  <c r="D155" i="29" l="1"/>
  <c r="D156" i="29"/>
  <c r="D8" i="21"/>
  <c r="A8" i="4"/>
  <c r="A8" i="21" s="1"/>
  <c r="P29" i="4"/>
  <c r="P26" i="4"/>
  <c r="L37" i="13"/>
  <c r="E9" i="4" l="1"/>
  <c r="D9" i="21" s="1"/>
  <c r="Q378" i="30" l="1"/>
  <c r="F386" i="30" s="1"/>
  <c r="Q377" i="30"/>
  <c r="H15" i="13" s="1"/>
  <c r="A392" i="30"/>
  <c r="A413" i="30" s="1"/>
  <c r="A373" i="30" s="1"/>
  <c r="F373" i="30" s="1"/>
  <c r="J412" i="30"/>
  <c r="I412" i="30"/>
  <c r="J411" i="30"/>
  <c r="J410" i="30"/>
  <c r="I410" i="30"/>
  <c r="J409" i="30"/>
  <c r="I409" i="30"/>
  <c r="J408" i="30"/>
  <c r="I408" i="30"/>
  <c r="J407" i="30"/>
  <c r="I407" i="30"/>
  <c r="J406" i="30"/>
  <c r="I406" i="30"/>
  <c r="J405" i="30"/>
  <c r="I405" i="30"/>
  <c r="J404" i="30"/>
  <c r="I404" i="30"/>
  <c r="J403" i="30"/>
  <c r="I403" i="30"/>
  <c r="J402" i="30"/>
  <c r="I402" i="30"/>
  <c r="J401" i="30"/>
  <c r="I401" i="30"/>
  <c r="J400" i="30"/>
  <c r="I400" i="30"/>
  <c r="J399" i="30"/>
  <c r="I399" i="30"/>
  <c r="J398" i="30"/>
  <c r="I398" i="30"/>
  <c r="J397" i="30"/>
  <c r="I397" i="30"/>
  <c r="J396" i="30"/>
  <c r="I396" i="30"/>
  <c r="J395" i="30"/>
  <c r="I395" i="30"/>
  <c r="J394" i="30"/>
  <c r="I394" i="30"/>
  <c r="J393" i="30"/>
  <c r="I393" i="30"/>
  <c r="K386" i="30"/>
  <c r="R379" i="30"/>
  <c r="M395" i="30" s="1"/>
  <c r="S371" i="30"/>
  <c r="R371" i="30"/>
  <c r="Q371" i="30"/>
  <c r="L371" i="30"/>
  <c r="K371" i="30"/>
  <c r="J371" i="30"/>
  <c r="E371" i="30"/>
  <c r="D371" i="30"/>
  <c r="C371" i="30"/>
  <c r="S370" i="30"/>
  <c r="R370" i="30"/>
  <c r="Q370" i="30"/>
  <c r="L370" i="30"/>
  <c r="K370" i="30"/>
  <c r="J370" i="30"/>
  <c r="E370" i="30"/>
  <c r="D370" i="30"/>
  <c r="C370" i="30"/>
  <c r="S369" i="30"/>
  <c r="R369" i="30"/>
  <c r="Q369" i="30"/>
  <c r="L369" i="30"/>
  <c r="K369" i="30"/>
  <c r="J369" i="30"/>
  <c r="E369" i="30"/>
  <c r="D369" i="30"/>
  <c r="C369" i="30"/>
  <c r="S368" i="30"/>
  <c r="R368" i="30"/>
  <c r="Q368" i="30"/>
  <c r="L368" i="30"/>
  <c r="K368" i="30"/>
  <c r="J368" i="30"/>
  <c r="E368" i="30"/>
  <c r="D368" i="30"/>
  <c r="C368" i="30"/>
  <c r="S367" i="30"/>
  <c r="R367" i="30"/>
  <c r="Q367" i="30"/>
  <c r="L367" i="30"/>
  <c r="K367" i="30"/>
  <c r="J367" i="30"/>
  <c r="E367" i="30"/>
  <c r="D367" i="30"/>
  <c r="C367" i="30"/>
  <c r="S366" i="30"/>
  <c r="R366" i="30"/>
  <c r="Q366" i="30"/>
  <c r="L366" i="30"/>
  <c r="K366" i="30"/>
  <c r="J366" i="30"/>
  <c r="E366" i="30"/>
  <c r="D366" i="30"/>
  <c r="C366" i="30"/>
  <c r="S365" i="30"/>
  <c r="R365" i="30"/>
  <c r="Q365" i="30"/>
  <c r="L365" i="30"/>
  <c r="K365" i="30"/>
  <c r="J365" i="30"/>
  <c r="E365" i="30"/>
  <c r="D365" i="30"/>
  <c r="C365" i="30"/>
  <c r="S364" i="30"/>
  <c r="R364" i="30"/>
  <c r="Q364" i="30"/>
  <c r="L364" i="30"/>
  <c r="K364" i="30"/>
  <c r="J364" i="30"/>
  <c r="E364" i="30"/>
  <c r="D364" i="30"/>
  <c r="C364" i="30"/>
  <c r="S363" i="30"/>
  <c r="R363" i="30"/>
  <c r="Q363" i="30"/>
  <c r="L363" i="30"/>
  <c r="K363" i="30"/>
  <c r="J363" i="30"/>
  <c r="E363" i="30"/>
  <c r="D363" i="30"/>
  <c r="C363" i="30"/>
  <c r="S362" i="30"/>
  <c r="R362" i="30"/>
  <c r="Q362" i="30"/>
  <c r="L362" i="30"/>
  <c r="K362" i="30"/>
  <c r="J362" i="30"/>
  <c r="E362" i="30"/>
  <c r="D362" i="30"/>
  <c r="C362" i="30"/>
  <c r="S361" i="30"/>
  <c r="R361" i="30"/>
  <c r="Q361" i="30"/>
  <c r="L361" i="30"/>
  <c r="K361" i="30"/>
  <c r="J361" i="30"/>
  <c r="E361" i="30"/>
  <c r="D361" i="30"/>
  <c r="C361" i="30"/>
  <c r="S360" i="30"/>
  <c r="R360" i="30"/>
  <c r="Q360" i="30"/>
  <c r="L360" i="30"/>
  <c r="K360" i="30"/>
  <c r="J360" i="30"/>
  <c r="E360" i="30"/>
  <c r="D360" i="30"/>
  <c r="C360" i="30"/>
  <c r="S359" i="30"/>
  <c r="R359" i="30"/>
  <c r="Q359" i="30"/>
  <c r="L359" i="30"/>
  <c r="K359" i="30"/>
  <c r="J359" i="30"/>
  <c r="E359" i="30"/>
  <c r="D359" i="30"/>
  <c r="C359" i="30"/>
  <c r="S358" i="30"/>
  <c r="R358" i="30"/>
  <c r="Q358" i="30"/>
  <c r="L358" i="30"/>
  <c r="K358" i="30"/>
  <c r="J358" i="30"/>
  <c r="E358" i="30"/>
  <c r="D358" i="30"/>
  <c r="C358" i="30"/>
  <c r="S357" i="30"/>
  <c r="R357" i="30"/>
  <c r="Q357" i="30"/>
  <c r="L357" i="30"/>
  <c r="K357" i="30"/>
  <c r="J357" i="30"/>
  <c r="E357" i="30"/>
  <c r="D357" i="30"/>
  <c r="C357" i="30"/>
  <c r="S356" i="30"/>
  <c r="R356" i="30"/>
  <c r="Q356" i="30"/>
  <c r="L356" i="30"/>
  <c r="K356" i="30"/>
  <c r="J356" i="30"/>
  <c r="E356" i="30"/>
  <c r="D356" i="30"/>
  <c r="C356" i="30"/>
  <c r="S355" i="30"/>
  <c r="R355" i="30"/>
  <c r="Q355" i="30"/>
  <c r="L355" i="30"/>
  <c r="K355" i="30"/>
  <c r="J355" i="30"/>
  <c r="E355" i="30"/>
  <c r="D355" i="30"/>
  <c r="C355" i="30"/>
  <c r="S354" i="30"/>
  <c r="R354" i="30"/>
  <c r="Q354" i="30"/>
  <c r="L354" i="30"/>
  <c r="K354" i="30"/>
  <c r="J354" i="30"/>
  <c r="E354" i="30"/>
  <c r="D354" i="30"/>
  <c r="C354" i="30"/>
  <c r="S353" i="30"/>
  <c r="R353" i="30"/>
  <c r="Q353" i="30"/>
  <c r="L353" i="30"/>
  <c r="K353" i="30"/>
  <c r="J353" i="30"/>
  <c r="E353" i="30"/>
  <c r="D353" i="30"/>
  <c r="C353" i="30"/>
  <c r="S352" i="30"/>
  <c r="R352" i="30"/>
  <c r="Q352" i="30"/>
  <c r="L352" i="30"/>
  <c r="K352" i="30"/>
  <c r="J352" i="30"/>
  <c r="E352" i="30"/>
  <c r="D352" i="30"/>
  <c r="C352" i="30"/>
  <c r="S350" i="30"/>
  <c r="R350" i="30"/>
  <c r="Q350" i="30"/>
  <c r="L350" i="30"/>
  <c r="K350" i="30"/>
  <c r="J350" i="30"/>
  <c r="E350" i="30"/>
  <c r="D350" i="30"/>
  <c r="C350" i="30"/>
  <c r="S349" i="30"/>
  <c r="R349" i="30"/>
  <c r="Q349" i="30"/>
  <c r="L349" i="30"/>
  <c r="K349" i="30"/>
  <c r="J349" i="30"/>
  <c r="E349" i="30"/>
  <c r="D349" i="30"/>
  <c r="C349" i="30"/>
  <c r="S348" i="30"/>
  <c r="R348" i="30"/>
  <c r="Q348" i="30"/>
  <c r="L348" i="30"/>
  <c r="K348" i="30"/>
  <c r="J348" i="30"/>
  <c r="E348" i="30"/>
  <c r="D348" i="30"/>
  <c r="C348" i="30"/>
  <c r="S347" i="30"/>
  <c r="R347" i="30"/>
  <c r="Q347" i="30"/>
  <c r="L347" i="30"/>
  <c r="K347" i="30"/>
  <c r="J347" i="30"/>
  <c r="E347" i="30"/>
  <c r="D347" i="30"/>
  <c r="C347" i="30"/>
  <c r="S346" i="30"/>
  <c r="R346" i="30"/>
  <c r="Q346" i="30"/>
  <c r="L346" i="30"/>
  <c r="K346" i="30"/>
  <c r="J346" i="30"/>
  <c r="E346" i="30"/>
  <c r="D346" i="30"/>
  <c r="C346" i="30"/>
  <c r="S345" i="30"/>
  <c r="R345" i="30"/>
  <c r="Q345" i="30"/>
  <c r="L345" i="30"/>
  <c r="K345" i="30"/>
  <c r="J345" i="30"/>
  <c r="E345" i="30"/>
  <c r="D345" i="30"/>
  <c r="C345" i="30"/>
  <c r="S344" i="30"/>
  <c r="R344" i="30"/>
  <c r="Q344" i="30"/>
  <c r="L344" i="30"/>
  <c r="K344" i="30"/>
  <c r="J344" i="30"/>
  <c r="E344" i="30"/>
  <c r="D344" i="30"/>
  <c r="C344" i="30"/>
  <c r="S343" i="30"/>
  <c r="R343" i="30"/>
  <c r="Q343" i="30"/>
  <c r="L343" i="30"/>
  <c r="K343" i="30"/>
  <c r="J343" i="30"/>
  <c r="E343" i="30"/>
  <c r="D343" i="30"/>
  <c r="C343" i="30"/>
  <c r="S342" i="30"/>
  <c r="R342" i="30"/>
  <c r="Q342" i="30"/>
  <c r="L342" i="30"/>
  <c r="K342" i="30"/>
  <c r="J342" i="30"/>
  <c r="E342" i="30"/>
  <c r="D342" i="30"/>
  <c r="C342" i="30"/>
  <c r="S341" i="30"/>
  <c r="R341" i="30"/>
  <c r="Q341" i="30"/>
  <c r="L341" i="30"/>
  <c r="K341" i="30"/>
  <c r="J341" i="30"/>
  <c r="E341" i="30"/>
  <c r="D341" i="30"/>
  <c r="C341" i="30"/>
  <c r="S340" i="30"/>
  <c r="R340" i="30"/>
  <c r="Q340" i="30"/>
  <c r="L340" i="30"/>
  <c r="K340" i="30"/>
  <c r="J340" i="30"/>
  <c r="E340" i="30"/>
  <c r="D340" i="30"/>
  <c r="C340" i="30"/>
  <c r="S339" i="30"/>
  <c r="R339" i="30"/>
  <c r="Q339" i="30"/>
  <c r="L339" i="30"/>
  <c r="K339" i="30"/>
  <c r="J339" i="30"/>
  <c r="E339" i="30"/>
  <c r="D339" i="30"/>
  <c r="C339" i="30"/>
  <c r="S338" i="30"/>
  <c r="R338" i="30"/>
  <c r="Q338" i="30"/>
  <c r="L338" i="30"/>
  <c r="K338" i="30"/>
  <c r="J338" i="30"/>
  <c r="E338" i="30"/>
  <c r="D338" i="30"/>
  <c r="C338" i="30"/>
  <c r="S337" i="30"/>
  <c r="R337" i="30"/>
  <c r="Q337" i="30"/>
  <c r="L337" i="30"/>
  <c r="K337" i="30"/>
  <c r="J337" i="30"/>
  <c r="E337" i="30"/>
  <c r="D337" i="30"/>
  <c r="C337" i="30"/>
  <c r="S336" i="30"/>
  <c r="R336" i="30"/>
  <c r="Q336" i="30"/>
  <c r="L336" i="30"/>
  <c r="K336" i="30"/>
  <c r="J336" i="30"/>
  <c r="E336" i="30"/>
  <c r="D336" i="30"/>
  <c r="C336" i="30"/>
  <c r="S335" i="30"/>
  <c r="R335" i="30"/>
  <c r="Q335" i="30"/>
  <c r="L335" i="30"/>
  <c r="K335" i="30"/>
  <c r="J335" i="30"/>
  <c r="E335" i="30"/>
  <c r="D335" i="30"/>
  <c r="C335" i="30"/>
  <c r="S334" i="30"/>
  <c r="R334" i="30"/>
  <c r="Q334" i="30"/>
  <c r="L334" i="30"/>
  <c r="K334" i="30"/>
  <c r="J334" i="30"/>
  <c r="E334" i="30"/>
  <c r="D334" i="30"/>
  <c r="C334" i="30"/>
  <c r="S333" i="30"/>
  <c r="R333" i="30"/>
  <c r="Q333" i="30"/>
  <c r="L333" i="30"/>
  <c r="K333" i="30"/>
  <c r="J333" i="30"/>
  <c r="E333" i="30"/>
  <c r="D333" i="30"/>
  <c r="C333" i="30"/>
  <c r="S332" i="30"/>
  <c r="R332" i="30"/>
  <c r="Q332" i="30"/>
  <c r="L332" i="30"/>
  <c r="K332" i="30"/>
  <c r="J332" i="30"/>
  <c r="E332" i="30"/>
  <c r="D332" i="30"/>
  <c r="C332" i="30"/>
  <c r="S331" i="30"/>
  <c r="R331" i="30"/>
  <c r="Q331" i="30"/>
  <c r="L331" i="30"/>
  <c r="K331" i="30"/>
  <c r="J331" i="30"/>
  <c r="E331" i="30"/>
  <c r="D331" i="30"/>
  <c r="C331" i="30"/>
  <c r="S329" i="30"/>
  <c r="R329" i="30"/>
  <c r="Q329" i="30"/>
  <c r="L329" i="30"/>
  <c r="K329" i="30"/>
  <c r="J329" i="30"/>
  <c r="E329" i="30"/>
  <c r="D329" i="30"/>
  <c r="C329" i="30"/>
  <c r="S328" i="30"/>
  <c r="R328" i="30"/>
  <c r="Q328" i="30"/>
  <c r="L328" i="30"/>
  <c r="K328" i="30"/>
  <c r="J328" i="30"/>
  <c r="E328" i="30"/>
  <c r="D328" i="30"/>
  <c r="C328" i="30"/>
  <c r="S327" i="30"/>
  <c r="R327" i="30"/>
  <c r="Q327" i="30"/>
  <c r="L327" i="30"/>
  <c r="K327" i="30"/>
  <c r="J327" i="30"/>
  <c r="E327" i="30"/>
  <c r="D327" i="30"/>
  <c r="C327" i="30"/>
  <c r="S326" i="30"/>
  <c r="R326" i="30"/>
  <c r="Q326" i="30"/>
  <c r="L326" i="30"/>
  <c r="K326" i="30"/>
  <c r="J326" i="30"/>
  <c r="E326" i="30"/>
  <c r="D326" i="30"/>
  <c r="C326" i="30"/>
  <c r="S325" i="30"/>
  <c r="R325" i="30"/>
  <c r="Q325" i="30"/>
  <c r="L325" i="30"/>
  <c r="K325" i="30"/>
  <c r="J325" i="30"/>
  <c r="E325" i="30"/>
  <c r="D325" i="30"/>
  <c r="C325" i="30"/>
  <c r="S324" i="30"/>
  <c r="R324" i="30"/>
  <c r="Q324" i="30"/>
  <c r="L324" i="30"/>
  <c r="K324" i="30"/>
  <c r="J324" i="30"/>
  <c r="E324" i="30"/>
  <c r="D324" i="30"/>
  <c r="C324" i="30"/>
  <c r="S323" i="30"/>
  <c r="R323" i="30"/>
  <c r="Q323" i="30"/>
  <c r="L323" i="30"/>
  <c r="K323" i="30"/>
  <c r="J323" i="30"/>
  <c r="E323" i="30"/>
  <c r="D323" i="30"/>
  <c r="C323" i="30"/>
  <c r="S322" i="30"/>
  <c r="R322" i="30"/>
  <c r="Q322" i="30"/>
  <c r="L322" i="30"/>
  <c r="K322" i="30"/>
  <c r="J322" i="30"/>
  <c r="E322" i="30"/>
  <c r="D322" i="30"/>
  <c r="C322" i="30"/>
  <c r="S321" i="30"/>
  <c r="R321" i="30"/>
  <c r="Q321" i="30"/>
  <c r="L321" i="30"/>
  <c r="K321" i="30"/>
  <c r="J321" i="30"/>
  <c r="E321" i="30"/>
  <c r="D321" i="30"/>
  <c r="C321" i="30"/>
  <c r="S320" i="30"/>
  <c r="R320" i="30"/>
  <c r="Q320" i="30"/>
  <c r="L320" i="30"/>
  <c r="K320" i="30"/>
  <c r="J320" i="30"/>
  <c r="E320" i="30"/>
  <c r="D320" i="30"/>
  <c r="C320" i="30"/>
  <c r="S319" i="30"/>
  <c r="R319" i="30"/>
  <c r="Q319" i="30"/>
  <c r="L319" i="30"/>
  <c r="K319" i="30"/>
  <c r="J319" i="30"/>
  <c r="E319" i="30"/>
  <c r="D319" i="30"/>
  <c r="C319" i="30"/>
  <c r="S318" i="30"/>
  <c r="R318" i="30"/>
  <c r="Q318" i="30"/>
  <c r="L318" i="30"/>
  <c r="K318" i="30"/>
  <c r="J318" i="30"/>
  <c r="E318" i="30"/>
  <c r="D318" i="30"/>
  <c r="C318" i="30"/>
  <c r="S317" i="30"/>
  <c r="R317" i="30"/>
  <c r="Q317" i="30"/>
  <c r="L317" i="30"/>
  <c r="K317" i="30"/>
  <c r="J317" i="30"/>
  <c r="E317" i="30"/>
  <c r="D317" i="30"/>
  <c r="C317" i="30"/>
  <c r="S316" i="30"/>
  <c r="R316" i="30"/>
  <c r="Q316" i="30"/>
  <c r="L316" i="30"/>
  <c r="K316" i="30"/>
  <c r="J316" i="30"/>
  <c r="F316" i="30"/>
  <c r="E316" i="30"/>
  <c r="D316" i="30"/>
  <c r="C316" i="30"/>
  <c r="S315" i="30"/>
  <c r="R315" i="30"/>
  <c r="Q315" i="30"/>
  <c r="L315" i="30"/>
  <c r="K315" i="30"/>
  <c r="J315" i="30"/>
  <c r="E315" i="30"/>
  <c r="D315" i="30"/>
  <c r="C315" i="30"/>
  <c r="S314" i="30"/>
  <c r="R314" i="30"/>
  <c r="Q314" i="30"/>
  <c r="L314" i="30"/>
  <c r="K314" i="30"/>
  <c r="J314" i="30"/>
  <c r="E314" i="30"/>
  <c r="D314" i="30"/>
  <c r="C314" i="30"/>
  <c r="S313" i="30"/>
  <c r="R313" i="30"/>
  <c r="Q313" i="30"/>
  <c r="L313" i="30"/>
  <c r="K313" i="30"/>
  <c r="J313" i="30"/>
  <c r="E313" i="30"/>
  <c r="D313" i="30"/>
  <c r="C313" i="30"/>
  <c r="S312" i="30"/>
  <c r="R312" i="30"/>
  <c r="Q312" i="30"/>
  <c r="L312" i="30"/>
  <c r="K312" i="30"/>
  <c r="J312" i="30"/>
  <c r="E312" i="30"/>
  <c r="D312" i="30"/>
  <c r="C312" i="30"/>
  <c r="S311" i="30"/>
  <c r="R311" i="30"/>
  <c r="Q311" i="30"/>
  <c r="L311" i="30"/>
  <c r="K311" i="30"/>
  <c r="J311" i="30"/>
  <c r="E311" i="30"/>
  <c r="D311" i="30"/>
  <c r="C311" i="30"/>
  <c r="S310" i="30"/>
  <c r="R310" i="30"/>
  <c r="Q310" i="30"/>
  <c r="L310" i="30"/>
  <c r="K310" i="30"/>
  <c r="J310" i="30"/>
  <c r="E310" i="30"/>
  <c r="D310" i="30"/>
  <c r="C310" i="30"/>
  <c r="S308" i="30"/>
  <c r="R308" i="30"/>
  <c r="Q308" i="30"/>
  <c r="L308" i="30"/>
  <c r="K308" i="30"/>
  <c r="J308" i="30"/>
  <c r="E308" i="30"/>
  <c r="D308" i="30"/>
  <c r="C308" i="30"/>
  <c r="S307" i="30"/>
  <c r="R307" i="30"/>
  <c r="Q307" i="30"/>
  <c r="L307" i="30"/>
  <c r="K307" i="30"/>
  <c r="J307" i="30"/>
  <c r="E307" i="30"/>
  <c r="D307" i="30"/>
  <c r="C307" i="30"/>
  <c r="S306" i="30"/>
  <c r="R306" i="30"/>
  <c r="Q306" i="30"/>
  <c r="L306" i="30"/>
  <c r="K306" i="30"/>
  <c r="J306" i="30"/>
  <c r="E306" i="30"/>
  <c r="D306" i="30"/>
  <c r="C306" i="30"/>
  <c r="S305" i="30"/>
  <c r="R305" i="30"/>
  <c r="Q305" i="30"/>
  <c r="L305" i="30"/>
  <c r="K305" i="30"/>
  <c r="J305" i="30"/>
  <c r="E305" i="30"/>
  <c r="D305" i="30"/>
  <c r="C305" i="30"/>
  <c r="S304" i="30"/>
  <c r="R304" i="30"/>
  <c r="Q304" i="30"/>
  <c r="L304" i="30"/>
  <c r="K304" i="30"/>
  <c r="J304" i="30"/>
  <c r="E304" i="30"/>
  <c r="D304" i="30"/>
  <c r="C304" i="30"/>
  <c r="S303" i="30"/>
  <c r="R303" i="30"/>
  <c r="Q303" i="30"/>
  <c r="L303" i="30"/>
  <c r="K303" i="30"/>
  <c r="J303" i="30"/>
  <c r="E303" i="30"/>
  <c r="D303" i="30"/>
  <c r="C303" i="30"/>
  <c r="S302" i="30"/>
  <c r="R302" i="30"/>
  <c r="Q302" i="30"/>
  <c r="L302" i="30"/>
  <c r="K302" i="30"/>
  <c r="J302" i="30"/>
  <c r="E302" i="30"/>
  <c r="D302" i="30"/>
  <c r="C302" i="30"/>
  <c r="S301" i="30"/>
  <c r="R301" i="30"/>
  <c r="Q301" i="30"/>
  <c r="L301" i="30"/>
  <c r="K301" i="30"/>
  <c r="J301" i="30"/>
  <c r="E301" i="30"/>
  <c r="D301" i="30"/>
  <c r="C301" i="30"/>
  <c r="S300" i="30"/>
  <c r="R300" i="30"/>
  <c r="Q300" i="30"/>
  <c r="L300" i="30"/>
  <c r="K300" i="30"/>
  <c r="J300" i="30"/>
  <c r="E300" i="30"/>
  <c r="D300" i="30"/>
  <c r="C300" i="30"/>
  <c r="S299" i="30"/>
  <c r="R299" i="30"/>
  <c r="Q299" i="30"/>
  <c r="L299" i="30"/>
  <c r="K299" i="30"/>
  <c r="J299" i="30"/>
  <c r="E299" i="30"/>
  <c r="D299" i="30"/>
  <c r="C299" i="30"/>
  <c r="S298" i="30"/>
  <c r="R298" i="30"/>
  <c r="Q298" i="30"/>
  <c r="L298" i="30"/>
  <c r="K298" i="30"/>
  <c r="J298" i="30"/>
  <c r="E298" i="30"/>
  <c r="D298" i="30"/>
  <c r="C298" i="30"/>
  <c r="S297" i="30"/>
  <c r="R297" i="30"/>
  <c r="Q297" i="30"/>
  <c r="L297" i="30"/>
  <c r="K297" i="30"/>
  <c r="J297" i="30"/>
  <c r="E297" i="30"/>
  <c r="D297" i="30"/>
  <c r="C297" i="30"/>
  <c r="S296" i="30"/>
  <c r="R296" i="30"/>
  <c r="Q296" i="30"/>
  <c r="L296" i="30"/>
  <c r="K296" i="30"/>
  <c r="J296" i="30"/>
  <c r="E296" i="30"/>
  <c r="D296" i="30"/>
  <c r="C296" i="30"/>
  <c r="S295" i="30"/>
  <c r="R295" i="30"/>
  <c r="Q295" i="30"/>
  <c r="L295" i="30"/>
  <c r="K295" i="30"/>
  <c r="J295" i="30"/>
  <c r="E295" i="30"/>
  <c r="D295" i="30"/>
  <c r="C295" i="30"/>
  <c r="S294" i="30"/>
  <c r="R294" i="30"/>
  <c r="Q294" i="30"/>
  <c r="L294" i="30"/>
  <c r="K294" i="30"/>
  <c r="J294" i="30"/>
  <c r="E294" i="30"/>
  <c r="D294" i="30"/>
  <c r="C294" i="30"/>
  <c r="S293" i="30"/>
  <c r="R293" i="30"/>
  <c r="Q293" i="30"/>
  <c r="L293" i="30"/>
  <c r="K293" i="30"/>
  <c r="J293" i="30"/>
  <c r="E293" i="30"/>
  <c r="D293" i="30"/>
  <c r="C293" i="30"/>
  <c r="W292" i="30"/>
  <c r="S292" i="30"/>
  <c r="R292" i="30"/>
  <c r="Q292" i="30"/>
  <c r="L292" i="30"/>
  <c r="K292" i="30"/>
  <c r="J292" i="30"/>
  <c r="E292" i="30"/>
  <c r="D292" i="30"/>
  <c r="C292" i="30"/>
  <c r="W291" i="30"/>
  <c r="S291" i="30"/>
  <c r="R291" i="30"/>
  <c r="Q291" i="30"/>
  <c r="L291" i="30"/>
  <c r="K291" i="30"/>
  <c r="J291" i="30"/>
  <c r="E291" i="30"/>
  <c r="D291" i="30"/>
  <c r="C291" i="30"/>
  <c r="W290" i="30"/>
  <c r="S290" i="30"/>
  <c r="R290" i="30"/>
  <c r="Q290" i="30"/>
  <c r="L290" i="30"/>
  <c r="K290" i="30"/>
  <c r="J290" i="30"/>
  <c r="E290" i="30"/>
  <c r="D290" i="30"/>
  <c r="C290" i="30"/>
  <c r="W289" i="30"/>
  <c r="S289" i="30"/>
  <c r="R289" i="30"/>
  <c r="Q289" i="30"/>
  <c r="L289" i="30"/>
  <c r="K289" i="30"/>
  <c r="J289" i="30"/>
  <c r="E289" i="30"/>
  <c r="D289" i="30"/>
  <c r="C289" i="30"/>
  <c r="W288" i="30"/>
  <c r="W287" i="30"/>
  <c r="S287" i="30"/>
  <c r="R287" i="30"/>
  <c r="Q287" i="30"/>
  <c r="L287" i="30"/>
  <c r="K287" i="30"/>
  <c r="J287" i="30"/>
  <c r="E287" i="30"/>
  <c r="D287" i="30"/>
  <c r="C287" i="30"/>
  <c r="W286" i="30"/>
  <c r="S286" i="30"/>
  <c r="R286" i="30"/>
  <c r="Q286" i="30"/>
  <c r="L286" i="30"/>
  <c r="K286" i="30"/>
  <c r="J286" i="30"/>
  <c r="E286" i="30"/>
  <c r="D286" i="30"/>
  <c r="C286" i="30"/>
  <c r="W285" i="30"/>
  <c r="S285" i="30"/>
  <c r="R285" i="30"/>
  <c r="Q285" i="30"/>
  <c r="L285" i="30"/>
  <c r="K285" i="30"/>
  <c r="J285" i="30"/>
  <c r="E285" i="30"/>
  <c r="D285" i="30"/>
  <c r="C285" i="30"/>
  <c r="W284" i="30"/>
  <c r="S284" i="30"/>
  <c r="R284" i="30"/>
  <c r="Q284" i="30"/>
  <c r="L284" i="30"/>
  <c r="K284" i="30"/>
  <c r="J284" i="30"/>
  <c r="E284" i="30"/>
  <c r="D284" i="30"/>
  <c r="C284" i="30"/>
  <c r="W283" i="30"/>
  <c r="S283" i="30"/>
  <c r="R283" i="30"/>
  <c r="Q283" i="30"/>
  <c r="L283" i="30"/>
  <c r="K283" i="30"/>
  <c r="J283" i="30"/>
  <c r="E283" i="30"/>
  <c r="D283" i="30"/>
  <c r="C283" i="30"/>
  <c r="W282" i="30"/>
  <c r="S282" i="30"/>
  <c r="R282" i="30"/>
  <c r="Q282" i="30"/>
  <c r="L282" i="30"/>
  <c r="K282" i="30"/>
  <c r="J282" i="30"/>
  <c r="E282" i="30"/>
  <c r="D282" i="30"/>
  <c r="C282" i="30"/>
  <c r="W281" i="30"/>
  <c r="S281" i="30"/>
  <c r="R281" i="30"/>
  <c r="Q281" i="30"/>
  <c r="L281" i="30"/>
  <c r="K281" i="30"/>
  <c r="J281" i="30"/>
  <c r="E281" i="30"/>
  <c r="D281" i="30"/>
  <c r="C281" i="30"/>
  <c r="W280" i="30"/>
  <c r="S280" i="30"/>
  <c r="R280" i="30"/>
  <c r="Q280" i="30"/>
  <c r="L280" i="30"/>
  <c r="K280" i="30"/>
  <c r="J280" i="30"/>
  <c r="E280" i="30"/>
  <c r="D280" i="30"/>
  <c r="C280" i="30"/>
  <c r="W279" i="30"/>
  <c r="S279" i="30"/>
  <c r="R279" i="30"/>
  <c r="Q279" i="30"/>
  <c r="L279" i="30"/>
  <c r="K279" i="30"/>
  <c r="J279" i="30"/>
  <c r="E279" i="30"/>
  <c r="D279" i="30"/>
  <c r="C279" i="30"/>
  <c r="W278" i="30"/>
  <c r="S278" i="30"/>
  <c r="R278" i="30"/>
  <c r="Q278" i="30"/>
  <c r="L278" i="30"/>
  <c r="K278" i="30"/>
  <c r="J278" i="30"/>
  <c r="E278" i="30"/>
  <c r="D278" i="30"/>
  <c r="C278" i="30"/>
  <c r="W277" i="30"/>
  <c r="S277" i="30"/>
  <c r="R277" i="30"/>
  <c r="Q277" i="30"/>
  <c r="L277" i="30"/>
  <c r="K277" i="30"/>
  <c r="J277" i="30"/>
  <c r="E277" i="30"/>
  <c r="D277" i="30"/>
  <c r="C277" i="30"/>
  <c r="W276" i="30"/>
  <c r="S276" i="30"/>
  <c r="R276" i="30"/>
  <c r="Q276" i="30"/>
  <c r="L276" i="30"/>
  <c r="K276" i="30"/>
  <c r="J276" i="30"/>
  <c r="E276" i="30"/>
  <c r="D276" i="30"/>
  <c r="C276" i="30"/>
  <c r="W275" i="30"/>
  <c r="S275" i="30"/>
  <c r="R275" i="30"/>
  <c r="Q275" i="30"/>
  <c r="L275" i="30"/>
  <c r="K275" i="30"/>
  <c r="J275" i="30"/>
  <c r="E275" i="30"/>
  <c r="D275" i="30"/>
  <c r="C275" i="30"/>
  <c r="W274" i="30"/>
  <c r="S274" i="30"/>
  <c r="R274" i="30"/>
  <c r="Q274" i="30"/>
  <c r="L274" i="30"/>
  <c r="K274" i="30"/>
  <c r="J274" i="30"/>
  <c r="E274" i="30"/>
  <c r="D274" i="30"/>
  <c r="C274" i="30"/>
  <c r="W273" i="30"/>
  <c r="S273" i="30"/>
  <c r="R273" i="30"/>
  <c r="Q273" i="30"/>
  <c r="L273" i="30"/>
  <c r="K273" i="30"/>
  <c r="J273" i="30"/>
  <c r="E273" i="30"/>
  <c r="D273" i="30"/>
  <c r="C273" i="30"/>
  <c r="S272" i="30"/>
  <c r="R272" i="30"/>
  <c r="Q272" i="30"/>
  <c r="L272" i="30"/>
  <c r="K272" i="30"/>
  <c r="J272" i="30"/>
  <c r="E272" i="30"/>
  <c r="D272" i="30"/>
  <c r="C272" i="30"/>
  <c r="S271" i="30"/>
  <c r="R271" i="30"/>
  <c r="Q271" i="30"/>
  <c r="L271" i="30"/>
  <c r="K271" i="30"/>
  <c r="J271" i="30"/>
  <c r="E271" i="30"/>
  <c r="D271" i="30"/>
  <c r="C271" i="30"/>
  <c r="S270" i="30"/>
  <c r="R270" i="30"/>
  <c r="Q270" i="30"/>
  <c r="L270" i="30"/>
  <c r="K270" i="30"/>
  <c r="J270" i="30"/>
  <c r="E270" i="30"/>
  <c r="D270" i="30"/>
  <c r="C270" i="30"/>
  <c r="S269" i="30"/>
  <c r="R269" i="30"/>
  <c r="Q269" i="30"/>
  <c r="L269" i="30"/>
  <c r="K269" i="30"/>
  <c r="J269" i="30"/>
  <c r="E269" i="30"/>
  <c r="D269" i="30"/>
  <c r="C269" i="30"/>
  <c r="W268" i="30"/>
  <c r="S268" i="30"/>
  <c r="R268" i="30"/>
  <c r="Q268" i="30"/>
  <c r="L268" i="30"/>
  <c r="K268" i="30"/>
  <c r="J268" i="30"/>
  <c r="E268" i="30"/>
  <c r="D268" i="30"/>
  <c r="C268" i="30"/>
  <c r="W267" i="30"/>
  <c r="W266" i="30"/>
  <c r="S266" i="30"/>
  <c r="R266" i="30"/>
  <c r="Q266" i="30"/>
  <c r="L266" i="30"/>
  <c r="K266" i="30"/>
  <c r="J266" i="30"/>
  <c r="E266" i="30"/>
  <c r="D266" i="30"/>
  <c r="C266" i="30"/>
  <c r="W265" i="30"/>
  <c r="T265" i="30"/>
  <c r="S265" i="30"/>
  <c r="R265" i="30"/>
  <c r="Q265" i="30"/>
  <c r="L265" i="30"/>
  <c r="K265" i="30"/>
  <c r="J265" i="30"/>
  <c r="E265" i="30"/>
  <c r="D265" i="30"/>
  <c r="C265" i="30"/>
  <c r="W264" i="30"/>
  <c r="S264" i="30"/>
  <c r="R264" i="30"/>
  <c r="Q264" i="30"/>
  <c r="L264" i="30"/>
  <c r="K264" i="30"/>
  <c r="J264" i="30"/>
  <c r="E264" i="30"/>
  <c r="D264" i="30"/>
  <c r="C264" i="30"/>
  <c r="W263" i="30"/>
  <c r="S263" i="30"/>
  <c r="R263" i="30"/>
  <c r="Q263" i="30"/>
  <c r="L263" i="30"/>
  <c r="K263" i="30"/>
  <c r="J263" i="30"/>
  <c r="E263" i="30"/>
  <c r="D263" i="30"/>
  <c r="C263" i="30"/>
  <c r="W262" i="30"/>
  <c r="S262" i="30"/>
  <c r="R262" i="30"/>
  <c r="Q262" i="30"/>
  <c r="L262" i="30"/>
  <c r="K262" i="30"/>
  <c r="J262" i="30"/>
  <c r="E262" i="30"/>
  <c r="D262" i="30"/>
  <c r="C262" i="30"/>
  <c r="W261" i="30"/>
  <c r="S261" i="30"/>
  <c r="R261" i="30"/>
  <c r="Q261" i="30"/>
  <c r="L261" i="30"/>
  <c r="K261" i="30"/>
  <c r="J261" i="30"/>
  <c r="E261" i="30"/>
  <c r="D261" i="30"/>
  <c r="C261" i="30"/>
  <c r="W260" i="30"/>
  <c r="S260" i="30"/>
  <c r="R260" i="30"/>
  <c r="Q260" i="30"/>
  <c r="L260" i="30"/>
  <c r="K260" i="30"/>
  <c r="J260" i="30"/>
  <c r="E260" i="30"/>
  <c r="D260" i="30"/>
  <c r="C260" i="30"/>
  <c r="W259" i="30"/>
  <c r="S259" i="30"/>
  <c r="R259" i="30"/>
  <c r="Q259" i="30"/>
  <c r="L259" i="30"/>
  <c r="K259" i="30"/>
  <c r="J259" i="30"/>
  <c r="E259" i="30"/>
  <c r="D259" i="30"/>
  <c r="C259" i="30"/>
  <c r="W258" i="30"/>
  <c r="S258" i="30"/>
  <c r="R258" i="30"/>
  <c r="Q258" i="30"/>
  <c r="L258" i="30"/>
  <c r="K258" i="30"/>
  <c r="J258" i="30"/>
  <c r="E258" i="30"/>
  <c r="D258" i="30"/>
  <c r="C258" i="30"/>
  <c r="W257" i="30"/>
  <c r="S257" i="30"/>
  <c r="R257" i="30"/>
  <c r="Q257" i="30"/>
  <c r="L257" i="30"/>
  <c r="K257" i="30"/>
  <c r="J257" i="30"/>
  <c r="E257" i="30"/>
  <c r="D257" i="30"/>
  <c r="C257" i="30"/>
  <c r="W256" i="30"/>
  <c r="S256" i="30"/>
  <c r="R256" i="30"/>
  <c r="Q256" i="30"/>
  <c r="L256" i="30"/>
  <c r="K256" i="30"/>
  <c r="J256" i="30"/>
  <c r="E256" i="30"/>
  <c r="D256" i="30"/>
  <c r="C256" i="30"/>
  <c r="W255" i="30"/>
  <c r="S255" i="30"/>
  <c r="R255" i="30"/>
  <c r="Q255" i="30"/>
  <c r="L255" i="30"/>
  <c r="K255" i="30"/>
  <c r="J255" i="30"/>
  <c r="E255" i="30"/>
  <c r="D255" i="30"/>
  <c r="C255" i="30"/>
  <c r="W254" i="30"/>
  <c r="S254" i="30"/>
  <c r="R254" i="30"/>
  <c r="Q254" i="30"/>
  <c r="L254" i="30"/>
  <c r="K254" i="30"/>
  <c r="J254" i="30"/>
  <c r="E254" i="30"/>
  <c r="D254" i="30"/>
  <c r="C254" i="30"/>
  <c r="W253" i="30"/>
  <c r="S253" i="30"/>
  <c r="R253" i="30"/>
  <c r="Q253" i="30"/>
  <c r="L253" i="30"/>
  <c r="K253" i="30"/>
  <c r="J253" i="30"/>
  <c r="E253" i="30"/>
  <c r="D253" i="30"/>
  <c r="C253" i="30"/>
  <c r="W252" i="30"/>
  <c r="S252" i="30"/>
  <c r="R252" i="30"/>
  <c r="Q252" i="30"/>
  <c r="L252" i="30"/>
  <c r="K252" i="30"/>
  <c r="J252" i="30"/>
  <c r="E252" i="30"/>
  <c r="D252" i="30"/>
  <c r="C252" i="30"/>
  <c r="W251" i="30"/>
  <c r="S251" i="30"/>
  <c r="R251" i="30"/>
  <c r="Q251" i="30"/>
  <c r="L251" i="30"/>
  <c r="K251" i="30"/>
  <c r="J251" i="30"/>
  <c r="E251" i="30"/>
  <c r="D251" i="30"/>
  <c r="C251" i="30"/>
  <c r="W250" i="30"/>
  <c r="S250" i="30"/>
  <c r="R250" i="30"/>
  <c r="Q250" i="30"/>
  <c r="L250" i="30"/>
  <c r="K250" i="30"/>
  <c r="J250" i="30"/>
  <c r="E250" i="30"/>
  <c r="D250" i="30"/>
  <c r="C250" i="30"/>
  <c r="W249" i="30"/>
  <c r="S249" i="30"/>
  <c r="R249" i="30"/>
  <c r="Q249" i="30"/>
  <c r="L249" i="30"/>
  <c r="K249" i="30"/>
  <c r="J249" i="30"/>
  <c r="E249" i="30"/>
  <c r="D249" i="30"/>
  <c r="C249" i="30"/>
  <c r="S248" i="30"/>
  <c r="R248" i="30"/>
  <c r="Q248" i="30"/>
  <c r="L248" i="30"/>
  <c r="K248" i="30"/>
  <c r="J248" i="30"/>
  <c r="E248" i="30"/>
  <c r="D248" i="30"/>
  <c r="C248" i="30"/>
  <c r="S247" i="30"/>
  <c r="R247" i="30"/>
  <c r="Q247" i="30"/>
  <c r="L247" i="30"/>
  <c r="K247" i="30"/>
  <c r="J247" i="30"/>
  <c r="E247" i="30"/>
  <c r="D247" i="30"/>
  <c r="C247" i="30"/>
  <c r="S245" i="30"/>
  <c r="R245" i="30"/>
  <c r="Q245" i="30"/>
  <c r="L245" i="30"/>
  <c r="K245" i="30"/>
  <c r="J245" i="30"/>
  <c r="E245" i="30"/>
  <c r="D245" i="30"/>
  <c r="C245" i="30"/>
  <c r="W244" i="30"/>
  <c r="S244" i="30"/>
  <c r="R244" i="30"/>
  <c r="Q244" i="30"/>
  <c r="L244" i="30"/>
  <c r="K244" i="30"/>
  <c r="J244" i="30"/>
  <c r="E244" i="30"/>
  <c r="D244" i="30"/>
  <c r="C244" i="30"/>
  <c r="W243" i="30"/>
  <c r="S243" i="30"/>
  <c r="R243" i="30"/>
  <c r="Q243" i="30"/>
  <c r="L243" i="30"/>
  <c r="K243" i="30"/>
  <c r="J243" i="30"/>
  <c r="E243" i="30"/>
  <c r="D243" i="30"/>
  <c r="C243" i="30"/>
  <c r="W242" i="30"/>
  <c r="S242" i="30"/>
  <c r="R242" i="30"/>
  <c r="Q242" i="30"/>
  <c r="M242" i="30"/>
  <c r="L242" i="30"/>
  <c r="K242" i="30"/>
  <c r="J242" i="30"/>
  <c r="E242" i="30"/>
  <c r="D242" i="30"/>
  <c r="C242" i="30"/>
  <c r="W241" i="30"/>
  <c r="T241" i="30"/>
  <c r="S241" i="30"/>
  <c r="R241" i="30"/>
  <c r="Q241" i="30"/>
  <c r="L241" i="30"/>
  <c r="K241" i="30"/>
  <c r="J241" i="30"/>
  <c r="E241" i="30"/>
  <c r="D241" i="30"/>
  <c r="C241" i="30"/>
  <c r="W240" i="30"/>
  <c r="S240" i="30"/>
  <c r="R240" i="30"/>
  <c r="Q240" i="30"/>
  <c r="L240" i="30"/>
  <c r="K240" i="30"/>
  <c r="J240" i="30"/>
  <c r="E240" i="30"/>
  <c r="D240" i="30"/>
  <c r="C240" i="30"/>
  <c r="W239" i="30"/>
  <c r="S239" i="30"/>
  <c r="R239" i="30"/>
  <c r="Q239" i="30"/>
  <c r="L239" i="30"/>
  <c r="K239" i="30"/>
  <c r="J239" i="30"/>
  <c r="E239" i="30"/>
  <c r="D239" i="30"/>
  <c r="C239" i="30"/>
  <c r="W238" i="30"/>
  <c r="S238" i="30"/>
  <c r="R238" i="30"/>
  <c r="Q238" i="30"/>
  <c r="L238" i="30"/>
  <c r="K238" i="30"/>
  <c r="J238" i="30"/>
  <c r="E238" i="30"/>
  <c r="D238" i="30"/>
  <c r="C238" i="30"/>
  <c r="W237" i="30"/>
  <c r="S237" i="30"/>
  <c r="R237" i="30"/>
  <c r="Q237" i="30"/>
  <c r="L237" i="30"/>
  <c r="K237" i="30"/>
  <c r="J237" i="30"/>
  <c r="E237" i="30"/>
  <c r="D237" i="30"/>
  <c r="C237" i="30"/>
  <c r="W236" i="30"/>
  <c r="S236" i="30"/>
  <c r="R236" i="30"/>
  <c r="Q236" i="30"/>
  <c r="L236" i="30"/>
  <c r="K236" i="30"/>
  <c r="J236" i="30"/>
  <c r="E236" i="30"/>
  <c r="D236" i="30"/>
  <c r="C236" i="30"/>
  <c r="W235" i="30"/>
  <c r="S235" i="30"/>
  <c r="R235" i="30"/>
  <c r="Q235" i="30"/>
  <c r="L235" i="30"/>
  <c r="K235" i="30"/>
  <c r="J235" i="30"/>
  <c r="E235" i="30"/>
  <c r="D235" i="30"/>
  <c r="C235" i="30"/>
  <c r="W234" i="30"/>
  <c r="S234" i="30"/>
  <c r="R234" i="30"/>
  <c r="Q234" i="30"/>
  <c r="L234" i="30"/>
  <c r="K234" i="30"/>
  <c r="J234" i="30"/>
  <c r="E234" i="30"/>
  <c r="D234" i="30"/>
  <c r="C234" i="30"/>
  <c r="W233" i="30"/>
  <c r="S233" i="30"/>
  <c r="R233" i="30"/>
  <c r="Q233" i="30"/>
  <c r="L233" i="30"/>
  <c r="K233" i="30"/>
  <c r="J233" i="30"/>
  <c r="E233" i="30"/>
  <c r="D233" i="30"/>
  <c r="C233" i="30"/>
  <c r="W232" i="30"/>
  <c r="S232" i="30"/>
  <c r="R232" i="30"/>
  <c r="Q232" i="30"/>
  <c r="L232" i="30"/>
  <c r="K232" i="30"/>
  <c r="J232" i="30"/>
  <c r="E232" i="30"/>
  <c r="D232" i="30"/>
  <c r="C232" i="30"/>
  <c r="W231" i="30"/>
  <c r="S231" i="30"/>
  <c r="R231" i="30"/>
  <c r="Q231" i="30"/>
  <c r="L231" i="30"/>
  <c r="K231" i="30"/>
  <c r="J231" i="30"/>
  <c r="E231" i="30"/>
  <c r="D231" i="30"/>
  <c r="C231" i="30"/>
  <c r="W230" i="30"/>
  <c r="S230" i="30"/>
  <c r="R230" i="30"/>
  <c r="Q230" i="30"/>
  <c r="L230" i="30"/>
  <c r="K230" i="30"/>
  <c r="J230" i="30"/>
  <c r="E230" i="30"/>
  <c r="D230" i="30"/>
  <c r="C230" i="30"/>
  <c r="W229" i="30"/>
  <c r="S229" i="30"/>
  <c r="R229" i="30"/>
  <c r="Q229" i="30"/>
  <c r="L229" i="30"/>
  <c r="K229" i="30"/>
  <c r="J229" i="30"/>
  <c r="E229" i="30"/>
  <c r="D229" i="30"/>
  <c r="C229" i="30"/>
  <c r="W228" i="30"/>
  <c r="S228" i="30"/>
  <c r="R228" i="30"/>
  <c r="Q228" i="30"/>
  <c r="L228" i="30"/>
  <c r="K228" i="30"/>
  <c r="J228" i="30"/>
  <c r="E228" i="30"/>
  <c r="D228" i="30"/>
  <c r="C228" i="30"/>
  <c r="W227" i="30"/>
  <c r="S227" i="30"/>
  <c r="R227" i="30"/>
  <c r="Q227" i="30"/>
  <c r="L227" i="30"/>
  <c r="K227" i="30"/>
  <c r="J227" i="30"/>
  <c r="E227" i="30"/>
  <c r="D227" i="30"/>
  <c r="C227" i="30"/>
  <c r="W226" i="30"/>
  <c r="S226" i="30"/>
  <c r="R226" i="30"/>
  <c r="Q226" i="30"/>
  <c r="L226" i="30"/>
  <c r="K226" i="30"/>
  <c r="J226" i="30"/>
  <c r="E226" i="30"/>
  <c r="D226" i="30"/>
  <c r="C226" i="30"/>
  <c r="W225" i="30"/>
  <c r="R220" i="30"/>
  <c r="T371" i="30" s="1"/>
  <c r="L220" i="30"/>
  <c r="M371" i="30" s="1"/>
  <c r="F220" i="30"/>
  <c r="F371" i="30" s="1"/>
  <c r="R219" i="30"/>
  <c r="T350" i="30" s="1"/>
  <c r="L219" i="30"/>
  <c r="M350" i="30" s="1"/>
  <c r="F219" i="30"/>
  <c r="F350" i="30" s="1"/>
  <c r="R218" i="30"/>
  <c r="T329" i="30" s="1"/>
  <c r="L218" i="30"/>
  <c r="M329" i="30" s="1"/>
  <c r="F218" i="30"/>
  <c r="F329" i="30" s="1"/>
  <c r="R217" i="30"/>
  <c r="T308" i="30" s="1"/>
  <c r="L217" i="30"/>
  <c r="M308" i="30" s="1"/>
  <c r="F217" i="30"/>
  <c r="F308" i="30" s="1"/>
  <c r="R216" i="30"/>
  <c r="T287" i="30" s="1"/>
  <c r="L216" i="30"/>
  <c r="M287" i="30" s="1"/>
  <c r="F216" i="30"/>
  <c r="F287" i="30" s="1"/>
  <c r="R215" i="30"/>
  <c r="T266" i="30" s="1"/>
  <c r="L215" i="30"/>
  <c r="M266" i="30" s="1"/>
  <c r="F215" i="30"/>
  <c r="F266" i="30" s="1"/>
  <c r="R214" i="30"/>
  <c r="T245" i="30" s="1"/>
  <c r="L214" i="30"/>
  <c r="M245" i="30" s="1"/>
  <c r="F214" i="30"/>
  <c r="F245" i="30" s="1"/>
  <c r="K213" i="30"/>
  <c r="Q213" i="30" s="1"/>
  <c r="J213" i="30"/>
  <c r="P213" i="30" s="1"/>
  <c r="H211" i="30"/>
  <c r="N211" i="30" s="1"/>
  <c r="R209" i="30"/>
  <c r="T370" i="30" s="1"/>
  <c r="L209" i="30"/>
  <c r="M370" i="30" s="1"/>
  <c r="F209" i="30"/>
  <c r="F370" i="30" s="1"/>
  <c r="R208" i="30"/>
  <c r="T349" i="30" s="1"/>
  <c r="L208" i="30"/>
  <c r="M349" i="30" s="1"/>
  <c r="F208" i="30"/>
  <c r="F349" i="30" s="1"/>
  <c r="R207" i="30"/>
  <c r="T328" i="30" s="1"/>
  <c r="L207" i="30"/>
  <c r="M328" i="30" s="1"/>
  <c r="F207" i="30"/>
  <c r="F328" i="30" s="1"/>
  <c r="R206" i="30"/>
  <c r="T307" i="30" s="1"/>
  <c r="L206" i="30"/>
  <c r="M307" i="30" s="1"/>
  <c r="F206" i="30"/>
  <c r="F307" i="30" s="1"/>
  <c r="R205" i="30"/>
  <c r="T286" i="30" s="1"/>
  <c r="L205" i="30"/>
  <c r="M286" i="30" s="1"/>
  <c r="F205" i="30"/>
  <c r="R204" i="30"/>
  <c r="L204" i="30"/>
  <c r="M265" i="30" s="1"/>
  <c r="F204" i="30"/>
  <c r="F265" i="30" s="1"/>
  <c r="R203" i="30"/>
  <c r="T244" i="30" s="1"/>
  <c r="L203" i="30"/>
  <c r="M244" i="30" s="1"/>
  <c r="F203" i="30"/>
  <c r="F244" i="30" s="1"/>
  <c r="K202" i="30"/>
  <c r="Q202" i="30" s="1"/>
  <c r="J202" i="30"/>
  <c r="P202" i="30" s="1"/>
  <c r="H200" i="30"/>
  <c r="N200" i="30" s="1"/>
  <c r="R198" i="30"/>
  <c r="T369" i="30" s="1"/>
  <c r="L198" i="30"/>
  <c r="M369" i="30" s="1"/>
  <c r="F198" i="30"/>
  <c r="F369" i="30" s="1"/>
  <c r="R197" i="30"/>
  <c r="T348" i="30" s="1"/>
  <c r="L197" i="30"/>
  <c r="M348" i="30" s="1"/>
  <c r="F197" i="30"/>
  <c r="F348" i="30" s="1"/>
  <c r="R196" i="30"/>
  <c r="T327" i="30" s="1"/>
  <c r="L196" i="30"/>
  <c r="M327" i="30" s="1"/>
  <c r="F196" i="30"/>
  <c r="F327" i="30" s="1"/>
  <c r="R195" i="30"/>
  <c r="T306" i="30" s="1"/>
  <c r="L195" i="30"/>
  <c r="M306" i="30" s="1"/>
  <c r="F195" i="30"/>
  <c r="F306" i="30" s="1"/>
  <c r="R194" i="30"/>
  <c r="T285" i="30" s="1"/>
  <c r="L194" i="30"/>
  <c r="M285" i="30" s="1"/>
  <c r="F194" i="30"/>
  <c r="F285" i="30" s="1"/>
  <c r="R193" i="30"/>
  <c r="T264" i="30" s="1"/>
  <c r="L193" i="30"/>
  <c r="M264" i="30" s="1"/>
  <c r="F193" i="30"/>
  <c r="F264" i="30" s="1"/>
  <c r="R192" i="30"/>
  <c r="T243" i="30" s="1"/>
  <c r="L192" i="30"/>
  <c r="M243" i="30" s="1"/>
  <c r="F192" i="30"/>
  <c r="F243" i="30" s="1"/>
  <c r="K191" i="30"/>
  <c r="Q191" i="30" s="1"/>
  <c r="J191" i="30"/>
  <c r="P191" i="30" s="1"/>
  <c r="H189" i="30"/>
  <c r="N189" i="30" s="1"/>
  <c r="R187" i="30"/>
  <c r="T368" i="30" s="1"/>
  <c r="L187" i="30"/>
  <c r="M368" i="30" s="1"/>
  <c r="F187" i="30"/>
  <c r="F368" i="30" s="1"/>
  <c r="R186" i="30"/>
  <c r="T347" i="30" s="1"/>
  <c r="L186" i="30"/>
  <c r="M347" i="30" s="1"/>
  <c r="F186" i="30"/>
  <c r="F347" i="30" s="1"/>
  <c r="R185" i="30"/>
  <c r="T326" i="30" s="1"/>
  <c r="L185" i="30"/>
  <c r="M326" i="30" s="1"/>
  <c r="F185" i="30"/>
  <c r="F326" i="30" s="1"/>
  <c r="R184" i="30"/>
  <c r="T305" i="30" s="1"/>
  <c r="L184" i="30"/>
  <c r="M305" i="30" s="1"/>
  <c r="F184" i="30"/>
  <c r="F305" i="30" s="1"/>
  <c r="R183" i="30"/>
  <c r="T284" i="30" s="1"/>
  <c r="L183" i="30"/>
  <c r="M284" i="30" s="1"/>
  <c r="F183" i="30"/>
  <c r="F284" i="30" s="1"/>
  <c r="R182" i="30"/>
  <c r="T263" i="30" s="1"/>
  <c r="L182" i="30"/>
  <c r="M263" i="30" s="1"/>
  <c r="F182" i="30"/>
  <c r="F263" i="30" s="1"/>
  <c r="R181" i="30"/>
  <c r="T242" i="30" s="1"/>
  <c r="L181" i="30"/>
  <c r="F181" i="30"/>
  <c r="F242" i="30" s="1"/>
  <c r="K180" i="30"/>
  <c r="Q180" i="30" s="1"/>
  <c r="J180" i="30"/>
  <c r="P180" i="30" s="1"/>
  <c r="H178" i="30"/>
  <c r="N178" i="30" s="1"/>
  <c r="R176" i="30"/>
  <c r="T367" i="30" s="1"/>
  <c r="L176" i="30"/>
  <c r="M367" i="30" s="1"/>
  <c r="F176" i="30"/>
  <c r="F367" i="30" s="1"/>
  <c r="R175" i="30"/>
  <c r="T346" i="30" s="1"/>
  <c r="L175" i="30"/>
  <c r="M346" i="30" s="1"/>
  <c r="F175" i="30"/>
  <c r="F346" i="30" s="1"/>
  <c r="R174" i="30"/>
  <c r="T325" i="30" s="1"/>
  <c r="L174" i="30"/>
  <c r="M325" i="30" s="1"/>
  <c r="F174" i="30"/>
  <c r="F325" i="30" s="1"/>
  <c r="R173" i="30"/>
  <c r="T304" i="30" s="1"/>
  <c r="L173" i="30"/>
  <c r="M304" i="30" s="1"/>
  <c r="F173" i="30"/>
  <c r="F304" i="30" s="1"/>
  <c r="R172" i="30"/>
  <c r="T283" i="30" s="1"/>
  <c r="L172" i="30"/>
  <c r="M283" i="30" s="1"/>
  <c r="F172" i="30"/>
  <c r="F283" i="30" s="1"/>
  <c r="R171" i="30"/>
  <c r="T262" i="30" s="1"/>
  <c r="L171" i="30"/>
  <c r="M262" i="30" s="1"/>
  <c r="F171" i="30"/>
  <c r="F262" i="30" s="1"/>
  <c r="R170" i="30"/>
  <c r="L170" i="30"/>
  <c r="M241" i="30" s="1"/>
  <c r="F170" i="30"/>
  <c r="F241" i="30" s="1"/>
  <c r="K169" i="30"/>
  <c r="Q169" i="30" s="1"/>
  <c r="J169" i="30"/>
  <c r="P169" i="30" s="1"/>
  <c r="H167" i="30"/>
  <c r="N167" i="30" s="1"/>
  <c r="R165" i="30"/>
  <c r="T366" i="30" s="1"/>
  <c r="L165" i="30"/>
  <c r="M366" i="30" s="1"/>
  <c r="F165" i="30"/>
  <c r="F366" i="30" s="1"/>
  <c r="R164" i="30"/>
  <c r="T345" i="30" s="1"/>
  <c r="L164" i="30"/>
  <c r="M345" i="30" s="1"/>
  <c r="F164" i="30"/>
  <c r="F345" i="30" s="1"/>
  <c r="R163" i="30"/>
  <c r="T324" i="30" s="1"/>
  <c r="L163" i="30"/>
  <c r="M324" i="30" s="1"/>
  <c r="F163" i="30"/>
  <c r="F324" i="30" s="1"/>
  <c r="R162" i="30"/>
  <c r="T303" i="30" s="1"/>
  <c r="L162" i="30"/>
  <c r="M303" i="30" s="1"/>
  <c r="F162" i="30"/>
  <c r="F303" i="30" s="1"/>
  <c r="R161" i="30"/>
  <c r="T282" i="30" s="1"/>
  <c r="L161" i="30"/>
  <c r="M282" i="30" s="1"/>
  <c r="F161" i="30"/>
  <c r="F282" i="30" s="1"/>
  <c r="R160" i="30"/>
  <c r="T261" i="30" s="1"/>
  <c r="L160" i="30"/>
  <c r="M261" i="30" s="1"/>
  <c r="F160" i="30"/>
  <c r="F261" i="30" s="1"/>
  <c r="R159" i="30"/>
  <c r="T240" i="30" s="1"/>
  <c r="L159" i="30"/>
  <c r="M240" i="30" s="1"/>
  <c r="F159" i="30"/>
  <c r="F240" i="30" s="1"/>
  <c r="K158" i="30"/>
  <c r="Q158" i="30" s="1"/>
  <c r="J158" i="30"/>
  <c r="P158" i="30" s="1"/>
  <c r="H156" i="30"/>
  <c r="N156" i="30" s="1"/>
  <c r="R154" i="30"/>
  <c r="T365" i="30" s="1"/>
  <c r="L154" i="30"/>
  <c r="M365" i="30" s="1"/>
  <c r="F154" i="30"/>
  <c r="F365" i="30" s="1"/>
  <c r="R153" i="30"/>
  <c r="T344" i="30" s="1"/>
  <c r="L153" i="30"/>
  <c r="M344" i="30" s="1"/>
  <c r="F153" i="30"/>
  <c r="F344" i="30" s="1"/>
  <c r="R152" i="30"/>
  <c r="T323" i="30" s="1"/>
  <c r="L152" i="30"/>
  <c r="M323" i="30" s="1"/>
  <c r="F152" i="30"/>
  <c r="F323" i="30" s="1"/>
  <c r="R151" i="30"/>
  <c r="T302" i="30" s="1"/>
  <c r="L151" i="30"/>
  <c r="M281" i="30" s="1"/>
  <c r="F151" i="30"/>
  <c r="F302" i="30" s="1"/>
  <c r="R150" i="30"/>
  <c r="T281" i="30" s="1"/>
  <c r="L150" i="30"/>
  <c r="F150" i="30"/>
  <c r="F281" i="30" s="1"/>
  <c r="R149" i="30"/>
  <c r="T260" i="30" s="1"/>
  <c r="L149" i="30"/>
  <c r="M260" i="30" s="1"/>
  <c r="F149" i="30"/>
  <c r="F260" i="30" s="1"/>
  <c r="R148" i="30"/>
  <c r="T239" i="30" s="1"/>
  <c r="L148" i="30"/>
  <c r="M239" i="30" s="1"/>
  <c r="F148" i="30"/>
  <c r="F239" i="30" s="1"/>
  <c r="K147" i="30"/>
  <c r="Q147" i="30" s="1"/>
  <c r="J147" i="30"/>
  <c r="P147" i="30" s="1"/>
  <c r="H145" i="30"/>
  <c r="N145" i="30" s="1"/>
  <c r="R143" i="30"/>
  <c r="T364" i="30" s="1"/>
  <c r="L143" i="30"/>
  <c r="M364" i="30" s="1"/>
  <c r="F143" i="30"/>
  <c r="F364" i="30" s="1"/>
  <c r="R142" i="30"/>
  <c r="T343" i="30" s="1"/>
  <c r="L142" i="30"/>
  <c r="M343" i="30" s="1"/>
  <c r="F142" i="30"/>
  <c r="F343" i="30" s="1"/>
  <c r="R141" i="30"/>
  <c r="T322" i="30" s="1"/>
  <c r="L141" i="30"/>
  <c r="M322" i="30" s="1"/>
  <c r="F141" i="30"/>
  <c r="F322" i="30" s="1"/>
  <c r="R140" i="30"/>
  <c r="T301" i="30" s="1"/>
  <c r="L140" i="30"/>
  <c r="M301" i="30" s="1"/>
  <c r="F140" i="30"/>
  <c r="R139" i="30"/>
  <c r="T280" i="30" s="1"/>
  <c r="L139" i="30"/>
  <c r="M280" i="30" s="1"/>
  <c r="F139" i="30"/>
  <c r="F280" i="30" s="1"/>
  <c r="R138" i="30"/>
  <c r="T259" i="30" s="1"/>
  <c r="L138" i="30"/>
  <c r="M259" i="30" s="1"/>
  <c r="F138" i="30"/>
  <c r="F259" i="30" s="1"/>
  <c r="R137" i="30"/>
  <c r="T238" i="30" s="1"/>
  <c r="L137" i="30"/>
  <c r="M238" i="30" s="1"/>
  <c r="F137" i="30"/>
  <c r="F238" i="30" s="1"/>
  <c r="K136" i="30"/>
  <c r="Q136" i="30" s="1"/>
  <c r="J136" i="30"/>
  <c r="P136" i="30" s="1"/>
  <c r="H134" i="30"/>
  <c r="N134" i="30" s="1"/>
  <c r="R132" i="30"/>
  <c r="T363" i="30" s="1"/>
  <c r="L132" i="30"/>
  <c r="M363" i="30" s="1"/>
  <c r="F132" i="30"/>
  <c r="F363" i="30" s="1"/>
  <c r="R131" i="30"/>
  <c r="T342" i="30" s="1"/>
  <c r="L131" i="30"/>
  <c r="M342" i="30" s="1"/>
  <c r="F131" i="30"/>
  <c r="F342" i="30" s="1"/>
  <c r="R130" i="30"/>
  <c r="T321" i="30" s="1"/>
  <c r="L130" i="30"/>
  <c r="M321" i="30" s="1"/>
  <c r="F130" i="30"/>
  <c r="F321" i="30" s="1"/>
  <c r="R129" i="30"/>
  <c r="T300" i="30" s="1"/>
  <c r="L129" i="30"/>
  <c r="M300" i="30" s="1"/>
  <c r="F129" i="30"/>
  <c r="F300" i="30" s="1"/>
  <c r="R128" i="30"/>
  <c r="T279" i="30" s="1"/>
  <c r="L128" i="30"/>
  <c r="M279" i="30" s="1"/>
  <c r="F128" i="30"/>
  <c r="F279" i="30" s="1"/>
  <c r="R127" i="30"/>
  <c r="T258" i="30" s="1"/>
  <c r="L127" i="30"/>
  <c r="M258" i="30" s="1"/>
  <c r="F127" i="30"/>
  <c r="F258" i="30" s="1"/>
  <c r="R126" i="30"/>
  <c r="T237" i="30" s="1"/>
  <c r="L126" i="30"/>
  <c r="M237" i="30" s="1"/>
  <c r="F126" i="30"/>
  <c r="F237" i="30" s="1"/>
  <c r="K125" i="30"/>
  <c r="Q125" i="30" s="1"/>
  <c r="J125" i="30"/>
  <c r="P125" i="30" s="1"/>
  <c r="H123" i="30"/>
  <c r="N123" i="30" s="1"/>
  <c r="R121" i="30"/>
  <c r="T362" i="30" s="1"/>
  <c r="L121" i="30"/>
  <c r="M362" i="30" s="1"/>
  <c r="F121" i="30"/>
  <c r="F362" i="30" s="1"/>
  <c r="R120" i="30"/>
  <c r="T341" i="30" s="1"/>
  <c r="L120" i="30"/>
  <c r="M341" i="30" s="1"/>
  <c r="F120" i="30"/>
  <c r="F341" i="30" s="1"/>
  <c r="R119" i="30"/>
  <c r="T320" i="30" s="1"/>
  <c r="L119" i="30"/>
  <c r="M320" i="30" s="1"/>
  <c r="F119" i="30"/>
  <c r="F320" i="30" s="1"/>
  <c r="R118" i="30"/>
  <c r="T299" i="30" s="1"/>
  <c r="L118" i="30"/>
  <c r="M299" i="30" s="1"/>
  <c r="F118" i="30"/>
  <c r="F299" i="30" s="1"/>
  <c r="R117" i="30"/>
  <c r="T278" i="30" s="1"/>
  <c r="L117" i="30"/>
  <c r="M278" i="30" s="1"/>
  <c r="F117" i="30"/>
  <c r="F278" i="30" s="1"/>
  <c r="R116" i="30"/>
  <c r="T257" i="30" s="1"/>
  <c r="L116" i="30"/>
  <c r="M257" i="30" s="1"/>
  <c r="F116" i="30"/>
  <c r="F257" i="30" s="1"/>
  <c r="R115" i="30"/>
  <c r="T236" i="30" s="1"/>
  <c r="L115" i="30"/>
  <c r="M236" i="30" s="1"/>
  <c r="F115" i="30"/>
  <c r="F236" i="30" s="1"/>
  <c r="K114" i="30"/>
  <c r="Q114" i="30" s="1"/>
  <c r="J114" i="30"/>
  <c r="P114" i="30" s="1"/>
  <c r="H112" i="30"/>
  <c r="N112" i="30" s="1"/>
  <c r="R110" i="30"/>
  <c r="T361" i="30" s="1"/>
  <c r="L110" i="30"/>
  <c r="M361" i="30" s="1"/>
  <c r="F110" i="30"/>
  <c r="F361" i="30" s="1"/>
  <c r="R109" i="30"/>
  <c r="T340" i="30" s="1"/>
  <c r="L109" i="30"/>
  <c r="M340" i="30" s="1"/>
  <c r="F109" i="30"/>
  <c r="F340" i="30" s="1"/>
  <c r="R108" i="30"/>
  <c r="T319" i="30" s="1"/>
  <c r="L108" i="30"/>
  <c r="M319" i="30" s="1"/>
  <c r="F108" i="30"/>
  <c r="F319" i="30" s="1"/>
  <c r="R107" i="30"/>
  <c r="T298" i="30" s="1"/>
  <c r="L107" i="30"/>
  <c r="M298" i="30" s="1"/>
  <c r="F107" i="30"/>
  <c r="F298" i="30" s="1"/>
  <c r="R106" i="30"/>
  <c r="T277" i="30" s="1"/>
  <c r="L106" i="30"/>
  <c r="M277" i="30" s="1"/>
  <c r="F106" i="30"/>
  <c r="F277" i="30" s="1"/>
  <c r="R105" i="30"/>
  <c r="T256" i="30" s="1"/>
  <c r="L105" i="30"/>
  <c r="M256" i="30" s="1"/>
  <c r="F105" i="30"/>
  <c r="F256" i="30" s="1"/>
  <c r="R104" i="30"/>
  <c r="T235" i="30" s="1"/>
  <c r="L104" i="30"/>
  <c r="M235" i="30" s="1"/>
  <c r="F104" i="30"/>
  <c r="F235" i="30" s="1"/>
  <c r="K103" i="30"/>
  <c r="Q103" i="30" s="1"/>
  <c r="J103" i="30"/>
  <c r="P103" i="30" s="1"/>
  <c r="H101" i="30"/>
  <c r="N101" i="30" s="1"/>
  <c r="R99" i="30"/>
  <c r="T360" i="30" s="1"/>
  <c r="L99" i="30"/>
  <c r="M360" i="30" s="1"/>
  <c r="F99" i="30"/>
  <c r="F360" i="30" s="1"/>
  <c r="R98" i="30"/>
  <c r="T339" i="30" s="1"/>
  <c r="L98" i="30"/>
  <c r="M339" i="30" s="1"/>
  <c r="F98" i="30"/>
  <c r="F339" i="30" s="1"/>
  <c r="R97" i="30"/>
  <c r="T318" i="30" s="1"/>
  <c r="L97" i="30"/>
  <c r="M318" i="30" s="1"/>
  <c r="F97" i="30"/>
  <c r="F318" i="30" s="1"/>
  <c r="R96" i="30"/>
  <c r="T297" i="30" s="1"/>
  <c r="L96" i="30"/>
  <c r="M297" i="30" s="1"/>
  <c r="F96" i="30"/>
  <c r="F297" i="30" s="1"/>
  <c r="R95" i="30"/>
  <c r="T276" i="30" s="1"/>
  <c r="L95" i="30"/>
  <c r="M276" i="30" s="1"/>
  <c r="F95" i="30"/>
  <c r="F276" i="30" s="1"/>
  <c r="R94" i="30"/>
  <c r="T255" i="30" s="1"/>
  <c r="L94" i="30"/>
  <c r="M255" i="30" s="1"/>
  <c r="F94" i="30"/>
  <c r="F255" i="30" s="1"/>
  <c r="R93" i="30"/>
  <c r="T234" i="30" s="1"/>
  <c r="L93" i="30"/>
  <c r="M234" i="30" s="1"/>
  <c r="F93" i="30"/>
  <c r="F234" i="30" s="1"/>
  <c r="K92" i="30"/>
  <c r="Q92" i="30" s="1"/>
  <c r="J92" i="30"/>
  <c r="P92" i="30" s="1"/>
  <c r="H90" i="30"/>
  <c r="N90" i="30" s="1"/>
  <c r="R88" i="30"/>
  <c r="T359" i="30" s="1"/>
  <c r="L88" i="30"/>
  <c r="M359" i="30" s="1"/>
  <c r="F88" i="30"/>
  <c r="F359" i="30" s="1"/>
  <c r="R87" i="30"/>
  <c r="T338" i="30" s="1"/>
  <c r="L87" i="30"/>
  <c r="M338" i="30" s="1"/>
  <c r="F87" i="30"/>
  <c r="F338" i="30" s="1"/>
  <c r="R86" i="30"/>
  <c r="T317" i="30" s="1"/>
  <c r="L86" i="30"/>
  <c r="M317" i="30" s="1"/>
  <c r="F86" i="30"/>
  <c r="F317" i="30" s="1"/>
  <c r="R85" i="30"/>
  <c r="T296" i="30" s="1"/>
  <c r="L85" i="30"/>
  <c r="M296" i="30" s="1"/>
  <c r="F85" i="30"/>
  <c r="F296" i="30" s="1"/>
  <c r="R84" i="30"/>
  <c r="T275" i="30" s="1"/>
  <c r="L84" i="30"/>
  <c r="M275" i="30" s="1"/>
  <c r="F84" i="30"/>
  <c r="F275" i="30" s="1"/>
  <c r="R83" i="30"/>
  <c r="T254" i="30" s="1"/>
  <c r="L83" i="30"/>
  <c r="M254" i="30" s="1"/>
  <c r="F83" i="30"/>
  <c r="F254" i="30" s="1"/>
  <c r="R82" i="30"/>
  <c r="T233" i="30" s="1"/>
  <c r="L82" i="30"/>
  <c r="M233" i="30" s="1"/>
  <c r="F82" i="30"/>
  <c r="F233" i="30" s="1"/>
  <c r="K81" i="30"/>
  <c r="Q81" i="30" s="1"/>
  <c r="J81" i="30"/>
  <c r="P81" i="30" s="1"/>
  <c r="H79" i="30"/>
  <c r="N79" i="30" s="1"/>
  <c r="R77" i="30"/>
  <c r="T358" i="30" s="1"/>
  <c r="L77" i="30"/>
  <c r="M358" i="30" s="1"/>
  <c r="F77" i="30"/>
  <c r="F358" i="30" s="1"/>
  <c r="R76" i="30"/>
  <c r="T337" i="30" s="1"/>
  <c r="L76" i="30"/>
  <c r="M337" i="30" s="1"/>
  <c r="F76" i="30"/>
  <c r="F337" i="30" s="1"/>
  <c r="R75" i="30"/>
  <c r="T316" i="30" s="1"/>
  <c r="L75" i="30"/>
  <c r="M316" i="30" s="1"/>
  <c r="F75" i="30"/>
  <c r="R74" i="30"/>
  <c r="T295" i="30" s="1"/>
  <c r="L74" i="30"/>
  <c r="M295" i="30" s="1"/>
  <c r="F74" i="30"/>
  <c r="F295" i="30" s="1"/>
  <c r="R73" i="30"/>
  <c r="T274" i="30" s="1"/>
  <c r="L73" i="30"/>
  <c r="M274" i="30" s="1"/>
  <c r="F73" i="30"/>
  <c r="F274" i="30" s="1"/>
  <c r="R72" i="30"/>
  <c r="T253" i="30" s="1"/>
  <c r="L72" i="30"/>
  <c r="M253" i="30" s="1"/>
  <c r="F72" i="30"/>
  <c r="F253" i="30" s="1"/>
  <c r="R71" i="30"/>
  <c r="T232" i="30" s="1"/>
  <c r="L71" i="30"/>
  <c r="M232" i="30" s="1"/>
  <c r="F71" i="30"/>
  <c r="F232" i="30" s="1"/>
  <c r="K70" i="30"/>
  <c r="Q70" i="30" s="1"/>
  <c r="J70" i="30"/>
  <c r="P70" i="30" s="1"/>
  <c r="N68" i="30"/>
  <c r="H68" i="30"/>
  <c r="R66" i="30"/>
  <c r="T357" i="30" s="1"/>
  <c r="L66" i="30"/>
  <c r="M357" i="30" s="1"/>
  <c r="F66" i="30"/>
  <c r="F357" i="30" s="1"/>
  <c r="R65" i="30"/>
  <c r="T336" i="30" s="1"/>
  <c r="L65" i="30"/>
  <c r="M336" i="30" s="1"/>
  <c r="F65" i="30"/>
  <c r="F336" i="30" s="1"/>
  <c r="R64" i="30"/>
  <c r="T315" i="30" s="1"/>
  <c r="L64" i="30"/>
  <c r="M315" i="30" s="1"/>
  <c r="F64" i="30"/>
  <c r="F315" i="30" s="1"/>
  <c r="R63" i="30"/>
  <c r="T294" i="30" s="1"/>
  <c r="L63" i="30"/>
  <c r="M294" i="30" s="1"/>
  <c r="F63" i="30"/>
  <c r="F294" i="30" s="1"/>
  <c r="R62" i="30"/>
  <c r="T273" i="30" s="1"/>
  <c r="L62" i="30"/>
  <c r="M273" i="30" s="1"/>
  <c r="F62" i="30"/>
  <c r="F273" i="30" s="1"/>
  <c r="R61" i="30"/>
  <c r="T252" i="30" s="1"/>
  <c r="L61" i="30"/>
  <c r="M252" i="30" s="1"/>
  <c r="F61" i="30"/>
  <c r="F252" i="30" s="1"/>
  <c r="R60" i="30"/>
  <c r="T231" i="30" s="1"/>
  <c r="L60" i="30"/>
  <c r="M231" i="30" s="1"/>
  <c r="F60" i="30"/>
  <c r="F231" i="30" s="1"/>
  <c r="P59" i="30"/>
  <c r="K59" i="30"/>
  <c r="Q59" i="30" s="1"/>
  <c r="J59" i="30"/>
  <c r="H57" i="30"/>
  <c r="N57" i="30" s="1"/>
  <c r="R55" i="30"/>
  <c r="T356" i="30" s="1"/>
  <c r="L55" i="30"/>
  <c r="M356" i="30" s="1"/>
  <c r="F55" i="30"/>
  <c r="F356" i="30" s="1"/>
  <c r="R54" i="30"/>
  <c r="T335" i="30" s="1"/>
  <c r="L54" i="30"/>
  <c r="M335" i="30" s="1"/>
  <c r="F54" i="30"/>
  <c r="F335" i="30" s="1"/>
  <c r="R53" i="30"/>
  <c r="T314" i="30" s="1"/>
  <c r="L53" i="30"/>
  <c r="M314" i="30" s="1"/>
  <c r="F53" i="30"/>
  <c r="F314" i="30" s="1"/>
  <c r="R52" i="30"/>
  <c r="T293" i="30" s="1"/>
  <c r="L52" i="30"/>
  <c r="M293" i="30" s="1"/>
  <c r="F52" i="30"/>
  <c r="F293" i="30" s="1"/>
  <c r="R51" i="30"/>
  <c r="T272" i="30" s="1"/>
  <c r="L51" i="30"/>
  <c r="M272" i="30" s="1"/>
  <c r="F51" i="30"/>
  <c r="F272" i="30" s="1"/>
  <c r="R50" i="30"/>
  <c r="T251" i="30" s="1"/>
  <c r="L50" i="30"/>
  <c r="M251" i="30" s="1"/>
  <c r="F50" i="30"/>
  <c r="F251" i="30" s="1"/>
  <c r="R49" i="30"/>
  <c r="T230" i="30" s="1"/>
  <c r="L49" i="30"/>
  <c r="M230" i="30" s="1"/>
  <c r="F49" i="30"/>
  <c r="F230" i="30" s="1"/>
  <c r="K48" i="30"/>
  <c r="Q48" i="30" s="1"/>
  <c r="J48" i="30"/>
  <c r="P48" i="30" s="1"/>
  <c r="H46" i="30"/>
  <c r="N46" i="30" s="1"/>
  <c r="R44" i="30"/>
  <c r="T355" i="30" s="1"/>
  <c r="L44" i="30"/>
  <c r="M355" i="30" s="1"/>
  <c r="F44" i="30"/>
  <c r="F355" i="30" s="1"/>
  <c r="R43" i="30"/>
  <c r="T334" i="30" s="1"/>
  <c r="L43" i="30"/>
  <c r="M334" i="30" s="1"/>
  <c r="F43" i="30"/>
  <c r="F334" i="30" s="1"/>
  <c r="R42" i="30"/>
  <c r="T313" i="30" s="1"/>
  <c r="L42" i="30"/>
  <c r="M313" i="30" s="1"/>
  <c r="F42" i="30"/>
  <c r="F313" i="30" s="1"/>
  <c r="R41" i="30"/>
  <c r="T292" i="30" s="1"/>
  <c r="L41" i="30"/>
  <c r="M292" i="30" s="1"/>
  <c r="F41" i="30"/>
  <c r="F292" i="30" s="1"/>
  <c r="R40" i="30"/>
  <c r="T271" i="30" s="1"/>
  <c r="L40" i="30"/>
  <c r="M271" i="30" s="1"/>
  <c r="F40" i="30"/>
  <c r="F271" i="30" s="1"/>
  <c r="R39" i="30"/>
  <c r="T250" i="30" s="1"/>
  <c r="L39" i="30"/>
  <c r="M250" i="30" s="1"/>
  <c r="F39" i="30"/>
  <c r="F250" i="30" s="1"/>
  <c r="R38" i="30"/>
  <c r="T229" i="30" s="1"/>
  <c r="L38" i="30"/>
  <c r="M229" i="30" s="1"/>
  <c r="F38" i="30"/>
  <c r="F229" i="30" s="1"/>
  <c r="K37" i="30"/>
  <c r="Q37" i="30" s="1"/>
  <c r="J37" i="30"/>
  <c r="P37" i="30" s="1"/>
  <c r="H35" i="30"/>
  <c r="N35" i="30" s="1"/>
  <c r="R33" i="30"/>
  <c r="T354" i="30" s="1"/>
  <c r="L33" i="30"/>
  <c r="M354" i="30" s="1"/>
  <c r="F33" i="30"/>
  <c r="F354" i="30" s="1"/>
  <c r="R32" i="30"/>
  <c r="T333" i="30" s="1"/>
  <c r="L32" i="30"/>
  <c r="M333" i="30" s="1"/>
  <c r="F32" i="30"/>
  <c r="F333" i="30" s="1"/>
  <c r="R31" i="30"/>
  <c r="T312" i="30" s="1"/>
  <c r="L31" i="30"/>
  <c r="M312" i="30" s="1"/>
  <c r="F31" i="30"/>
  <c r="F312" i="30" s="1"/>
  <c r="R30" i="30"/>
  <c r="T291" i="30" s="1"/>
  <c r="L30" i="30"/>
  <c r="M291" i="30" s="1"/>
  <c r="F30" i="30"/>
  <c r="F291" i="30" s="1"/>
  <c r="R29" i="30"/>
  <c r="T270" i="30" s="1"/>
  <c r="L29" i="30"/>
  <c r="M270" i="30" s="1"/>
  <c r="F29" i="30"/>
  <c r="F270" i="30" s="1"/>
  <c r="R28" i="30"/>
  <c r="T249" i="30" s="1"/>
  <c r="L28" i="30"/>
  <c r="M249" i="30" s="1"/>
  <c r="F28" i="30"/>
  <c r="F249" i="30" s="1"/>
  <c r="R27" i="30"/>
  <c r="T228" i="30" s="1"/>
  <c r="L27" i="30"/>
  <c r="M228" i="30" s="1"/>
  <c r="F27" i="30"/>
  <c r="F228" i="30" s="1"/>
  <c r="K26" i="30"/>
  <c r="Q26" i="30" s="1"/>
  <c r="J26" i="30"/>
  <c r="P26" i="30" s="1"/>
  <c r="H24" i="30"/>
  <c r="N24" i="30" s="1"/>
  <c r="R22" i="30"/>
  <c r="T353" i="30" s="1"/>
  <c r="L22" i="30"/>
  <c r="M353" i="30" s="1"/>
  <c r="F22" i="30"/>
  <c r="F353" i="30" s="1"/>
  <c r="R21" i="30"/>
  <c r="T332" i="30" s="1"/>
  <c r="L21" i="30"/>
  <c r="M332" i="30" s="1"/>
  <c r="F21" i="30"/>
  <c r="F332" i="30" s="1"/>
  <c r="R20" i="30"/>
  <c r="T311" i="30" s="1"/>
  <c r="L20" i="30"/>
  <c r="M310" i="30" s="1"/>
  <c r="F20" i="30"/>
  <c r="F311" i="30" s="1"/>
  <c r="R19" i="30"/>
  <c r="T290" i="30" s="1"/>
  <c r="L19" i="30"/>
  <c r="M290" i="30" s="1"/>
  <c r="F19" i="30"/>
  <c r="F290" i="30" s="1"/>
  <c r="R18" i="30"/>
  <c r="T269" i="30" s="1"/>
  <c r="L18" i="30"/>
  <c r="M269" i="30" s="1"/>
  <c r="F18" i="30"/>
  <c r="F269" i="30" s="1"/>
  <c r="R17" i="30"/>
  <c r="T248" i="30" s="1"/>
  <c r="L17" i="30"/>
  <c r="M248" i="30" s="1"/>
  <c r="F17" i="30"/>
  <c r="F248" i="30" s="1"/>
  <c r="R16" i="30"/>
  <c r="T227" i="30" s="1"/>
  <c r="L16" i="30"/>
  <c r="M227" i="30" s="1"/>
  <c r="F16" i="30"/>
  <c r="F227" i="30" s="1"/>
  <c r="K15" i="30"/>
  <c r="Q15" i="30" s="1"/>
  <c r="J15" i="30"/>
  <c r="P15" i="30" s="1"/>
  <c r="H13" i="30"/>
  <c r="N13" i="30" s="1"/>
  <c r="R11" i="30"/>
  <c r="T352" i="30" s="1"/>
  <c r="L11" i="30"/>
  <c r="M352" i="30" s="1"/>
  <c r="F11" i="30"/>
  <c r="F352" i="30" s="1"/>
  <c r="R10" i="30"/>
  <c r="T331" i="30" s="1"/>
  <c r="L10" i="30"/>
  <c r="M331" i="30" s="1"/>
  <c r="F10" i="30"/>
  <c r="F331" i="30" s="1"/>
  <c r="R9" i="30"/>
  <c r="T310" i="30" s="1"/>
  <c r="L9" i="30"/>
  <c r="F9" i="30"/>
  <c r="F310" i="30" s="1"/>
  <c r="R8" i="30"/>
  <c r="T289" i="30" s="1"/>
  <c r="L8" i="30"/>
  <c r="M289" i="30" s="1"/>
  <c r="F8" i="30"/>
  <c r="F289" i="30" s="1"/>
  <c r="R7" i="30"/>
  <c r="T268" i="30" s="1"/>
  <c r="L7" i="30"/>
  <c r="M268" i="30" s="1"/>
  <c r="F7" i="30"/>
  <c r="F268" i="30" s="1"/>
  <c r="R6" i="30"/>
  <c r="T247" i="30" s="1"/>
  <c r="L6" i="30"/>
  <c r="M247" i="30" s="1"/>
  <c r="F6" i="30"/>
  <c r="F247" i="30" s="1"/>
  <c r="R5" i="30"/>
  <c r="T226" i="30" s="1"/>
  <c r="L5" i="30"/>
  <c r="M226" i="30" s="1"/>
  <c r="F5" i="30"/>
  <c r="F226" i="30" s="1"/>
  <c r="K4" i="30"/>
  <c r="Q4" i="30" s="1"/>
  <c r="J4" i="30"/>
  <c r="P4" i="30" s="1"/>
  <c r="H2" i="30"/>
  <c r="N2" i="30" s="1"/>
  <c r="A230" i="28"/>
  <c r="K178" i="29"/>
  <c r="J178" i="29"/>
  <c r="I178" i="29"/>
  <c r="K177" i="29"/>
  <c r="J177" i="29"/>
  <c r="I177" i="29"/>
  <c r="K176" i="29"/>
  <c r="J176" i="29"/>
  <c r="I176" i="29"/>
  <c r="K175" i="29"/>
  <c r="J175" i="29"/>
  <c r="I175" i="29"/>
  <c r="K174" i="29"/>
  <c r="J174" i="29"/>
  <c r="I174" i="29"/>
  <c r="K173" i="29"/>
  <c r="J173" i="29"/>
  <c r="I173" i="29"/>
  <c r="K172" i="29"/>
  <c r="J172" i="29"/>
  <c r="I172" i="29"/>
  <c r="K171" i="29"/>
  <c r="J171" i="29"/>
  <c r="I171" i="29"/>
  <c r="K170" i="29"/>
  <c r="J170" i="29"/>
  <c r="I170" i="29"/>
  <c r="K169" i="29"/>
  <c r="J169" i="29"/>
  <c r="I169" i="29"/>
  <c r="K168" i="29"/>
  <c r="J168" i="29"/>
  <c r="I168" i="29"/>
  <c r="K167" i="29"/>
  <c r="J167" i="29"/>
  <c r="I167" i="29"/>
  <c r="V124" i="29"/>
  <c r="N124" i="29"/>
  <c r="F124" i="29"/>
  <c r="V123" i="29"/>
  <c r="N123" i="29"/>
  <c r="F123" i="29"/>
  <c r="V122" i="29"/>
  <c r="N122" i="29"/>
  <c r="F122" i="29"/>
  <c r="V121" i="29"/>
  <c r="N121" i="29"/>
  <c r="F121" i="29"/>
  <c r="U120" i="29"/>
  <c r="T120" i="29"/>
  <c r="S120" i="29"/>
  <c r="M120" i="29"/>
  <c r="L120" i="29"/>
  <c r="K120" i="29"/>
  <c r="E120" i="29"/>
  <c r="D120" i="29"/>
  <c r="C120" i="29"/>
  <c r="R119" i="29"/>
  <c r="V118" i="29"/>
  <c r="N118" i="29"/>
  <c r="F118" i="29"/>
  <c r="V117" i="29"/>
  <c r="N117" i="29"/>
  <c r="F117" i="29"/>
  <c r="V116" i="29"/>
  <c r="N116" i="29"/>
  <c r="F116" i="29"/>
  <c r="V115" i="29"/>
  <c r="N115" i="29"/>
  <c r="F115" i="29"/>
  <c r="U114" i="29"/>
  <c r="T114" i="29"/>
  <c r="S114" i="29"/>
  <c r="M114" i="29"/>
  <c r="L114" i="29"/>
  <c r="K114" i="29"/>
  <c r="V112" i="29"/>
  <c r="N112" i="29"/>
  <c r="F112" i="29"/>
  <c r="V111" i="29"/>
  <c r="N111" i="29"/>
  <c r="F111" i="29"/>
  <c r="V110" i="29"/>
  <c r="N110" i="29"/>
  <c r="F110" i="29"/>
  <c r="V109" i="29"/>
  <c r="N109" i="29"/>
  <c r="F109" i="29"/>
  <c r="V108" i="29"/>
  <c r="N108" i="29"/>
  <c r="F108" i="29"/>
  <c r="V107" i="29"/>
  <c r="N107" i="29"/>
  <c r="F107" i="29"/>
  <c r="U106" i="29"/>
  <c r="T106" i="29"/>
  <c r="S106" i="29"/>
  <c r="M106" i="29"/>
  <c r="L106" i="29"/>
  <c r="K106" i="29"/>
  <c r="E106" i="29"/>
  <c r="D106" i="29"/>
  <c r="C106" i="29"/>
  <c r="V104" i="29"/>
  <c r="N104" i="29"/>
  <c r="F104" i="29"/>
  <c r="V103" i="29"/>
  <c r="N103" i="29"/>
  <c r="F103" i="29"/>
  <c r="V102" i="29"/>
  <c r="N102" i="29"/>
  <c r="F102" i="29"/>
  <c r="V101" i="29"/>
  <c r="N101" i="29"/>
  <c r="F101" i="29"/>
  <c r="V100" i="29"/>
  <c r="N100" i="29"/>
  <c r="F100" i="29"/>
  <c r="V99" i="29"/>
  <c r="N99" i="29"/>
  <c r="F99" i="29"/>
  <c r="R95" i="29"/>
  <c r="J95" i="29"/>
  <c r="B95" i="29"/>
  <c r="V93" i="29"/>
  <c r="N93" i="29"/>
  <c r="F93" i="29"/>
  <c r="V92" i="29"/>
  <c r="N92" i="29"/>
  <c r="F92" i="29"/>
  <c r="V91" i="29"/>
  <c r="N91" i="29"/>
  <c r="F91" i="29"/>
  <c r="X90" i="29"/>
  <c r="W92" i="29" s="1"/>
  <c r="V90" i="29"/>
  <c r="P90" i="29"/>
  <c r="O91" i="29" s="1"/>
  <c r="N90" i="29"/>
  <c r="H90" i="29"/>
  <c r="G91" i="29" s="1"/>
  <c r="F90" i="29"/>
  <c r="S89" i="29"/>
  <c r="M89" i="29"/>
  <c r="L89" i="29"/>
  <c r="K89" i="29"/>
  <c r="E89" i="29"/>
  <c r="D89" i="29"/>
  <c r="C89" i="29"/>
  <c r="R88" i="29"/>
  <c r="W87" i="29"/>
  <c r="V87" i="29"/>
  <c r="N87" i="29"/>
  <c r="F87" i="29"/>
  <c r="W86" i="29"/>
  <c r="V86" i="29"/>
  <c r="N86" i="29"/>
  <c r="F86" i="29"/>
  <c r="W85" i="29"/>
  <c r="V85" i="29"/>
  <c r="N85" i="29"/>
  <c r="F85" i="29"/>
  <c r="W84" i="29"/>
  <c r="V84" i="29"/>
  <c r="P84" i="29"/>
  <c r="O86" i="29" s="1"/>
  <c r="N84" i="29"/>
  <c r="H84" i="29"/>
  <c r="G85" i="29" s="1"/>
  <c r="F84" i="29"/>
  <c r="S83" i="29"/>
  <c r="M83" i="29"/>
  <c r="L83" i="29"/>
  <c r="K83" i="29"/>
  <c r="R82" i="29"/>
  <c r="V81" i="29"/>
  <c r="N81" i="29"/>
  <c r="F81" i="29"/>
  <c r="V80" i="29"/>
  <c r="N80" i="29"/>
  <c r="F80" i="29"/>
  <c r="V79" i="29"/>
  <c r="N79" i="29"/>
  <c r="F79" i="29"/>
  <c r="V78" i="29"/>
  <c r="N78" i="29"/>
  <c r="F78" i="29"/>
  <c r="V77" i="29"/>
  <c r="O77" i="29"/>
  <c r="N77" i="29"/>
  <c r="F77" i="29"/>
  <c r="X76" i="29"/>
  <c r="W79" i="29" s="1"/>
  <c r="V76" i="29"/>
  <c r="P76" i="29"/>
  <c r="O78" i="29" s="1"/>
  <c r="O76" i="29"/>
  <c r="N76" i="29"/>
  <c r="H76" i="29"/>
  <c r="G81" i="29" s="1"/>
  <c r="F76" i="29"/>
  <c r="S75" i="29"/>
  <c r="M75" i="29"/>
  <c r="L75" i="29"/>
  <c r="K75" i="29"/>
  <c r="E75" i="29"/>
  <c r="E83" i="29" s="1"/>
  <c r="D75" i="29"/>
  <c r="D83" i="29" s="1"/>
  <c r="C75" i="29"/>
  <c r="C83" i="29" s="1"/>
  <c r="V73" i="29"/>
  <c r="N73" i="29"/>
  <c r="F73" i="29"/>
  <c r="V72" i="29"/>
  <c r="N72" i="29"/>
  <c r="F72" i="29"/>
  <c r="V71" i="29"/>
  <c r="N71" i="29"/>
  <c r="F71" i="29"/>
  <c r="V70" i="29"/>
  <c r="N70" i="29"/>
  <c r="F70" i="29"/>
  <c r="V69" i="29"/>
  <c r="N69" i="29"/>
  <c r="F69" i="29"/>
  <c r="X68" i="29"/>
  <c r="W72" i="29" s="1"/>
  <c r="V68" i="29"/>
  <c r="P68" i="29"/>
  <c r="O72" i="29" s="1"/>
  <c r="N68" i="29"/>
  <c r="H68" i="29"/>
  <c r="G68" i="29" s="1"/>
  <c r="F68" i="29"/>
  <c r="R64" i="29"/>
  <c r="J64" i="29"/>
  <c r="B64" i="29"/>
  <c r="V62" i="29"/>
  <c r="N62" i="29"/>
  <c r="F62" i="29"/>
  <c r="V61" i="29"/>
  <c r="N61" i="29"/>
  <c r="F61" i="29"/>
  <c r="V60" i="29"/>
  <c r="N60" i="29"/>
  <c r="F60" i="29"/>
  <c r="X59" i="29"/>
  <c r="W59" i="29" s="1"/>
  <c r="V59" i="29"/>
  <c r="P59" i="29"/>
  <c r="O60" i="29" s="1"/>
  <c r="N59" i="29"/>
  <c r="H59" i="29"/>
  <c r="G62" i="29" s="1"/>
  <c r="G59" i="29"/>
  <c r="F59" i="29"/>
  <c r="U58" i="29"/>
  <c r="T58" i="29"/>
  <c r="S58" i="29"/>
  <c r="M58" i="29"/>
  <c r="L58" i="29"/>
  <c r="K58" i="29"/>
  <c r="E58" i="29"/>
  <c r="D58" i="29"/>
  <c r="C58" i="29"/>
  <c r="B57" i="29"/>
  <c r="J57" i="29" s="1"/>
  <c r="R57" i="29" s="1"/>
  <c r="V56" i="29"/>
  <c r="N56" i="29"/>
  <c r="F56" i="29"/>
  <c r="V55" i="29"/>
  <c r="N55" i="29"/>
  <c r="F55" i="29"/>
  <c r="V54" i="29"/>
  <c r="N54" i="29"/>
  <c r="F54" i="29"/>
  <c r="X53" i="29"/>
  <c r="W54" i="29" s="1"/>
  <c r="W53" i="29"/>
  <c r="V53" i="29"/>
  <c r="P53" i="29"/>
  <c r="O54" i="29" s="1"/>
  <c r="O53" i="29"/>
  <c r="N53" i="29"/>
  <c r="H53" i="29"/>
  <c r="G56" i="29" s="1"/>
  <c r="F53" i="29"/>
  <c r="U52" i="29"/>
  <c r="T52" i="29"/>
  <c r="S52" i="29"/>
  <c r="M52" i="29"/>
  <c r="L52" i="29"/>
  <c r="K52" i="29"/>
  <c r="E52" i="29"/>
  <c r="D52" i="29"/>
  <c r="C52" i="29"/>
  <c r="B51" i="29"/>
  <c r="J51" i="29" s="1"/>
  <c r="R51" i="29" s="1"/>
  <c r="V50" i="29"/>
  <c r="N50" i="29"/>
  <c r="F50" i="29"/>
  <c r="V49" i="29"/>
  <c r="N49" i="29"/>
  <c r="F49" i="29"/>
  <c r="V48" i="29"/>
  <c r="N48" i="29"/>
  <c r="F48" i="29"/>
  <c r="V47" i="29"/>
  <c r="N47" i="29"/>
  <c r="F47" i="29"/>
  <c r="V46" i="29"/>
  <c r="N46" i="29"/>
  <c r="F46" i="29"/>
  <c r="X45" i="29"/>
  <c r="W49" i="29" s="1"/>
  <c r="V45" i="29"/>
  <c r="P45" i="29"/>
  <c r="O48" i="29" s="1"/>
  <c r="N45" i="29"/>
  <c r="H45" i="29"/>
  <c r="G45" i="29" s="1"/>
  <c r="F45" i="29"/>
  <c r="U44" i="29"/>
  <c r="T44" i="29"/>
  <c r="S44" i="29"/>
  <c r="M44" i="29"/>
  <c r="L44" i="29"/>
  <c r="K44" i="29"/>
  <c r="E44" i="29"/>
  <c r="D44" i="29"/>
  <c r="C44" i="29"/>
  <c r="V42" i="29"/>
  <c r="N42" i="29"/>
  <c r="F42" i="29"/>
  <c r="V41" i="29"/>
  <c r="N41" i="29"/>
  <c r="F41" i="29"/>
  <c r="V40" i="29"/>
  <c r="N40" i="29"/>
  <c r="F40" i="29"/>
  <c r="V39" i="29"/>
  <c r="N39" i="29"/>
  <c r="F39" i="29"/>
  <c r="V38" i="29"/>
  <c r="N38" i="29"/>
  <c r="F38" i="29"/>
  <c r="X37" i="29"/>
  <c r="W41" i="29" s="1"/>
  <c r="V37" i="29"/>
  <c r="P37" i="29"/>
  <c r="O40" i="29" s="1"/>
  <c r="O37" i="29"/>
  <c r="N37" i="29"/>
  <c r="H37" i="29"/>
  <c r="G37" i="29" s="1"/>
  <c r="F37" i="29"/>
  <c r="R33" i="29"/>
  <c r="J33" i="29"/>
  <c r="B33" i="29"/>
  <c r="V31" i="29"/>
  <c r="N31" i="29"/>
  <c r="F31" i="29"/>
  <c r="V30" i="29"/>
  <c r="N30" i="29"/>
  <c r="F30" i="29"/>
  <c r="V29" i="29"/>
  <c r="N29" i="29"/>
  <c r="F29" i="29"/>
  <c r="X28" i="29"/>
  <c r="W28" i="29" s="1"/>
  <c r="V28" i="29"/>
  <c r="P28" i="29"/>
  <c r="O29" i="29" s="1"/>
  <c r="N28" i="29"/>
  <c r="H28" i="29"/>
  <c r="G29" i="29" s="1"/>
  <c r="F28" i="29"/>
  <c r="U27" i="29"/>
  <c r="T27" i="29"/>
  <c r="S27" i="29"/>
  <c r="M27" i="29"/>
  <c r="L27" i="29"/>
  <c r="K27" i="29"/>
  <c r="E27" i="29"/>
  <c r="D27" i="29"/>
  <c r="C27" i="29"/>
  <c r="R26" i="29"/>
  <c r="J26" i="29"/>
  <c r="V25" i="29"/>
  <c r="N25" i="29"/>
  <c r="F25" i="29"/>
  <c r="V24" i="29"/>
  <c r="N24" i="29"/>
  <c r="F24" i="29"/>
  <c r="V23" i="29"/>
  <c r="N23" i="29"/>
  <c r="F23" i="29"/>
  <c r="X22" i="29"/>
  <c r="W24" i="29" s="1"/>
  <c r="V22" i="29"/>
  <c r="P22" i="29"/>
  <c r="O24" i="29" s="1"/>
  <c r="O22" i="29"/>
  <c r="N22" i="29"/>
  <c r="F22" i="29"/>
  <c r="U21" i="29"/>
  <c r="T21" i="29"/>
  <c r="S21" i="29"/>
  <c r="M21" i="29"/>
  <c r="L21" i="29"/>
  <c r="K21" i="29"/>
  <c r="R20" i="29"/>
  <c r="J20" i="29"/>
  <c r="V19" i="29"/>
  <c r="N19" i="29"/>
  <c r="F19" i="29"/>
  <c r="V18" i="29"/>
  <c r="N18" i="29"/>
  <c r="F18" i="29"/>
  <c r="V17" i="29"/>
  <c r="N17" i="29"/>
  <c r="F17" i="29"/>
  <c r="V16" i="29"/>
  <c r="N16" i="29"/>
  <c r="F16" i="29"/>
  <c r="V15" i="29"/>
  <c r="N15" i="29"/>
  <c r="F15" i="29"/>
  <c r="X14" i="29"/>
  <c r="W14" i="29" s="1"/>
  <c r="V14" i="29"/>
  <c r="P14" i="29"/>
  <c r="O18" i="29" s="1"/>
  <c r="N14" i="29"/>
  <c r="H14" i="29"/>
  <c r="G19" i="29" s="1"/>
  <c r="F14" i="29"/>
  <c r="U13" i="29"/>
  <c r="T13" i="29"/>
  <c r="S13" i="29"/>
  <c r="M13" i="29"/>
  <c r="L13" i="29"/>
  <c r="K13" i="29"/>
  <c r="E13" i="29"/>
  <c r="D13" i="29"/>
  <c r="C13" i="29"/>
  <c r="V11" i="29"/>
  <c r="N11" i="29"/>
  <c r="F11" i="29"/>
  <c r="V10" i="29"/>
  <c r="N10" i="29"/>
  <c r="F10" i="29"/>
  <c r="V9" i="29"/>
  <c r="N9" i="29"/>
  <c r="F9" i="29"/>
  <c r="V8" i="29"/>
  <c r="N8" i="29"/>
  <c r="F8" i="29"/>
  <c r="V7" i="29"/>
  <c r="N7" i="29"/>
  <c r="F7" i="29"/>
  <c r="X6" i="29"/>
  <c r="W6" i="29" s="1"/>
  <c r="V6" i="29"/>
  <c r="P6" i="29"/>
  <c r="O10" i="29" s="1"/>
  <c r="N6" i="29"/>
  <c r="H6" i="29"/>
  <c r="G9" i="29" s="1"/>
  <c r="F6" i="29"/>
  <c r="R2" i="29"/>
  <c r="J2" i="29"/>
  <c r="B2" i="29"/>
  <c r="O42" i="29" l="1"/>
  <c r="O62" i="29"/>
  <c r="O68" i="29"/>
  <c r="W76" i="29"/>
  <c r="G80" i="29"/>
  <c r="G28" i="29"/>
  <c r="G159" i="29" s="1"/>
  <c r="W37" i="29"/>
  <c r="O38" i="29"/>
  <c r="G76" i="29"/>
  <c r="G16" i="29"/>
  <c r="G146" i="29" s="1"/>
  <c r="W23" i="29"/>
  <c r="F301" i="30"/>
  <c r="O87" i="29"/>
  <c r="O8" i="29"/>
  <c r="G30" i="29"/>
  <c r="G161" i="29" s="1"/>
  <c r="W40" i="29"/>
  <c r="O47" i="29"/>
  <c r="G92" i="29"/>
  <c r="G93" i="29"/>
  <c r="G14" i="29"/>
  <c r="G144" i="29" s="1"/>
  <c r="O16" i="29"/>
  <c r="O17" i="29"/>
  <c r="O23" i="29"/>
  <c r="W38" i="29"/>
  <c r="O56" i="29"/>
  <c r="W71" i="29"/>
  <c r="O84" i="29"/>
  <c r="B373" i="30"/>
  <c r="C375" i="30" s="1"/>
  <c r="H375" i="30" s="1"/>
  <c r="M375" i="30" s="1"/>
  <c r="O50" i="29"/>
  <c r="O31" i="29"/>
  <c r="W46" i="29"/>
  <c r="G55" i="29"/>
  <c r="O69" i="29"/>
  <c r="O85" i="29"/>
  <c r="F286" i="30"/>
  <c r="G6" i="29"/>
  <c r="G136" i="29" s="1"/>
  <c r="O9" i="29"/>
  <c r="W45" i="29"/>
  <c r="W48" i="29"/>
  <c r="O71" i="29"/>
  <c r="O73" i="29"/>
  <c r="W91" i="29"/>
  <c r="O93" i="29"/>
  <c r="O30" i="29"/>
  <c r="O39" i="29"/>
  <c r="G46" i="29"/>
  <c r="G53" i="29"/>
  <c r="G61" i="29"/>
  <c r="O70" i="29"/>
  <c r="W78" i="29"/>
  <c r="W90" i="29"/>
  <c r="M302" i="30"/>
  <c r="C379" i="30"/>
  <c r="H16" i="13"/>
  <c r="G8" i="29"/>
  <c r="G138" i="29" s="1"/>
  <c r="D380" i="30"/>
  <c r="W47" i="29"/>
  <c r="W39" i="29"/>
  <c r="O45" i="29"/>
  <c r="O46" i="29"/>
  <c r="O61" i="29"/>
  <c r="W70" i="29"/>
  <c r="O81" i="29"/>
  <c r="F379" i="30"/>
  <c r="K373" i="30"/>
  <c r="N376" i="30" s="1"/>
  <c r="A377" i="30"/>
  <c r="A381" i="30"/>
  <c r="C381" i="30"/>
  <c r="B378" i="30"/>
  <c r="A378" i="30"/>
  <c r="D378" i="30"/>
  <c r="M311" i="30"/>
  <c r="I380" i="30" s="1"/>
  <c r="H381" i="30"/>
  <c r="I378" i="30"/>
  <c r="H377" i="30"/>
  <c r="G381" i="30"/>
  <c r="I379" i="30"/>
  <c r="H378" i="30"/>
  <c r="G377" i="30"/>
  <c r="I382" i="30"/>
  <c r="F381" i="30"/>
  <c r="H379" i="30"/>
  <c r="G378" i="30"/>
  <c r="F377" i="30"/>
  <c r="H382" i="30"/>
  <c r="G379" i="30"/>
  <c r="F378" i="30"/>
  <c r="I376" i="30"/>
  <c r="F382" i="30"/>
  <c r="G380" i="30"/>
  <c r="G376" i="30"/>
  <c r="G382" i="30"/>
  <c r="H376" i="30"/>
  <c r="H380" i="30"/>
  <c r="F376" i="30"/>
  <c r="F380" i="30"/>
  <c r="I377" i="30"/>
  <c r="I381" i="30"/>
  <c r="D382" i="30"/>
  <c r="C377" i="30"/>
  <c r="D376" i="30"/>
  <c r="C382" i="30"/>
  <c r="B379" i="30"/>
  <c r="B382" i="30"/>
  <c r="C380" i="30"/>
  <c r="A379" i="30"/>
  <c r="C376" i="30"/>
  <c r="A382" i="30"/>
  <c r="B380" i="30"/>
  <c r="B376" i="30"/>
  <c r="A380" i="30"/>
  <c r="A376" i="30"/>
  <c r="P373" i="30"/>
  <c r="D381" i="30"/>
  <c r="D377" i="30"/>
  <c r="B381" i="30"/>
  <c r="D379" i="30"/>
  <c r="C378" i="30"/>
  <c r="B377" i="30"/>
  <c r="A386" i="30"/>
  <c r="G38" i="29"/>
  <c r="G50" i="29"/>
  <c r="G139" i="29"/>
  <c r="C145" i="29"/>
  <c r="F149" i="29"/>
  <c r="F161" i="29"/>
  <c r="F134" i="29"/>
  <c r="E140" i="29"/>
  <c r="E148" i="29"/>
  <c r="W9" i="29"/>
  <c r="G15" i="29"/>
  <c r="G145" i="29" s="1"/>
  <c r="W31" i="29"/>
  <c r="G41" i="29"/>
  <c r="G49" i="29"/>
  <c r="G134" i="29"/>
  <c r="E141" i="29"/>
  <c r="D143" i="29"/>
  <c r="E145" i="29"/>
  <c r="B150" i="29"/>
  <c r="E154" i="29"/>
  <c r="F157" i="29"/>
  <c r="B162" i="29"/>
  <c r="G54" i="29"/>
  <c r="O55" i="29"/>
  <c r="W56" i="29"/>
  <c r="G156" i="29" s="1"/>
  <c r="W77" i="29"/>
  <c r="G79" i="29"/>
  <c r="O80" i="29"/>
  <c r="W81" i="29"/>
  <c r="G87" i="29"/>
  <c r="G90" i="29"/>
  <c r="B135" i="29"/>
  <c r="D136" i="29"/>
  <c r="F137" i="29"/>
  <c r="C138" i="29"/>
  <c r="B139" i="29"/>
  <c r="F141" i="29"/>
  <c r="F142" i="29"/>
  <c r="E143" i="29"/>
  <c r="E144" i="29"/>
  <c r="F145" i="29"/>
  <c r="F146" i="29"/>
  <c r="F150" i="29"/>
  <c r="D153" i="29"/>
  <c r="F154" i="29"/>
  <c r="B156" i="29"/>
  <c r="G157" i="29"/>
  <c r="E159" i="29"/>
  <c r="C162" i="29"/>
  <c r="B136" i="29"/>
  <c r="D137" i="29"/>
  <c r="C144" i="29"/>
  <c r="F147" i="29"/>
  <c r="D154" i="29"/>
  <c r="B157" i="29"/>
  <c r="E160" i="29"/>
  <c r="G7" i="29"/>
  <c r="W62" i="29"/>
  <c r="C136" i="29"/>
  <c r="B138" i="29"/>
  <c r="F140" i="29"/>
  <c r="B142" i="29"/>
  <c r="D144" i="29"/>
  <c r="E146" i="29"/>
  <c r="F148" i="29"/>
  <c r="C153" i="29"/>
  <c r="D159" i="29"/>
  <c r="F160" i="29"/>
  <c r="O6" i="29"/>
  <c r="O7" i="29"/>
  <c r="W8" i="29"/>
  <c r="G10" i="29"/>
  <c r="G140" i="29" s="1"/>
  <c r="O11" i="29"/>
  <c r="O14" i="29"/>
  <c r="O15" i="29"/>
  <c r="W16" i="29"/>
  <c r="G18" i="29"/>
  <c r="G148" i="29" s="1"/>
  <c r="O19" i="29"/>
  <c r="W22" i="29"/>
  <c r="W25" i="29"/>
  <c r="O28" i="29"/>
  <c r="W30" i="29"/>
  <c r="G40" i="29"/>
  <c r="O41" i="29"/>
  <c r="W42" i="29"/>
  <c r="G48" i="29"/>
  <c r="O49" i="29"/>
  <c r="W50" i="29"/>
  <c r="O59" i="29"/>
  <c r="W61" i="29"/>
  <c r="W69" i="29"/>
  <c r="G71" i="29"/>
  <c r="O92" i="29"/>
  <c r="W93" i="29"/>
  <c r="C135" i="29"/>
  <c r="E136" i="29"/>
  <c r="G137" i="29"/>
  <c r="D138" i="29"/>
  <c r="C139" i="29"/>
  <c r="G142" i="29"/>
  <c r="F144" i="29"/>
  <c r="B149" i="29"/>
  <c r="G150" i="29"/>
  <c r="E153" i="29"/>
  <c r="G154" i="29"/>
  <c r="C156" i="29"/>
  <c r="B158" i="29"/>
  <c r="F159" i="29"/>
  <c r="B161" i="29"/>
  <c r="D162" i="29"/>
  <c r="W18" i="29"/>
  <c r="C141" i="29"/>
  <c r="E147" i="29"/>
  <c r="E151" i="29"/>
  <c r="B159" i="29"/>
  <c r="G149" i="29"/>
  <c r="C159" i="29"/>
  <c r="W17" i="29"/>
  <c r="W55" i="29"/>
  <c r="G155" i="29" s="1"/>
  <c r="W68" i="29"/>
  <c r="G78" i="29"/>
  <c r="O79" i="29"/>
  <c r="W80" i="29"/>
  <c r="G86" i="29"/>
  <c r="A132" i="29"/>
  <c r="D135" i="29"/>
  <c r="F136" i="29"/>
  <c r="E138" i="29"/>
  <c r="D139" i="29"/>
  <c r="B147" i="29"/>
  <c r="C149" i="29"/>
  <c r="B151" i="29"/>
  <c r="F153" i="29"/>
  <c r="B155" i="29"/>
  <c r="C158" i="29"/>
  <c r="C161" i="29"/>
  <c r="E162" i="29"/>
  <c r="G42" i="29"/>
  <c r="G73" i="29"/>
  <c r="B134" i="29"/>
  <c r="C137" i="29"/>
  <c r="D140" i="29"/>
  <c r="B144" i="29"/>
  <c r="C146" i="29"/>
  <c r="D148" i="29"/>
  <c r="E155" i="29"/>
  <c r="D160" i="29"/>
  <c r="D145" i="29"/>
  <c r="G11" i="29"/>
  <c r="G141" i="29" s="1"/>
  <c r="O25" i="29"/>
  <c r="G60" i="29"/>
  <c r="W7" i="29"/>
  <c r="W11" i="29"/>
  <c r="W15" i="29"/>
  <c r="G17" i="29"/>
  <c r="W19" i="29"/>
  <c r="W29" i="29"/>
  <c r="G31" i="29"/>
  <c r="G39" i="29"/>
  <c r="G47" i="29"/>
  <c r="W60" i="29"/>
  <c r="G160" i="29" s="1"/>
  <c r="G70" i="29"/>
  <c r="O90" i="29"/>
  <c r="B132" i="29"/>
  <c r="E135" i="29"/>
  <c r="F138" i="29"/>
  <c r="E139" i="29"/>
  <c r="B140" i="29"/>
  <c r="C147" i="29"/>
  <c r="B148" i="29"/>
  <c r="D149" i="29"/>
  <c r="C151" i="29"/>
  <c r="G153" i="29"/>
  <c r="C155" i="29"/>
  <c r="E156" i="29"/>
  <c r="D158" i="29"/>
  <c r="B160" i="29"/>
  <c r="D161" i="29"/>
  <c r="F162" i="29"/>
  <c r="A179" i="29"/>
  <c r="N166" i="29" s="1"/>
  <c r="O179" i="29" s="1"/>
  <c r="B50" i="13" s="1"/>
  <c r="W10" i="29"/>
  <c r="G69" i="29"/>
  <c r="B143" i="29"/>
  <c r="C154" i="29"/>
  <c r="D141" i="29"/>
  <c r="C143" i="29"/>
  <c r="D146" i="29"/>
  <c r="B153" i="29"/>
  <c r="F155" i="29"/>
  <c r="G72" i="29"/>
  <c r="E137" i="29"/>
  <c r="G77" i="29"/>
  <c r="G84" i="29"/>
  <c r="B133" i="29"/>
  <c r="B137" i="29"/>
  <c r="F139" i="29"/>
  <c r="C140" i="29"/>
  <c r="B141" i="29"/>
  <c r="B145" i="29"/>
  <c r="B146" i="29"/>
  <c r="D147" i="29"/>
  <c r="C148" i="29"/>
  <c r="E149" i="29"/>
  <c r="D151" i="29"/>
  <c r="B154" i="29"/>
  <c r="F156" i="29"/>
  <c r="E158" i="29"/>
  <c r="C160" i="29"/>
  <c r="E161" i="29"/>
  <c r="G373" i="30" l="1"/>
  <c r="K137" i="29"/>
  <c r="O139" i="29" s="1"/>
  <c r="P139" i="29" s="1"/>
  <c r="P137" i="29"/>
  <c r="K139" i="29"/>
  <c r="G147" i="29"/>
  <c r="K145" i="29"/>
  <c r="K378" i="30"/>
  <c r="K377" i="30"/>
  <c r="L377" i="30"/>
  <c r="N377" i="30"/>
  <c r="K382" i="30"/>
  <c r="J26" i="4"/>
  <c r="G162" i="29"/>
  <c r="M379" i="30"/>
  <c r="M378" i="30"/>
  <c r="K376" i="30"/>
  <c r="K379" i="30"/>
  <c r="B375" i="30"/>
  <c r="G375" i="30" s="1"/>
  <c r="L375" i="30" s="1"/>
  <c r="L378" i="30"/>
  <c r="M377" i="30"/>
  <c r="N379" i="30"/>
  <c r="K380" i="30"/>
  <c r="L382" i="30"/>
  <c r="N378" i="30"/>
  <c r="K381" i="30"/>
  <c r="N380" i="30"/>
  <c r="L381" i="30"/>
  <c r="L380" i="30"/>
  <c r="J386" i="30"/>
  <c r="R378" i="30" s="1"/>
  <c r="M394" i="30" s="1"/>
  <c r="E16" i="21" s="1"/>
  <c r="L376" i="30"/>
  <c r="M376" i="30"/>
  <c r="M381" i="30"/>
  <c r="N381" i="30"/>
  <c r="M380" i="30"/>
  <c r="N382" i="30"/>
  <c r="L379" i="30"/>
  <c r="M382" i="30"/>
  <c r="E386" i="30"/>
  <c r="R377" i="30" s="1"/>
  <c r="M393" i="30" s="1"/>
  <c r="E15" i="21" s="1"/>
  <c r="Q373" i="30"/>
  <c r="L373" i="30"/>
  <c r="T377" i="30"/>
  <c r="N393" i="30" s="1"/>
  <c r="T378" i="30"/>
  <c r="N394" i="30" s="1"/>
  <c r="F16" i="21" s="1"/>
  <c r="T379" i="30"/>
  <c r="N395" i="30" s="1"/>
  <c r="Q383" i="30" s="1"/>
  <c r="J29" i="4"/>
  <c r="J28" i="4"/>
  <c r="L127" i="13" s="1"/>
  <c r="M127" i="13" s="1"/>
  <c r="M128" i="13" l="1"/>
  <c r="L129" i="13"/>
  <c r="M130" i="13" s="1"/>
  <c r="K129" i="13" s="1"/>
  <c r="M129" i="13"/>
  <c r="Q137" i="29"/>
  <c r="E17" i="21" s="1"/>
  <c r="N143" i="29"/>
  <c r="Q382" i="30"/>
  <c r="E16" i="4" s="1"/>
  <c r="Q381" i="30"/>
  <c r="E15" i="4" s="1"/>
  <c r="J27" i="4"/>
  <c r="H17" i="13"/>
  <c r="O143" i="29" l="1"/>
  <c r="Q143" i="29" s="1"/>
  <c r="F17" i="21" s="1"/>
  <c r="N144" i="29" l="1"/>
  <c r="A227" i="28"/>
  <c r="B205" i="28"/>
  <c r="L247" i="28"/>
  <c r="K247" i="28"/>
  <c r="J247" i="28"/>
  <c r="L246" i="28"/>
  <c r="K246" i="28"/>
  <c r="J246" i="28"/>
  <c r="L245" i="28"/>
  <c r="K245" i="28"/>
  <c r="J245" i="28"/>
  <c r="L244" i="28"/>
  <c r="K244" i="28"/>
  <c r="J244" i="28"/>
  <c r="L243" i="28"/>
  <c r="K243" i="28"/>
  <c r="J243" i="28"/>
  <c r="L242" i="28"/>
  <c r="K242" i="28"/>
  <c r="J242" i="28"/>
  <c r="L241" i="28"/>
  <c r="K241" i="28"/>
  <c r="J241" i="28"/>
  <c r="L240" i="28"/>
  <c r="K240" i="28"/>
  <c r="J240" i="28"/>
  <c r="L239" i="28"/>
  <c r="K239" i="28"/>
  <c r="J239" i="28"/>
  <c r="L238" i="28"/>
  <c r="K238" i="28"/>
  <c r="J238" i="28"/>
  <c r="L237" i="28"/>
  <c r="K237" i="28"/>
  <c r="J237" i="28"/>
  <c r="L236" i="28"/>
  <c r="K236" i="28"/>
  <c r="J236" i="28"/>
  <c r="L235" i="28"/>
  <c r="K235" i="28"/>
  <c r="J235" i="28"/>
  <c r="L234" i="28"/>
  <c r="K234" i="28"/>
  <c r="J234" i="28"/>
  <c r="L233" i="28"/>
  <c r="K233" i="28"/>
  <c r="J233" i="28"/>
  <c r="L232" i="28"/>
  <c r="K232" i="28"/>
  <c r="J232" i="28"/>
  <c r="L231" i="28"/>
  <c r="K231" i="28"/>
  <c r="J231" i="28"/>
  <c r="K227" i="28"/>
  <c r="H202" i="28"/>
  <c r="F202" i="28"/>
  <c r="E202" i="28"/>
  <c r="D202" i="28"/>
  <c r="C202" i="28"/>
  <c r="H201" i="28"/>
  <c r="F201" i="28"/>
  <c r="E201" i="28"/>
  <c r="D201" i="28"/>
  <c r="C201" i="28"/>
  <c r="H200" i="28"/>
  <c r="F200" i="28"/>
  <c r="E200" i="28"/>
  <c r="D200" i="28"/>
  <c r="C200" i="28"/>
  <c r="H199" i="28"/>
  <c r="F199" i="28"/>
  <c r="E199" i="28"/>
  <c r="D199" i="28"/>
  <c r="C199" i="28"/>
  <c r="H198" i="28"/>
  <c r="F198" i="28"/>
  <c r="E198" i="28"/>
  <c r="D198" i="28"/>
  <c r="C198" i="28"/>
  <c r="H197" i="28"/>
  <c r="F197" i="28"/>
  <c r="E197" i="28"/>
  <c r="D197" i="28"/>
  <c r="C197" i="28"/>
  <c r="H196" i="28"/>
  <c r="F196" i="28"/>
  <c r="E196" i="28"/>
  <c r="D196" i="28"/>
  <c r="C196" i="28"/>
  <c r="H195" i="28"/>
  <c r="F195" i="28"/>
  <c r="E195" i="28"/>
  <c r="D195" i="28"/>
  <c r="C195" i="28"/>
  <c r="H194" i="28"/>
  <c r="F194" i="28"/>
  <c r="E194" i="28"/>
  <c r="D194" i="28"/>
  <c r="C194" i="28"/>
  <c r="H193" i="28"/>
  <c r="F193" i="28"/>
  <c r="E193" i="28"/>
  <c r="D193" i="28"/>
  <c r="C193" i="28"/>
  <c r="H192" i="28"/>
  <c r="F192" i="28"/>
  <c r="E192" i="28"/>
  <c r="D192" i="28"/>
  <c r="C192" i="28"/>
  <c r="H191" i="28"/>
  <c r="F191" i="28"/>
  <c r="E191" i="28"/>
  <c r="D191" i="28"/>
  <c r="C191" i="28"/>
  <c r="H190" i="28"/>
  <c r="G190" i="28"/>
  <c r="F190" i="28"/>
  <c r="E190" i="28"/>
  <c r="D190" i="28"/>
  <c r="C190" i="28"/>
  <c r="H189" i="28"/>
  <c r="F189" i="28"/>
  <c r="E189" i="28"/>
  <c r="D189" i="28"/>
  <c r="C189" i="28"/>
  <c r="H188" i="28"/>
  <c r="F188" i="28"/>
  <c r="E188" i="28"/>
  <c r="D188" i="28"/>
  <c r="C188" i="28"/>
  <c r="H187" i="28"/>
  <c r="F187" i="28"/>
  <c r="E187" i="28"/>
  <c r="D187" i="28"/>
  <c r="C187" i="28"/>
  <c r="H186" i="28"/>
  <c r="F186" i="28"/>
  <c r="E186" i="28"/>
  <c r="D186" i="28"/>
  <c r="C186" i="28"/>
  <c r="S185" i="28"/>
  <c r="R185" i="28"/>
  <c r="P185" i="28"/>
  <c r="O185" i="28"/>
  <c r="N185" i="28"/>
  <c r="M185" i="28"/>
  <c r="H185" i="28"/>
  <c r="F185" i="28"/>
  <c r="E185" i="28"/>
  <c r="D185" i="28"/>
  <c r="C185" i="28"/>
  <c r="R184" i="28"/>
  <c r="P184" i="28"/>
  <c r="O184" i="28"/>
  <c r="N184" i="28"/>
  <c r="M184" i="28"/>
  <c r="H184" i="28"/>
  <c r="F184" i="28"/>
  <c r="E184" i="28"/>
  <c r="D184" i="28"/>
  <c r="C184" i="28"/>
  <c r="R183" i="28"/>
  <c r="P183" i="28"/>
  <c r="O183" i="28"/>
  <c r="N183" i="28"/>
  <c r="M183" i="28"/>
  <c r="H183" i="28"/>
  <c r="F183" i="28"/>
  <c r="E183" i="28"/>
  <c r="D183" i="28"/>
  <c r="C183" i="28"/>
  <c r="R182" i="28"/>
  <c r="P182" i="28"/>
  <c r="O182" i="28"/>
  <c r="N182" i="28"/>
  <c r="M182" i="28"/>
  <c r="H182" i="28"/>
  <c r="F182" i="28"/>
  <c r="E182" i="28"/>
  <c r="D182" i="28"/>
  <c r="C182" i="28"/>
  <c r="R181" i="28"/>
  <c r="P181" i="28"/>
  <c r="O181" i="28"/>
  <c r="N181" i="28"/>
  <c r="M181" i="28"/>
  <c r="H181" i="28"/>
  <c r="F181" i="28"/>
  <c r="E181" i="28"/>
  <c r="D181" i="28"/>
  <c r="C181" i="28"/>
  <c r="R180" i="28"/>
  <c r="P180" i="28"/>
  <c r="O180" i="28"/>
  <c r="N180" i="28"/>
  <c r="M180" i="28"/>
  <c r="H180" i="28"/>
  <c r="F180" i="28"/>
  <c r="E180" i="28"/>
  <c r="D180" i="28"/>
  <c r="C180" i="28"/>
  <c r="R179" i="28"/>
  <c r="P179" i="28"/>
  <c r="O179" i="28"/>
  <c r="N179" i="28"/>
  <c r="M179" i="28"/>
  <c r="H179" i="28"/>
  <c r="F179" i="28"/>
  <c r="E179" i="28"/>
  <c r="D179" i="28"/>
  <c r="C179" i="28"/>
  <c r="R178" i="28"/>
  <c r="P178" i="28"/>
  <c r="O178" i="28"/>
  <c r="N178" i="28"/>
  <c r="M178" i="28"/>
  <c r="H178" i="28"/>
  <c r="F178" i="28"/>
  <c r="E178" i="28"/>
  <c r="D178" i="28"/>
  <c r="C178" i="28"/>
  <c r="R177" i="28"/>
  <c r="P177" i="28"/>
  <c r="O177" i="28"/>
  <c r="N177" i="28"/>
  <c r="M177" i="28"/>
  <c r="H177" i="28"/>
  <c r="F177" i="28"/>
  <c r="E177" i="28"/>
  <c r="D177" i="28"/>
  <c r="C177" i="28"/>
  <c r="R176" i="28"/>
  <c r="P176" i="28"/>
  <c r="O176" i="28"/>
  <c r="N176" i="28"/>
  <c r="M176" i="28"/>
  <c r="H176" i="28"/>
  <c r="F176" i="28"/>
  <c r="E176" i="28"/>
  <c r="D176" i="28"/>
  <c r="C176" i="28"/>
  <c r="R175" i="28"/>
  <c r="P175" i="28"/>
  <c r="O175" i="28"/>
  <c r="N175" i="28"/>
  <c r="M175" i="28"/>
  <c r="H175" i="28"/>
  <c r="F175" i="28"/>
  <c r="E175" i="28"/>
  <c r="D175" i="28"/>
  <c r="C175" i="28"/>
  <c r="R174" i="28"/>
  <c r="P174" i="28"/>
  <c r="O174" i="28"/>
  <c r="N174" i="28"/>
  <c r="M174" i="28"/>
  <c r="H174" i="28"/>
  <c r="F174" i="28"/>
  <c r="E174" i="28"/>
  <c r="D174" i="28"/>
  <c r="C174" i="28"/>
  <c r="R173" i="28"/>
  <c r="P173" i="28"/>
  <c r="O173" i="28"/>
  <c r="N173" i="28"/>
  <c r="M173" i="28"/>
  <c r="H173" i="28"/>
  <c r="F173" i="28"/>
  <c r="E173" i="28"/>
  <c r="D173" i="28"/>
  <c r="C173" i="28"/>
  <c r="R172" i="28"/>
  <c r="P172" i="28"/>
  <c r="O172" i="28"/>
  <c r="N172" i="28"/>
  <c r="M172" i="28"/>
  <c r="H172" i="28"/>
  <c r="F172" i="28"/>
  <c r="E172" i="28"/>
  <c r="D172" i="28"/>
  <c r="C172" i="28"/>
  <c r="R171" i="28"/>
  <c r="P171" i="28"/>
  <c r="O171" i="28"/>
  <c r="N171" i="28"/>
  <c r="M171" i="28"/>
  <c r="H171" i="28"/>
  <c r="F171" i="28"/>
  <c r="E171" i="28"/>
  <c r="D171" i="28"/>
  <c r="C171" i="28"/>
  <c r="R170" i="28"/>
  <c r="P170" i="28"/>
  <c r="O170" i="28"/>
  <c r="N170" i="28"/>
  <c r="M170" i="28"/>
  <c r="H170" i="28"/>
  <c r="F170" i="28"/>
  <c r="E170" i="28"/>
  <c r="D170" i="28"/>
  <c r="C170" i="28"/>
  <c r="R169" i="28"/>
  <c r="P169" i="28"/>
  <c r="O169" i="28"/>
  <c r="N169" i="28"/>
  <c r="M169" i="28"/>
  <c r="H169" i="28"/>
  <c r="F169" i="28"/>
  <c r="E169" i="28"/>
  <c r="D169" i="28"/>
  <c r="C169" i="28"/>
  <c r="R168" i="28"/>
  <c r="P168" i="28"/>
  <c r="O168" i="28"/>
  <c r="N168" i="28"/>
  <c r="M168" i="28"/>
  <c r="H168" i="28"/>
  <c r="F168" i="28"/>
  <c r="E168" i="28"/>
  <c r="D168" i="28"/>
  <c r="C168" i="28"/>
  <c r="R167" i="28"/>
  <c r="P167" i="28"/>
  <c r="O167" i="28"/>
  <c r="N167" i="28"/>
  <c r="M167" i="28"/>
  <c r="H167" i="28"/>
  <c r="F167" i="28"/>
  <c r="E167" i="28"/>
  <c r="D167" i="28"/>
  <c r="C167" i="28"/>
  <c r="R166" i="28"/>
  <c r="P166" i="28"/>
  <c r="O166" i="28"/>
  <c r="N166" i="28"/>
  <c r="M166" i="28"/>
  <c r="H166" i="28"/>
  <c r="F166" i="28"/>
  <c r="E166" i="28"/>
  <c r="D166" i="28"/>
  <c r="C166" i="28"/>
  <c r="R165" i="28"/>
  <c r="P165" i="28"/>
  <c r="O165" i="28"/>
  <c r="N165" i="28"/>
  <c r="M165" i="28"/>
  <c r="H165" i="28"/>
  <c r="F165" i="28"/>
  <c r="E165" i="28"/>
  <c r="D165" i="28"/>
  <c r="C165" i="28"/>
  <c r="R164" i="28"/>
  <c r="P164" i="28"/>
  <c r="O164" i="28"/>
  <c r="N164" i="28"/>
  <c r="M164" i="28"/>
  <c r="H164" i="28"/>
  <c r="F164" i="28"/>
  <c r="E164" i="28"/>
  <c r="D164" i="28"/>
  <c r="C164" i="28"/>
  <c r="R163" i="28"/>
  <c r="P163" i="28"/>
  <c r="O163" i="28"/>
  <c r="N163" i="28"/>
  <c r="M163" i="28"/>
  <c r="H163" i="28"/>
  <c r="F163" i="28"/>
  <c r="E163" i="28"/>
  <c r="D163" i="28"/>
  <c r="C163" i="28"/>
  <c r="R162" i="28"/>
  <c r="P162" i="28"/>
  <c r="O162" i="28"/>
  <c r="N162" i="28"/>
  <c r="M162" i="28"/>
  <c r="H162" i="28"/>
  <c r="F162" i="28"/>
  <c r="E162" i="28"/>
  <c r="D162" i="28"/>
  <c r="C162" i="28"/>
  <c r="R161" i="28"/>
  <c r="P161" i="28"/>
  <c r="O161" i="28"/>
  <c r="N161" i="28"/>
  <c r="M161" i="28"/>
  <c r="H161" i="28"/>
  <c r="F161" i="28"/>
  <c r="E161" i="28"/>
  <c r="D161" i="28"/>
  <c r="C161" i="28"/>
  <c r="R160" i="28"/>
  <c r="P160" i="28"/>
  <c r="O160" i="28"/>
  <c r="N160" i="28"/>
  <c r="M160" i="28"/>
  <c r="H160" i="28"/>
  <c r="F160" i="28"/>
  <c r="E160" i="28"/>
  <c r="D160" i="28"/>
  <c r="C160" i="28"/>
  <c r="R159" i="28"/>
  <c r="P159" i="28"/>
  <c r="O159" i="28"/>
  <c r="N159" i="28"/>
  <c r="M159" i="28"/>
  <c r="H159" i="28"/>
  <c r="F159" i="28"/>
  <c r="E159" i="28"/>
  <c r="D159" i="28"/>
  <c r="C159" i="28"/>
  <c r="R158" i="28"/>
  <c r="P158" i="28"/>
  <c r="O158" i="28"/>
  <c r="N158" i="28"/>
  <c r="M158" i="28"/>
  <c r="H158" i="28"/>
  <c r="F158" i="28"/>
  <c r="E158" i="28"/>
  <c r="D158" i="28"/>
  <c r="C158" i="28"/>
  <c r="R157" i="28"/>
  <c r="P157" i="28"/>
  <c r="O157" i="28"/>
  <c r="N157" i="28"/>
  <c r="M157" i="28"/>
  <c r="H157" i="28"/>
  <c r="F157" i="28"/>
  <c r="E157" i="28"/>
  <c r="D157" i="28"/>
  <c r="C157" i="28"/>
  <c r="R156" i="28"/>
  <c r="P156" i="28"/>
  <c r="O156" i="28"/>
  <c r="N156" i="28"/>
  <c r="M156" i="28"/>
  <c r="H156" i="28"/>
  <c r="F156" i="28"/>
  <c r="E156" i="28"/>
  <c r="D156" i="28"/>
  <c r="C156" i="28"/>
  <c r="R155" i="28"/>
  <c r="P155" i="28"/>
  <c r="O155" i="28"/>
  <c r="N155" i="28"/>
  <c r="M155" i="28"/>
  <c r="H155" i="28"/>
  <c r="F155" i="28"/>
  <c r="E155" i="28"/>
  <c r="D155" i="28"/>
  <c r="C155" i="28"/>
  <c r="R154" i="28"/>
  <c r="P154" i="28"/>
  <c r="O154" i="28"/>
  <c r="N154" i="28"/>
  <c r="M154" i="28"/>
  <c r="H154" i="28"/>
  <c r="F154" i="28"/>
  <c r="E154" i="28"/>
  <c r="D154" i="28"/>
  <c r="C154" i="28"/>
  <c r="R153" i="28"/>
  <c r="P153" i="28"/>
  <c r="O153" i="28"/>
  <c r="N153" i="28"/>
  <c r="M153" i="28"/>
  <c r="H153" i="28"/>
  <c r="F153" i="28"/>
  <c r="E153" i="28"/>
  <c r="D153" i="28"/>
  <c r="C153" i="28"/>
  <c r="R152" i="28"/>
  <c r="P152" i="28"/>
  <c r="O152" i="28"/>
  <c r="N152" i="28"/>
  <c r="M152" i="28"/>
  <c r="H152" i="28"/>
  <c r="F152" i="28"/>
  <c r="E152" i="28"/>
  <c r="D152" i="28"/>
  <c r="C152" i="28"/>
  <c r="R151" i="28"/>
  <c r="P151" i="28"/>
  <c r="O151" i="28"/>
  <c r="N151" i="28"/>
  <c r="M151" i="28"/>
  <c r="H151" i="28"/>
  <c r="F151" i="28"/>
  <c r="E151" i="28"/>
  <c r="D151" i="28"/>
  <c r="C151" i="28"/>
  <c r="R150" i="28"/>
  <c r="P150" i="28"/>
  <c r="O150" i="28"/>
  <c r="N150" i="28"/>
  <c r="M150" i="28"/>
  <c r="H150" i="28"/>
  <c r="F150" i="28"/>
  <c r="E150" i="28"/>
  <c r="D150" i="28"/>
  <c r="C150" i="28"/>
  <c r="R149" i="28"/>
  <c r="P149" i="28"/>
  <c r="O149" i="28"/>
  <c r="N149" i="28"/>
  <c r="M149" i="28"/>
  <c r="H149" i="28"/>
  <c r="F149" i="28"/>
  <c r="E149" i="28"/>
  <c r="D149" i="28"/>
  <c r="C149" i="28"/>
  <c r="R148" i="28"/>
  <c r="P148" i="28"/>
  <c r="O148" i="28"/>
  <c r="N148" i="28"/>
  <c r="M148" i="28"/>
  <c r="H148" i="28"/>
  <c r="F148" i="28"/>
  <c r="E148" i="28"/>
  <c r="D148" i="28"/>
  <c r="C148" i="28"/>
  <c r="R147" i="28"/>
  <c r="P147" i="28"/>
  <c r="O147" i="28"/>
  <c r="N147" i="28"/>
  <c r="M147" i="28"/>
  <c r="H147" i="28"/>
  <c r="F147" i="28"/>
  <c r="E147" i="28"/>
  <c r="D147" i="28"/>
  <c r="C147" i="28"/>
  <c r="R146" i="28"/>
  <c r="P146" i="28"/>
  <c r="O146" i="28"/>
  <c r="N146" i="28"/>
  <c r="M146" i="28"/>
  <c r="H146" i="28"/>
  <c r="F146" i="28"/>
  <c r="E146" i="28"/>
  <c r="D146" i="28"/>
  <c r="C146" i="28"/>
  <c r="R145" i="28"/>
  <c r="P145" i="28"/>
  <c r="O145" i="28"/>
  <c r="N145" i="28"/>
  <c r="M145" i="28"/>
  <c r="H145" i="28"/>
  <c r="F145" i="28"/>
  <c r="E145" i="28"/>
  <c r="D145" i="28"/>
  <c r="C145" i="28"/>
  <c r="R144" i="28"/>
  <c r="P144" i="28"/>
  <c r="O144" i="28"/>
  <c r="N144" i="28"/>
  <c r="M144" i="28"/>
  <c r="H144" i="28"/>
  <c r="F144" i="28"/>
  <c r="E144" i="28"/>
  <c r="D144" i="28"/>
  <c r="C144" i="28"/>
  <c r="R143" i="28"/>
  <c r="P143" i="28"/>
  <c r="O143" i="28"/>
  <c r="N143" i="28"/>
  <c r="M143" i="28"/>
  <c r="H143" i="28"/>
  <c r="F143" i="28"/>
  <c r="E143" i="28"/>
  <c r="D143" i="28"/>
  <c r="C143" i="28"/>
  <c r="R142" i="28"/>
  <c r="P142" i="28"/>
  <c r="O142" i="28"/>
  <c r="N142" i="28"/>
  <c r="M142" i="28"/>
  <c r="H142" i="28"/>
  <c r="F142" i="28"/>
  <c r="E142" i="28"/>
  <c r="D142" i="28"/>
  <c r="C142" i="28"/>
  <c r="R141" i="28"/>
  <c r="P141" i="28"/>
  <c r="O141" i="28"/>
  <c r="N141" i="28"/>
  <c r="M141" i="28"/>
  <c r="H141" i="28"/>
  <c r="F141" i="28"/>
  <c r="E141" i="28"/>
  <c r="D141" i="28"/>
  <c r="C141" i="28"/>
  <c r="R140" i="28"/>
  <c r="P140" i="28"/>
  <c r="O140" i="28"/>
  <c r="N140" i="28"/>
  <c r="M140" i="28"/>
  <c r="H140" i="28"/>
  <c r="F140" i="28"/>
  <c r="E140" i="28"/>
  <c r="D140" i="28"/>
  <c r="C140" i="28"/>
  <c r="R139" i="28"/>
  <c r="P139" i="28"/>
  <c r="O139" i="28"/>
  <c r="N139" i="28"/>
  <c r="M139" i="28"/>
  <c r="H139" i="28"/>
  <c r="F139" i="28"/>
  <c r="E139" i="28"/>
  <c r="D139" i="28"/>
  <c r="C139" i="28"/>
  <c r="R138" i="28"/>
  <c r="P138" i="28"/>
  <c r="O138" i="28"/>
  <c r="N138" i="28"/>
  <c r="M138" i="28"/>
  <c r="H138" i="28"/>
  <c r="F138" i="28"/>
  <c r="E138" i="28"/>
  <c r="D138" i="28"/>
  <c r="C138" i="28"/>
  <c r="R137" i="28"/>
  <c r="P137" i="28"/>
  <c r="O137" i="28"/>
  <c r="N137" i="28"/>
  <c r="M137" i="28"/>
  <c r="H137" i="28"/>
  <c r="F137" i="28"/>
  <c r="E137" i="28"/>
  <c r="D137" i="28"/>
  <c r="C137" i="28"/>
  <c r="R136" i="28"/>
  <c r="P136" i="28"/>
  <c r="O136" i="28"/>
  <c r="N136" i="28"/>
  <c r="M136" i="28"/>
  <c r="H136" i="28"/>
  <c r="F136" i="28"/>
  <c r="E136" i="28"/>
  <c r="D136" i="28"/>
  <c r="C136" i="28"/>
  <c r="R135" i="28"/>
  <c r="P135" i="28"/>
  <c r="O135" i="28"/>
  <c r="N135" i="28"/>
  <c r="M135" i="28"/>
  <c r="H135" i="28"/>
  <c r="F135" i="28"/>
  <c r="E135" i="28"/>
  <c r="D135" i="28"/>
  <c r="C135" i="28"/>
  <c r="R134" i="28"/>
  <c r="P134" i="28"/>
  <c r="O134" i="28"/>
  <c r="N134" i="28"/>
  <c r="M134" i="28"/>
  <c r="H134" i="28"/>
  <c r="F134" i="28"/>
  <c r="E134" i="28"/>
  <c r="D134" i="28"/>
  <c r="C134" i="28"/>
  <c r="R133" i="28"/>
  <c r="P133" i="28"/>
  <c r="O133" i="28"/>
  <c r="N133" i="28"/>
  <c r="M133" i="28"/>
  <c r="H133" i="28"/>
  <c r="F133" i="28"/>
  <c r="E133" i="28"/>
  <c r="D133" i="28"/>
  <c r="C133" i="28"/>
  <c r="R132" i="28"/>
  <c r="P132" i="28"/>
  <c r="O132" i="28"/>
  <c r="N132" i="28"/>
  <c r="M132" i="28"/>
  <c r="H132" i="28"/>
  <c r="F132" i="28"/>
  <c r="E132" i="28"/>
  <c r="D132" i="28"/>
  <c r="C132" i="28"/>
  <c r="R131" i="28"/>
  <c r="P131" i="28"/>
  <c r="O131" i="28"/>
  <c r="N131" i="28"/>
  <c r="M131" i="28"/>
  <c r="H131" i="28"/>
  <c r="F131" i="28"/>
  <c r="E131" i="28"/>
  <c r="D131" i="28"/>
  <c r="C131" i="28"/>
  <c r="R130" i="28"/>
  <c r="P130" i="28"/>
  <c r="O130" i="28"/>
  <c r="N130" i="28"/>
  <c r="M130" i="28"/>
  <c r="H130" i="28"/>
  <c r="F130" i="28"/>
  <c r="E130" i="28"/>
  <c r="D130" i="28"/>
  <c r="C130" i="28"/>
  <c r="R129" i="28"/>
  <c r="P129" i="28"/>
  <c r="O129" i="28"/>
  <c r="N129" i="28"/>
  <c r="M129" i="28"/>
  <c r="H129" i="28"/>
  <c r="F129" i="28"/>
  <c r="E129" i="28"/>
  <c r="D129" i="28"/>
  <c r="C129" i="28"/>
  <c r="R128" i="28"/>
  <c r="P128" i="28"/>
  <c r="O128" i="28"/>
  <c r="N128" i="28"/>
  <c r="M128" i="28"/>
  <c r="H128" i="28"/>
  <c r="F128" i="28"/>
  <c r="E128" i="28"/>
  <c r="D128" i="28"/>
  <c r="C128" i="28"/>
  <c r="R127" i="28"/>
  <c r="P127" i="28"/>
  <c r="O127" i="28"/>
  <c r="N127" i="28"/>
  <c r="M127" i="28"/>
  <c r="H127" i="28"/>
  <c r="F127" i="28"/>
  <c r="E127" i="28"/>
  <c r="D127" i="28"/>
  <c r="C127" i="28"/>
  <c r="R126" i="28"/>
  <c r="P126" i="28"/>
  <c r="O126" i="28"/>
  <c r="N126" i="28"/>
  <c r="M126" i="28"/>
  <c r="H126" i="28"/>
  <c r="F126" i="28"/>
  <c r="E126" i="28"/>
  <c r="D126" i="28"/>
  <c r="C126" i="28"/>
  <c r="R125" i="28"/>
  <c r="P125" i="28"/>
  <c r="O125" i="28"/>
  <c r="N125" i="28"/>
  <c r="M125" i="28"/>
  <c r="H125" i="28"/>
  <c r="F125" i="28"/>
  <c r="E125" i="28"/>
  <c r="D125" i="28"/>
  <c r="C125" i="28"/>
  <c r="R124" i="28"/>
  <c r="P124" i="28"/>
  <c r="O124" i="28"/>
  <c r="N124" i="28"/>
  <c r="M124" i="28"/>
  <c r="H124" i="28"/>
  <c r="F124" i="28"/>
  <c r="E124" i="28"/>
  <c r="D124" i="28"/>
  <c r="C124" i="28"/>
  <c r="R123" i="28"/>
  <c r="P123" i="28"/>
  <c r="O123" i="28"/>
  <c r="N123" i="28"/>
  <c r="M123" i="28"/>
  <c r="H123" i="28"/>
  <c r="F123" i="28"/>
  <c r="E123" i="28"/>
  <c r="D123" i="28"/>
  <c r="C123" i="28"/>
  <c r="R122" i="28"/>
  <c r="P122" i="28"/>
  <c r="O122" i="28"/>
  <c r="N122" i="28"/>
  <c r="M122" i="28"/>
  <c r="H122" i="28"/>
  <c r="F122" i="28"/>
  <c r="E122" i="28"/>
  <c r="D122" i="28"/>
  <c r="C122" i="28"/>
  <c r="R121" i="28"/>
  <c r="P121" i="28"/>
  <c r="O121" i="28"/>
  <c r="N121" i="28"/>
  <c r="M121" i="28"/>
  <c r="H121" i="28"/>
  <c r="F121" i="28"/>
  <c r="E121" i="28"/>
  <c r="D121" i="28"/>
  <c r="C121" i="28"/>
  <c r="R120" i="28"/>
  <c r="P120" i="28"/>
  <c r="O120" i="28"/>
  <c r="N120" i="28"/>
  <c r="M120" i="28"/>
  <c r="H120" i="28"/>
  <c r="F120" i="28"/>
  <c r="E120" i="28"/>
  <c r="D120" i="28"/>
  <c r="C120" i="28"/>
  <c r="R119" i="28"/>
  <c r="P119" i="28"/>
  <c r="O119" i="28"/>
  <c r="N119" i="28"/>
  <c r="M119" i="28"/>
  <c r="H119" i="28"/>
  <c r="F119" i="28"/>
  <c r="E119" i="28"/>
  <c r="D119" i="28"/>
  <c r="C119" i="28"/>
  <c r="R118" i="28"/>
  <c r="P118" i="28"/>
  <c r="O118" i="28"/>
  <c r="N118" i="28"/>
  <c r="M118" i="28"/>
  <c r="H118" i="28"/>
  <c r="F118" i="28"/>
  <c r="E118" i="28"/>
  <c r="D118" i="28"/>
  <c r="C118" i="28"/>
  <c r="R117" i="28"/>
  <c r="P117" i="28"/>
  <c r="O117" i="28"/>
  <c r="N117" i="28"/>
  <c r="M117" i="28"/>
  <c r="H117" i="28"/>
  <c r="F117" i="28"/>
  <c r="E117" i="28"/>
  <c r="D117" i="28"/>
  <c r="C117" i="28"/>
  <c r="R116" i="28"/>
  <c r="P116" i="28"/>
  <c r="O116" i="28"/>
  <c r="N116" i="28"/>
  <c r="M116" i="28"/>
  <c r="H116" i="28"/>
  <c r="F116" i="28"/>
  <c r="E116" i="28"/>
  <c r="D116" i="28"/>
  <c r="C116" i="28"/>
  <c r="R115" i="28"/>
  <c r="P115" i="28"/>
  <c r="O115" i="28"/>
  <c r="N115" i="28"/>
  <c r="M115" i="28"/>
  <c r="H115" i="28"/>
  <c r="F115" i="28"/>
  <c r="E115" i="28"/>
  <c r="D115" i="28"/>
  <c r="C115" i="28"/>
  <c r="R114" i="28"/>
  <c r="P114" i="28"/>
  <c r="O114" i="28"/>
  <c r="N114" i="28"/>
  <c r="M114" i="28"/>
  <c r="H114" i="28"/>
  <c r="F114" i="28"/>
  <c r="E114" i="28"/>
  <c r="D114" i="28"/>
  <c r="C114" i="28"/>
  <c r="R113" i="28"/>
  <c r="P113" i="28"/>
  <c r="O113" i="28"/>
  <c r="N113" i="28"/>
  <c r="M113" i="28"/>
  <c r="H113" i="28"/>
  <c r="F113" i="28"/>
  <c r="E113" i="28"/>
  <c r="D113" i="28"/>
  <c r="C113" i="28"/>
  <c r="R112" i="28"/>
  <c r="P112" i="28"/>
  <c r="O112" i="28"/>
  <c r="N112" i="28"/>
  <c r="M112" i="28"/>
  <c r="H112" i="28"/>
  <c r="F112" i="28"/>
  <c r="E112" i="28"/>
  <c r="D112" i="28"/>
  <c r="C112" i="28"/>
  <c r="R111" i="28"/>
  <c r="P111" i="28"/>
  <c r="O111" i="28"/>
  <c r="N111" i="28"/>
  <c r="M111" i="28"/>
  <c r="H111" i="28"/>
  <c r="F111" i="28"/>
  <c r="E111" i="28"/>
  <c r="D111" i="28"/>
  <c r="C111" i="28"/>
  <c r="R110" i="28"/>
  <c r="P110" i="28"/>
  <c r="O110" i="28"/>
  <c r="N110" i="28"/>
  <c r="M110" i="28"/>
  <c r="H110" i="28"/>
  <c r="F110" i="28"/>
  <c r="E110" i="28"/>
  <c r="D110" i="28"/>
  <c r="C110" i="28"/>
  <c r="R109" i="28"/>
  <c r="P109" i="28"/>
  <c r="O109" i="28"/>
  <c r="N109" i="28"/>
  <c r="M109" i="28"/>
  <c r="H109" i="28"/>
  <c r="F109" i="28"/>
  <c r="E109" i="28"/>
  <c r="D109" i="28"/>
  <c r="C109" i="28"/>
  <c r="R108" i="28"/>
  <c r="P108" i="28"/>
  <c r="O108" i="28"/>
  <c r="N108" i="28"/>
  <c r="M108" i="28"/>
  <c r="H108" i="28"/>
  <c r="F108" i="28"/>
  <c r="E108" i="28"/>
  <c r="D108" i="28"/>
  <c r="C108" i="28"/>
  <c r="R107" i="28"/>
  <c r="P107" i="28"/>
  <c r="O107" i="28"/>
  <c r="N107" i="28"/>
  <c r="M107" i="28"/>
  <c r="H107" i="28"/>
  <c r="F107" i="28"/>
  <c r="E107" i="28"/>
  <c r="D107" i="28"/>
  <c r="C107" i="28"/>
  <c r="R106" i="28"/>
  <c r="P106" i="28"/>
  <c r="O106" i="28"/>
  <c r="N106" i="28"/>
  <c r="M106" i="28"/>
  <c r="H106" i="28"/>
  <c r="F106" i="28"/>
  <c r="E106" i="28"/>
  <c r="D106" i="28"/>
  <c r="C106" i="28"/>
  <c r="R105" i="28"/>
  <c r="P105" i="28"/>
  <c r="O105" i="28"/>
  <c r="N105" i="28"/>
  <c r="M105" i="28"/>
  <c r="H105" i="28"/>
  <c r="F105" i="28"/>
  <c r="E105" i="28"/>
  <c r="D105" i="28"/>
  <c r="C105" i="28"/>
  <c r="R104" i="28"/>
  <c r="P104" i="28"/>
  <c r="O104" i="28"/>
  <c r="N104" i="28"/>
  <c r="M104" i="28"/>
  <c r="H104" i="28"/>
  <c r="F104" i="28"/>
  <c r="E104" i="28"/>
  <c r="D104" i="28"/>
  <c r="C104" i="28"/>
  <c r="R103" i="28"/>
  <c r="P103" i="28"/>
  <c r="O103" i="28"/>
  <c r="N103" i="28"/>
  <c r="M103" i="28"/>
  <c r="H103" i="28"/>
  <c r="F103" i="28"/>
  <c r="E103" i="28"/>
  <c r="D103" i="28"/>
  <c r="C103" i="28"/>
  <c r="R102" i="28"/>
  <c r="P102" i="28"/>
  <c r="O102" i="28"/>
  <c r="N102" i="28"/>
  <c r="M102" i="28"/>
  <c r="H102" i="28"/>
  <c r="F102" i="28"/>
  <c r="E102" i="28"/>
  <c r="D102" i="28"/>
  <c r="C102" i="28"/>
  <c r="R101" i="28"/>
  <c r="P101" i="28"/>
  <c r="O101" i="28"/>
  <c r="N101" i="28"/>
  <c r="M101" i="28"/>
  <c r="H101" i="28"/>
  <c r="F101" i="28"/>
  <c r="E101" i="28"/>
  <c r="D101" i="28"/>
  <c r="C101" i="28"/>
  <c r="K98" i="28"/>
  <c r="L91" i="28"/>
  <c r="Q185" i="28" s="1"/>
  <c r="E91" i="28"/>
  <c r="Q184" i="28" s="1"/>
  <c r="L90" i="28"/>
  <c r="Q168" i="28" s="1"/>
  <c r="E90" i="28"/>
  <c r="Q167" i="28" s="1"/>
  <c r="L89" i="28"/>
  <c r="Q151" i="28" s="1"/>
  <c r="E89" i="28"/>
  <c r="Q150" i="28" s="1"/>
  <c r="L88" i="28"/>
  <c r="Q134" i="28" s="1"/>
  <c r="E88" i="28"/>
  <c r="Q133" i="28" s="1"/>
  <c r="L87" i="28"/>
  <c r="Q117" i="28" s="1"/>
  <c r="E87" i="28"/>
  <c r="Q116" i="28" s="1"/>
  <c r="L86" i="28"/>
  <c r="G202" i="28" s="1"/>
  <c r="E86" i="28"/>
  <c r="G201" i="28" s="1"/>
  <c r="L85" i="28"/>
  <c r="G185" i="28" s="1"/>
  <c r="E85" i="28"/>
  <c r="G184" i="28" s="1"/>
  <c r="L84" i="28"/>
  <c r="G168" i="28" s="1"/>
  <c r="E84" i="28"/>
  <c r="G167" i="28" s="1"/>
  <c r="L83" i="28"/>
  <c r="G151" i="28" s="1"/>
  <c r="E83" i="28"/>
  <c r="G150" i="28" s="1"/>
  <c r="L82" i="28"/>
  <c r="G134" i="28" s="1"/>
  <c r="E82" i="28"/>
  <c r="G133" i="28" s="1"/>
  <c r="L81" i="28"/>
  <c r="G117" i="28" s="1"/>
  <c r="E81" i="28"/>
  <c r="G116" i="28" s="1"/>
  <c r="S76" i="28"/>
  <c r="Q183" i="28" s="1"/>
  <c r="L76" i="28"/>
  <c r="Q182" i="28" s="1"/>
  <c r="E76" i="28"/>
  <c r="Q181" i="28" s="1"/>
  <c r="S75" i="28"/>
  <c r="Q166" i="28" s="1"/>
  <c r="L75" i="28"/>
  <c r="Q165" i="28" s="1"/>
  <c r="E75" i="28"/>
  <c r="Q164" i="28" s="1"/>
  <c r="S74" i="28"/>
  <c r="Q149" i="28" s="1"/>
  <c r="L74" i="28"/>
  <c r="Q148" i="28" s="1"/>
  <c r="E74" i="28"/>
  <c r="Q147" i="28" s="1"/>
  <c r="S73" i="28"/>
  <c r="Q132" i="28" s="1"/>
  <c r="L73" i="28"/>
  <c r="Q131" i="28" s="1"/>
  <c r="E73" i="28"/>
  <c r="Q130" i="28" s="1"/>
  <c r="S72" i="28"/>
  <c r="Q115" i="28" s="1"/>
  <c r="L72" i="28"/>
  <c r="Q114" i="28" s="1"/>
  <c r="E72" i="28"/>
  <c r="Q113" i="28" s="1"/>
  <c r="S71" i="28"/>
  <c r="G200" i="28" s="1"/>
  <c r="L71" i="28"/>
  <c r="G199" i="28" s="1"/>
  <c r="E71" i="28"/>
  <c r="G198" i="28" s="1"/>
  <c r="S70" i="28"/>
  <c r="G183" i="28" s="1"/>
  <c r="L70" i="28"/>
  <c r="G182" i="28" s="1"/>
  <c r="E70" i="28"/>
  <c r="G181" i="28" s="1"/>
  <c r="S69" i="28"/>
  <c r="G166" i="28" s="1"/>
  <c r="L69" i="28"/>
  <c r="G165" i="28" s="1"/>
  <c r="E69" i="28"/>
  <c r="G164" i="28" s="1"/>
  <c r="S68" i="28"/>
  <c r="G149" i="28" s="1"/>
  <c r="L68" i="28"/>
  <c r="G148" i="28" s="1"/>
  <c r="E68" i="28"/>
  <c r="G147" i="28" s="1"/>
  <c r="S67" i="28"/>
  <c r="G132" i="28" s="1"/>
  <c r="L67" i="28"/>
  <c r="G131" i="28" s="1"/>
  <c r="E67" i="28"/>
  <c r="G130" i="28" s="1"/>
  <c r="S66" i="28"/>
  <c r="G115" i="28" s="1"/>
  <c r="L66" i="28"/>
  <c r="G114" i="28" s="1"/>
  <c r="E66" i="28"/>
  <c r="G113" i="28" s="1"/>
  <c r="S61" i="28"/>
  <c r="Q180" i="28" s="1"/>
  <c r="L61" i="28"/>
  <c r="Q179" i="28" s="1"/>
  <c r="E61" i="28"/>
  <c r="Q178" i="28" s="1"/>
  <c r="S60" i="28"/>
  <c r="Q163" i="28" s="1"/>
  <c r="L60" i="28"/>
  <c r="Q162" i="28" s="1"/>
  <c r="E60" i="28"/>
  <c r="Q161" i="28" s="1"/>
  <c r="S59" i="28"/>
  <c r="Q146" i="28" s="1"/>
  <c r="L59" i="28"/>
  <c r="Q145" i="28" s="1"/>
  <c r="E59" i="28"/>
  <c r="Q144" i="28" s="1"/>
  <c r="S58" i="28"/>
  <c r="Q129" i="28" s="1"/>
  <c r="L58" i="28"/>
  <c r="Q128" i="28" s="1"/>
  <c r="E58" i="28"/>
  <c r="Q127" i="28" s="1"/>
  <c r="S57" i="28"/>
  <c r="Q112" i="28" s="1"/>
  <c r="L57" i="28"/>
  <c r="Q111" i="28" s="1"/>
  <c r="E57" i="28"/>
  <c r="Q110" i="28" s="1"/>
  <c r="S56" i="28"/>
  <c r="G197" i="28" s="1"/>
  <c r="L56" i="28"/>
  <c r="G196" i="28" s="1"/>
  <c r="E56" i="28"/>
  <c r="G195" i="28" s="1"/>
  <c r="S55" i="28"/>
  <c r="G180" i="28" s="1"/>
  <c r="L55" i="28"/>
  <c r="G179" i="28" s="1"/>
  <c r="E55" i="28"/>
  <c r="G178" i="28" s="1"/>
  <c r="S54" i="28"/>
  <c r="G163" i="28" s="1"/>
  <c r="L54" i="28"/>
  <c r="G162" i="28" s="1"/>
  <c r="E54" i="28"/>
  <c r="G161" i="28" s="1"/>
  <c r="S53" i="28"/>
  <c r="G146" i="28" s="1"/>
  <c r="L53" i="28"/>
  <c r="G145" i="28" s="1"/>
  <c r="E53" i="28"/>
  <c r="G144" i="28" s="1"/>
  <c r="S52" i="28"/>
  <c r="G129" i="28" s="1"/>
  <c r="L52" i="28"/>
  <c r="G128" i="28" s="1"/>
  <c r="E52" i="28"/>
  <c r="G127" i="28" s="1"/>
  <c r="S51" i="28"/>
  <c r="G112" i="28" s="1"/>
  <c r="L51" i="28"/>
  <c r="G111" i="28" s="1"/>
  <c r="E51" i="28"/>
  <c r="G110" i="28" s="1"/>
  <c r="S46" i="28"/>
  <c r="Q177" i="28" s="1"/>
  <c r="L46" i="28"/>
  <c r="Q176" i="28" s="1"/>
  <c r="E46" i="28"/>
  <c r="Q175" i="28" s="1"/>
  <c r="S45" i="28"/>
  <c r="Q160" i="28" s="1"/>
  <c r="L45" i="28"/>
  <c r="Q159" i="28" s="1"/>
  <c r="E45" i="28"/>
  <c r="Q158" i="28" s="1"/>
  <c r="S44" i="28"/>
  <c r="Q143" i="28" s="1"/>
  <c r="L44" i="28"/>
  <c r="Q142" i="28" s="1"/>
  <c r="E44" i="28"/>
  <c r="Q141" i="28" s="1"/>
  <c r="S43" i="28"/>
  <c r="Q126" i="28" s="1"/>
  <c r="L43" i="28"/>
  <c r="Q125" i="28" s="1"/>
  <c r="E43" i="28"/>
  <c r="Q124" i="28" s="1"/>
  <c r="S42" i="28"/>
  <c r="Q109" i="28" s="1"/>
  <c r="L42" i="28"/>
  <c r="Q108" i="28" s="1"/>
  <c r="E42" i="28"/>
  <c r="Q107" i="28" s="1"/>
  <c r="S41" i="28"/>
  <c r="G194" i="28" s="1"/>
  <c r="L41" i="28"/>
  <c r="G193" i="28" s="1"/>
  <c r="E41" i="28"/>
  <c r="G192" i="28" s="1"/>
  <c r="S40" i="28"/>
  <c r="G177" i="28" s="1"/>
  <c r="L40" i="28"/>
  <c r="G176" i="28" s="1"/>
  <c r="E40" i="28"/>
  <c r="G175" i="28" s="1"/>
  <c r="S39" i="28"/>
  <c r="G160" i="28" s="1"/>
  <c r="L39" i="28"/>
  <c r="G159" i="28" s="1"/>
  <c r="E39" i="28"/>
  <c r="G158" i="28" s="1"/>
  <c r="S38" i="28"/>
  <c r="G143" i="28" s="1"/>
  <c r="L38" i="28"/>
  <c r="G142" i="28" s="1"/>
  <c r="E38" i="28"/>
  <c r="G141" i="28" s="1"/>
  <c r="S37" i="28"/>
  <c r="G126" i="28" s="1"/>
  <c r="L37" i="28"/>
  <c r="G125" i="28" s="1"/>
  <c r="E37" i="28"/>
  <c r="G124" i="28" s="1"/>
  <c r="S36" i="28"/>
  <c r="G109" i="28" s="1"/>
  <c r="L36" i="28"/>
  <c r="G108" i="28" s="1"/>
  <c r="E36" i="28"/>
  <c r="G107" i="28" s="1"/>
  <c r="S30" i="28"/>
  <c r="Q174" i="28" s="1"/>
  <c r="L30" i="28"/>
  <c r="Q173" i="28" s="1"/>
  <c r="E30" i="28"/>
  <c r="Q172" i="28" s="1"/>
  <c r="S29" i="28"/>
  <c r="Q157" i="28" s="1"/>
  <c r="L29" i="28"/>
  <c r="Q156" i="28" s="1"/>
  <c r="E29" i="28"/>
  <c r="Q155" i="28" s="1"/>
  <c r="S28" i="28"/>
  <c r="Q140" i="28" s="1"/>
  <c r="L28" i="28"/>
  <c r="Q139" i="28" s="1"/>
  <c r="E28" i="28"/>
  <c r="Q138" i="28" s="1"/>
  <c r="S27" i="28"/>
  <c r="Q123" i="28" s="1"/>
  <c r="L27" i="28"/>
  <c r="Q122" i="28" s="1"/>
  <c r="E27" i="28"/>
  <c r="Q121" i="28" s="1"/>
  <c r="S26" i="28"/>
  <c r="Q106" i="28" s="1"/>
  <c r="L26" i="28"/>
  <c r="Q105" i="28" s="1"/>
  <c r="E26" i="28"/>
  <c r="Q104" i="28" s="1"/>
  <c r="S25" i="28"/>
  <c r="G191" i="28" s="1"/>
  <c r="L25" i="28"/>
  <c r="E25" i="28"/>
  <c r="G189" i="28" s="1"/>
  <c r="S24" i="28"/>
  <c r="G174" i="28" s="1"/>
  <c r="L24" i="28"/>
  <c r="G173" i="28" s="1"/>
  <c r="E24" i="28"/>
  <c r="G172" i="28" s="1"/>
  <c r="S23" i="28"/>
  <c r="G157" i="28" s="1"/>
  <c r="L23" i="28"/>
  <c r="G156" i="28" s="1"/>
  <c r="E23" i="28"/>
  <c r="G155" i="28" s="1"/>
  <c r="S22" i="28"/>
  <c r="G140" i="28" s="1"/>
  <c r="L22" i="28"/>
  <c r="G139" i="28" s="1"/>
  <c r="E22" i="28"/>
  <c r="G138" i="28" s="1"/>
  <c r="S21" i="28"/>
  <c r="G123" i="28" s="1"/>
  <c r="L21" i="28"/>
  <c r="G122" i="28" s="1"/>
  <c r="E21" i="28"/>
  <c r="G121" i="28" s="1"/>
  <c r="S20" i="28"/>
  <c r="G106" i="28" s="1"/>
  <c r="L20" i="28"/>
  <c r="G105" i="28" s="1"/>
  <c r="E20" i="28"/>
  <c r="G104" i="28" s="1"/>
  <c r="A19" i="28"/>
  <c r="A35" i="28" s="1"/>
  <c r="A18" i="28"/>
  <c r="A34" i="28" s="1"/>
  <c r="F17" i="28"/>
  <c r="F33" i="28" s="1"/>
  <c r="S15" i="28"/>
  <c r="Q171" i="28" s="1"/>
  <c r="L15" i="28"/>
  <c r="Q170" i="28" s="1"/>
  <c r="E15" i="28"/>
  <c r="Q169" i="28" s="1"/>
  <c r="S14" i="28"/>
  <c r="Q154" i="28" s="1"/>
  <c r="L14" i="28"/>
  <c r="Q153" i="28" s="1"/>
  <c r="E14" i="28"/>
  <c r="Q152" i="28" s="1"/>
  <c r="S13" i="28"/>
  <c r="Q137" i="28" s="1"/>
  <c r="L13" i="28"/>
  <c r="Q136" i="28" s="1"/>
  <c r="E13" i="28"/>
  <c r="Q135" i="28" s="1"/>
  <c r="S12" i="28"/>
  <c r="Q120" i="28" s="1"/>
  <c r="L12" i="28"/>
  <c r="Q119" i="28" s="1"/>
  <c r="E12" i="28"/>
  <c r="Q118" i="28" s="1"/>
  <c r="S11" i="28"/>
  <c r="Q103" i="28" s="1"/>
  <c r="L11" i="28"/>
  <c r="Q102" i="28" s="1"/>
  <c r="E11" i="28"/>
  <c r="Q101" i="28" s="1"/>
  <c r="S10" i="28"/>
  <c r="G188" i="28" s="1"/>
  <c r="L10" i="28"/>
  <c r="G187" i="28" s="1"/>
  <c r="E10" i="28"/>
  <c r="G186" i="28" s="1"/>
  <c r="S9" i="28"/>
  <c r="G171" i="28" s="1"/>
  <c r="L9" i="28"/>
  <c r="G170" i="28" s="1"/>
  <c r="E9" i="28"/>
  <c r="G169" i="28" s="1"/>
  <c r="S8" i="28"/>
  <c r="G154" i="28" s="1"/>
  <c r="L8" i="28"/>
  <c r="G153" i="28" s="1"/>
  <c r="E8" i="28"/>
  <c r="G152" i="28" s="1"/>
  <c r="S7" i="28"/>
  <c r="G137" i="28" s="1"/>
  <c r="L7" i="28"/>
  <c r="G136" i="28" s="1"/>
  <c r="E7" i="28"/>
  <c r="G135" i="28" s="1"/>
  <c r="S6" i="28"/>
  <c r="G120" i="28" s="1"/>
  <c r="L6" i="28"/>
  <c r="G119" i="28" s="1"/>
  <c r="E6" i="28"/>
  <c r="G118" i="28" s="1"/>
  <c r="S5" i="28"/>
  <c r="G103" i="28" s="1"/>
  <c r="L5" i="28"/>
  <c r="G102" i="28" s="1"/>
  <c r="E5" i="28"/>
  <c r="G101" i="28" s="1"/>
  <c r="H4" i="28"/>
  <c r="O4" i="28" s="1"/>
  <c r="H3" i="28"/>
  <c r="O3" i="28" s="1"/>
  <c r="M2" i="28"/>
  <c r="T2" i="28" s="1"/>
  <c r="N147" i="29" l="1"/>
  <c r="P147" i="29" s="1"/>
  <c r="E17" i="4"/>
  <c r="H18" i="28"/>
  <c r="O18" i="28" s="1"/>
  <c r="C207" i="28"/>
  <c r="D207" i="28"/>
  <c r="B207" i="28"/>
  <c r="A248" i="28"/>
  <c r="A205" i="28" s="1"/>
  <c r="M33" i="28"/>
  <c r="M48" i="28" s="1"/>
  <c r="M63" i="28" s="1"/>
  <c r="M78" i="28" s="1"/>
  <c r="T33" i="28"/>
  <c r="T48" i="28" s="1"/>
  <c r="T63" i="28" s="1"/>
  <c r="F48" i="28"/>
  <c r="F63" i="28" s="1"/>
  <c r="F78" i="28" s="1"/>
  <c r="H34" i="28"/>
  <c r="H49" i="28" s="1"/>
  <c r="H64" i="28" s="1"/>
  <c r="H79" i="28" s="1"/>
  <c r="A49" i="28"/>
  <c r="A64" i="28" s="1"/>
  <c r="A79" i="28" s="1"/>
  <c r="O34" i="28"/>
  <c r="O49" i="28" s="1"/>
  <c r="O64" i="28" s="1"/>
  <c r="A50" i="28"/>
  <c r="A65" i="28" s="1"/>
  <c r="A80" i="28" s="1"/>
  <c r="O35" i="28"/>
  <c r="O50" i="28" s="1"/>
  <c r="O65" i="28" s="1"/>
  <c r="H35" i="28"/>
  <c r="H50" i="28" s="1"/>
  <c r="H65" i="28" s="1"/>
  <c r="H80" i="28" s="1"/>
  <c r="H19" i="28"/>
  <c r="O19" i="28" s="1"/>
  <c r="M17" i="28"/>
  <c r="T17" i="28" s="1"/>
  <c r="O230" i="28" l="1"/>
  <c r="B52" i="13" s="1"/>
  <c r="B217" i="28"/>
  <c r="B210" i="28"/>
  <c r="B213" i="28"/>
  <c r="B218" i="28"/>
  <c r="B209" i="28"/>
  <c r="D218" i="28"/>
  <c r="D217" i="28"/>
  <c r="D216" i="28"/>
  <c r="D215" i="28"/>
  <c r="D214" i="28"/>
  <c r="D213" i="28"/>
  <c r="D212" i="28"/>
  <c r="D211" i="28"/>
  <c r="D210" i="28"/>
  <c r="D209" i="28"/>
  <c r="D208" i="28"/>
  <c r="C218" i="28"/>
  <c r="C217" i="28"/>
  <c r="C216" i="28"/>
  <c r="C215" i="28"/>
  <c r="C214" i="28"/>
  <c r="C213" i="28"/>
  <c r="C212" i="28"/>
  <c r="C211" i="28"/>
  <c r="C210" i="28"/>
  <c r="C209" i="28"/>
  <c r="C208" i="28"/>
  <c r="B216" i="28"/>
  <c r="B215" i="28"/>
  <c r="B214" i="28"/>
  <c r="B212" i="28"/>
  <c r="B211" i="28"/>
  <c r="B208" i="28"/>
  <c r="A218" i="28"/>
  <c r="A217" i="28"/>
  <c r="A216" i="28"/>
  <c r="A215" i="28"/>
  <c r="A214" i="28"/>
  <c r="A213" i="28"/>
  <c r="A212" i="28"/>
  <c r="A211" i="28"/>
  <c r="A210" i="28"/>
  <c r="A209" i="28"/>
  <c r="A208" i="28"/>
  <c r="H218" i="28"/>
  <c r="G218" i="28" s="1"/>
  <c r="H217" i="28"/>
  <c r="G217" i="28" s="1"/>
  <c r="H216" i="28"/>
  <c r="G216" i="28" s="1"/>
  <c r="H215" i="28"/>
  <c r="G215" i="28" s="1"/>
  <c r="H214" i="28"/>
  <c r="G214" i="28" s="1"/>
  <c r="H213" i="28"/>
  <c r="G213" i="28" s="1"/>
  <c r="H212" i="28"/>
  <c r="G212" i="28" s="1"/>
  <c r="H211" i="28"/>
  <c r="G211" i="28" s="1"/>
  <c r="H210" i="28"/>
  <c r="G210" i="28" s="1"/>
  <c r="H209" i="28"/>
  <c r="G209" i="28" s="1"/>
  <c r="H208" i="28"/>
  <c r="G208" i="28" s="1"/>
  <c r="F211" i="28" l="1"/>
  <c r="E211" i="28"/>
  <c r="F212" i="28"/>
  <c r="E212" i="28"/>
  <c r="F214" i="28"/>
  <c r="E214" i="28"/>
  <c r="F215" i="28"/>
  <c r="E215" i="28"/>
  <c r="F209" i="28"/>
  <c r="E209" i="28"/>
  <c r="F216" i="28"/>
  <c r="E216" i="28"/>
  <c r="F218" i="28"/>
  <c r="E218" i="28"/>
  <c r="F213" i="28"/>
  <c r="E213" i="28"/>
  <c r="F210" i="28"/>
  <c r="E210" i="28"/>
  <c r="F208" i="28"/>
  <c r="E208" i="28"/>
  <c r="F217" i="28"/>
  <c r="E217" i="28"/>
  <c r="L45" i="13" l="1"/>
  <c r="E227" i="28" s="1"/>
  <c r="F34" i="21"/>
  <c r="A11" i="21" l="1"/>
  <c r="A11" i="4"/>
  <c r="A10" i="13"/>
  <c r="A10" i="21" s="1"/>
  <c r="A9" i="13"/>
  <c r="A9" i="4" s="1"/>
  <c r="A9" i="21" s="1"/>
  <c r="A10" i="4" l="1"/>
  <c r="B66" i="4" l="1"/>
  <c r="B75" i="21" s="1"/>
  <c r="J34" i="21" l="1"/>
  <c r="G34" i="21"/>
  <c r="J45" i="13" l="1"/>
  <c r="B227" i="28" s="1"/>
  <c r="J39" i="13"/>
  <c r="S39" i="13" s="1"/>
  <c r="K39" i="13" s="1"/>
  <c r="J38" i="13"/>
  <c r="S38" i="13" s="1"/>
  <c r="K38" i="13" s="1"/>
  <c r="J37" i="13"/>
  <c r="S37" i="13" s="1"/>
  <c r="K37" i="13" s="1"/>
  <c r="J41" i="13"/>
  <c r="S41" i="13" s="1"/>
  <c r="K41" i="13" s="1"/>
  <c r="J40" i="13"/>
  <c r="S40" i="13" s="1"/>
  <c r="K40" i="13" s="1"/>
  <c r="D227" i="28" l="1"/>
  <c r="S45" i="13" l="1"/>
  <c r="K45" i="13" s="1"/>
  <c r="J227" i="28"/>
  <c r="D39" i="12" s="1"/>
  <c r="F227" i="28"/>
  <c r="G227" i="28" s="1"/>
  <c r="I227" i="28"/>
  <c r="H227" i="28"/>
  <c r="L227" i="28"/>
  <c r="D40" i="12" s="1"/>
  <c r="K26" i="4"/>
  <c r="A31" i="21" l="1"/>
  <c r="B33" i="4"/>
  <c r="B33" i="21" s="1"/>
  <c r="B43" i="13" l="1"/>
  <c r="B43" i="4" s="1"/>
  <c r="B43" i="21" s="1"/>
  <c r="B32" i="13"/>
  <c r="B32" i="4" s="1"/>
  <c r="B32" i="21" s="1"/>
  <c r="B31" i="13"/>
  <c r="B31" i="4" s="1"/>
  <c r="B31" i="21" s="1"/>
  <c r="B60" i="4" l="1"/>
  <c r="K28" i="4" l="1"/>
  <c r="K29" i="4"/>
  <c r="K27" i="4"/>
  <c r="C27" i="4" l="1"/>
  <c r="C27" i="21" s="1"/>
  <c r="C28" i="4"/>
  <c r="C28" i="21" s="1"/>
  <c r="P27" i="12" l="1"/>
  <c r="P17" i="12"/>
  <c r="P7" i="12"/>
  <c r="D27" i="12"/>
  <c r="D17" i="12"/>
  <c r="D7" i="12"/>
  <c r="A5" i="13"/>
  <c r="A5" i="4" s="1"/>
  <c r="A5" i="21" s="1"/>
  <c r="A6" i="13"/>
  <c r="A6" i="4" s="1"/>
  <c r="A6" i="21" s="1"/>
  <c r="A7" i="13"/>
  <c r="A7" i="4" s="1"/>
  <c r="A7" i="21" s="1"/>
  <c r="A4" i="13"/>
  <c r="A4" i="4" s="1"/>
  <c r="A4" i="21" s="1"/>
  <c r="A12" i="21" l="1"/>
  <c r="C26" i="21"/>
  <c r="I26" i="21"/>
  <c r="I29" i="21"/>
  <c r="P21" i="4" l="1"/>
  <c r="P20" i="4"/>
  <c r="P23" i="4" l="1"/>
  <c r="L29" i="4"/>
  <c r="L26" i="4"/>
  <c r="C26" i="4"/>
  <c r="B21" i="13"/>
  <c r="B20" i="13"/>
  <c r="L28" i="13" l="1"/>
  <c r="K94" i="13" s="1"/>
  <c r="L27" i="13"/>
  <c r="K91" i="13" s="1"/>
  <c r="P27" i="4" s="1"/>
  <c r="P28" i="4" l="1"/>
  <c r="I28" i="21"/>
  <c r="L28" i="4"/>
  <c r="I27" i="21"/>
  <c r="L90" i="13"/>
  <c r="L27" i="4"/>
  <c r="B50" i="4"/>
  <c r="B50" i="21" s="1"/>
  <c r="B51" i="4"/>
  <c r="B51" i="21" s="1"/>
  <c r="E21" i="4"/>
  <c r="E20" i="4"/>
  <c r="D5" i="21"/>
  <c r="D6" i="21"/>
  <c r="D10" i="21"/>
  <c r="D11" i="21"/>
  <c r="D12" i="21"/>
  <c r="D4" i="21"/>
  <c r="D70" i="4"/>
  <c r="B52" i="4"/>
  <c r="B52" i="21" s="1"/>
  <c r="O24" i="12"/>
  <c r="O14" i="12"/>
  <c r="O4" i="12"/>
  <c r="Q27" i="12"/>
  <c r="Q17" i="12"/>
  <c r="Q7" i="12"/>
  <c r="C35" i="12"/>
  <c r="C24" i="12"/>
  <c r="C14" i="12"/>
  <c r="C4" i="12"/>
  <c r="P26" i="12"/>
  <c r="L41" i="13"/>
  <c r="P16" i="12" s="1"/>
  <c r="E41" i="4"/>
  <c r="L40" i="13"/>
  <c r="P6" i="12" s="1"/>
  <c r="E40" i="4"/>
  <c r="L39" i="13"/>
  <c r="D26" i="12" s="1"/>
  <c r="L38" i="13"/>
  <c r="D16" i="12" s="1"/>
  <c r="E38" i="4"/>
  <c r="D6" i="12"/>
  <c r="D37" i="12"/>
  <c r="B59" i="4"/>
  <c r="B70" i="21" s="1"/>
  <c r="D38" i="12"/>
  <c r="B49" i="4"/>
  <c r="B49" i="21" s="1"/>
  <c r="E39" i="12"/>
  <c r="E40" i="12"/>
  <c r="E38" i="12"/>
  <c r="B67" i="4"/>
  <c r="B76" i="21" s="1"/>
  <c r="B58" i="4"/>
  <c r="B69" i="21" s="1"/>
  <c r="B57" i="4"/>
  <c r="B68" i="21" s="1"/>
  <c r="A12" i="4"/>
  <c r="B48" i="4"/>
  <c r="B48" i="21" s="1"/>
  <c r="E27" i="12"/>
  <c r="E17" i="12"/>
  <c r="S27" i="13" l="1"/>
  <c r="B54" i="13" s="1"/>
  <c r="B54" i="4" s="1"/>
  <c r="B54" i="21" s="1"/>
  <c r="E41" i="21"/>
  <c r="E38" i="21"/>
  <c r="E40" i="21"/>
  <c r="E37" i="4"/>
  <c r="H37" i="4" s="1"/>
  <c r="D38" i="4"/>
  <c r="D38" i="21" s="1"/>
  <c r="D40" i="4"/>
  <c r="D40" i="21" s="1"/>
  <c r="E39" i="4"/>
  <c r="D41" i="4"/>
  <c r="D41" i="21" s="1"/>
  <c r="G17" i="12"/>
  <c r="I17" i="12" s="1"/>
  <c r="J17" i="12" s="1"/>
  <c r="G29" i="21"/>
  <c r="H29" i="21" s="1"/>
  <c r="G38" i="12"/>
  <c r="I38" i="12" s="1"/>
  <c r="J38" i="12" s="1"/>
  <c r="S17" i="12"/>
  <c r="U17" i="12" s="1"/>
  <c r="W17" i="12" s="1"/>
  <c r="Z40" i="4"/>
  <c r="Z38" i="4"/>
  <c r="Z41" i="4"/>
  <c r="G27" i="12"/>
  <c r="I27" i="12" s="1"/>
  <c r="J27" i="12" s="1"/>
  <c r="S7" i="12"/>
  <c r="U7" i="12" s="1"/>
  <c r="V7" i="12" s="1"/>
  <c r="S27" i="12"/>
  <c r="U27" i="12" s="1"/>
  <c r="V27" i="12" s="1"/>
  <c r="G7" i="12"/>
  <c r="I7" i="12" s="1"/>
  <c r="K7" i="12" s="1"/>
  <c r="S16" i="12"/>
  <c r="U16" i="12" s="1"/>
  <c r="V16" i="12" s="1"/>
  <c r="S26" i="12"/>
  <c r="U26" i="12" s="1"/>
  <c r="V26" i="12" s="1"/>
  <c r="G37" i="12"/>
  <c r="I37" i="12" s="1"/>
  <c r="J37" i="12" s="1"/>
  <c r="G6" i="12"/>
  <c r="I6" i="12" s="1"/>
  <c r="J6" i="12" s="1"/>
  <c r="G16" i="12"/>
  <c r="I16" i="12" s="1"/>
  <c r="J16" i="12" s="1"/>
  <c r="G26" i="12"/>
  <c r="I26" i="12" s="1"/>
  <c r="K26" i="12" s="1"/>
  <c r="S6" i="12"/>
  <c r="U6" i="12" s="1"/>
  <c r="W6" i="12" s="1"/>
  <c r="Q26" i="13" l="1"/>
  <c r="P30" i="4" s="1"/>
  <c r="B53" i="4"/>
  <c r="B53" i="21" s="1"/>
  <c r="F38" i="4"/>
  <c r="K38" i="12"/>
  <c r="F41" i="4"/>
  <c r="H37" i="21"/>
  <c r="F40" i="4"/>
  <c r="E39" i="21"/>
  <c r="E37" i="21"/>
  <c r="D37" i="4"/>
  <c r="F37" i="4" s="1"/>
  <c r="G37" i="4" s="1"/>
  <c r="Z37" i="4"/>
  <c r="D39" i="4"/>
  <c r="D39" i="21" s="1"/>
  <c r="Z39" i="4"/>
  <c r="K17" i="12"/>
  <c r="V17" i="12"/>
  <c r="V18" i="12" s="1"/>
  <c r="V19" i="12" s="1"/>
  <c r="K27" i="12"/>
  <c r="K28" i="12" s="1"/>
  <c r="W27" i="12"/>
  <c r="J7" i="12"/>
  <c r="J8" i="12" s="1"/>
  <c r="J9" i="12" s="1"/>
  <c r="K16" i="12"/>
  <c r="J26" i="12"/>
  <c r="J28" i="12" s="1"/>
  <c r="J29" i="12" s="1"/>
  <c r="W16" i="12"/>
  <c r="W18" i="12" s="1"/>
  <c r="K37" i="12"/>
  <c r="G28" i="21"/>
  <c r="H28" i="21" s="1"/>
  <c r="V6" i="12"/>
  <c r="V8" i="12" s="1"/>
  <c r="V9" i="12" s="1"/>
  <c r="W7" i="12"/>
  <c r="W8" i="12" s="1"/>
  <c r="K6" i="12"/>
  <c r="K8" i="12" s="1"/>
  <c r="J18" i="12"/>
  <c r="J19" i="12" s="1"/>
  <c r="V28" i="12"/>
  <c r="V29" i="12" s="1"/>
  <c r="W26" i="12"/>
  <c r="U27" i="4" l="1"/>
  <c r="U28" i="4" s="1"/>
  <c r="U29" i="4" s="1"/>
  <c r="F41" i="21"/>
  <c r="G41" i="4"/>
  <c r="G41" i="21" s="1"/>
  <c r="F38" i="21"/>
  <c r="G38" i="4"/>
  <c r="G38" i="21" s="1"/>
  <c r="F40" i="21"/>
  <c r="G40" i="4"/>
  <c r="G40" i="21" s="1"/>
  <c r="F37" i="21"/>
  <c r="F39" i="4"/>
  <c r="AC37" i="4"/>
  <c r="AD37" i="4" s="1"/>
  <c r="AE37" i="4" s="1"/>
  <c r="W28" i="12"/>
  <c r="V30" i="12" s="1"/>
  <c r="V31" i="12" s="1"/>
  <c r="V32" i="12" s="1"/>
  <c r="K18" i="12"/>
  <c r="J20" i="12" s="1"/>
  <c r="J21" i="12" s="1"/>
  <c r="J22" i="12" s="1"/>
  <c r="J38" i="4" s="1"/>
  <c r="K38" i="21" s="1"/>
  <c r="J38" i="21" s="1"/>
  <c r="D37" i="21"/>
  <c r="G27" i="21"/>
  <c r="H27" i="21" s="1"/>
  <c r="J30" i="12"/>
  <c r="J31" i="12" s="1"/>
  <c r="J32" i="12" s="1"/>
  <c r="J39" i="4" s="1"/>
  <c r="K39" i="21" s="1"/>
  <c r="J39" i="21" s="1"/>
  <c r="E45" i="4"/>
  <c r="G45" i="4" s="1"/>
  <c r="V10" i="12"/>
  <c r="V11" i="12" s="1"/>
  <c r="V12" i="12" s="1"/>
  <c r="J40" i="4" s="1"/>
  <c r="K40" i="21" s="1"/>
  <c r="J40" i="21" s="1"/>
  <c r="G26" i="21"/>
  <c r="H26" i="21" s="1"/>
  <c r="J10" i="12"/>
  <c r="J11" i="12" s="1"/>
  <c r="J12" i="12" s="1"/>
  <c r="J37" i="4" s="1"/>
  <c r="I37" i="4" s="1"/>
  <c r="V20" i="12"/>
  <c r="V21" i="12" s="1"/>
  <c r="V22" i="12" s="1"/>
  <c r="J41" i="4" s="1"/>
  <c r="K41" i="21" s="1"/>
  <c r="J41" i="21" s="1"/>
  <c r="P31" i="4" l="1"/>
  <c r="F39" i="21"/>
  <c r="G39" i="4"/>
  <c r="G39" i="21" s="1"/>
  <c r="M37" i="4"/>
  <c r="M40" i="4"/>
  <c r="X40" i="4" s="1"/>
  <c r="I40" i="4"/>
  <c r="M41" i="4"/>
  <c r="X41" i="4" s="1"/>
  <c r="I41" i="4"/>
  <c r="M38" i="4"/>
  <c r="I38" i="4"/>
  <c r="G45" i="21"/>
  <c r="E45" i="21"/>
  <c r="K37" i="21"/>
  <c r="J37" i="21" s="1"/>
  <c r="D45" i="4"/>
  <c r="D45" i="21" s="1"/>
  <c r="X47" i="4"/>
  <c r="G39" i="12"/>
  <c r="I39" i="12" s="1"/>
  <c r="G37" i="21" l="1"/>
  <c r="X38" i="4"/>
  <c r="Y38" i="4" s="1"/>
  <c r="X37" i="4"/>
  <c r="Y37" i="4" s="1"/>
  <c r="M39" i="4"/>
  <c r="X39" i="4" s="1"/>
  <c r="Y39" i="4" s="1"/>
  <c r="I39" i="4"/>
  <c r="Y41" i="4"/>
  <c r="F45" i="4"/>
  <c r="F45" i="21" s="1"/>
  <c r="G40" i="12"/>
  <c r="I40" i="12" s="1"/>
  <c r="K39" i="12"/>
  <c r="J39" i="12"/>
  <c r="P37" i="4" l="1"/>
  <c r="Q37" i="4" s="1"/>
  <c r="Y40" i="4"/>
  <c r="Y42" i="4" s="1"/>
  <c r="K39" i="4"/>
  <c r="K38" i="4"/>
  <c r="K41" i="4"/>
  <c r="K37" i="4"/>
  <c r="K40" i="4"/>
  <c r="J40" i="12"/>
  <c r="J41" i="12" s="1"/>
  <c r="J42" i="12" s="1"/>
  <c r="K40" i="12"/>
  <c r="K41" i="12" s="1"/>
  <c r="J43" i="12" l="1"/>
  <c r="J44" i="12" s="1"/>
  <c r="J45" i="12" s="1"/>
  <c r="I45" i="4" l="1"/>
  <c r="H45" i="4" s="1"/>
  <c r="L45" i="4" l="1"/>
  <c r="Z45" i="4" s="1"/>
  <c r="I45" i="21"/>
  <c r="H45" i="21" s="1"/>
  <c r="X45" i="4" l="1"/>
  <c r="P45" i="4" s="1"/>
  <c r="X49" i="4" l="1"/>
  <c r="O56" i="4" s="1"/>
  <c r="Q45" i="4"/>
  <c r="Q43" i="4" s="1"/>
  <c r="R43" i="4" s="1"/>
  <c r="J45" i="4"/>
  <c r="K68" i="4" l="1"/>
  <c r="H1" i="32" s="1"/>
  <c r="F2" i="13" l="1"/>
  <c r="A2" i="4" s="1"/>
  <c r="A2" i="21" s="1"/>
  <c r="B63" i="13" l="1"/>
  <c r="B63" i="4" s="1"/>
  <c r="B73" i="2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B44C6127-A88A-4166-A785-65939A94CDF9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AA94A53E-1A50-4802-B6D9-F218AC5250E4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 E402WA</author>
    <author>Windows 8.1</author>
  </authors>
  <commentList>
    <comment ref="P26" authorId="0" shapeId="0" xr:uid="{649D74FD-DEF7-4847-9D58-209750FB623D}">
      <text>
        <r>
          <rPr>
            <b/>
            <sz val="12"/>
            <color indexed="81"/>
            <rFont val="Tahoma"/>
            <family val="2"/>
          </rPr>
          <t>INPUT "G" &amp; "NG"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Baris warna hijau bisa dipilih</t>
        </r>
      </text>
    </comment>
    <comment ref="P27" authorId="0" shapeId="0" xr:uid="{455ACAC8-23DB-4278-862C-3E61186AC08E}">
      <text>
        <r>
          <rPr>
            <b/>
            <sz val="11"/>
            <color indexed="81"/>
            <rFont val="Tahoma"/>
            <family val="2"/>
          </rPr>
          <t>NC = NORMAL CLOSE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0" shapeId="0" xr:uid="{C9E531CA-8C88-4AE9-B934-2DF4A315D8E2}">
      <text>
        <r>
          <rPr>
            <b/>
            <sz val="11"/>
            <color indexed="81"/>
            <rFont val="Tahoma"/>
            <family val="2"/>
          </rPr>
          <t>INPUT NILAI "NC" DISINI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100-000005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7" authorId="0" shapeId="0" xr:uid="{00000000-0006-0000-0100-000008000000}">
      <text>
        <r>
          <rPr>
            <b/>
            <sz val="11"/>
            <color indexed="81"/>
            <rFont val="Tahoma"/>
            <family val="2"/>
          </rPr>
          <t>Pada setting alat diisi sesuai setting di lembar kerja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<sst xmlns="http://schemas.openxmlformats.org/spreadsheetml/2006/main" count="2023" uniqueCount="467">
  <si>
    <t>No. Seri</t>
  </si>
  <si>
    <t>2. Fungsi</t>
  </si>
  <si>
    <t>III.</t>
  </si>
  <si>
    <t xml:space="preserve">IV. </t>
  </si>
  <si>
    <t>Parameter</t>
  </si>
  <si>
    <t>I</t>
  </si>
  <si>
    <t>II</t>
  </si>
  <si>
    <t>III</t>
  </si>
  <si>
    <t>IV</t>
  </si>
  <si>
    <t>V</t>
  </si>
  <si>
    <t xml:space="preserve">I.     </t>
  </si>
  <si>
    <t>Kondisi Ruang</t>
  </si>
  <si>
    <t xml:space="preserve">II.     </t>
  </si>
  <si>
    <t>1. Fisik</t>
  </si>
  <si>
    <t>No</t>
  </si>
  <si>
    <t xml:space="preserve"> Ambang Batas yang Diijinkan</t>
  </si>
  <si>
    <t>Alat Yang Digunakan :</t>
  </si>
  <si>
    <t>VII.</t>
  </si>
  <si>
    <t>Keterangan :</t>
  </si>
  <si>
    <t>Model/Tipe</t>
  </si>
  <si>
    <t>Merek</t>
  </si>
  <si>
    <t>2. Kelembaban Relatif</t>
  </si>
  <si>
    <t xml:space="preserve">1. Suhu </t>
  </si>
  <si>
    <t>Ketidakpastian               Pengukuran</t>
  </si>
  <si>
    <t xml:space="preserve">: </t>
  </si>
  <si>
    <t>Nama Ruang</t>
  </si>
  <si>
    <t>Choirul Huda</t>
  </si>
  <si>
    <t>Koreksi</t>
  </si>
  <si>
    <t>Kesimpulan</t>
  </si>
  <si>
    <t>VIII.</t>
  </si>
  <si>
    <t>STDEV</t>
  </si>
  <si>
    <t>Nama</t>
  </si>
  <si>
    <t>Dibuat Oleh :</t>
  </si>
  <si>
    <t>Tanggal</t>
  </si>
  <si>
    <t>Paraf</t>
  </si>
  <si>
    <t>UNCERTAINTY BUDGET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</si>
  <si>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</si>
  <si>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</si>
  <si>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</si>
  <si>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</si>
  <si>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</si>
  <si>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</si>
  <si>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</si>
  <si>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</si>
  <si>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</si>
  <si>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</si>
  <si>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</si>
  <si>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</si>
  <si>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</si>
  <si>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Daya baca UUT</t>
  </si>
  <si>
    <t>rect.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</si>
  <si>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</si>
  <si>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</si>
  <si>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</si>
  <si>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</si>
  <si>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</si>
  <si>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Faktor cakupan, k-student's for veff and CL 95%</t>
  </si>
  <si>
    <t>k</t>
  </si>
  <si>
    <t>Ketidakpastian bentangan, U = k.Uc</t>
  </si>
  <si>
    <t>U = k. Uc</t>
  </si>
  <si>
    <t>Awal</t>
  </si>
  <si>
    <t>Akhir</t>
  </si>
  <si>
    <t>IX.</t>
  </si>
  <si>
    <t>:</t>
  </si>
  <si>
    <t xml:space="preserve">Penyelia       : </t>
  </si>
  <si>
    <t>%</t>
  </si>
  <si>
    <t>-</t>
  </si>
  <si>
    <t>AWAL</t>
  </si>
  <si>
    <t>AKHIR</t>
  </si>
  <si>
    <t>Baik</t>
  </si>
  <si>
    <t>..........................................</t>
  </si>
  <si>
    <t>......................................................................................................</t>
  </si>
  <si>
    <t>Toleransi</t>
  </si>
  <si>
    <t>: Baik / Tidak Baik</t>
  </si>
  <si>
    <t>(Pilih salah satu dan coret yang tidak perlu)</t>
  </si>
  <si>
    <t>Setting Pada Alat</t>
  </si>
  <si>
    <t>Hasil Ukur</t>
  </si>
  <si>
    <t>± 20%</t>
  </si>
  <si>
    <t>Ultrasound Power</t>
  </si>
  <si>
    <t>W</t>
  </si>
  <si>
    <t>Metode Kerja</t>
  </si>
  <si>
    <t>................................................................</t>
  </si>
  <si>
    <t>M Ω</t>
  </si>
  <si>
    <t>Ω</t>
  </si>
  <si>
    <t>µA</t>
  </si>
  <si>
    <t>Terukur Rata-Rata Standar</t>
  </si>
  <si>
    <t>KOREKSI ESA</t>
  </si>
  <si>
    <t>( V )</t>
  </si>
  <si>
    <t>( uA )</t>
  </si>
  <si>
    <t>Main-PE</t>
  </si>
  <si>
    <t>Resistance</t>
  </si>
  <si>
    <t>KOREKSI THERMOHYGROMETER</t>
  </si>
  <si>
    <t>DRIFT</t>
  </si>
  <si>
    <t>Tahun</t>
  </si>
  <si>
    <t>%RH</t>
  </si>
  <si>
    <t>s</t>
  </si>
  <si>
    <t>Waktu Therapy</t>
  </si>
  <si>
    <t>3. Serifikat Stopwatch</t>
  </si>
  <si>
    <t>4. Drift Standar Stopwatch</t>
  </si>
  <si>
    <t>U95</t>
  </si>
  <si>
    <t>Durasi Therapy (s)</t>
  </si>
  <si>
    <t>Ultrsound Power</t>
  </si>
  <si>
    <t>No.</t>
  </si>
  <si>
    <t>Setting pada Alat</t>
  </si>
  <si>
    <t>Terukur Rata-rata Standar</t>
  </si>
  <si>
    <t>Rata-Rata Terkoreksi</t>
  </si>
  <si>
    <t>Muhammad Arrizal Septiawan</t>
  </si>
  <si>
    <t>IV.</t>
  </si>
  <si>
    <t>1. Frekuensi 1 MHz dengan satuan Watt</t>
  </si>
  <si>
    <t>2. Frekuensi 3 MHz dengan satuan Watt</t>
  </si>
  <si>
    <t>±</t>
  </si>
  <si>
    <t>Halaman 2 dari 3 halaman</t>
  </si>
  <si>
    <t>Halaman 3 dari 3 halaman</t>
  </si>
  <si>
    <t>Hasil Pengukuran Kinerja Ultrasound Therapy pada Probe Small</t>
  </si>
  <si>
    <t>Hasil Pengukuran Kinerja Ultrasound Therapy pada Probe 1</t>
  </si>
  <si>
    <t>Hasil Pengukuran Kinerja Ultrasound Therapy pada Probe 2</t>
  </si>
  <si>
    <t>PHYSIOMED</t>
  </si>
  <si>
    <t>PHYSISON Expert</t>
  </si>
  <si>
    <t>PSE-0810207 gb</t>
  </si>
  <si>
    <t>°C</t>
  </si>
  <si>
    <t>1. Frekuensi …….. MHz dengan satuan Watt  /  W/cm²</t>
  </si>
  <si>
    <t xml:space="preserve">Nomor Sertifikat / No. Surat Keterangan : 55 / ......  / ...... - ...... / E - ........ </t>
  </si>
  <si>
    <t xml:space="preserve"> </t>
  </si>
  <si>
    <t>3. Tegangan Jala-jala</t>
  </si>
  <si>
    <t>MΩ</t>
  </si>
  <si>
    <t>Ω</t>
  </si>
  <si>
    <t>≤ 0.2</t>
  </si>
  <si>
    <t>≤ 500</t>
  </si>
  <si>
    <t>≤ 100</t>
  </si>
  <si>
    <t>M Ω</t>
  </si>
  <si>
    <t>□</t>
  </si>
  <si>
    <t>2. Electical Safety Analyzer, Merek : Fluke, Model : ESA 620 (1837056) / (1834020)</t>
  </si>
  <si>
    <t>3. Stopwatch, Merek : Casio , Model : HS - 3 / HS - 80TW, SN : (611Q02R) / (510Q06R) / (207Q01R)</t>
  </si>
  <si>
    <t>Donny Martha</t>
  </si>
  <si>
    <t>Dany Firmanto</t>
  </si>
  <si>
    <t>Rangga Setya Hantoko</t>
  </si>
  <si>
    <t>Isra Mahensa</t>
  </si>
  <si>
    <t>Muhammad Zaenuri Sugiasmoro</t>
  </si>
  <si>
    <t>Hary Ernanto</t>
  </si>
  <si>
    <t xml:space="preserve">  </t>
  </si>
  <si>
    <t>Setting Alat</t>
  </si>
  <si>
    <t>Pembacaan Standar</t>
  </si>
  <si>
    <t>≤ 0.3</t>
  </si>
  <si>
    <t>2. Electical Safety Analyzer, Merek : Fluke, Model : ESA 615 (2853077) / (2853078) / (3148907) / (3148908) / (3699030)</t>
  </si>
  <si>
    <t>4. Thermohygrometer, Merek : KIMO, KH-210-AO (14082463) / (15062872) / (15062873) / (15062874) / (15062875)</t>
  </si>
  <si>
    <t>4. Thermohygrometer, Merek : SEKONIC, Model :  ST-50 A, SN : (HE21-000669) / (HE21-000670)</t>
  </si>
  <si>
    <t>Nomor Sertifikat : 55 /</t>
  </si>
  <si>
    <t>Waktu Therapy (s)</t>
  </si>
  <si>
    <t>Tidak Baik</t>
  </si>
  <si>
    <t>Pemeriksaan Kondisi Fisik dan Fungsi Alat</t>
  </si>
  <si>
    <t xml:space="preserve">Hasil Pengujian Keselamatan Listrik </t>
  </si>
  <si>
    <t>Hamdan Syarif</t>
  </si>
  <si>
    <t>Muhammad Irfan Husnuzhzhan</t>
  </si>
  <si>
    <t/>
  </si>
  <si>
    <t>Laboratorium Kalibrasi LPFK Banjarbaru</t>
  </si>
  <si>
    <t>Arus bocor peralatan yang diaplikasikan</t>
  </si>
  <si>
    <t>Pemeriksaan Fisik</t>
  </si>
  <si>
    <t>Pengujian Keselamaatan Listrik</t>
  </si>
  <si>
    <t>Kalibrasi</t>
  </si>
  <si>
    <t>TIDAK TERDAPAT PROBE 2</t>
  </si>
  <si>
    <t>TOTAL SKOR</t>
  </si>
  <si>
    <t>4. Thermo/hygro/barometer, Merek : GREISINGER, Model :  GFTB.200, SN : (34903053) / (34904091) / (34903051) / (34903046)</t>
  </si>
  <si>
    <t>Hasil Pembacaan Standar (Watt)</t>
  </si>
  <si>
    <t>Hasil Pengukuran Kinerja Ultrasound Therapy</t>
  </si>
  <si>
    <t>Menyetujui,</t>
  </si>
  <si>
    <t>Kepala Instalasi Laboratorium</t>
  </si>
  <si>
    <t>Pengujian dan Kalibrasi</t>
  </si>
  <si>
    <t>VI.</t>
  </si>
  <si>
    <t>V.</t>
  </si>
  <si>
    <t>Resistensi Pembumian Protektif (kabel dapat dilepas)*</t>
  </si>
  <si>
    <t>Resistensi Pembumian Protektif (kabel tidak dapat dilepas)*</t>
  </si>
  <si>
    <t>**</t>
  </si>
  <si>
    <t>pilih salah satu</t>
  </si>
  <si>
    <t>*</t>
  </si>
  <si>
    <t>ü</t>
  </si>
  <si>
    <t>û</t>
  </si>
  <si>
    <t>Ultrsound Power        ( W )</t>
  </si>
  <si>
    <t>Resolusi</t>
  </si>
  <si>
    <t>.............  W</t>
  </si>
  <si>
    <t>Gusti Arya Dinata</t>
  </si>
  <si>
    <t>2. Kelembaban</t>
  </si>
  <si>
    <t>Arus bocor peralatan untuk peralatan elektromedik kelas I**</t>
  </si>
  <si>
    <t>Arus bocor peralatan untuk peralatan elektromedik kelas II**</t>
  </si>
  <si>
    <t>Arus bocor peralatan untuk peralatan elektromedik kelas I</t>
  </si>
  <si>
    <t>Arus bocor peralatan untuk peralatan elektromedik kelas II</t>
  </si>
  <si>
    <t>(</t>
  </si>
  <si>
    <t>)</t>
  </si>
  <si>
    <t>KL.UB - 066-18 / REV : 0</t>
  </si>
  <si>
    <t>Resistensi Isolasi</t>
  </si>
  <si>
    <t>Achmad Fauzan Adzim</t>
  </si>
  <si>
    <t>Fatimah Novrianisa</t>
  </si>
  <si>
    <t>Fikry Faradinna</t>
  </si>
  <si>
    <t>Muhammad Iqbal Saiful Rahman</t>
  </si>
  <si>
    <t>Septia Khairunnisa</t>
  </si>
  <si>
    <t>Taufik Priawan</t>
  </si>
  <si>
    <t>Venna Filosofia</t>
  </si>
  <si>
    <t>Wardimanul Abrar</t>
  </si>
  <si>
    <t>Skor</t>
  </si>
  <si>
    <t>Ruang Fisiotherapy</t>
  </si>
  <si>
    <t>NIP 198008062010121001</t>
  </si>
  <si>
    <t>Ketidakpastian pengukuran Waktu Therapy dilaporkan pada tingkat kepercayaan 95 % dengan faktor cakupan k = 2</t>
  </si>
  <si>
    <t>Hasil kalibrasi Ultrasound Therapy tertelusur ke Satuan Internasional melalui OHMiC Instrument</t>
  </si>
  <si>
    <t>Tidak terdapat grounding</t>
  </si>
  <si>
    <t>Ultrsound Power Meter, Merek : OHMiC, Model : UPM-DT-10AV (…...........)</t>
  </si>
  <si>
    <t>Koreksi + U95 (%)</t>
  </si>
  <si>
    <t>Koreksi + U95 (s)</t>
  </si>
  <si>
    <t>Pengujian keselamatan listrik</t>
  </si>
  <si>
    <t>Pengujian Kinerja</t>
  </si>
  <si>
    <t>b. Kalibrasi Waktu Therapy</t>
  </si>
  <si>
    <t>LAIK PAKAI /  TIDAK LAIK PAKAI</t>
  </si>
  <si>
    <t xml:space="preserve">a. Kalibrasi Energi </t>
  </si>
  <si>
    <t>INTERPOLASI KOREKSI SUHU</t>
  </si>
  <si>
    <t>LEMBAR KERJA PENGUJIAN ULTRASOUND THERAPY</t>
  </si>
  <si>
    <t>INPUT DATA PENGUJIAN ULTRASOUND THERAPY</t>
  </si>
  <si>
    <t>INPUT SERTIFIKAT THERMOHYGROMETER</t>
  </si>
  <si>
    <t>KOREKSI KIMO THERMOHYGROMETER 15062873</t>
  </si>
  <si>
    <t>Suhu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</si>
  <si>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</si>
  <si>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</si>
  <si>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</si>
  <si>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</si>
  <si>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</si>
  <si>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</si>
  <si>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</si>
  <si>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</si>
  <si>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</si>
  <si>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</si>
  <si>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</si>
  <si>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</si>
  <si>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No urut alat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</si>
  <si>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</si>
  <si>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G</t>
  </si>
  <si>
    <t>Rata-rata standar</t>
  </si>
  <si>
    <t>Rata-rata Terkoreksi</t>
  </si>
  <si>
    <t>Konversi TEXT</t>
  </si>
  <si>
    <t xml:space="preserve"> °C</t>
  </si>
  <si>
    <t xml:space="preserve"> %RH</t>
  </si>
  <si>
    <t xml:space="preserve">( </t>
  </si>
  <si>
    <t xml:space="preserve"> ± </t>
  </si>
  <si>
    <t xml:space="preserve"> )</t>
  </si>
  <si>
    <t>INTERPOLASI KOREKSI KELEMBABAN</t>
  </si>
  <si>
    <t xml:space="preserve">Thermohygrolight, Merek : KIMO, Model : KH-210-AO, SN : 15062873 </t>
  </si>
  <si>
    <t xml:space="preserve">Thermohygrolight, Merek : KIMO, Model : KH-210-AO, SN : 15062874 </t>
  </si>
  <si>
    <t>Thermohygrolight, Merek : KIMO, Model : KH-210-AO, SN : 14082463</t>
  </si>
  <si>
    <t xml:space="preserve">Thermohygrolight, Merek : KIMO, Model : KH-210-AO, SN : 15062872 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</si>
  <si>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</si>
  <si>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</si>
  <si>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</si>
  <si>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</si>
  <si>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</si>
  <si>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</si>
  <si>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INPUT DATA SERTIFIKAT ESA</t>
  </si>
  <si>
    <t>Setting VAC</t>
  </si>
  <si>
    <t>Driff</t>
  </si>
  <si>
    <t>Current Leakage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</si>
  <si>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</si>
  <si>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</si>
  <si>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VI</t>
  </si>
  <si>
    <t>Tegangan jala-jala listrik</t>
  </si>
  <si>
    <t>Pembacaan terkoreksi</t>
  </si>
  <si>
    <t>Hasil</t>
  </si>
  <si>
    <t>Tahanan isolasi kabel catu daya</t>
  </si>
  <si>
    <t>Resistansi pembumian protektif</t>
  </si>
  <si>
    <t>Arus bocor</t>
  </si>
  <si>
    <t xml:space="preserve">Electrical Safety Analyzer, Merek : Fluke, Model : ESA 620, SN : 1837056 </t>
  </si>
  <si>
    <t xml:space="preserve">Electrical Safety Analyzer, Merek : Fluke, Model : ESA 620, SN : 1834020 </t>
  </si>
  <si>
    <t>Electrical Safety Analyzer, Merek : Fluke, Model : ESA 615, SN : 2853077</t>
  </si>
  <si>
    <t xml:space="preserve">Electrical Safety Analyzer, Merek : Fluke, Model : ESA 615, SN : 2853078 </t>
  </si>
  <si>
    <t xml:space="preserve">Electrical Safety Analyzer, Merek : Fluke, Model : ESA 615, SN : 3148907 </t>
  </si>
  <si>
    <t>Electrical Safety Analyzer, Merek : Fluke, Model : ESA 615, SN : 3148908</t>
  </si>
  <si>
    <t>Electrical Safety Analyzer, Merek : Fluke, Model : ESA 615, SN : 3699030</t>
  </si>
  <si>
    <t>Electrical Safety Analyzer 8</t>
  </si>
  <si>
    <t>Electrical Safety Analyzer 9</t>
  </si>
  <si>
    <t>Volt</t>
  </si>
  <si>
    <t>INPUT SERTIFIKAT STOPWATCH</t>
  </si>
  <si>
    <t>1. SN. 611Q02R</t>
  </si>
  <si>
    <t>U95 STD</t>
  </si>
  <si>
    <t>2. SN. 510Q06R</t>
  </si>
  <si>
    <t>Timer</t>
  </si>
  <si>
    <t xml:space="preserve">4. SN. 510Q061R </t>
  </si>
  <si>
    <t>No Urut Titik Ukur</t>
  </si>
  <si>
    <t>U95    STD</t>
  </si>
  <si>
    <t>VII</t>
  </si>
  <si>
    <t>VIII</t>
  </si>
  <si>
    <t>IX</t>
  </si>
  <si>
    <t>Kesalahan</t>
  </si>
  <si>
    <t>Kesalahan Relatif (%)</t>
  </si>
  <si>
    <t>Daya Baca UUT</t>
  </si>
  <si>
    <t>Tahun Kalibrasi</t>
  </si>
  <si>
    <t xml:space="preserve">Stopwatch, Merek : Casio, Model : HS - 3, SN : 611Q02R </t>
  </si>
  <si>
    <t xml:space="preserve">Stopwatch, Merek : Casio, Model : HS - 80TW, SN : 510Q06R </t>
  </si>
  <si>
    <t xml:space="preserve">Stopwatch, Merek : Casio, Model : HS - 80TW, SN :207Q01R </t>
  </si>
  <si>
    <t xml:space="preserve">Stopwatch, Merek : Casio, Model : HS - 80TW, SN :510Q061R </t>
  </si>
  <si>
    <t xml:space="preserve">Stopwatch, Merek : </t>
  </si>
  <si>
    <t>Hasil kalibrasi Waktu Therapy tertelusur ke Satuan Internasional ( SI ) melalui PPM LIPI</t>
  </si>
  <si>
    <t>Hasil kalibrasi Waktu Therapy tertelusur ke Satuan Internasional ( SI ) melalui SNSU</t>
  </si>
  <si>
    <t>Resistansi Isolasi</t>
  </si>
  <si>
    <t>Resistansi Pembumian Protektif (kabel dapat dilepas)</t>
  </si>
  <si>
    <t>Resistansi Pembumian Protektif (kabel tidak dapat dilepas)</t>
  </si>
  <si>
    <t>Ultrsound Power Meter, Merek : OHMiC, Model : UPM-DT-10AV, SN : B432907943</t>
  </si>
  <si>
    <t>Ultrsound Power Meter, Merek : OHMiC, Model : UPM-DT-10PA, SN : 9013PA1131</t>
  </si>
  <si>
    <t>MK.066-18</t>
  </si>
  <si>
    <t>&gt; 2</t>
  </si>
  <si>
    <t xml:space="preserve">FREKUENSI </t>
  </si>
  <si>
    <t>W/cm²</t>
  </si>
  <si>
    <t>Watt</t>
  </si>
  <si>
    <t>12 / XI - 12 / E - 067.001 DL</t>
  </si>
  <si>
    <t>Ketidakpastian Pengukuran (%)</t>
  </si>
  <si>
    <t>Ketidakpastian pengukuran Ultrasound Power dari ketidakpastian tipe A dan Tipe B</t>
  </si>
  <si>
    <t>Nomor Surat Keterangan : 55 /</t>
  </si>
  <si>
    <t>Alat yang diuji dalam batas toleransi dan dinyatakan LAIK PAKAI, dimana hasil atau skor akhir sama dengan atau melampaui 70 % berdasarkan Keputusan Direktur Jenderal Pelayanan Kesehatan No : HK.02.02/V/0412/2020</t>
  </si>
  <si>
    <t>Alat yang diuji melebihi batas toleransi dan dinyatakan TIDAK LAIK PAKAI, dimana hasil atau skor akhir dibawah 70 % berdasarkan Keputusan Direktur Jenderal Pelayanan Kesehatan No : HK.02.02/V/0412/2020</t>
  </si>
  <si>
    <t>** Pada pengujian kinerja frekuensi, jumlah titik pengukuran harus lebih dari empat dan seluruh parameter kinerja masuk dalam batas toleransi (HIJAU)</t>
  </si>
  <si>
    <t>Toleransi
(%)</t>
  </si>
  <si>
    <t>Koreksi Relatif
(%)</t>
  </si>
  <si>
    <t xml:space="preserve">Koreksi </t>
  </si>
  <si>
    <t>HASIL KALIBRASI ULTRASOUND THERAPY</t>
  </si>
  <si>
    <t>Tanggal Kalibrasi</t>
  </si>
  <si>
    <t>Tempat Kalibrasi</t>
  </si>
  <si>
    <t>Petugas Kalibrasi</t>
  </si>
  <si>
    <t>NC</t>
  </si>
  <si>
    <t>≤ 5000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</si>
  <si>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</si>
  <si>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</si>
  <si>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</si>
  <si>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</si>
  <si>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</si>
  <si>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</si>
  <si>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</si>
  <si>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HASIL</t>
  </si>
  <si>
    <t>Thermohygrolight, Merek : Greisinger, Model : GFTB 200, SN : 34903051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</si>
  <si>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</si>
  <si>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</si>
  <si>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</si>
  <si>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</si>
  <si>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</si>
  <si>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</si>
  <si>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Thermohygrolight, Merek : EXTECH, Model : SD700, SN : A.100586</t>
  </si>
  <si>
    <t>Electrical Safety Analyzer, Merek : Fluke, Model : ESA 615, SN : 4670010</t>
  </si>
  <si>
    <t>Electrical Safety Analyzer, Merek : Fluke, Model : ESA 615, SN : 4669058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</si>
  <si>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</si>
  <si>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</si>
  <si>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</si>
  <si>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</si>
  <si>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</si>
  <si>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</si>
  <si>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</si>
  <si>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</si>
  <si>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</si>
  <si>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</si>
  <si>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</si>
  <si>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</si>
  <si>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Interpolasi Koreksi</t>
  </si>
  <si>
    <t>Koreksi Relatif (%)</t>
  </si>
  <si>
    <t>Interpolasi U95</t>
  </si>
  <si>
    <t>Interpolasi Drift</t>
  </si>
  <si>
    <t>Stopwatch, Merek : EXTECH, Model : 365535, SN :001380</t>
  </si>
  <si>
    <t>Stopwatch, Merek : EXTECH, Model : 365535, SN :001381</t>
  </si>
  <si>
    <t>Stopwatch, Merek : EXTECH, Model : 365535, SN :001382</t>
  </si>
  <si>
    <t>Stopwatch, Merek : EXTECH, Model : 365535, SN :001383</t>
  </si>
  <si>
    <t>Stopwatch, Merek : EXTECH, Model : 365535, SN :001384</t>
  </si>
  <si>
    <t>Stopwatch, Merek : EXTECH, Model : 365535, SN :001385</t>
  </si>
  <si>
    <t>Stopwatch, Merek : EXTECH, Model : 365535, SN :001386</t>
  </si>
  <si>
    <t>Stopwatch, Merek : EXTECH, Model : 365535, SN :001387</t>
  </si>
  <si>
    <t>Stopwatch, Merek : EXTECH, Model : 365535, SN :001445</t>
  </si>
  <si>
    <t>Stopwatch, Merek : EXTECH, Model : 365535, SN :001449</t>
  </si>
  <si>
    <t>Stopwatch, Merek : EXTECH, Model : 365535, SN :001452</t>
  </si>
  <si>
    <t>Stopwatch, Merek : EXTECH, Model : 365535, SN :005018</t>
  </si>
  <si>
    <t>( SILAHKAN DIINPUT  "NC" )</t>
  </si>
  <si>
    <t>NG</t>
  </si>
  <si>
    <t>( KASIH TANDA "-" )</t>
  </si>
  <si>
    <t>PUTIH</t>
  </si>
  <si>
    <t>MERAH</t>
  </si>
  <si>
    <t>NO</t>
  </si>
  <si>
    <t>YES</t>
  </si>
  <si>
    <t>Alat tidak boleh digunakan pada ruangan yang tidak dilengkapi instalasi grounding</t>
  </si>
  <si>
    <t>≤ 50</t>
  </si>
  <si>
    <t>3. Stopwatch, Merek : EXTECH Model : 365535 SN : 001380 / 001381 / 001382 / 001383 / 001384 / 001385 /  365535 SN : 001386</t>
  </si>
  <si>
    <t>001387 / 001445 / 001452 / 005018</t>
  </si>
  <si>
    <t xml:space="preserve">(A.100616) / (A.100618) / (A.100686) </t>
  </si>
  <si>
    <t>3. SN. 605Q11R</t>
  </si>
  <si>
    <t>17. SN. 207Q01R</t>
  </si>
  <si>
    <t>Waktu</t>
  </si>
  <si>
    <t>X</t>
  </si>
  <si>
    <t>XI</t>
  </si>
  <si>
    <t>KOREKSI</t>
  </si>
  <si>
    <t>1 Tahun</t>
  </si>
  <si>
    <t>Stopwatch, Merek : Casio, Model : HS - 3, SN : 611Q02R</t>
  </si>
  <si>
    <t>Hasil pengukuran akurasi waktu tertelusur ke Satuan Internasional ( SI ) melalui PT KALIMAN</t>
  </si>
  <si>
    <t>Stopwatch, Merek : Casio, Model : HS - 80TW, SN : 510Q06R</t>
  </si>
  <si>
    <t>Stopwatch, Merek : Casio, Model : HS - 80TW, SN : 605Q11R</t>
  </si>
  <si>
    <t>Stopwatch, Merek : Casio, Model : HS - 80TW, SN :510Q061R</t>
  </si>
  <si>
    <t>Stopwatch, Merek : Casio, Model : HS - 80TW, SN : 207Q01RR</t>
  </si>
  <si>
    <t>Tegangan U 95</t>
  </si>
  <si>
    <t xml:space="preserve"> ) </t>
  </si>
  <si>
    <t>Electrical Safety Analyzer, Merek : Fluke, Model : ESA 620, SN : 1837056</t>
  </si>
  <si>
    <t>Hasil pengukuran keselamatan listrik tertelusur ke Satuan Internasional ( SI ) melalui PT. Kaliman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</si>
  <si>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</si>
  <si>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</si>
  <si>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</si>
  <si>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Electrical Safety Analyzer 11</t>
  </si>
  <si>
    <t>Electrical Safety Analyzer 12</t>
  </si>
  <si>
    <t>Tekanan</t>
  </si>
  <si>
    <t>hPa</t>
  </si>
  <si>
    <t>KOREKSI EXTECH A.100615</t>
  </si>
  <si>
    <t>INTERPOLASI KOREKSI TEKANAN</t>
  </si>
  <si>
    <t>Thermohygrolight, Merek : KIMO, Model : KH-210-AO, SN : 15062873</t>
  </si>
  <si>
    <t>Thermohygrolight, Merek : KIMO, Model : KH-210-AO, SN : 15062874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</si>
  <si>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</si>
  <si>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</si>
  <si>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</si>
  <si>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EXTECH, Model : SD700, SN : A.100615</t>
  </si>
  <si>
    <t>Tidak terdapat instalasi grounding di ruangan</t>
  </si>
  <si>
    <t>Revisi</t>
  </si>
  <si>
    <t>Oleh</t>
  </si>
  <si>
    <t>Tanggal Penerimaan Alat</t>
  </si>
  <si>
    <t>9 September 2023</t>
  </si>
  <si>
    <t>6 September 2023</t>
  </si>
  <si>
    <t>Iqbal</t>
  </si>
  <si>
    <t>Soft Lama</t>
  </si>
  <si>
    <t>Soft Baru</t>
  </si>
  <si>
    <t>1. Ultrsound Power Meter, Merek : OHMiC, Model : UPM-DT-10AV ( B432907943 ), UPM-DT-10PA ( 9013PA1131 )</t>
  </si>
  <si>
    <t>4. Thermohygrobarometer, Merek : EXTECH, Model : SD700, SN : (100605) / (100609) / (100611) / (100615) / (100617)</t>
  </si>
  <si>
    <t>± 60 s</t>
  </si>
  <si>
    <t>(464670010) / (4669058) / (5838068)</t>
  </si>
  <si>
    <t>Ultrsound Power Meter, Merek : GOSSEN, Model : SCULIFE (90129911017 Rev B)</t>
  </si>
  <si>
    <t>Ultrsound Power Meter, Merek : GOSSEN, Model : SCULIFE (90129911018 Rev B)</t>
  </si>
  <si>
    <t>1. Ultrsound Power Meter, Merek : GOSSEN, Model : SCULIFE ( 90129911017 Rev B ) ( 90129911018 Rev B )</t>
  </si>
  <si>
    <t>Electrical Safety Analyzer, Merek : Fluke, Model : ESA 615, SN : 5838068</t>
  </si>
  <si>
    <t>Update Alat + Sertifikat Esa Dan Hygro</t>
  </si>
  <si>
    <t>Rev 2 : 7.9.2023</t>
  </si>
  <si>
    <t>Farid Wajidi, SKM</t>
  </si>
  <si>
    <t>NIP 196712101990031012</t>
  </si>
  <si>
    <t>Choirul Huda, S.Tr. Kes</t>
  </si>
  <si>
    <r>
      <t>1. Frekuensi 1 MHz dengan satuan Watt/cm</t>
    </r>
    <r>
      <rPr>
        <b/>
        <sz val="11"/>
        <color theme="1"/>
        <rFont val="Calibri"/>
        <family val="2"/>
      </rPr>
      <t>²</t>
    </r>
  </si>
  <si>
    <r>
      <t>2. Frekuensi 3 MHz dengan satuan Watt/cm</t>
    </r>
    <r>
      <rPr>
        <b/>
        <sz val="11"/>
        <color theme="1"/>
        <rFont val="Calibri"/>
        <family val="2"/>
      </rPr>
      <t>²</t>
    </r>
  </si>
  <si>
    <t>SERTIFIKAT PENGUJIAN</t>
  </si>
  <si>
    <t xml:space="preserve">                                                                 </t>
  </si>
  <si>
    <t xml:space="preserve">Nama Alat            : </t>
  </si>
  <si>
    <t>Dental Unit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</si>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</sst>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.0000"/>
    <numFmt numFmtId="167" formatCode="0.00000"/>
    <numFmt numFmtId="168" formatCode="0\ &quot;µA&quot;"/>
    <numFmt numFmtId="169" formatCode="[$-421]dd\ mmmm\ yyyy;@"/>
    <numFmt numFmtId="170" formatCode="0\ &quot;BPM&quot;"/>
    <numFmt numFmtId="171" formatCode="[$-C09]d\ mmmm\ yyyy;@"/>
  </numFmts>
  <fonts count="1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b/>
      <u/>
      <sz val="14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sz val="12"/>
      <name val="Times New Roman"/>
      <family val="1"/>
    </font>
    <font>
      <b/>
      <i/>
      <sz val="10"/>
      <name val="Arial"/>
      <family val="2"/>
    </font>
    <font>
      <i/>
      <sz val="10"/>
      <name val="Arial"/>
      <family val="2"/>
    </font>
    <font>
      <b/>
      <sz val="11"/>
      <name val="Calibri"/>
      <family val="2"/>
    </font>
    <font>
      <b/>
      <i/>
      <u/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+Mn-Ea"/>
      <charset val="1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20"/>
      <name val="Times New Roman"/>
      <family val="1"/>
    </font>
    <font>
      <sz val="20"/>
      <name val="Calibri"/>
      <family val="2"/>
      <scheme val="minor"/>
    </font>
    <font>
      <b/>
      <u/>
      <sz val="14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u/>
      <sz val="11"/>
      <name val="Arial"/>
      <family val="2"/>
    </font>
    <font>
      <sz val="9"/>
      <name val="Arial"/>
      <family val="2"/>
    </font>
    <font>
      <sz val="2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1"/>
      <color indexed="8"/>
      <name val="Arial"/>
      <family val="2"/>
    </font>
    <font>
      <i/>
      <u/>
      <sz val="11"/>
      <name val="Arial"/>
      <family val="2"/>
    </font>
    <font>
      <sz val="16"/>
      <name val="Arial"/>
      <family val="2"/>
    </font>
    <font>
      <sz val="11"/>
      <name val="Wingdings"/>
      <charset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i/>
      <sz val="10"/>
      <name val="Times New Roman"/>
      <family val="1"/>
    </font>
    <font>
      <b/>
      <sz val="9"/>
      <name val="Arial"/>
      <family val="2"/>
    </font>
    <font>
      <sz val="8"/>
      <name val="Times New Roman"/>
      <family val="1"/>
    </font>
    <font>
      <sz val="12"/>
      <name val="Calibri"/>
      <family val="2"/>
    </font>
    <font>
      <sz val="10"/>
      <color theme="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8"/>
      <color theme="0"/>
      <name val="Times New Roman"/>
      <family val="1"/>
    </font>
    <font>
      <sz val="48"/>
      <name val="Arial"/>
      <family val="2"/>
    </font>
    <font>
      <sz val="48"/>
      <name val="Times New Roman"/>
      <family val="1"/>
    </font>
    <font>
      <b/>
      <i/>
      <sz val="11"/>
      <color theme="0"/>
      <name val="Times New Roman"/>
      <family val="1"/>
    </font>
    <font>
      <b/>
      <i/>
      <sz val="11"/>
      <color theme="0"/>
      <name val="Arial"/>
      <family val="2"/>
    </font>
    <font>
      <b/>
      <i/>
      <sz val="10"/>
      <color theme="0"/>
      <name val="Arial"/>
      <family val="2"/>
    </font>
    <font>
      <b/>
      <sz val="10"/>
      <color theme="0"/>
      <name val="Arial"/>
      <family val="2"/>
    </font>
    <font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0"/>
      <color theme="0" tint="-0.34998626667073579"/>
      <name val="Calibri"/>
      <family val="2"/>
      <scheme val="minor"/>
    </font>
    <font>
      <sz val="20"/>
      <color theme="0" tint="-0.34998626667073579"/>
      <name val="Calibri"/>
      <family val="2"/>
      <scheme val="minor"/>
    </font>
    <font>
      <sz val="9"/>
      <color indexed="81"/>
      <name val="Tahoma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b/>
      <sz val="10"/>
      <name val="Calibri"/>
      <family val="2"/>
      <scheme val="minor"/>
    </font>
    <font>
      <b/>
      <sz val="11"/>
      <color indexed="81"/>
      <name val="Tahoma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i/>
      <sz val="8"/>
      <name val="Arial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sz val="12"/>
      <color indexed="81"/>
      <name val="Tahoma"/>
      <family val="2"/>
    </font>
    <font>
      <sz val="10"/>
      <color theme="1"/>
      <name val="Arial"/>
      <family val="2"/>
    </font>
    <font>
      <b/>
      <u/>
      <sz val="18"/>
      <color rgb="FFFF0000"/>
      <name val="Arial"/>
      <family val="2"/>
    </font>
    <font>
      <sz val="10"/>
      <color rgb="FFFF0000"/>
      <name val="Arial"/>
      <family val="2"/>
    </font>
    <font>
      <b/>
      <i/>
      <sz val="18"/>
      <name val="Arial"/>
      <family val="2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10"/>
      <color theme="1"/>
      <name val="Arial"/>
      <family val="2"/>
    </font>
    <font>
      <b/>
      <u/>
      <sz val="10"/>
      <color rgb="FFFF0000"/>
      <name val="Arial"/>
      <family val="2"/>
    </font>
    <font>
      <b/>
      <sz val="10"/>
      <name val="Calibri"/>
      <family val="2"/>
    </font>
    <font>
      <b/>
      <sz val="16"/>
      <color indexed="81"/>
      <name val="Tahoma"/>
      <family val="2"/>
    </font>
    <font>
      <sz val="10"/>
      <color theme="0" tint="-0.34998626667073579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Arial"/>
      <family val="2"/>
    </font>
    <font>
      <b/>
      <u/>
      <sz val="14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Times New Roman"/>
      <family val="1"/>
    </font>
    <font>
      <b/>
      <sz val="12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Times New Roman"/>
      <family val="1"/>
    </font>
    <font>
      <b/>
      <sz val="8"/>
      <color theme="1"/>
      <name val="Arial"/>
      <family val="2"/>
    </font>
    <font>
      <sz val="9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u/>
      <sz val="14"/>
      <color theme="1"/>
      <name val="Arial"/>
      <family val="2"/>
    </font>
    <font>
      <b/>
      <u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theme="1"/>
      <name val="+Mn-Ea"/>
      <charset val="1"/>
    </font>
    <font>
      <b/>
      <sz val="12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20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20"/>
      <color theme="1"/>
      <name val="Arial"/>
      <family val="2"/>
    </font>
    <font>
      <sz val="10"/>
      <color rgb="FFFF0000"/>
      <name val="Times New Roman"/>
      <family val="1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595">
    <xf numFmtId="0" fontId="0" fillId="0" borderId="0" xfId="0"/>
    <xf numFmtId="0" fontId="9" fillId="0" borderId="0" xfId="2" applyFont="1" applyAlignment="1">
      <alignment horizontal="right"/>
    </xf>
    <xf numFmtId="0" fontId="9" fillId="0" borderId="0" xfId="2" applyFont="1" applyAlignment="1">
      <alignment horizontal="center"/>
    </xf>
    <xf numFmtId="0" fontId="8" fillId="0" borderId="0" xfId="2" applyFont="1"/>
    <xf numFmtId="0" fontId="7" fillId="0" borderId="0" xfId="2" applyFont="1"/>
    <xf numFmtId="0" fontId="8" fillId="0" borderId="0" xfId="0" applyFont="1"/>
    <xf numFmtId="0" fontId="14" fillId="0" borderId="0" xfId="0" applyFont="1"/>
    <xf numFmtId="0" fontId="7" fillId="0" borderId="1" xfId="1" applyFont="1" applyBorder="1" applyAlignment="1">
      <alignment horizontal="left"/>
    </xf>
    <xf numFmtId="0" fontId="7" fillId="0" borderId="2" xfId="1" applyFont="1" applyBorder="1" applyAlignment="1">
      <alignment horizontal="center"/>
    </xf>
    <xf numFmtId="0" fontId="7" fillId="0" borderId="0" xfId="1" applyFont="1" applyAlignment="1">
      <alignment horizontal="center"/>
    </xf>
    <xf numFmtId="2" fontId="7" fillId="0" borderId="0" xfId="1" applyNumberFormat="1" applyFont="1" applyAlignment="1">
      <alignment horizontal="center"/>
    </xf>
    <xf numFmtId="166" fontId="7" fillId="0" borderId="0" xfId="1" applyNumberFormat="1" applyFont="1" applyAlignment="1">
      <alignment horizontal="center"/>
    </xf>
    <xf numFmtId="0" fontId="7" fillId="0" borderId="3" xfId="1" applyFont="1" applyBorder="1" applyAlignment="1">
      <alignment horizontal="center"/>
    </xf>
    <xf numFmtId="11" fontId="7" fillId="0" borderId="3" xfId="1" applyNumberFormat="1" applyFont="1" applyBorder="1" applyAlignment="1">
      <alignment horizontal="center"/>
    </xf>
    <xf numFmtId="0" fontId="7" fillId="0" borderId="4" xfId="1" applyFont="1" applyBorder="1" applyAlignment="1">
      <alignment horizontal="left"/>
    </xf>
    <xf numFmtId="0" fontId="7" fillId="0" borderId="5" xfId="1" applyFont="1" applyBorder="1" applyAlignment="1">
      <alignment horizontal="center"/>
    </xf>
    <xf numFmtId="166" fontId="7" fillId="0" borderId="5" xfId="1" applyNumberFormat="1" applyFont="1" applyBorder="1" applyAlignment="1">
      <alignment horizontal="center"/>
    </xf>
    <xf numFmtId="11" fontId="7" fillId="0" borderId="2" xfId="1" applyNumberFormat="1" applyFont="1" applyBorder="1" applyAlignment="1">
      <alignment horizontal="center"/>
    </xf>
    <xf numFmtId="0" fontId="17" fillId="0" borderId="6" xfId="1" applyFont="1" applyBorder="1"/>
    <xf numFmtId="0" fontId="6" fillId="0" borderId="0" xfId="1" applyFont="1"/>
    <xf numFmtId="2" fontId="6" fillId="0" borderId="0" xfId="1" applyNumberFormat="1" applyFont="1"/>
    <xf numFmtId="0" fontId="17" fillId="0" borderId="4" xfId="1" applyFont="1" applyBorder="1"/>
    <xf numFmtId="0" fontId="14" fillId="0" borderId="5" xfId="1" applyFont="1" applyBorder="1"/>
    <xf numFmtId="2" fontId="14" fillId="0" borderId="5" xfId="1" applyNumberFormat="1" applyFont="1" applyBorder="1"/>
    <xf numFmtId="167" fontId="8" fillId="0" borderId="7" xfId="1" applyNumberFormat="1" applyFont="1" applyBorder="1" applyAlignment="1">
      <alignment horizontal="center"/>
    </xf>
    <xf numFmtId="0" fontId="14" fillId="0" borderId="0" xfId="1" applyFont="1"/>
    <xf numFmtId="2" fontId="14" fillId="0" borderId="0" xfId="1" applyNumberFormat="1" applyFont="1"/>
    <xf numFmtId="11" fontId="8" fillId="0" borderId="8" xfId="1" applyNumberFormat="1" applyFont="1" applyBorder="1" applyAlignment="1">
      <alignment horizontal="center"/>
    </xf>
    <xf numFmtId="0" fontId="17" fillId="0" borderId="9" xfId="1" applyFont="1" applyBorder="1"/>
    <xf numFmtId="0" fontId="14" fillId="0" borderId="10" xfId="1" applyFont="1" applyBorder="1"/>
    <xf numFmtId="2" fontId="14" fillId="0" borderId="10" xfId="1" applyNumberFormat="1" applyFont="1" applyBorder="1"/>
    <xf numFmtId="2" fontId="14" fillId="0" borderId="11" xfId="1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6" xfId="0" applyBorder="1"/>
    <xf numFmtId="0" fontId="16" fillId="0" borderId="4" xfId="1" applyFont="1" applyBorder="1"/>
    <xf numFmtId="0" fontId="15" fillId="0" borderId="5" xfId="1" applyBorder="1"/>
    <xf numFmtId="0" fontId="16" fillId="0" borderId="12" xfId="1" applyFont="1" applyBorder="1" applyAlignment="1">
      <alignment horizontal="center"/>
    </xf>
    <xf numFmtId="0" fontId="15" fillId="0" borderId="0" xfId="1"/>
    <xf numFmtId="0" fontId="17" fillId="0" borderId="4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2" fontId="17" fillId="0" borderId="5" xfId="1" applyNumberFormat="1" applyFont="1" applyBorder="1" applyAlignment="1">
      <alignment horizontal="center"/>
    </xf>
    <xf numFmtId="2" fontId="7" fillId="0" borderId="3" xfId="1" applyNumberFormat="1" applyFont="1" applyBorder="1" applyAlignment="1">
      <alignment horizontal="center"/>
    </xf>
    <xf numFmtId="11" fontId="7" fillId="0" borderId="8" xfId="1" applyNumberFormat="1" applyFont="1" applyBorder="1" applyAlignment="1">
      <alignment horizontal="center"/>
    </xf>
    <xf numFmtId="0" fontId="18" fillId="0" borderId="5" xfId="1" applyFont="1" applyBorder="1"/>
    <xf numFmtId="0" fontId="19" fillId="0" borderId="0" xfId="1" applyFont="1"/>
    <xf numFmtId="0" fontId="8" fillId="0" borderId="5" xfId="1" applyFont="1" applyBorder="1"/>
    <xf numFmtId="2" fontId="20" fillId="0" borderId="7" xfId="1" applyNumberFormat="1" applyFont="1" applyBorder="1" applyAlignment="1">
      <alignment horizontal="center"/>
    </xf>
    <xf numFmtId="0" fontId="8" fillId="0" borderId="10" xfId="1" applyFont="1" applyBorder="1"/>
    <xf numFmtId="0" fontId="7" fillId="0" borderId="0" xfId="2" applyFont="1" applyProtection="1">
      <protection locked="0"/>
    </xf>
    <xf numFmtId="0" fontId="4" fillId="0" borderId="0" xfId="0" applyFont="1"/>
    <xf numFmtId="0" fontId="17" fillId="0" borderId="12" xfId="1" applyFont="1" applyBorder="1" applyAlignment="1">
      <alignment horizontal="center"/>
    </xf>
    <xf numFmtId="11" fontId="7" fillId="0" borderId="13" xfId="1" applyNumberFormat="1" applyFont="1" applyBorder="1" applyAlignment="1">
      <alignment horizontal="center"/>
    </xf>
    <xf numFmtId="11" fontId="7" fillId="0" borderId="12" xfId="1" applyNumberFormat="1" applyFont="1" applyBorder="1" applyAlignment="1">
      <alignment horizontal="center"/>
    </xf>
    <xf numFmtId="0" fontId="8" fillId="0" borderId="12" xfId="1" applyFont="1" applyBorder="1"/>
    <xf numFmtId="0" fontId="8" fillId="0" borderId="13" xfId="1" applyFont="1" applyBorder="1"/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2" fontId="10" fillId="0" borderId="50" xfId="0" applyNumberFormat="1" applyFont="1" applyBorder="1" applyAlignment="1">
      <alignment horizontal="center" vertical="center"/>
    </xf>
    <xf numFmtId="165" fontId="10" fillId="0" borderId="2" xfId="0" applyNumberFormat="1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0" borderId="19" xfId="0" applyBorder="1"/>
    <xf numFmtId="2" fontId="7" fillId="0" borderId="2" xfId="1" applyNumberFormat="1" applyFont="1" applyBorder="1" applyAlignment="1">
      <alignment horizontal="center"/>
    </xf>
    <xf numFmtId="0" fontId="0" fillId="0" borderId="21" xfId="0" applyBorder="1"/>
    <xf numFmtId="0" fontId="0" fillId="0" borderId="23" xfId="0" applyBorder="1"/>
    <xf numFmtId="164" fontId="8" fillId="0" borderId="0" xfId="0" applyNumberFormat="1" applyFont="1"/>
    <xf numFmtId="164" fontId="15" fillId="0" borderId="5" xfId="1" applyNumberFormat="1" applyBorder="1"/>
    <xf numFmtId="0" fontId="15" fillId="0" borderId="19" xfId="1" applyBorder="1"/>
    <xf numFmtId="0" fontId="17" fillId="0" borderId="24" xfId="1" applyFont="1" applyBorder="1" applyAlignment="1">
      <alignment horizontal="center"/>
    </xf>
    <xf numFmtId="11" fontId="7" fillId="0" borderId="19" xfId="1" applyNumberFormat="1" applyFont="1" applyBorder="1" applyAlignment="1">
      <alignment horizontal="center"/>
    </xf>
    <xf numFmtId="11" fontId="7" fillId="0" borderId="24" xfId="1" applyNumberFormat="1" applyFont="1" applyBorder="1" applyAlignment="1">
      <alignment horizontal="center"/>
    </xf>
    <xf numFmtId="11" fontId="7" fillId="0" borderId="25" xfId="1" applyNumberFormat="1" applyFont="1" applyBorder="1" applyAlignment="1">
      <alignment horizontal="center"/>
    </xf>
    <xf numFmtId="0" fontId="8" fillId="0" borderId="24" xfId="1" applyFont="1" applyBorder="1"/>
    <xf numFmtId="0" fontId="8" fillId="0" borderId="19" xfId="1" applyFont="1" applyBorder="1"/>
    <xf numFmtId="0" fontId="16" fillId="0" borderId="24" xfId="1" applyFont="1" applyBorder="1" applyAlignment="1">
      <alignment horizontal="center"/>
    </xf>
    <xf numFmtId="0" fontId="17" fillId="0" borderId="22" xfId="1" applyFont="1" applyBorder="1"/>
    <xf numFmtId="0" fontId="14" fillId="0" borderId="21" xfId="1" applyFont="1" applyBorder="1"/>
    <xf numFmtId="2" fontId="14" fillId="0" borderId="21" xfId="1" applyNumberFormat="1" applyFont="1" applyBorder="1"/>
    <xf numFmtId="0" fontId="8" fillId="0" borderId="21" xfId="1" applyFont="1" applyBorder="1"/>
    <xf numFmtId="2" fontId="14" fillId="0" borderId="21" xfId="1" applyNumberFormat="1" applyFont="1" applyBorder="1" applyAlignment="1">
      <alignment horizontal="center"/>
    </xf>
    <xf numFmtId="0" fontId="16" fillId="0" borderId="21" xfId="1" applyFont="1" applyBorder="1" applyAlignment="1">
      <alignment horizontal="center"/>
    </xf>
    <xf numFmtId="0" fontId="16" fillId="0" borderId="26" xfId="1" applyFont="1" applyBorder="1"/>
    <xf numFmtId="0" fontId="15" fillId="0" borderId="27" xfId="1" applyBorder="1"/>
    <xf numFmtId="1" fontId="15" fillId="0" borderId="27" xfId="1" applyNumberFormat="1" applyBorder="1"/>
    <xf numFmtId="0" fontId="16" fillId="0" borderId="28" xfId="1" applyFont="1" applyBorder="1" applyAlignment="1">
      <alignment horizontal="center"/>
    </xf>
    <xf numFmtId="0" fontId="15" fillId="0" borderId="29" xfId="1" applyBorder="1"/>
    <xf numFmtId="0" fontId="0" fillId="0" borderId="29" xfId="0" applyBorder="1"/>
    <xf numFmtId="0" fontId="0" fillId="0" borderId="30" xfId="0" applyBorder="1"/>
    <xf numFmtId="0" fontId="12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0" fontId="26" fillId="0" borderId="0" xfId="2" applyFont="1"/>
    <xf numFmtId="0" fontId="27" fillId="0" borderId="0" xfId="2" applyFont="1"/>
    <xf numFmtId="0" fontId="27" fillId="0" borderId="0" xfId="0" applyFont="1"/>
    <xf numFmtId="2" fontId="27" fillId="0" borderId="0" xfId="0" applyNumberFormat="1" applyFont="1" applyAlignment="1">
      <alignment horizontal="center"/>
    </xf>
    <xf numFmtId="165" fontId="27" fillId="0" borderId="0" xfId="0" applyNumberFormat="1" applyFont="1" applyAlignment="1">
      <alignment horizontal="center" vertical="center"/>
    </xf>
    <xf numFmtId="165" fontId="27" fillId="0" borderId="0" xfId="0" applyNumberFormat="1" applyFont="1" applyAlignment="1">
      <alignment horizontal="center"/>
    </xf>
    <xf numFmtId="0" fontId="27" fillId="0" borderId="0" xfId="2" applyFont="1" applyProtection="1">
      <protection locked="0"/>
    </xf>
    <xf numFmtId="165" fontId="27" fillId="0" borderId="0" xfId="0" applyNumberFormat="1" applyFont="1" applyAlignment="1" applyProtection="1">
      <alignment horizontal="center" vertical="center"/>
      <protection locked="0"/>
    </xf>
    <xf numFmtId="165" fontId="27" fillId="0" borderId="0" xfId="2" applyNumberFormat="1" applyFont="1" applyAlignment="1" applyProtection="1">
      <alignment horizontal="center"/>
      <protection locked="0"/>
    </xf>
    <xf numFmtId="0" fontId="31" fillId="0" borderId="0" xfId="0" applyFont="1" applyAlignment="1">
      <alignment wrapText="1"/>
    </xf>
    <xf numFmtId="0" fontId="7" fillId="0" borderId="0" xfId="2" quotePrefix="1" applyFont="1"/>
    <xf numFmtId="0" fontId="32" fillId="0" borderId="0" xfId="2" applyFont="1" applyAlignment="1">
      <alignment horizontal="center"/>
    </xf>
    <xf numFmtId="0" fontId="33" fillId="0" borderId="0" xfId="2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22" xfId="0" applyBorder="1"/>
    <xf numFmtId="0" fontId="14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/>
    </xf>
    <xf numFmtId="0" fontId="29" fillId="0" borderId="0" xfId="2" applyFont="1"/>
    <xf numFmtId="2" fontId="7" fillId="0" borderId="0" xfId="2" applyNumberFormat="1" applyFont="1"/>
    <xf numFmtId="164" fontId="7" fillId="0" borderId="0" xfId="2" applyNumberFormat="1" applyFont="1"/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64" fontId="7" fillId="0" borderId="0" xfId="2" applyNumberFormat="1" applyFont="1" applyAlignment="1">
      <alignment vertical="center"/>
    </xf>
    <xf numFmtId="0" fontId="4" fillId="0" borderId="0" xfId="2"/>
    <xf numFmtId="0" fontId="34" fillId="0" borderId="0" xfId="2" applyFont="1"/>
    <xf numFmtId="0" fontId="39" fillId="0" borderId="0" xfId="2" applyFont="1"/>
    <xf numFmtId="164" fontId="34" fillId="0" borderId="0" xfId="2" applyNumberFormat="1" applyFont="1" applyAlignment="1">
      <alignment horizontal="left" vertical="center"/>
    </xf>
    <xf numFmtId="164" fontId="34" fillId="0" borderId="0" xfId="2" applyNumberFormat="1" applyFont="1" applyAlignment="1">
      <alignment horizontal="center"/>
    </xf>
    <xf numFmtId="0" fontId="34" fillId="0" borderId="2" xfId="2" quotePrefix="1" applyFont="1" applyBorder="1" applyAlignment="1">
      <alignment horizontal="center"/>
    </xf>
    <xf numFmtId="0" fontId="34" fillId="0" borderId="7" xfId="2" applyFont="1" applyBorder="1"/>
    <xf numFmtId="0" fontId="34" fillId="0" borderId="5" xfId="2" applyFont="1" applyBorder="1"/>
    <xf numFmtId="0" fontId="34" fillId="0" borderId="5" xfId="0" applyFont="1" applyBorder="1" applyAlignment="1">
      <alignment horizontal="right"/>
    </xf>
    <xf numFmtId="0" fontId="39" fillId="0" borderId="0" xfId="0" applyFont="1"/>
    <xf numFmtId="0" fontId="34" fillId="0" borderId="0" xfId="0" applyFont="1"/>
    <xf numFmtId="0" fontId="34" fillId="0" borderId="2" xfId="0" applyFont="1" applyBorder="1" applyAlignment="1">
      <alignment horizontal="center" vertical="center"/>
    </xf>
    <xf numFmtId="0" fontId="34" fillId="0" borderId="0" xfId="0" applyFont="1" applyAlignment="1">
      <alignment horizontal="right"/>
    </xf>
    <xf numFmtId="0" fontId="34" fillId="0" borderId="2" xfId="0" applyFont="1" applyBorder="1" applyAlignment="1" applyProtection="1">
      <alignment horizontal="center" vertical="center"/>
      <protection locked="0"/>
    </xf>
    <xf numFmtId="0" fontId="39" fillId="0" borderId="7" xfId="2" applyFont="1" applyBorder="1" applyAlignment="1">
      <alignment horizontal="center" vertical="center"/>
    </xf>
    <xf numFmtId="0" fontId="39" fillId="0" borderId="2" xfId="2" applyFont="1" applyBorder="1" applyAlignment="1">
      <alignment horizontal="center" vertical="center" wrapText="1"/>
    </xf>
    <xf numFmtId="0" fontId="39" fillId="0" borderId="2" xfId="0" applyFont="1" applyBorder="1" applyAlignment="1" applyProtection="1">
      <alignment horizontal="center" vertical="center" wrapText="1"/>
      <protection locked="0"/>
    </xf>
    <xf numFmtId="0" fontId="34" fillId="0" borderId="7" xfId="2" applyFont="1" applyBorder="1" applyAlignment="1">
      <alignment horizontal="center" vertical="center"/>
    </xf>
    <xf numFmtId="0" fontId="34" fillId="0" borderId="2" xfId="2" applyFont="1" applyBorder="1" applyAlignment="1">
      <alignment horizontal="center" vertical="center" wrapText="1"/>
    </xf>
    <xf numFmtId="0" fontId="39" fillId="0" borderId="0" xfId="2" applyFont="1" applyAlignment="1">
      <alignment horizontal="left"/>
    </xf>
    <xf numFmtId="0" fontId="39" fillId="0" borderId="0" xfId="2" applyFont="1" applyAlignment="1">
      <alignment horizontal="center"/>
    </xf>
    <xf numFmtId="2" fontId="34" fillId="0" borderId="0" xfId="2" applyNumberFormat="1" applyFont="1" applyAlignment="1">
      <alignment horizontal="center"/>
    </xf>
    <xf numFmtId="0" fontId="39" fillId="0" borderId="0" xfId="2" applyFont="1" applyAlignment="1" applyProtection="1">
      <alignment horizontal="left"/>
      <protection locked="0"/>
    </xf>
    <xf numFmtId="0" fontId="34" fillId="0" borderId="0" xfId="2" applyFont="1" applyAlignment="1" applyProtection="1">
      <alignment horizontal="left"/>
      <protection locked="0"/>
    </xf>
    <xf numFmtId="0" fontId="39" fillId="0" borderId="0" xfId="2" applyFont="1" applyAlignment="1" applyProtection="1">
      <alignment horizontal="center"/>
      <protection locked="0"/>
    </xf>
    <xf numFmtId="0" fontId="34" fillId="0" borderId="0" xfId="2" applyFont="1" applyAlignment="1" applyProtection="1">
      <alignment horizontal="center"/>
      <protection locked="0"/>
    </xf>
    <xf numFmtId="2" fontId="34" fillId="0" borderId="0" xfId="2" applyNumberFormat="1" applyFont="1" applyAlignment="1" applyProtection="1">
      <alignment horizontal="center"/>
      <protection locked="0"/>
    </xf>
    <xf numFmtId="0" fontId="39" fillId="0" borderId="0" xfId="2" applyFont="1" applyProtection="1">
      <protection locked="0"/>
    </xf>
    <xf numFmtId="0" fontId="34" fillId="0" borderId="0" xfId="2" applyFont="1" applyProtection="1">
      <protection locked="0"/>
    </xf>
    <xf numFmtId="0" fontId="34" fillId="0" borderId="0" xfId="2" applyFont="1" applyAlignment="1">
      <alignment horizontal="left"/>
    </xf>
    <xf numFmtId="0" fontId="4" fillId="0" borderId="0" xfId="0" applyFont="1" applyProtection="1">
      <protection locked="0"/>
    </xf>
    <xf numFmtId="0" fontId="34" fillId="2" borderId="0" xfId="0" applyFont="1" applyFill="1" applyAlignment="1">
      <alignment horizontal="center" vertical="top" wrapText="1"/>
    </xf>
    <xf numFmtId="0" fontId="34" fillId="0" borderId="0" xfId="0" applyFont="1" applyAlignment="1" applyProtection="1">
      <alignment horizontal="left"/>
      <protection locked="0"/>
    </xf>
    <xf numFmtId="0" fontId="34" fillId="0" borderId="0" xfId="0" applyFont="1" applyProtection="1">
      <protection locked="0"/>
    </xf>
    <xf numFmtId="0" fontId="34" fillId="2" borderId="0" xfId="0" applyFont="1" applyFill="1" applyAlignment="1">
      <alignment horizontal="left"/>
    </xf>
    <xf numFmtId="0" fontId="34" fillId="0" borderId="0" xfId="2" applyFont="1" applyAlignment="1">
      <alignment horizontal="right"/>
    </xf>
    <xf numFmtId="0" fontId="34" fillId="0" borderId="12" xfId="2" applyFont="1" applyBorder="1"/>
    <xf numFmtId="0" fontId="34" fillId="0" borderId="12" xfId="0" applyFont="1" applyBorder="1" applyAlignment="1">
      <alignment horizontal="left" vertical="center"/>
    </xf>
    <xf numFmtId="0" fontId="34" fillId="0" borderId="0" xfId="2" quotePrefix="1" applyFont="1" applyAlignment="1">
      <alignment horizontal="center"/>
    </xf>
    <xf numFmtId="0" fontId="42" fillId="0" borderId="0" xfId="2" applyFont="1" applyAlignment="1">
      <alignment horizontal="center"/>
    </xf>
    <xf numFmtId="0" fontId="34" fillId="0" borderId="0" xfId="2" applyFont="1" applyAlignment="1">
      <alignment horizontal="right" vertical="center"/>
    </xf>
    <xf numFmtId="0" fontId="34" fillId="0" borderId="0" xfId="0" applyFont="1" applyAlignment="1">
      <alignment horizontal="center" vertical="top" wrapText="1"/>
    </xf>
    <xf numFmtId="0" fontId="34" fillId="0" borderId="8" xfId="0" applyFont="1" applyBorder="1" applyAlignment="1">
      <alignment horizontal="center" vertical="top" wrapText="1"/>
    </xf>
    <xf numFmtId="2" fontId="34" fillId="0" borderId="0" xfId="0" applyNumberFormat="1" applyFont="1" applyAlignment="1">
      <alignment horizontal="center"/>
    </xf>
    <xf numFmtId="165" fontId="39" fillId="0" borderId="2" xfId="0" applyNumberFormat="1" applyFont="1" applyBorder="1" applyAlignment="1">
      <alignment horizontal="center" vertical="center"/>
    </xf>
    <xf numFmtId="165" fontId="39" fillId="0" borderId="0" xfId="0" applyNumberFormat="1" applyFont="1" applyAlignment="1">
      <alignment vertical="center"/>
    </xf>
    <xf numFmtId="165" fontId="34" fillId="0" borderId="2" xfId="0" applyNumberFormat="1" applyFont="1" applyBorder="1" applyAlignment="1">
      <alignment horizontal="center" vertical="center"/>
    </xf>
    <xf numFmtId="165" fontId="34" fillId="0" borderId="0" xfId="0" applyNumberFormat="1" applyFont="1" applyAlignment="1">
      <alignment vertical="center"/>
    </xf>
    <xf numFmtId="0" fontId="48" fillId="0" borderId="0" xfId="3" applyFont="1" applyProtection="1">
      <protection locked="0"/>
    </xf>
    <xf numFmtId="165" fontId="34" fillId="0" borderId="0" xfId="0" applyNumberFormat="1" applyFont="1" applyAlignment="1">
      <alignment horizontal="center"/>
    </xf>
    <xf numFmtId="165" fontId="34" fillId="0" borderId="0" xfId="2" applyNumberFormat="1" applyFont="1" applyAlignment="1">
      <alignment horizontal="center"/>
    </xf>
    <xf numFmtId="0" fontId="51" fillId="0" borderId="0" xfId="0" applyFont="1"/>
    <xf numFmtId="0" fontId="39" fillId="0" borderId="0" xfId="0" applyFont="1" applyAlignment="1">
      <alignment vertical="center"/>
    </xf>
    <xf numFmtId="0" fontId="37" fillId="0" borderId="0" xfId="2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9" fillId="2" borderId="0" xfId="0" applyFont="1" applyFill="1" applyAlignment="1">
      <alignment vertical="center"/>
    </xf>
    <xf numFmtId="0" fontId="34" fillId="0" borderId="0" xfId="0" applyFont="1" applyAlignment="1">
      <alignment vertical="center"/>
    </xf>
    <xf numFmtId="0" fontId="34" fillId="2" borderId="0" xfId="0" applyFont="1" applyFill="1" applyAlignment="1">
      <alignment vertical="center"/>
    </xf>
    <xf numFmtId="0" fontId="10" fillId="3" borderId="29" xfId="5" applyFont="1" applyFill="1" applyBorder="1" applyAlignment="1">
      <alignment vertical="center"/>
    </xf>
    <xf numFmtId="0" fontId="10" fillId="3" borderId="29" xfId="5" applyFont="1" applyFill="1" applyBorder="1" applyAlignment="1">
      <alignment horizontal="center" vertical="center"/>
    </xf>
    <xf numFmtId="0" fontId="10" fillId="3" borderId="41" xfId="5" applyFont="1" applyFill="1" applyBorder="1" applyAlignment="1">
      <alignment horizontal="center" vertical="center"/>
    </xf>
    <xf numFmtId="0" fontId="10" fillId="3" borderId="29" xfId="5" applyFont="1" applyFill="1" applyBorder="1" applyAlignment="1">
      <alignment horizontal="left" vertical="center" wrapText="1"/>
    </xf>
    <xf numFmtId="0" fontId="17" fillId="3" borderId="1" xfId="5" applyFont="1" applyFill="1" applyBorder="1" applyAlignment="1">
      <alignment horizontal="center" vertical="center"/>
    </xf>
    <xf numFmtId="0" fontId="14" fillId="3" borderId="1" xfId="5" applyFont="1" applyFill="1" applyBorder="1" applyAlignment="1">
      <alignment horizontal="center" vertical="center"/>
    </xf>
    <xf numFmtId="0" fontId="8" fillId="3" borderId="2" xfId="5" applyFont="1" applyFill="1" applyBorder="1" applyAlignment="1">
      <alignment horizontal="center" vertical="center"/>
    </xf>
    <xf numFmtId="0" fontId="10" fillId="3" borderId="0" xfId="5" applyFont="1" applyFill="1" applyAlignment="1">
      <alignment vertical="center"/>
    </xf>
    <xf numFmtId="0" fontId="14" fillId="3" borderId="0" xfId="5" applyFont="1" applyFill="1"/>
    <xf numFmtId="0" fontId="4" fillId="0" borderId="0" xfId="5"/>
    <xf numFmtId="0" fontId="4" fillId="4" borderId="48" xfId="5" applyFill="1" applyBorder="1" applyProtection="1">
      <protection locked="0"/>
    </xf>
    <xf numFmtId="0" fontId="4" fillId="4" borderId="64" xfId="5" applyFill="1" applyBorder="1" applyProtection="1">
      <protection locked="0"/>
    </xf>
    <xf numFmtId="0" fontId="4" fillId="0" borderId="6" xfId="5" applyBorder="1"/>
    <xf numFmtId="0" fontId="4" fillId="0" borderId="0" xfId="5" applyAlignment="1">
      <alignment horizontal="center" vertical="center"/>
    </xf>
    <xf numFmtId="0" fontId="4" fillId="0" borderId="0" xfId="5" applyAlignment="1">
      <alignment horizontal="center"/>
    </xf>
    <xf numFmtId="0" fontId="4" fillId="3" borderId="29" xfId="5" applyFill="1" applyBorder="1"/>
    <xf numFmtId="0" fontId="4" fillId="3" borderId="0" xfId="5" applyFill="1"/>
    <xf numFmtId="0" fontId="58" fillId="3" borderId="0" xfId="5" applyFont="1" applyFill="1" applyAlignment="1">
      <alignment vertical="center"/>
    </xf>
    <xf numFmtId="2" fontId="59" fillId="3" borderId="0" xfId="5" applyNumberFormat="1" applyFont="1" applyFill="1" applyAlignment="1">
      <alignment horizontal="center" vertical="center" wrapText="1"/>
    </xf>
    <xf numFmtId="2" fontId="60" fillId="3" borderId="0" xfId="5" applyNumberFormat="1" applyFont="1" applyFill="1" applyAlignment="1">
      <alignment horizontal="center" vertical="center"/>
    </xf>
    <xf numFmtId="0" fontId="59" fillId="3" borderId="0" xfId="5" applyFont="1" applyFill="1"/>
    <xf numFmtId="0" fontId="6" fillId="3" borderId="0" xfId="5" applyFont="1" applyFill="1"/>
    <xf numFmtId="0" fontId="10" fillId="3" borderId="0" xfId="5" applyFont="1" applyFill="1" applyAlignment="1">
      <alignment horizontal="center" vertical="center"/>
    </xf>
    <xf numFmtId="2" fontId="10" fillId="3" borderId="0" xfId="5" applyNumberFormat="1" applyFont="1" applyFill="1" applyAlignment="1">
      <alignment horizontal="center" vertical="center"/>
    </xf>
    <xf numFmtId="0" fontId="62" fillId="3" borderId="0" xfId="5" applyFont="1" applyFill="1" applyAlignment="1">
      <alignment horizontal="center" vertical="center"/>
    </xf>
    <xf numFmtId="2" fontId="62" fillId="3" borderId="0" xfId="5" applyNumberFormat="1" applyFont="1" applyFill="1" applyAlignment="1">
      <alignment horizontal="center" vertical="center"/>
    </xf>
    <xf numFmtId="0" fontId="8" fillId="3" borderId="1" xfId="5" applyFont="1" applyFill="1" applyBorder="1" applyAlignment="1">
      <alignment horizontal="center" vertical="center"/>
    </xf>
    <xf numFmtId="0" fontId="4" fillId="3" borderId="6" xfId="5" applyFill="1" applyBorder="1"/>
    <xf numFmtId="0" fontId="4" fillId="3" borderId="22" xfId="5" applyFill="1" applyBorder="1"/>
    <xf numFmtId="0" fontId="4" fillId="3" borderId="21" xfId="5" applyFill="1" applyBorder="1"/>
    <xf numFmtId="0" fontId="4" fillId="0" borderId="0" xfId="5" applyProtection="1">
      <protection locked="0"/>
    </xf>
    <xf numFmtId="0" fontId="4" fillId="0" borderId="29" xfId="5" applyBorder="1"/>
    <xf numFmtId="0" fontId="65" fillId="0" borderId="0" xfId="1" applyFont="1"/>
    <xf numFmtId="0" fontId="59" fillId="0" borderId="0" xfId="0" applyFont="1"/>
    <xf numFmtId="0" fontId="66" fillId="0" borderId="0" xfId="0" applyFont="1"/>
    <xf numFmtId="0" fontId="65" fillId="0" borderId="2" xfId="1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9" fillId="0" borderId="2" xfId="1" applyFont="1" applyBorder="1" applyAlignment="1">
      <alignment horizontal="center" vertical="center"/>
    </xf>
    <xf numFmtId="164" fontId="59" fillId="0" borderId="2" xfId="0" applyNumberFormat="1" applyFont="1" applyBorder="1" applyAlignment="1">
      <alignment horizontal="center" vertical="center"/>
    </xf>
    <xf numFmtId="1" fontId="68" fillId="0" borderId="2" xfId="0" applyNumberFormat="1" applyFont="1" applyBorder="1" applyAlignment="1">
      <alignment horizontal="center" vertical="center"/>
    </xf>
    <xf numFmtId="0" fontId="68" fillId="0" borderId="2" xfId="0" applyFont="1" applyBorder="1" applyAlignment="1">
      <alignment horizontal="center" vertical="center"/>
    </xf>
    <xf numFmtId="0" fontId="62" fillId="0" borderId="50" xfId="0" applyFont="1" applyBorder="1" applyAlignment="1">
      <alignment horizontal="center" vertical="center"/>
    </xf>
    <xf numFmtId="0" fontId="62" fillId="0" borderId="2" xfId="0" applyFont="1" applyBorder="1" applyAlignment="1">
      <alignment horizontal="center" vertical="center"/>
    </xf>
    <xf numFmtId="0" fontId="62" fillId="0" borderId="14" xfId="0" applyFont="1" applyBorder="1" applyAlignment="1">
      <alignment horizontal="center" vertical="center"/>
    </xf>
    <xf numFmtId="2" fontId="62" fillId="0" borderId="50" xfId="0" applyNumberFormat="1" applyFont="1" applyBorder="1" applyAlignment="1">
      <alignment horizontal="center" vertical="center"/>
    </xf>
    <xf numFmtId="164" fontId="62" fillId="0" borderId="2" xfId="0" applyNumberFormat="1" applyFont="1" applyBorder="1" applyAlignment="1">
      <alignment horizontal="center" vertical="center"/>
    </xf>
    <xf numFmtId="2" fontId="62" fillId="0" borderId="14" xfId="0" applyNumberFormat="1" applyFont="1" applyBorder="1" applyAlignment="1">
      <alignment horizontal="center" vertical="center"/>
    </xf>
    <xf numFmtId="164" fontId="59" fillId="0" borderId="0" xfId="0" applyNumberFormat="1" applyFont="1"/>
    <xf numFmtId="0" fontId="62" fillId="0" borderId="51" xfId="0" applyFont="1" applyBorder="1" applyAlignment="1">
      <alignment horizontal="center" vertical="center"/>
    </xf>
    <xf numFmtId="0" fontId="62" fillId="0" borderId="16" xfId="0" applyFont="1" applyBorder="1" applyAlignment="1">
      <alignment horizontal="center" vertical="center"/>
    </xf>
    <xf numFmtId="0" fontId="62" fillId="0" borderId="17" xfId="0" applyFont="1" applyBorder="1" applyAlignment="1">
      <alignment horizontal="center" vertical="center"/>
    </xf>
    <xf numFmtId="0" fontId="59" fillId="0" borderId="21" xfId="0" applyFont="1" applyBorder="1"/>
    <xf numFmtId="2" fontId="69" fillId="0" borderId="2" xfId="1" applyNumberFormat="1" applyFont="1" applyBorder="1" applyAlignment="1">
      <alignment horizontal="center" vertical="center"/>
    </xf>
    <xf numFmtId="0" fontId="50" fillId="0" borderId="0" xfId="2" applyFont="1" applyAlignment="1">
      <alignment horizontal="left"/>
    </xf>
    <xf numFmtId="1" fontId="37" fillId="0" borderId="0" xfId="2" applyNumberFormat="1" applyFont="1" applyAlignment="1" applyProtection="1">
      <alignment vertical="center"/>
      <protection locked="0"/>
    </xf>
    <xf numFmtId="0" fontId="39" fillId="0" borderId="18" xfId="0" applyFont="1" applyBorder="1" applyAlignment="1">
      <alignment horizontal="center" vertical="center" wrapText="1"/>
    </xf>
    <xf numFmtId="164" fontId="39" fillId="0" borderId="7" xfId="0" applyNumberFormat="1" applyFont="1" applyBorder="1" applyAlignment="1">
      <alignment horizontal="center" vertical="center"/>
    </xf>
    <xf numFmtId="164" fontId="34" fillId="0" borderId="7" xfId="0" applyNumberFormat="1" applyFont="1" applyBorder="1"/>
    <xf numFmtId="164" fontId="34" fillId="0" borderId="12" xfId="0" applyNumberFormat="1" applyFont="1" applyBorder="1"/>
    <xf numFmtId="164" fontId="34" fillId="0" borderId="2" xfId="0" applyNumberFormat="1" applyFont="1" applyBorder="1"/>
    <xf numFmtId="0" fontId="36" fillId="0" borderId="0" xfId="2" applyFont="1" applyAlignment="1">
      <alignment vertical="center"/>
    </xf>
    <xf numFmtId="0" fontId="7" fillId="0" borderId="2" xfId="2" applyFont="1" applyBorder="1" applyAlignment="1">
      <alignment horizontal="center" vertical="center" wrapText="1"/>
    </xf>
    <xf numFmtId="0" fontId="43" fillId="0" borderId="2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75" fillId="3" borderId="2" xfId="0" applyFont="1" applyFill="1" applyBorder="1" applyAlignment="1" applyProtection="1">
      <alignment horizontal="center" vertical="center"/>
      <protection locked="0"/>
    </xf>
    <xf numFmtId="2" fontId="75" fillId="3" borderId="2" xfId="0" applyNumberFormat="1" applyFont="1" applyFill="1" applyBorder="1" applyAlignment="1" applyProtection="1">
      <alignment horizontal="center"/>
      <protection locked="0"/>
    </xf>
    <xf numFmtId="164" fontId="75" fillId="3" borderId="2" xfId="2" applyNumberFormat="1" applyFont="1" applyFill="1" applyBorder="1" applyAlignment="1" applyProtection="1">
      <alignment horizontal="center" vertical="center"/>
      <protection locked="0"/>
    </xf>
    <xf numFmtId="164" fontId="75" fillId="3" borderId="31" xfId="2" applyNumberFormat="1" applyFont="1" applyFill="1" applyBorder="1" applyAlignment="1" applyProtection="1">
      <alignment horizontal="center" vertical="center"/>
      <protection locked="0"/>
    </xf>
    <xf numFmtId="164" fontId="75" fillId="3" borderId="7" xfId="2" applyNumberFormat="1" applyFont="1" applyFill="1" applyBorder="1" applyAlignment="1" applyProtection="1">
      <alignment horizontal="center" vertical="center"/>
      <protection locked="0"/>
    </xf>
    <xf numFmtId="164" fontId="75" fillId="0" borderId="7" xfId="2" applyNumberFormat="1" applyFont="1" applyBorder="1" applyAlignment="1" applyProtection="1">
      <alignment horizontal="right" vertical="center"/>
      <protection locked="0"/>
    </xf>
    <xf numFmtId="165" fontId="75" fillId="0" borderId="7" xfId="2" applyNumberFormat="1" applyFont="1" applyBorder="1" applyAlignment="1" applyProtection="1">
      <alignment horizontal="right" vertical="center"/>
      <protection locked="0"/>
    </xf>
    <xf numFmtId="0" fontId="75" fillId="3" borderId="0" xfId="0" quotePrefix="1" applyFont="1" applyFill="1" applyAlignment="1" applyProtection="1">
      <alignment horizontal="left"/>
      <protection locked="0"/>
    </xf>
    <xf numFmtId="0" fontId="26" fillId="0" borderId="2" xfId="2" applyFont="1" applyBorder="1" applyAlignment="1">
      <alignment horizontal="center"/>
    </xf>
    <xf numFmtId="0" fontId="6" fillId="0" borderId="2" xfId="2" applyFont="1" applyBorder="1" applyAlignment="1">
      <alignment horizontal="center"/>
    </xf>
    <xf numFmtId="0" fontId="76" fillId="0" borderId="2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31" xfId="2" applyFont="1" applyBorder="1"/>
    <xf numFmtId="0" fontId="7" fillId="0" borderId="3" xfId="2" applyFont="1" applyBorder="1"/>
    <xf numFmtId="0" fontId="8" fillId="0" borderId="3" xfId="2" applyFont="1" applyBorder="1"/>
    <xf numFmtId="0" fontId="7" fillId="0" borderId="18" xfId="2" applyFont="1" applyBorder="1" applyAlignment="1">
      <alignment horizontal="right" vertical="top"/>
    </xf>
    <xf numFmtId="1" fontId="7" fillId="0" borderId="2" xfId="2" applyNumberFormat="1" applyFont="1" applyBorder="1"/>
    <xf numFmtId="1" fontId="6" fillId="0" borderId="2" xfId="2" applyNumberFormat="1" applyFont="1" applyBorder="1" applyAlignment="1">
      <alignment horizontal="center" vertical="center"/>
    </xf>
    <xf numFmtId="2" fontId="75" fillId="3" borderId="2" xfId="0" applyNumberFormat="1" applyFont="1" applyFill="1" applyBorder="1" applyAlignment="1" applyProtection="1">
      <alignment horizontal="center" vertical="center"/>
      <protection locked="0"/>
    </xf>
    <xf numFmtId="0" fontId="78" fillId="0" borderId="0" xfId="0" applyFont="1" applyAlignment="1">
      <alignment horizontal="center" vertical="center"/>
    </xf>
    <xf numFmtId="9" fontId="79" fillId="0" borderId="0" xfId="0" applyNumberFormat="1" applyFont="1" applyAlignment="1">
      <alignment horizontal="center" vertical="center"/>
    </xf>
    <xf numFmtId="9" fontId="79" fillId="0" borderId="0" xfId="0" applyNumberFormat="1" applyFont="1" applyAlignment="1">
      <alignment horizontal="center"/>
    </xf>
    <xf numFmtId="0" fontId="34" fillId="0" borderId="5" xfId="0" applyFont="1" applyBorder="1" applyAlignment="1">
      <alignment horizontal="left"/>
    </xf>
    <xf numFmtId="9" fontId="79" fillId="0" borderId="8" xfId="0" applyNumberFormat="1" applyFont="1" applyBorder="1" applyAlignment="1">
      <alignment horizontal="center" vertical="center"/>
    </xf>
    <xf numFmtId="0" fontId="7" fillId="0" borderId="2" xfId="2" applyFont="1" applyBorder="1" applyAlignment="1">
      <alignment horizontal="center"/>
    </xf>
    <xf numFmtId="164" fontId="75" fillId="3" borderId="7" xfId="0" quotePrefix="1" applyNumberFormat="1" applyFont="1" applyFill="1" applyBorder="1" applyAlignment="1" applyProtection="1">
      <alignment horizontal="right" vertical="center"/>
      <protection locked="0"/>
    </xf>
    <xf numFmtId="0" fontId="17" fillId="8" borderId="2" xfId="5" applyFont="1" applyFill="1" applyBorder="1" applyAlignment="1">
      <alignment horizontal="center" vertical="center"/>
    </xf>
    <xf numFmtId="164" fontId="7" fillId="3" borderId="14" xfId="5" applyNumberFormat="1" applyFont="1" applyFill="1" applyBorder="1" applyAlignment="1">
      <alignment horizontal="center"/>
    </xf>
    <xf numFmtId="166" fontId="14" fillId="3" borderId="0" xfId="5" applyNumberFormat="1" applyFont="1" applyFill="1" applyAlignment="1">
      <alignment horizontal="center"/>
    </xf>
    <xf numFmtId="0" fontId="46" fillId="4" borderId="47" xfId="5" applyFont="1" applyFill="1" applyBorder="1" applyAlignment="1" applyProtection="1">
      <alignment horizontal="center" vertical="center" wrapText="1"/>
      <protection locked="0"/>
    </xf>
    <xf numFmtId="0" fontId="46" fillId="4" borderId="48" xfId="5" applyFont="1" applyFill="1" applyBorder="1" applyAlignment="1" applyProtection="1">
      <alignment horizontal="center" vertical="center" wrapText="1"/>
      <protection locked="0"/>
    </xf>
    <xf numFmtId="0" fontId="0" fillId="0" borderId="0" xfId="2" applyFont="1"/>
    <xf numFmtId="2" fontId="0" fillId="0" borderId="29" xfId="0" applyNumberFormat="1" applyBorder="1"/>
    <xf numFmtId="2" fontId="11" fillId="3" borderId="0" xfId="0" applyNumberFormat="1" applyFont="1" applyFill="1" applyAlignment="1">
      <alignment vertical="center"/>
    </xf>
    <xf numFmtId="2" fontId="0" fillId="0" borderId="0" xfId="0" applyNumberFormat="1"/>
    <xf numFmtId="2" fontId="63" fillId="3" borderId="31" xfId="0" applyNumberFormat="1" applyFont="1" applyFill="1" applyBorder="1" applyAlignment="1">
      <alignment vertical="center"/>
    </xf>
    <xf numFmtId="2" fontId="0" fillId="3" borderId="0" xfId="0" applyNumberFormat="1" applyFill="1"/>
    <xf numFmtId="2" fontId="17" fillId="3" borderId="0" xfId="5" applyNumberFormat="1" applyFont="1" applyFill="1"/>
    <xf numFmtId="2" fontId="21" fillId="3" borderId="0" xfId="0" applyNumberFormat="1" applyFont="1" applyFill="1" applyAlignment="1">
      <alignment vertical="center"/>
    </xf>
    <xf numFmtId="2" fontId="21" fillId="3" borderId="0" xfId="0" applyNumberFormat="1" applyFont="1" applyFill="1" applyAlignment="1">
      <alignment vertical="center" wrapText="1"/>
    </xf>
    <xf numFmtId="2" fontId="63" fillId="3" borderId="0" xfId="0" applyNumberFormat="1" applyFont="1" applyFill="1" applyAlignment="1">
      <alignment vertical="center"/>
    </xf>
    <xf numFmtId="2" fontId="17" fillId="3" borderId="0" xfId="5" applyNumberFormat="1" applyFont="1" applyFill="1" applyAlignment="1">
      <alignment vertical="center"/>
    </xf>
    <xf numFmtId="2" fontId="21" fillId="3" borderId="1" xfId="0" applyNumberFormat="1" applyFont="1" applyFill="1" applyBorder="1" applyAlignment="1">
      <alignment horizontal="center" vertical="center"/>
    </xf>
    <xf numFmtId="2" fontId="63" fillId="3" borderId="3" xfId="0" applyNumberFormat="1" applyFont="1" applyFill="1" applyBorder="1" applyAlignment="1">
      <alignment vertical="center"/>
    </xf>
    <xf numFmtId="2" fontId="21" fillId="3" borderId="2" xfId="0" applyNumberFormat="1" applyFont="1" applyFill="1" applyBorder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2" fontId="17" fillId="3" borderId="1" xfId="5" applyNumberFormat="1" applyFont="1" applyFill="1" applyBorder="1" applyAlignment="1">
      <alignment horizontal="center" vertical="center"/>
    </xf>
    <xf numFmtId="2" fontId="17" fillId="9" borderId="12" xfId="5" applyNumberFormat="1" applyFont="1" applyFill="1" applyBorder="1" applyAlignment="1">
      <alignment horizontal="center" vertical="center"/>
    </xf>
    <xf numFmtId="2" fontId="21" fillId="9" borderId="2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2" fontId="17" fillId="3" borderId="2" xfId="5" applyNumberFormat="1" applyFont="1" applyFill="1" applyBorder="1" applyAlignment="1">
      <alignment horizontal="center" vertical="center"/>
    </xf>
    <xf numFmtId="2" fontId="17" fillId="3" borderId="0" xfId="5" applyNumberFormat="1" applyFont="1" applyFill="1" applyAlignment="1">
      <alignment horizontal="center" vertical="center"/>
    </xf>
    <xf numFmtId="2" fontId="21" fillId="3" borderId="0" xfId="0" quotePrefix="1" applyNumberFormat="1" applyFont="1" applyFill="1" applyAlignment="1">
      <alignment horizontal="center" vertical="center"/>
    </xf>
    <xf numFmtId="2" fontId="4" fillId="9" borderId="1" xfId="0" applyNumberFormat="1" applyFont="1" applyFill="1" applyBorder="1" applyAlignment="1">
      <alignment horizontal="center" vertical="center"/>
    </xf>
    <xf numFmtId="2" fontId="4" fillId="9" borderId="12" xfId="0" applyNumberFormat="1" applyFont="1" applyFill="1" applyBorder="1" applyAlignment="1">
      <alignment horizontal="center" vertical="center"/>
    </xf>
    <xf numFmtId="2" fontId="4" fillId="9" borderId="2" xfId="0" quotePrefix="1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 vertical="center"/>
    </xf>
    <xf numFmtId="165" fontId="4" fillId="9" borderId="12" xfId="0" applyNumberFormat="1" applyFont="1" applyFill="1" applyBorder="1" applyAlignment="1">
      <alignment horizontal="center" vertical="center"/>
    </xf>
    <xf numFmtId="165" fontId="4" fillId="9" borderId="2" xfId="0" quotePrefix="1" applyNumberFormat="1" applyFont="1" applyFill="1" applyBorder="1" applyAlignment="1">
      <alignment horizontal="center" vertical="center"/>
    </xf>
    <xf numFmtId="2" fontId="4" fillId="9" borderId="2" xfId="0" applyNumberFormat="1" applyFont="1" applyFill="1" applyBorder="1" applyAlignment="1">
      <alignment horizontal="center" vertical="center"/>
    </xf>
    <xf numFmtId="2" fontId="4" fillId="3" borderId="14" xfId="0" applyNumberFormat="1" applyFon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4" fillId="3" borderId="0" xfId="0" quotePrefix="1" applyNumberFormat="1" applyFont="1" applyFill="1" applyAlignment="1">
      <alignment horizontal="center" vertical="center"/>
    </xf>
    <xf numFmtId="2" fontId="4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 vertical="center"/>
    </xf>
    <xf numFmtId="165" fontId="4" fillId="9" borderId="2" xfId="0" applyNumberFormat="1" applyFont="1" applyFill="1" applyBorder="1" applyAlignment="1">
      <alignment horizontal="center" vertical="center"/>
    </xf>
    <xf numFmtId="2" fontId="7" fillId="3" borderId="0" xfId="0" applyNumberFormat="1" applyFont="1" applyFill="1"/>
    <xf numFmtId="2" fontId="63" fillId="3" borderId="0" xfId="0" applyNumberFormat="1" applyFont="1" applyFill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vertical="center"/>
    </xf>
    <xf numFmtId="2" fontId="0" fillId="3" borderId="32" xfId="0" applyNumberFormat="1" applyFill="1" applyBorder="1"/>
    <xf numFmtId="2" fontId="0" fillId="3" borderId="19" xfId="0" applyNumberFormat="1" applyFill="1" applyBorder="1"/>
    <xf numFmtId="2" fontId="7" fillId="0" borderId="6" xfId="0" applyNumberFormat="1" applyFont="1" applyBorder="1"/>
    <xf numFmtId="2" fontId="7" fillId="0" borderId="0" xfId="0" applyNumberFormat="1" applyFont="1"/>
    <xf numFmtId="2" fontId="7" fillId="0" borderId="19" xfId="0" applyNumberFormat="1" applyFont="1" applyBorder="1"/>
    <xf numFmtId="2" fontId="0" fillId="9" borderId="2" xfId="0" applyNumberFormat="1" applyFill="1" applyBorder="1" applyAlignment="1">
      <alignment horizontal="center" vertical="center"/>
    </xf>
    <xf numFmtId="2" fontId="0" fillId="0" borderId="19" xfId="0" applyNumberFormat="1" applyBorder="1"/>
    <xf numFmtId="2" fontId="4" fillId="9" borderId="6" xfId="0" applyNumberFormat="1" applyFont="1" applyFill="1" applyBorder="1" applyAlignment="1">
      <alignment horizontal="center" vertical="center"/>
    </xf>
    <xf numFmtId="2" fontId="4" fillId="9" borderId="0" xfId="0" applyNumberFormat="1" applyFon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4" fillId="9" borderId="0" xfId="0" quotePrefix="1" applyNumberFormat="1" applyFont="1" applyFill="1" applyAlignment="1">
      <alignment horizontal="center" vertical="center"/>
    </xf>
    <xf numFmtId="2" fontId="21" fillId="9" borderId="2" xfId="0" quotePrefix="1" applyNumberFormat="1" applyFont="1" applyFill="1" applyBorder="1" applyAlignment="1">
      <alignment horizontal="center" vertical="center"/>
    </xf>
    <xf numFmtId="1" fontId="4" fillId="9" borderId="12" xfId="0" applyNumberFormat="1" applyFont="1" applyFill="1" applyBorder="1" applyAlignment="1">
      <alignment horizontal="center" vertical="center"/>
    </xf>
    <xf numFmtId="2" fontId="64" fillId="3" borderId="0" xfId="5" applyNumberFormat="1" applyFont="1" applyFill="1" applyAlignment="1">
      <alignment vertical="center"/>
    </xf>
    <xf numFmtId="2" fontId="55" fillId="6" borderId="39" xfId="0" applyNumberFormat="1" applyFont="1" applyFill="1" applyBorder="1" applyAlignment="1">
      <alignment horizontal="center" vertical="center" wrapText="1"/>
    </xf>
    <xf numFmtId="2" fontId="55" fillId="6" borderId="14" xfId="0" applyNumberFormat="1" applyFont="1" applyFill="1" applyBorder="1" applyAlignment="1">
      <alignment horizontal="center" vertical="center" wrapText="1"/>
    </xf>
    <xf numFmtId="2" fontId="17" fillId="6" borderId="31" xfId="5" applyNumberFormat="1" applyFont="1" applyFill="1" applyBorder="1" applyAlignment="1">
      <alignment horizontal="center" vertical="center"/>
    </xf>
    <xf numFmtId="2" fontId="55" fillId="6" borderId="3" xfId="0" applyNumberFormat="1" applyFont="1" applyFill="1" applyBorder="1" applyAlignment="1">
      <alignment horizontal="center" vertical="center"/>
    </xf>
    <xf numFmtId="2" fontId="55" fillId="6" borderId="66" xfId="0" applyNumberFormat="1" applyFont="1" applyFill="1" applyBorder="1" applyAlignment="1">
      <alignment horizontal="center" vertical="center" wrapText="1"/>
    </xf>
    <xf numFmtId="2" fontId="17" fillId="6" borderId="2" xfId="5" applyNumberFormat="1" applyFont="1" applyFill="1" applyBorder="1" applyAlignment="1">
      <alignment horizontal="center" vertical="center"/>
    </xf>
    <xf numFmtId="2" fontId="55" fillId="6" borderId="2" xfId="0" applyNumberFormat="1" applyFont="1" applyFill="1" applyBorder="1" applyAlignment="1">
      <alignment horizontal="center" vertical="center"/>
    </xf>
    <xf numFmtId="2" fontId="10" fillId="6" borderId="42" xfId="0" applyNumberFormat="1" applyFont="1" applyFill="1" applyBorder="1" applyAlignment="1">
      <alignment horizontal="center" vertical="center" wrapText="1"/>
    </xf>
    <xf numFmtId="2" fontId="7" fillId="6" borderId="42" xfId="0" applyNumberFormat="1" applyFont="1" applyFill="1" applyBorder="1" applyAlignment="1">
      <alignment horizontal="center" vertical="center"/>
    </xf>
    <xf numFmtId="2" fontId="7" fillId="6" borderId="39" xfId="0" applyNumberFormat="1" applyFont="1" applyFill="1" applyBorder="1" applyAlignment="1">
      <alignment horizontal="center" vertical="center"/>
    </xf>
    <xf numFmtId="2" fontId="7" fillId="6" borderId="18" xfId="0" applyNumberFormat="1" applyFont="1" applyFill="1" applyBorder="1" applyAlignment="1">
      <alignment horizontal="center" vertical="center"/>
    </xf>
    <xf numFmtId="2" fontId="0" fillId="13" borderId="20" xfId="0" applyNumberFormat="1" applyFill="1" applyBorder="1" applyAlignment="1">
      <alignment horizontal="center" vertical="center" wrapText="1"/>
    </xf>
    <xf numFmtId="2" fontId="10" fillId="6" borderId="2" xfId="0" applyNumberFormat="1" applyFont="1" applyFill="1" applyBorder="1" applyAlignment="1">
      <alignment horizontal="center" vertical="center" wrapText="1"/>
    </xf>
    <xf numFmtId="2" fontId="7" fillId="6" borderId="2" xfId="0" applyNumberFormat="1" applyFont="1" applyFill="1" applyBorder="1" applyAlignment="1">
      <alignment horizontal="center" vertical="center"/>
    </xf>
    <xf numFmtId="2" fontId="7" fillId="6" borderId="14" xfId="0" applyNumberFormat="1" applyFont="1" applyFill="1" applyBorder="1" applyAlignment="1">
      <alignment horizontal="center" vertical="center"/>
    </xf>
    <xf numFmtId="2" fontId="0" fillId="13" borderId="14" xfId="0" applyNumberFormat="1" applyFill="1" applyBorder="1" applyAlignment="1">
      <alignment horizontal="center" vertical="center" wrapText="1"/>
    </xf>
    <xf numFmtId="2" fontId="0" fillId="13" borderId="14" xfId="0" applyNumberFormat="1" applyFill="1" applyBorder="1" applyAlignment="1">
      <alignment horizontal="center" vertical="center"/>
    </xf>
    <xf numFmtId="2" fontId="7" fillId="6" borderId="20" xfId="0" applyNumberFormat="1" applyFont="1" applyFill="1" applyBorder="1" applyAlignment="1">
      <alignment horizontal="center" vertical="center"/>
    </xf>
    <xf numFmtId="2" fontId="7" fillId="6" borderId="56" xfId="0" applyNumberFormat="1" applyFont="1" applyFill="1" applyBorder="1" applyAlignment="1">
      <alignment horizontal="center" vertical="center" wrapText="1"/>
    </xf>
    <xf numFmtId="2" fontId="10" fillId="6" borderId="18" xfId="0" applyNumberFormat="1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10" fillId="6" borderId="16" xfId="0" applyNumberFormat="1" applyFont="1" applyFill="1" applyBorder="1" applyAlignment="1">
      <alignment horizontal="center" vertical="center" wrapText="1"/>
    </xf>
    <xf numFmtId="2" fontId="7" fillId="6" borderId="70" xfId="0" applyNumberFormat="1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13" borderId="39" xfId="0" applyNumberFormat="1" applyFill="1" applyBorder="1" applyAlignment="1">
      <alignment vertical="center" wrapText="1"/>
    </xf>
    <xf numFmtId="2" fontId="0" fillId="13" borderId="14" xfId="0" applyNumberFormat="1" applyFill="1" applyBorder="1" applyAlignment="1">
      <alignment vertical="center" wrapText="1"/>
    </xf>
    <xf numFmtId="2" fontId="7" fillId="0" borderId="2" xfId="0" applyNumberFormat="1" applyFont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2" fontId="0" fillId="13" borderId="25" xfId="0" applyNumberForma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10" fillId="6" borderId="63" xfId="0" applyNumberFormat="1" applyFont="1" applyFill="1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7" fillId="6" borderId="31" xfId="0" applyNumberFormat="1" applyFont="1" applyFill="1" applyBorder="1" applyAlignment="1">
      <alignment horizontal="center" vertical="center"/>
    </xf>
    <xf numFmtId="2" fontId="0" fillId="13" borderId="66" xfId="0" applyNumberFormat="1" applyFill="1" applyBorder="1" applyAlignment="1">
      <alignment horizontal="center" vertical="center" wrapText="1"/>
    </xf>
    <xf numFmtId="2" fontId="7" fillId="6" borderId="56" xfId="0" applyNumberFormat="1" applyFont="1" applyFill="1" applyBorder="1" applyAlignment="1">
      <alignment horizontal="center" vertical="center"/>
    </xf>
    <xf numFmtId="2" fontId="7" fillId="0" borderId="42" xfId="0" applyNumberFormat="1" applyFont="1" applyBorder="1" applyAlignment="1">
      <alignment horizontal="center" vertical="center"/>
    </xf>
    <xf numFmtId="2" fontId="0" fillId="0" borderId="39" xfId="0" applyNumberFormat="1" applyBorder="1"/>
    <xf numFmtId="2" fontId="0" fillId="0" borderId="14" xfId="0" applyNumberFormat="1" applyBorder="1"/>
    <xf numFmtId="2" fontId="7" fillId="0" borderId="16" xfId="0" applyNumberFormat="1" applyFont="1" applyBorder="1" applyAlignment="1">
      <alignment horizontal="center" vertical="center"/>
    </xf>
    <xf numFmtId="2" fontId="0" fillId="0" borderId="17" xfId="0" applyNumberFormat="1" applyBorder="1"/>
    <xf numFmtId="2" fontId="7" fillId="6" borderId="70" xfId="0" applyNumberFormat="1" applyFont="1" applyFill="1" applyBorder="1" applyAlignment="1">
      <alignment horizontal="center" vertical="center" wrapText="1"/>
    </xf>
    <xf numFmtId="2" fontId="7" fillId="3" borderId="70" xfId="0" applyNumberFormat="1" applyFont="1" applyFill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/>
    </xf>
    <xf numFmtId="2" fontId="0" fillId="0" borderId="25" xfId="0" applyNumberFormat="1" applyBorder="1"/>
    <xf numFmtId="2" fontId="7" fillId="3" borderId="42" xfId="0" applyNumberFormat="1" applyFont="1" applyFill="1" applyBorder="1" applyAlignment="1">
      <alignment horizontal="center" vertical="center"/>
    </xf>
    <xf numFmtId="2" fontId="0" fillId="3" borderId="39" xfId="0" applyNumberForma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/>
    </xf>
    <xf numFmtId="2" fontId="0" fillId="3" borderId="14" xfId="0" applyNumberForma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7" fillId="3" borderId="16" xfId="0" applyNumberFormat="1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 wrapText="1"/>
    </xf>
    <xf numFmtId="2" fontId="7" fillId="3" borderId="0" xfId="0" applyNumberFormat="1" applyFont="1" applyFill="1" applyAlignment="1">
      <alignment horizontal="center" vertical="center"/>
    </xf>
    <xf numFmtId="2" fontId="7" fillId="3" borderId="0" xfId="0" applyNumberFormat="1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0" borderId="65" xfId="0" applyNumberFormat="1" applyBorder="1" applyAlignment="1">
      <alignment horizontal="center" vertical="center"/>
    </xf>
    <xf numFmtId="2" fontId="7" fillId="6" borderId="6" xfId="0" applyNumberFormat="1" applyFont="1" applyFill="1" applyBorder="1" applyAlignment="1">
      <alignment horizontal="center" vertical="center" wrapText="1"/>
    </xf>
    <xf numFmtId="2" fontId="7" fillId="3" borderId="6" xfId="0" applyNumberFormat="1" applyFont="1" applyFill="1" applyBorder="1" applyAlignment="1">
      <alignment horizontal="center" vertical="center"/>
    </xf>
    <xf numFmtId="2" fontId="10" fillId="3" borderId="0" xfId="0" applyNumberFormat="1" applyFont="1" applyFill="1" applyAlignment="1">
      <alignment horizontal="center" vertical="center"/>
    </xf>
    <xf numFmtId="2" fontId="10" fillId="3" borderId="2" xfId="5" applyNumberFormat="1" applyFont="1" applyFill="1" applyBorder="1" applyAlignment="1">
      <alignment horizontal="center" vertical="center" wrapText="1"/>
    </xf>
    <xf numFmtId="2" fontId="10" fillId="3" borderId="0" xfId="5" applyNumberFormat="1" applyFont="1" applyFill="1" applyAlignment="1">
      <alignment vertical="center" wrapText="1"/>
    </xf>
    <xf numFmtId="2" fontId="10" fillId="3" borderId="0" xfId="5" applyNumberFormat="1" applyFont="1" applyFill="1" applyAlignment="1">
      <alignment horizontal="center" vertical="center" wrapText="1"/>
    </xf>
    <xf numFmtId="2" fontId="0" fillId="9" borderId="0" xfId="0" applyNumberFormat="1" applyFill="1"/>
    <xf numFmtId="2" fontId="55" fillId="3" borderId="2" xfId="0" applyNumberFormat="1" applyFont="1" applyFill="1" applyBorder="1" applyAlignment="1">
      <alignment horizontal="center" vertical="center"/>
    </xf>
    <xf numFmtId="2" fontId="55" fillId="3" borderId="2" xfId="0" applyNumberFormat="1" applyFont="1" applyFill="1" applyBorder="1" applyAlignment="1">
      <alignment vertical="center"/>
    </xf>
    <xf numFmtId="2" fontId="56" fillId="0" borderId="2" xfId="0" applyNumberFormat="1" applyFont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2" fontId="7" fillId="3" borderId="6" xfId="0" applyNumberFormat="1" applyFont="1" applyFill="1" applyBorder="1"/>
    <xf numFmtId="2" fontId="10" fillId="3" borderId="0" xfId="0" applyNumberFormat="1" applyFont="1" applyFill="1" applyAlignment="1">
      <alignment horizontal="center"/>
    </xf>
    <xf numFmtId="2" fontId="10" fillId="3" borderId="1" xfId="0" applyNumberFormat="1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 applyAlignment="1">
      <alignment horizontal="center"/>
    </xf>
    <xf numFmtId="2" fontId="10" fillId="3" borderId="14" xfId="0" applyNumberFormat="1" applyFont="1" applyFill="1" applyBorder="1" applyAlignment="1">
      <alignment horizontal="center"/>
    </xf>
    <xf numFmtId="2" fontId="10" fillId="3" borderId="15" xfId="0" applyNumberFormat="1" applyFont="1" applyFill="1" applyBorder="1" applyAlignment="1">
      <alignment horizontal="center" vertical="center"/>
    </xf>
    <xf numFmtId="2" fontId="10" fillId="3" borderId="76" xfId="0" applyNumberFormat="1" applyFont="1" applyFill="1" applyBorder="1" applyAlignment="1">
      <alignment horizontal="center" vertical="center"/>
    </xf>
    <xf numFmtId="2" fontId="10" fillId="3" borderId="16" xfId="0" applyNumberFormat="1" applyFont="1" applyFill="1" applyBorder="1" applyAlignment="1">
      <alignment horizontal="center"/>
    </xf>
    <xf numFmtId="2" fontId="10" fillId="3" borderId="17" xfId="0" applyNumberFormat="1" applyFont="1" applyFill="1" applyBorder="1" applyAlignment="1">
      <alignment horizontal="center"/>
    </xf>
    <xf numFmtId="2" fontId="10" fillId="3" borderId="6" xfId="0" applyNumberFormat="1" applyFont="1" applyFill="1" applyBorder="1" applyAlignment="1">
      <alignment horizontal="center" vertical="center"/>
    </xf>
    <xf numFmtId="2" fontId="47" fillId="3" borderId="71" xfId="0" applyNumberFormat="1" applyFont="1" applyFill="1" applyBorder="1" applyAlignment="1">
      <alignment horizontal="center" vertical="center" wrapText="1"/>
    </xf>
    <xf numFmtId="2" fontId="47" fillId="3" borderId="72" xfId="0" applyNumberFormat="1" applyFont="1" applyFill="1" applyBorder="1" applyAlignment="1">
      <alignment horizontal="center" vertical="center" wrapText="1"/>
    </xf>
    <xf numFmtId="2" fontId="10" fillId="3" borderId="72" xfId="0" applyNumberFormat="1" applyFont="1" applyFill="1" applyBorder="1" applyAlignment="1">
      <alignment horizontal="center" vertical="center" wrapText="1"/>
    </xf>
    <xf numFmtId="2" fontId="10" fillId="3" borderId="72" xfId="2" applyNumberFormat="1" applyFont="1" applyFill="1" applyBorder="1" applyAlignment="1">
      <alignment horizontal="center" vertical="center" wrapText="1"/>
    </xf>
    <xf numFmtId="2" fontId="10" fillId="3" borderId="73" xfId="0" applyNumberFormat="1" applyFont="1" applyFill="1" applyBorder="1" applyAlignment="1">
      <alignment horizontal="center" vertical="center" wrapText="1"/>
    </xf>
    <xf numFmtId="2" fontId="41" fillId="11" borderId="71" xfId="0" applyNumberFormat="1" applyFont="1" applyFill="1" applyBorder="1" applyAlignment="1">
      <alignment horizontal="center" vertical="center"/>
    </xf>
    <xf numFmtId="2" fontId="41" fillId="11" borderId="72" xfId="0" applyNumberFormat="1" applyFont="1" applyFill="1" applyBorder="1" applyAlignment="1">
      <alignment horizontal="center" vertical="center"/>
    </xf>
    <xf numFmtId="2" fontId="41" fillId="3" borderId="72" xfId="0" applyNumberFormat="1" applyFont="1" applyFill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2" fontId="41" fillId="3" borderId="72" xfId="0" applyNumberFormat="1" applyFont="1" applyFill="1" applyBorder="1" applyAlignment="1">
      <alignment horizontal="center"/>
    </xf>
    <xf numFmtId="2" fontId="57" fillId="3" borderId="72" xfId="0" applyNumberFormat="1" applyFont="1" applyFill="1" applyBorder="1" applyAlignment="1">
      <alignment horizontal="center" vertical="center"/>
    </xf>
    <xf numFmtId="2" fontId="0" fillId="0" borderId="73" xfId="0" applyNumberFormat="1" applyBorder="1" applyAlignment="1">
      <alignment horizontal="center" vertical="center"/>
    </xf>
    <xf numFmtId="2" fontId="28" fillId="11" borderId="48" xfId="0" applyNumberFormat="1" applyFont="1" applyFill="1" applyBorder="1" applyAlignment="1">
      <alignment vertical="center"/>
    </xf>
    <xf numFmtId="2" fontId="28" fillId="3" borderId="64" xfId="0" applyNumberFormat="1" applyFont="1" applyFill="1" applyBorder="1" applyAlignment="1">
      <alignment vertical="center"/>
    </xf>
    <xf numFmtId="2" fontId="34" fillId="0" borderId="0" xfId="0" applyNumberFormat="1" applyFont="1" applyAlignment="1">
      <alignment horizontal="left" vertical="center"/>
    </xf>
    <xf numFmtId="2" fontId="8" fillId="3" borderId="10" xfId="0" applyNumberFormat="1" applyFont="1" applyFill="1" applyBorder="1" applyAlignment="1">
      <alignment vertical="center"/>
    </xf>
    <xf numFmtId="1" fontId="8" fillId="3" borderId="18" xfId="0" applyNumberFormat="1" applyFont="1" applyFill="1" applyBorder="1" applyAlignment="1">
      <alignment horizontal="center" vertical="center"/>
    </xf>
    <xf numFmtId="1" fontId="7" fillId="3" borderId="20" xfId="0" applyNumberFormat="1" applyFont="1" applyFill="1" applyBorder="1" applyAlignment="1">
      <alignment horizontal="center" vertical="center"/>
    </xf>
    <xf numFmtId="2" fontId="52" fillId="0" borderId="4" xfId="0" applyNumberFormat="1" applyFont="1" applyBorder="1" applyAlignment="1">
      <alignment horizontal="center" vertical="center"/>
    </xf>
    <xf numFmtId="2" fontId="52" fillId="0" borderId="5" xfId="0" applyNumberFormat="1" applyFont="1" applyBorder="1" applyAlignment="1">
      <alignment horizontal="center" vertical="center"/>
    </xf>
    <xf numFmtId="2" fontId="4" fillId="3" borderId="5" xfId="0" applyNumberFormat="1" applyFont="1" applyFill="1" applyBorder="1"/>
    <xf numFmtId="2" fontId="52" fillId="0" borderId="5" xfId="0" applyNumberFormat="1" applyFont="1" applyBorder="1"/>
    <xf numFmtId="2" fontId="52" fillId="0" borderId="24" xfId="0" applyNumberFormat="1" applyFont="1" applyBorder="1"/>
    <xf numFmtId="2" fontId="8" fillId="3" borderId="5" xfId="0" applyNumberFormat="1" applyFont="1" applyFill="1" applyBorder="1" applyAlignment="1">
      <alignment vertical="center"/>
    </xf>
    <xf numFmtId="1" fontId="8" fillId="3" borderId="2" xfId="0" applyNumberFormat="1" applyFont="1" applyFill="1" applyBorder="1" applyAlignment="1">
      <alignment horizontal="center" vertical="center"/>
    </xf>
    <xf numFmtId="1" fontId="7" fillId="3" borderId="14" xfId="0" applyNumberFormat="1" applyFont="1" applyFill="1" applyBorder="1" applyAlignment="1">
      <alignment horizontal="center" vertical="center"/>
    </xf>
    <xf numFmtId="2" fontId="8" fillId="3" borderId="32" xfId="0" applyNumberFormat="1" applyFont="1" applyFill="1" applyBorder="1" applyAlignment="1">
      <alignment vertical="center"/>
    </xf>
    <xf numFmtId="2" fontId="34" fillId="3" borderId="0" xfId="0" applyNumberFormat="1" applyFont="1" applyFill="1" applyAlignment="1" applyProtection="1">
      <alignment horizontal="left" vertical="center"/>
      <protection locked="0"/>
    </xf>
    <xf numFmtId="2" fontId="52" fillId="0" borderId="32" xfId="0" applyNumberFormat="1" applyFont="1" applyBorder="1"/>
    <xf numFmtId="2" fontId="52" fillId="0" borderId="74" xfId="0" applyNumberFormat="1" applyFont="1" applyBorder="1"/>
    <xf numFmtId="2" fontId="8" fillId="3" borderId="0" xfId="0" applyNumberFormat="1" applyFont="1" applyFill="1" applyAlignment="1">
      <alignment vertical="center"/>
    </xf>
    <xf numFmtId="1" fontId="8" fillId="3" borderId="0" xfId="0" applyNumberFormat="1" applyFont="1" applyFill="1" applyAlignment="1">
      <alignment horizontal="center" vertical="center"/>
    </xf>
    <xf numFmtId="2" fontId="52" fillId="0" borderId="32" xfId="0" applyNumberFormat="1" applyFont="1" applyBorder="1" applyAlignment="1">
      <alignment horizontal="center" vertical="center"/>
    </xf>
    <xf numFmtId="2" fontId="27" fillId="3" borderId="0" xfId="0" quotePrefix="1" applyNumberFormat="1" applyFont="1" applyFill="1" applyAlignment="1" applyProtection="1">
      <alignment horizontal="left"/>
      <protection locked="0"/>
    </xf>
    <xf numFmtId="0" fontId="4" fillId="0" borderId="0" xfId="5" applyAlignment="1">
      <alignment horizontal="left"/>
    </xf>
    <xf numFmtId="0" fontId="53" fillId="14" borderId="0" xfId="5" applyFont="1" applyFill="1" applyAlignment="1" applyProtection="1">
      <alignment horizontal="left" vertical="center"/>
      <protection locked="0"/>
    </xf>
    <xf numFmtId="0" fontId="17" fillId="14" borderId="2" xfId="5" applyFont="1" applyFill="1" applyBorder="1" applyAlignment="1" applyProtection="1">
      <alignment horizontal="center"/>
      <protection locked="0"/>
    </xf>
    <xf numFmtId="0" fontId="17" fillId="14" borderId="0" xfId="5" applyFont="1" applyFill="1" applyAlignment="1" applyProtection="1">
      <alignment horizontal="left"/>
      <protection locked="0"/>
    </xf>
    <xf numFmtId="0" fontId="17" fillId="14" borderId="2" xfId="5" applyFont="1" applyFill="1" applyBorder="1" applyAlignment="1" applyProtection="1">
      <alignment horizontal="center" vertical="center"/>
      <protection locked="0"/>
    </xf>
    <xf numFmtId="0" fontId="21" fillId="14" borderId="2" xfId="5" applyFont="1" applyFill="1" applyBorder="1" applyAlignment="1" applyProtection="1">
      <alignment horizontal="center" vertical="center"/>
      <protection locked="0"/>
    </xf>
    <xf numFmtId="0" fontId="4" fillId="14" borderId="0" xfId="5" applyFill="1" applyAlignment="1" applyProtection="1">
      <alignment horizontal="left"/>
      <protection locked="0"/>
    </xf>
    <xf numFmtId="1" fontId="4" fillId="14" borderId="2" xfId="5" applyNumberFormat="1" applyFill="1" applyBorder="1" applyAlignment="1" applyProtection="1">
      <alignment horizontal="center" vertical="center"/>
      <protection locked="0"/>
    </xf>
    <xf numFmtId="2" fontId="22" fillId="14" borderId="2" xfId="5" quotePrefix="1" applyNumberFormat="1" applyFont="1" applyFill="1" applyBorder="1" applyAlignment="1" applyProtection="1">
      <alignment horizontal="center" vertical="center"/>
      <protection locked="0"/>
    </xf>
    <xf numFmtId="2" fontId="4" fillId="14" borderId="2" xfId="5" applyNumberFormat="1" applyFill="1" applyBorder="1" applyAlignment="1" applyProtection="1">
      <alignment horizontal="center"/>
      <protection locked="0"/>
    </xf>
    <xf numFmtId="2" fontId="22" fillId="14" borderId="2" xfId="5" applyNumberFormat="1" applyFont="1" applyFill="1" applyBorder="1" applyAlignment="1" applyProtection="1">
      <alignment horizontal="center" vertical="center"/>
      <protection locked="0"/>
    </xf>
    <xf numFmtId="2" fontId="4" fillId="14" borderId="2" xfId="5" applyNumberFormat="1" applyFill="1" applyBorder="1" applyAlignment="1" applyProtection="1">
      <alignment horizontal="center" vertical="center"/>
      <protection locked="0"/>
    </xf>
    <xf numFmtId="0" fontId="8" fillId="14" borderId="2" xfId="5" applyFont="1" applyFill="1" applyBorder="1" applyAlignment="1" applyProtection="1">
      <alignment horizontal="center" vertical="center"/>
      <protection locked="0"/>
    </xf>
    <xf numFmtId="164" fontId="22" fillId="14" borderId="2" xfId="5" applyNumberFormat="1" applyFont="1" applyFill="1" applyBorder="1" applyAlignment="1" applyProtection="1">
      <alignment horizontal="center" vertical="center"/>
      <protection locked="0"/>
    </xf>
    <xf numFmtId="2" fontId="4" fillId="14" borderId="2" xfId="5" quotePrefix="1" applyNumberFormat="1" applyFill="1" applyBorder="1" applyAlignment="1" applyProtection="1">
      <alignment horizontal="center" vertical="center"/>
      <protection locked="0"/>
    </xf>
    <xf numFmtId="0" fontId="4" fillId="14" borderId="2" xfId="5" applyFill="1" applyBorder="1" applyAlignment="1" applyProtection="1">
      <alignment horizontal="center" vertical="center"/>
      <protection locked="0"/>
    </xf>
    <xf numFmtId="165" fontId="4" fillId="14" borderId="2" xfId="5" quotePrefix="1" applyNumberFormat="1" applyFill="1" applyBorder="1" applyAlignment="1" applyProtection="1">
      <alignment horizontal="center" vertical="center"/>
      <protection locked="0"/>
    </xf>
    <xf numFmtId="1" fontId="22" fillId="14" borderId="2" xfId="5" quotePrefix="1" applyNumberFormat="1" applyFont="1" applyFill="1" applyBorder="1" applyAlignment="1" applyProtection="1">
      <alignment horizontal="center" vertical="center"/>
      <protection locked="0"/>
    </xf>
    <xf numFmtId="0" fontId="22" fillId="14" borderId="2" xfId="5" quotePrefix="1" applyFont="1" applyFill="1" applyBorder="1" applyAlignment="1" applyProtection="1">
      <alignment horizontal="center" vertical="center"/>
      <protection locked="0"/>
    </xf>
    <xf numFmtId="0" fontId="22" fillId="14" borderId="2" xfId="5" applyFont="1" applyFill="1" applyBorder="1" applyAlignment="1" applyProtection="1">
      <alignment horizontal="center" vertical="center"/>
      <protection locked="0"/>
    </xf>
    <xf numFmtId="164" fontId="4" fillId="14" borderId="2" xfId="5" applyNumberFormat="1" applyFill="1" applyBorder="1" applyAlignment="1" applyProtection="1">
      <alignment horizontal="center" vertical="center"/>
      <protection locked="0"/>
    </xf>
    <xf numFmtId="165" fontId="4" fillId="14" borderId="2" xfId="5" applyNumberFormat="1" applyFill="1" applyBorder="1" applyAlignment="1" applyProtection="1">
      <alignment horizontal="center" vertical="center"/>
      <protection locked="0"/>
    </xf>
    <xf numFmtId="0" fontId="86" fillId="14" borderId="0" xfId="5" applyFont="1" applyFill="1" applyAlignment="1" applyProtection="1">
      <alignment horizontal="left"/>
      <protection locked="0"/>
    </xf>
    <xf numFmtId="166" fontId="4" fillId="14" borderId="2" xfId="5" applyNumberFormat="1" applyFill="1" applyBorder="1" applyAlignment="1" applyProtection="1">
      <alignment horizontal="center" vertical="center"/>
      <protection locked="0"/>
    </xf>
    <xf numFmtId="0" fontId="86" fillId="14" borderId="2" xfId="5" applyFont="1" applyFill="1" applyBorder="1" applyAlignment="1" applyProtection="1">
      <alignment horizontal="center" vertical="center"/>
      <protection locked="0"/>
    </xf>
    <xf numFmtId="0" fontId="4" fillId="3" borderId="6" xfId="5" applyFill="1" applyBorder="1" applyProtection="1">
      <protection locked="0"/>
    </xf>
    <xf numFmtId="0" fontId="4" fillId="3" borderId="0" xfId="5" applyFill="1" applyProtection="1">
      <protection locked="0"/>
    </xf>
    <xf numFmtId="0" fontId="4" fillId="3" borderId="0" xfId="5" applyFill="1" applyAlignment="1" applyProtection="1">
      <alignment horizontal="left"/>
      <protection locked="0"/>
    </xf>
    <xf numFmtId="0" fontId="4" fillId="3" borderId="19" xfId="5" applyFill="1" applyBorder="1" applyProtection="1">
      <protection locked="0"/>
    </xf>
    <xf numFmtId="0" fontId="4" fillId="3" borderId="0" xfId="5" applyFill="1" applyAlignment="1">
      <alignment horizontal="left"/>
    </xf>
    <xf numFmtId="0" fontId="16" fillId="14" borderId="0" xfId="5" applyFont="1" applyFill="1" applyAlignment="1" applyProtection="1">
      <alignment horizontal="left" vertical="center"/>
      <protection locked="0"/>
    </xf>
    <xf numFmtId="0" fontId="17" fillId="14" borderId="18" xfId="5" applyFont="1" applyFill="1" applyBorder="1" applyAlignment="1" applyProtection="1">
      <alignment horizontal="center"/>
      <protection locked="0"/>
    </xf>
    <xf numFmtId="0" fontId="17" fillId="14" borderId="18" xfId="5" applyFont="1" applyFill="1" applyBorder="1" applyAlignment="1" applyProtection="1">
      <alignment horizontal="center" vertical="center"/>
      <protection locked="0"/>
    </xf>
    <xf numFmtId="0" fontId="4" fillId="14" borderId="2" xfId="5" applyFill="1" applyBorder="1" applyAlignment="1" applyProtection="1">
      <alignment horizontal="right" vertical="center"/>
      <protection locked="0"/>
    </xf>
    <xf numFmtId="164" fontId="4" fillId="14" borderId="2" xfId="5" applyNumberFormat="1" applyFill="1" applyBorder="1" applyAlignment="1" applyProtection="1">
      <alignment horizontal="right" vertical="center"/>
      <protection locked="0"/>
    </xf>
    <xf numFmtId="0" fontId="86" fillId="0" borderId="0" xfId="5" applyFont="1" applyAlignment="1">
      <alignment horizontal="left"/>
    </xf>
    <xf numFmtId="0" fontId="46" fillId="3" borderId="6" xfId="5" applyFont="1" applyFill="1" applyBorder="1" applyAlignment="1" applyProtection="1">
      <alignment horizontal="center" vertical="center" wrapText="1"/>
      <protection locked="0"/>
    </xf>
    <xf numFmtId="0" fontId="4" fillId="3" borderId="0" xfId="5" applyFill="1" applyAlignment="1" applyProtection="1">
      <alignment horizontal="center" vertical="center"/>
      <protection locked="0"/>
    </xf>
    <xf numFmtId="165" fontId="4" fillId="3" borderId="0" xfId="5" applyNumberFormat="1" applyFill="1" applyAlignment="1" applyProtection="1">
      <alignment horizontal="center" vertical="center"/>
      <protection locked="0"/>
    </xf>
    <xf numFmtId="0" fontId="46" fillId="3" borderId="0" xfId="5" applyFont="1" applyFill="1" applyAlignment="1" applyProtection="1">
      <alignment horizontal="center" vertical="center" wrapText="1"/>
      <protection locked="0"/>
    </xf>
    <xf numFmtId="0" fontId="4" fillId="3" borderId="0" xfId="5" applyFill="1" applyAlignment="1" applyProtection="1">
      <alignment horizontal="right" vertical="center"/>
      <protection locked="0"/>
    </xf>
    <xf numFmtId="164" fontId="4" fillId="14" borderId="2" xfId="5" quotePrefix="1" applyNumberFormat="1" applyFill="1" applyBorder="1" applyAlignment="1" applyProtection="1">
      <alignment horizontal="center" vertical="center"/>
      <protection locked="0"/>
    </xf>
    <xf numFmtId="0" fontId="4" fillId="14" borderId="2" xfId="5" quotePrefix="1" applyFill="1" applyBorder="1" applyAlignment="1" applyProtection="1">
      <alignment horizontal="center" vertical="center"/>
      <protection locked="0"/>
    </xf>
    <xf numFmtId="0" fontId="4" fillId="4" borderId="48" xfId="5" applyFill="1" applyBorder="1"/>
    <xf numFmtId="0" fontId="46" fillId="4" borderId="48" xfId="5" applyFont="1" applyFill="1" applyBorder="1" applyAlignment="1" applyProtection="1">
      <alignment horizontal="left" vertical="center" wrapText="1"/>
      <protection locked="0"/>
    </xf>
    <xf numFmtId="0" fontId="4" fillId="3" borderId="7" xfId="7" applyFill="1" applyBorder="1" applyAlignment="1">
      <alignment horizontal="center" vertical="center"/>
    </xf>
    <xf numFmtId="0" fontId="4" fillId="3" borderId="14" xfId="7" applyFill="1" applyBorder="1" applyAlignment="1">
      <alignment horizontal="center" vertical="center"/>
    </xf>
    <xf numFmtId="0" fontId="4" fillId="3" borderId="4" xfId="7" applyFill="1" applyBorder="1" applyAlignment="1">
      <alignment horizontal="center" vertical="center"/>
    </xf>
    <xf numFmtId="2" fontId="10" fillId="15" borderId="1" xfId="5" applyNumberFormat="1" applyFont="1" applyFill="1" applyBorder="1" applyAlignment="1">
      <alignment horizontal="center" vertical="center"/>
    </xf>
    <xf numFmtId="0" fontId="10" fillId="15" borderId="2" xfId="5" applyFont="1" applyFill="1" applyBorder="1" applyAlignment="1">
      <alignment horizontal="center" vertical="center"/>
    </xf>
    <xf numFmtId="165" fontId="47" fillId="15" borderId="77" xfId="5" applyNumberFormat="1" applyFont="1" applyFill="1" applyBorder="1" applyAlignment="1">
      <alignment horizontal="center"/>
    </xf>
    <xf numFmtId="2" fontId="10" fillId="15" borderId="14" xfId="5" applyNumberFormat="1" applyFont="1" applyFill="1" applyBorder="1" applyAlignment="1">
      <alignment horizontal="center" vertical="center"/>
    </xf>
    <xf numFmtId="2" fontId="4" fillId="3" borderId="7" xfId="7" applyNumberFormat="1" applyFill="1" applyBorder="1" applyAlignment="1">
      <alignment horizontal="center" vertical="center"/>
    </xf>
    <xf numFmtId="164" fontId="86" fillId="3" borderId="41" xfId="5" applyNumberFormat="1" applyFont="1" applyFill="1" applyBorder="1" applyAlignment="1">
      <alignment horizontal="center" vertical="center" wrapText="1"/>
    </xf>
    <xf numFmtId="1" fontId="86" fillId="3" borderId="1" xfId="5" applyNumberFormat="1" applyFont="1" applyFill="1" applyBorder="1" applyAlignment="1">
      <alignment horizontal="center" vertical="center" wrapText="1"/>
    </xf>
    <xf numFmtId="165" fontId="10" fillId="15" borderId="1" xfId="5" applyNumberFormat="1" applyFont="1" applyFill="1" applyBorder="1" applyAlignment="1">
      <alignment horizontal="center" vertical="center"/>
    </xf>
    <xf numFmtId="165" fontId="10" fillId="15" borderId="2" xfId="5" applyNumberFormat="1" applyFont="1" applyFill="1" applyBorder="1" applyAlignment="1">
      <alignment horizontal="center" vertical="center"/>
    </xf>
    <xf numFmtId="165" fontId="10" fillId="15" borderId="14" xfId="5" applyNumberFormat="1" applyFont="1" applyFill="1" applyBorder="1" applyAlignment="1">
      <alignment horizontal="center" vertical="center"/>
    </xf>
    <xf numFmtId="164" fontId="10" fillId="15" borderId="1" xfId="5" applyNumberFormat="1" applyFont="1" applyFill="1" applyBorder="1" applyAlignment="1">
      <alignment horizontal="center" vertical="center"/>
    </xf>
    <xf numFmtId="2" fontId="10" fillId="15" borderId="2" xfId="5" applyNumberFormat="1" applyFont="1" applyFill="1" applyBorder="1" applyAlignment="1">
      <alignment horizontal="center" vertical="center"/>
    </xf>
    <xf numFmtId="0" fontId="4" fillId="15" borderId="78" xfId="5" applyFill="1" applyBorder="1" applyAlignment="1">
      <alignment horizontal="center"/>
    </xf>
    <xf numFmtId="164" fontId="86" fillId="3" borderId="4" xfId="5" applyNumberFormat="1" applyFont="1" applyFill="1" applyBorder="1" applyAlignment="1">
      <alignment horizontal="center" vertical="center" wrapText="1"/>
    </xf>
    <xf numFmtId="164" fontId="90" fillId="15" borderId="12" xfId="5" applyNumberFormat="1" applyFont="1" applyFill="1" applyBorder="1" applyAlignment="1">
      <alignment horizontal="center" vertical="center"/>
    </xf>
    <xf numFmtId="1" fontId="4" fillId="3" borderId="4" xfId="7" applyNumberFormat="1" applyFill="1" applyBorder="1" applyAlignment="1">
      <alignment horizontal="center" vertical="center"/>
    </xf>
    <xf numFmtId="164" fontId="4" fillId="3" borderId="7" xfId="7" applyNumberFormat="1" applyFill="1" applyBorder="1" applyAlignment="1">
      <alignment horizontal="center" vertical="center"/>
    </xf>
    <xf numFmtId="0" fontId="91" fillId="15" borderId="0" xfId="5" applyFont="1" applyFill="1"/>
    <xf numFmtId="2" fontId="88" fillId="15" borderId="0" xfId="5" applyNumberFormat="1" applyFont="1" applyFill="1" applyAlignment="1">
      <alignment horizontal="center" vertical="center"/>
    </xf>
    <xf numFmtId="0" fontId="3" fillId="0" borderId="79" xfId="5" applyFont="1" applyBorder="1" applyAlignment="1">
      <alignment horizontal="right"/>
    </xf>
    <xf numFmtId="2" fontId="89" fillId="15" borderId="1" xfId="5" applyNumberFormat="1" applyFont="1" applyFill="1" applyBorder="1" applyAlignment="1">
      <alignment horizontal="center" vertical="center"/>
    </xf>
    <xf numFmtId="0" fontId="89" fillId="15" borderId="2" xfId="5" applyFont="1" applyFill="1" applyBorder="1" applyAlignment="1">
      <alignment horizontal="center" vertical="center"/>
    </xf>
    <xf numFmtId="2" fontId="89" fillId="15" borderId="2" xfId="5" applyNumberFormat="1" applyFont="1" applyFill="1" applyBorder="1" applyAlignment="1">
      <alignment horizontal="center" vertical="center"/>
    </xf>
    <xf numFmtId="0" fontId="4" fillId="0" borderId="79" xfId="5" applyBorder="1" applyAlignment="1">
      <alignment horizontal="right"/>
    </xf>
    <xf numFmtId="0" fontId="4" fillId="0" borderId="6" xfId="5" applyBorder="1" applyAlignment="1">
      <alignment horizontal="left"/>
    </xf>
    <xf numFmtId="0" fontId="4" fillId="0" borderId="80" xfId="5" applyBorder="1" applyAlignment="1">
      <alignment horizontal="right"/>
    </xf>
    <xf numFmtId="0" fontId="4" fillId="0" borderId="19" xfId="5" applyBorder="1" applyAlignment="1">
      <alignment horizontal="left"/>
    </xf>
    <xf numFmtId="0" fontId="10" fillId="3" borderId="22" xfId="5" applyFont="1" applyFill="1" applyBorder="1" applyAlignment="1">
      <alignment horizontal="left" vertical="center"/>
    </xf>
    <xf numFmtId="0" fontId="10" fillId="3" borderId="21" xfId="5" applyFont="1" applyFill="1" applyBorder="1" applyAlignment="1">
      <alignment horizontal="center" vertical="center"/>
    </xf>
    <xf numFmtId="2" fontId="10" fillId="3" borderId="21" xfId="5" applyNumberFormat="1" applyFont="1" applyFill="1" applyBorder="1" applyAlignment="1">
      <alignment horizontal="center" vertical="center"/>
    </xf>
    <xf numFmtId="2" fontId="59" fillId="3" borderId="21" xfId="5" applyNumberFormat="1" applyFont="1" applyFill="1" applyBorder="1" applyAlignment="1">
      <alignment horizontal="center" vertical="center"/>
    </xf>
    <xf numFmtId="2" fontId="61" fillId="3" borderId="23" xfId="5" applyNumberFormat="1" applyFont="1" applyFill="1" applyBorder="1" applyAlignment="1">
      <alignment horizontal="center" vertical="center"/>
    </xf>
    <xf numFmtId="0" fontId="10" fillId="3" borderId="0" xfId="5" applyFont="1" applyFill="1" applyAlignment="1">
      <alignment horizontal="left" vertical="center"/>
    </xf>
    <xf numFmtId="0" fontId="6" fillId="0" borderId="0" xfId="5" applyFont="1" applyAlignment="1">
      <alignment horizontal="left"/>
    </xf>
    <xf numFmtId="0" fontId="10" fillId="0" borderId="0" xfId="5" applyFont="1" applyAlignment="1">
      <alignment horizontal="left" vertical="center"/>
    </xf>
    <xf numFmtId="2" fontId="10" fillId="0" borderId="0" xfId="5" applyNumberFormat="1" applyFont="1" applyAlignment="1">
      <alignment horizontal="left" vertical="center"/>
    </xf>
    <xf numFmtId="0" fontId="89" fillId="3" borderId="0" xfId="5" applyFont="1" applyFill="1" applyAlignment="1">
      <alignment horizontal="left" vertical="center"/>
    </xf>
    <xf numFmtId="0" fontId="89" fillId="3" borderId="0" xfId="5" applyFont="1" applyFill="1" applyAlignment="1">
      <alignment horizontal="center" vertical="center"/>
    </xf>
    <xf numFmtId="2" fontId="89" fillId="3" borderId="0" xfId="5" applyNumberFormat="1" applyFont="1" applyFill="1" applyAlignment="1">
      <alignment horizontal="center" vertical="center"/>
    </xf>
    <xf numFmtId="0" fontId="16" fillId="3" borderId="0" xfId="5" applyFont="1" applyFill="1" applyAlignment="1">
      <alignment wrapText="1"/>
    </xf>
    <xf numFmtId="0" fontId="4" fillId="3" borderId="46" xfId="7" applyFill="1" applyBorder="1" applyAlignment="1">
      <alignment horizontal="center" vertical="center"/>
    </xf>
    <xf numFmtId="164" fontId="4" fillId="3" borderId="55" xfId="7" applyNumberFormat="1" applyFill="1" applyBorder="1" applyAlignment="1">
      <alignment horizontal="center" vertical="center"/>
    </xf>
    <xf numFmtId="2" fontId="4" fillId="3" borderId="55" xfId="7" applyNumberFormat="1" applyFill="1" applyBorder="1" applyAlignment="1">
      <alignment horizontal="center" vertical="center"/>
    </xf>
    <xf numFmtId="0" fontId="4" fillId="3" borderId="17" xfId="7" applyFill="1" applyBorder="1" applyAlignment="1">
      <alignment horizontal="center" vertical="center"/>
    </xf>
    <xf numFmtId="0" fontId="8" fillId="13" borderId="4" xfId="7" applyFont="1" applyFill="1" applyBorder="1"/>
    <xf numFmtId="0" fontId="8" fillId="13" borderId="5" xfId="7" applyFont="1" applyFill="1" applyBorder="1" applyAlignment="1">
      <alignment horizontal="center" vertical="center"/>
    </xf>
    <xf numFmtId="0" fontId="7" fillId="13" borderId="5" xfId="7" applyFont="1" applyFill="1" applyBorder="1" applyAlignment="1">
      <alignment horizontal="center" vertical="center"/>
    </xf>
    <xf numFmtId="0" fontId="7" fillId="13" borderId="5" xfId="7" applyFont="1" applyFill="1" applyBorder="1" applyAlignment="1">
      <alignment vertical="center"/>
    </xf>
    <xf numFmtId="0" fontId="7" fillId="13" borderId="12" xfId="7" applyFont="1" applyFill="1" applyBorder="1" applyAlignment="1">
      <alignment horizontal="left" vertical="center"/>
    </xf>
    <xf numFmtId="0" fontId="7" fillId="13" borderId="2" xfId="7" applyFont="1" applyFill="1" applyBorder="1" applyAlignment="1">
      <alignment vertical="center"/>
    </xf>
    <xf numFmtId="0" fontId="7" fillId="13" borderId="14" xfId="7" applyFont="1" applyFill="1" applyBorder="1" applyAlignment="1">
      <alignment horizontal="center" vertical="center"/>
    </xf>
    <xf numFmtId="0" fontId="52" fillId="0" borderId="1" xfId="7" applyFont="1" applyBorder="1" applyAlignment="1">
      <alignment horizontal="center" vertical="center"/>
    </xf>
    <xf numFmtId="0" fontId="52" fillId="0" borderId="7" xfId="7" applyFont="1" applyBorder="1"/>
    <xf numFmtId="0" fontId="52" fillId="0" borderId="5" xfId="7" applyFont="1" applyBorder="1" applyAlignment="1">
      <alignment horizontal="left"/>
    </xf>
    <xf numFmtId="0" fontId="52" fillId="0" borderId="5" xfId="7" applyFont="1" applyBorder="1"/>
    <xf numFmtId="0" fontId="52" fillId="0" borderId="24" xfId="7" applyFont="1" applyBorder="1"/>
    <xf numFmtId="0" fontId="7" fillId="13" borderId="2" xfId="7" applyFont="1" applyFill="1" applyBorder="1" applyAlignment="1">
      <alignment horizontal="right" vertical="center"/>
    </xf>
    <xf numFmtId="0" fontId="93" fillId="3" borderId="46" xfId="7" applyFont="1" applyFill="1" applyBorder="1"/>
    <xf numFmtId="0" fontId="93" fillId="3" borderId="67" xfId="7" applyFont="1" applyFill="1" applyBorder="1"/>
    <xf numFmtId="0" fontId="93" fillId="3" borderId="68" xfId="7" applyFont="1" applyFill="1" applyBorder="1"/>
    <xf numFmtId="0" fontId="8" fillId="3" borderId="0" xfId="7" applyFont="1" applyFill="1"/>
    <xf numFmtId="0" fontId="16" fillId="8" borderId="1" xfId="0" applyFont="1" applyFill="1" applyBorder="1" applyAlignment="1">
      <alignment horizontal="center" vertical="center"/>
    </xf>
    <xf numFmtId="164" fontId="16" fillId="9" borderId="14" xfId="0" applyNumberFormat="1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4" fillId="9" borderId="2" xfId="0" applyNumberFormat="1" applyFont="1" applyFill="1" applyBorder="1" applyAlignment="1">
      <alignment horizontal="center" vertical="center"/>
    </xf>
    <xf numFmtId="2" fontId="4" fillId="8" borderId="14" xfId="0" applyNumberFormat="1" applyFont="1" applyFill="1" applyBorder="1" applyAlignment="1">
      <alignment horizontal="center"/>
    </xf>
    <xf numFmtId="164" fontId="0" fillId="9" borderId="40" xfId="0" applyNumberFormat="1" applyFill="1" applyBorder="1" applyAlignment="1">
      <alignment horizontal="center" vertical="center"/>
    </xf>
    <xf numFmtId="164" fontId="4" fillId="9" borderId="18" xfId="0" quotePrefix="1" applyNumberFormat="1" applyFont="1" applyFill="1" applyBorder="1" applyAlignment="1">
      <alignment horizontal="center" vertical="center"/>
    </xf>
    <xf numFmtId="0" fontId="16" fillId="8" borderId="15" xfId="0" applyFont="1" applyFill="1" applyBorder="1" applyAlignment="1">
      <alignment horizontal="center" vertical="center"/>
    </xf>
    <xf numFmtId="164" fontId="16" fillId="9" borderId="17" xfId="0" applyNumberFormat="1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4" fillId="9" borderId="2" xfId="0" quotePrefix="1" applyNumberFormat="1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0" fontId="4" fillId="9" borderId="2" xfId="0" quotePrefix="1" applyFon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4" fillId="9" borderId="2" xfId="0" quotePrefix="1" applyNumberFormat="1" applyFont="1" applyFill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164" fontId="0" fillId="9" borderId="16" xfId="0" applyNumberFormat="1" applyFill="1" applyBorder="1" applyAlignment="1">
      <alignment horizontal="center"/>
    </xf>
    <xf numFmtId="0" fontId="4" fillId="9" borderId="16" xfId="0" quotePrefix="1" applyFont="1" applyFill="1" applyBorder="1" applyAlignment="1">
      <alignment horizontal="center"/>
    </xf>
    <xf numFmtId="2" fontId="4" fillId="8" borderId="17" xfId="0" applyNumberFormat="1" applyFont="1" applyFill="1" applyBorder="1" applyAlignment="1">
      <alignment horizontal="center"/>
    </xf>
    <xf numFmtId="164" fontId="0" fillId="9" borderId="46" xfId="0" applyNumberFormat="1" applyFill="1" applyBorder="1" applyAlignment="1">
      <alignment horizontal="center"/>
    </xf>
    <xf numFmtId="164" fontId="4" fillId="9" borderId="16" xfId="0" quotePrefix="1" applyNumberFormat="1" applyFont="1" applyFill="1" applyBorder="1" applyAlignment="1">
      <alignment horizontal="center"/>
    </xf>
    <xf numFmtId="0" fontId="0" fillId="0" borderId="48" xfId="0" applyBorder="1"/>
    <xf numFmtId="0" fontId="7" fillId="0" borderId="0" xfId="0" applyFont="1"/>
    <xf numFmtId="0" fontId="16" fillId="9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9" borderId="57" xfId="0" applyFont="1" applyFill="1" applyBorder="1" applyAlignment="1">
      <alignment horizontal="center" vertical="center"/>
    </xf>
    <xf numFmtId="0" fontId="21" fillId="8" borderId="57" xfId="0" applyFont="1" applyFill="1" applyBorder="1" applyAlignment="1">
      <alignment horizontal="center" vertical="center"/>
    </xf>
    <xf numFmtId="164" fontId="4" fillId="9" borderId="18" xfId="0" applyNumberFormat="1" applyFont="1" applyFill="1" applyBorder="1" applyAlignment="1">
      <alignment horizontal="center" vertical="center"/>
    </xf>
    <xf numFmtId="2" fontId="4" fillId="8" borderId="20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4" fillId="3" borderId="0" xfId="0" quotePrefix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0" fillId="3" borderId="0" xfId="0" applyFill="1"/>
    <xf numFmtId="164" fontId="0" fillId="9" borderId="18" xfId="0" applyNumberFormat="1" applyFill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1" fontId="0" fillId="9" borderId="40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0" fillId="9" borderId="4" xfId="0" applyNumberFormat="1" applyFill="1" applyBorder="1" applyAlignment="1">
      <alignment horizontal="center"/>
    </xf>
    <xf numFmtId="1" fontId="0" fillId="9" borderId="46" xfId="0" applyNumberFormat="1" applyFill="1" applyBorder="1" applyAlignment="1">
      <alignment horizontal="center"/>
    </xf>
    <xf numFmtId="164" fontId="4" fillId="9" borderId="46" xfId="0" quotePrefix="1" applyNumberFormat="1" applyFont="1" applyFill="1" applyBorder="1" applyAlignment="1">
      <alignment horizontal="center"/>
    </xf>
    <xf numFmtId="0" fontId="21" fillId="9" borderId="57" xfId="0" quotePrefix="1" applyFont="1" applyFill="1" applyBorder="1" applyAlignment="1">
      <alignment horizontal="center" vertical="center"/>
    </xf>
    <xf numFmtId="165" fontId="4" fillId="9" borderId="18" xfId="0" applyNumberFormat="1" applyFont="1" applyFill="1" applyBorder="1" applyAlignment="1">
      <alignment horizontal="center" vertical="center"/>
    </xf>
    <xf numFmtId="164" fontId="4" fillId="9" borderId="63" xfId="0" applyNumberFormat="1" applyFont="1" applyFill="1" applyBorder="1" applyAlignment="1">
      <alignment horizontal="center" vertical="center"/>
    </xf>
    <xf numFmtId="1" fontId="4" fillId="9" borderId="40" xfId="0" applyNumberFormat="1" applyFont="1" applyFill="1" applyBorder="1" applyAlignment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1" fontId="4" fillId="9" borderId="4" xfId="0" applyNumberFormat="1" applyFont="1" applyFill="1" applyBorder="1" applyAlignment="1">
      <alignment horizontal="center"/>
    </xf>
    <xf numFmtId="1" fontId="4" fillId="9" borderId="46" xfId="0" applyNumberFormat="1" applyFont="1" applyFill="1" applyBorder="1" applyAlignment="1">
      <alignment horizontal="center"/>
    </xf>
    <xf numFmtId="164" fontId="4" fillId="9" borderId="46" xfId="0" applyNumberFormat="1" applyFont="1" applyFill="1" applyBorder="1" applyAlignment="1">
      <alignment horizontal="center" vertical="center"/>
    </xf>
    <xf numFmtId="164" fontId="4" fillId="9" borderId="46" xfId="0" applyNumberFormat="1" applyFont="1" applyFill="1" applyBorder="1" applyAlignment="1">
      <alignment horizontal="center"/>
    </xf>
    <xf numFmtId="164" fontId="4" fillId="9" borderId="16" xfId="0" applyNumberFormat="1" applyFon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quotePrefix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0" fontId="7" fillId="4" borderId="22" xfId="0" applyFont="1" applyFill="1" applyBorder="1"/>
    <xf numFmtId="0" fontId="55" fillId="8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64" fontId="6" fillId="11" borderId="14" xfId="0" applyNumberFormat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2" fontId="7" fillId="8" borderId="2" xfId="0" applyNumberFormat="1" applyFont="1" applyFill="1" applyBorder="1" applyAlignment="1">
      <alignment horizontal="center" vertical="center"/>
    </xf>
    <xf numFmtId="2" fontId="7" fillId="8" borderId="14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/>
    </xf>
    <xf numFmtId="2" fontId="7" fillId="8" borderId="2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center"/>
    </xf>
    <xf numFmtId="164" fontId="16" fillId="11" borderId="14" xfId="0" applyNumberFormat="1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 vertical="center"/>
    </xf>
    <xf numFmtId="164" fontId="16" fillId="11" borderId="17" xfId="0" applyNumberFormat="1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 vertical="center"/>
    </xf>
    <xf numFmtId="2" fontId="7" fillId="8" borderId="16" xfId="0" applyNumberFormat="1" applyFont="1" applyFill="1" applyBorder="1" applyAlignment="1">
      <alignment horizontal="center"/>
    </xf>
    <xf numFmtId="0" fontId="7" fillId="0" borderId="21" xfId="0" applyFont="1" applyBorder="1"/>
    <xf numFmtId="2" fontId="7" fillId="8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3" borderId="5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>
      <alignment horizontal="center"/>
    </xf>
    <xf numFmtId="2" fontId="7" fillId="3" borderId="19" xfId="0" applyNumberFormat="1" applyFont="1" applyFill="1" applyBorder="1" applyAlignment="1">
      <alignment horizontal="center"/>
    </xf>
    <xf numFmtId="0" fontId="7" fillId="3" borderId="0" xfId="0" applyFont="1" applyFill="1"/>
    <xf numFmtId="2" fontId="7" fillId="3" borderId="3" xfId="0" applyNumberFormat="1" applyFont="1" applyFill="1" applyBorder="1" applyAlignment="1">
      <alignment horizontal="center"/>
    </xf>
    <xf numFmtId="2" fontId="7" fillId="3" borderId="25" xfId="0" applyNumberFormat="1" applyFont="1" applyFill="1" applyBorder="1" applyAlignment="1">
      <alignment horizontal="center"/>
    </xf>
    <xf numFmtId="0" fontId="7" fillId="8" borderId="42" xfId="0" applyFont="1" applyFill="1" applyBorder="1" applyAlignment="1">
      <alignment horizontal="center" vertical="center"/>
    </xf>
    <xf numFmtId="2" fontId="7" fillId="8" borderId="42" xfId="0" applyNumberFormat="1" applyFont="1" applyFill="1" applyBorder="1" applyAlignment="1">
      <alignment horizontal="center"/>
    </xf>
    <xf numFmtId="0" fontId="7" fillId="0" borderId="29" xfId="0" applyFont="1" applyBorder="1"/>
    <xf numFmtId="2" fontId="7" fillId="8" borderId="39" xfId="0" applyNumberFormat="1" applyFont="1" applyFill="1" applyBorder="1" applyAlignment="1">
      <alignment horizontal="center"/>
    </xf>
    <xf numFmtId="164" fontId="56" fillId="11" borderId="14" xfId="0" applyNumberFormat="1" applyFont="1" applyFill="1" applyBorder="1" applyAlignment="1">
      <alignment horizontal="center" vertical="center"/>
    </xf>
    <xf numFmtId="2" fontId="7" fillId="8" borderId="16" xfId="0" applyNumberFormat="1" applyFont="1" applyFill="1" applyBorder="1" applyAlignment="1">
      <alignment horizontal="center" vertical="center"/>
    </xf>
    <xf numFmtId="2" fontId="7" fillId="8" borderId="17" xfId="0" applyNumberFormat="1" applyFont="1" applyFill="1" applyBorder="1" applyAlignment="1">
      <alignment horizontal="center" vertical="center"/>
    </xf>
    <xf numFmtId="2" fontId="7" fillId="3" borderId="8" xfId="0" applyNumberFormat="1" applyFont="1" applyFill="1" applyBorder="1" applyAlignment="1">
      <alignment horizontal="center" vertical="center"/>
    </xf>
    <xf numFmtId="2" fontId="7" fillId="3" borderId="25" xfId="0" applyNumberFormat="1" applyFont="1" applyFill="1" applyBorder="1" applyAlignment="1">
      <alignment horizontal="center" vertical="center"/>
    </xf>
    <xf numFmtId="2" fontId="7" fillId="8" borderId="42" xfId="0" applyNumberFormat="1" applyFont="1" applyFill="1" applyBorder="1" applyAlignment="1">
      <alignment horizontal="center" vertical="center"/>
    </xf>
    <xf numFmtId="2" fontId="7" fillId="8" borderId="39" xfId="0" applyNumberFormat="1" applyFont="1" applyFill="1" applyBorder="1" applyAlignment="1">
      <alignment horizontal="center" vertical="center"/>
    </xf>
    <xf numFmtId="164" fontId="6" fillId="11" borderId="14" xfId="0" applyNumberFormat="1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5" fillId="3" borderId="1" xfId="0" applyFont="1" applyFill="1" applyBorder="1" applyAlignment="1">
      <alignment horizontal="center" vertical="center"/>
    </xf>
    <xf numFmtId="0" fontId="55" fillId="3" borderId="2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164" fontId="7" fillId="3" borderId="14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/>
    </xf>
    <xf numFmtId="164" fontId="7" fillId="9" borderId="2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166" fontId="7" fillId="3" borderId="6" xfId="5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164" fontId="0" fillId="9" borderId="16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9" borderId="42" xfId="0" applyFill="1" applyBorder="1"/>
    <xf numFmtId="0" fontId="0" fillId="9" borderId="39" xfId="0" applyFill="1" applyBorder="1"/>
    <xf numFmtId="164" fontId="7" fillId="3" borderId="15" xfId="0" applyNumberFormat="1" applyFont="1" applyFill="1" applyBorder="1" applyAlignment="1">
      <alignment horizontal="center" vertical="center"/>
    </xf>
    <xf numFmtId="164" fontId="7" fillId="3" borderId="16" xfId="0" applyNumberFormat="1" applyFont="1" applyFill="1" applyBorder="1" applyAlignment="1">
      <alignment horizontal="center" vertical="center"/>
    </xf>
    <xf numFmtId="164" fontId="7" fillId="3" borderId="17" xfId="0" applyNumberFormat="1" applyFont="1" applyFill="1" applyBorder="1" applyAlignment="1">
      <alignment horizontal="center" vertical="center"/>
    </xf>
    <xf numFmtId="0" fontId="0" fillId="9" borderId="2" xfId="0" applyFill="1" applyBorder="1"/>
    <xf numFmtId="0" fontId="0" fillId="9" borderId="14" xfId="0" applyFill="1" applyBorder="1"/>
    <xf numFmtId="0" fontId="7" fillId="3" borderId="6" xfId="0" applyFont="1" applyFill="1" applyBorder="1"/>
    <xf numFmtId="0" fontId="0" fillId="9" borderId="16" xfId="0" applyFill="1" applyBorder="1"/>
    <xf numFmtId="0" fontId="0" fillId="9" borderId="17" xfId="0" applyFill="1" applyBorder="1"/>
    <xf numFmtId="0" fontId="10" fillId="3" borderId="41" xfId="0" applyFont="1" applyFill="1" applyBorder="1" applyAlignment="1">
      <alignment horizontal="center" vertical="center"/>
    </xf>
    <xf numFmtId="164" fontId="10" fillId="3" borderId="42" xfId="0" applyNumberFormat="1" applyFont="1" applyFill="1" applyBorder="1" applyAlignment="1">
      <alignment horizontal="center"/>
    </xf>
    <xf numFmtId="164" fontId="10" fillId="3" borderId="39" xfId="0" applyNumberFormat="1" applyFont="1" applyFill="1" applyBorder="1" applyAlignment="1">
      <alignment horizontal="center"/>
    </xf>
    <xf numFmtId="0" fontId="55" fillId="3" borderId="0" xfId="0" applyFont="1" applyFill="1" applyAlignment="1">
      <alignment vertical="center"/>
    </xf>
    <xf numFmtId="0" fontId="10" fillId="3" borderId="40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/>
    </xf>
    <xf numFmtId="164" fontId="10" fillId="3" borderId="14" xfId="0" applyNumberFormat="1" applyFont="1" applyFill="1" applyBorder="1" applyAlignment="1">
      <alignment horizontal="center"/>
    </xf>
    <xf numFmtId="164" fontId="6" fillId="3" borderId="77" xfId="4" applyNumberFormat="1" applyFont="1" applyFill="1" applyBorder="1" applyAlignment="1">
      <alignment horizontal="center" vertical="center"/>
    </xf>
    <xf numFmtId="2" fontId="7" fillId="3" borderId="77" xfId="4" applyNumberFormat="1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 vertical="center"/>
    </xf>
    <xf numFmtId="164" fontId="10" fillId="3" borderId="63" xfId="0" applyNumberFormat="1" applyFont="1" applyFill="1" applyBorder="1" applyAlignment="1">
      <alignment horizontal="center"/>
    </xf>
    <xf numFmtId="164" fontId="10" fillId="3" borderId="16" xfId="0" applyNumberFormat="1" applyFont="1" applyFill="1" applyBorder="1" applyAlignment="1">
      <alignment horizontal="center"/>
    </xf>
    <xf numFmtId="164" fontId="10" fillId="3" borderId="65" xfId="0" applyNumberFormat="1" applyFont="1" applyFill="1" applyBorder="1" applyAlignment="1">
      <alignment horizontal="center"/>
    </xf>
    <xf numFmtId="165" fontId="7" fillId="3" borderId="21" xfId="0" applyNumberFormat="1" applyFont="1" applyFill="1" applyBorder="1" applyAlignment="1">
      <alignment horizontal="center"/>
    </xf>
    <xf numFmtId="0" fontId="7" fillId="3" borderId="21" xfId="0" applyFont="1" applyFill="1" applyBorder="1"/>
    <xf numFmtId="2" fontId="7" fillId="3" borderId="21" xfId="5" applyNumberFormat="1" applyFont="1" applyFill="1" applyBorder="1" applyAlignment="1">
      <alignment horizontal="center"/>
    </xf>
    <xf numFmtId="0" fontId="7" fillId="8" borderId="4" xfId="0" applyFont="1" applyFill="1" applyBorder="1" applyAlignment="1">
      <alignment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vertical="center"/>
    </xf>
    <xf numFmtId="0" fontId="7" fillId="8" borderId="12" xfId="0" applyFont="1" applyFill="1" applyBorder="1" applyAlignment="1">
      <alignment vertical="center"/>
    </xf>
    <xf numFmtId="0" fontId="7" fillId="8" borderId="7" xfId="0" applyFont="1" applyFill="1" applyBorder="1" applyAlignment="1">
      <alignment vertical="center"/>
    </xf>
    <xf numFmtId="0" fontId="7" fillId="8" borderId="41" xfId="0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30" fillId="0" borderId="14" xfId="0" applyFont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4" xfId="0" applyFont="1" applyFill="1" applyBorder="1" applyAlignment="1">
      <alignment horizontal="center" vertical="center"/>
    </xf>
    <xf numFmtId="0" fontId="45" fillId="0" borderId="14" xfId="0" applyFont="1" applyBorder="1" applyAlignment="1">
      <alignment horizontal="left" vertical="center"/>
    </xf>
    <xf numFmtId="0" fontId="7" fillId="3" borderId="15" xfId="0" applyFont="1" applyFill="1" applyBorder="1"/>
    <xf numFmtId="2" fontId="30" fillId="0" borderId="16" xfId="0" applyNumberFormat="1" applyFont="1" applyBorder="1" applyAlignment="1">
      <alignment horizontal="center" vertical="center"/>
    </xf>
    <xf numFmtId="2" fontId="30" fillId="0" borderId="17" xfId="0" applyNumberFormat="1" applyFont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32" xfId="0" applyFont="1" applyFill="1" applyBorder="1" applyAlignment="1">
      <alignment vertical="center"/>
    </xf>
    <xf numFmtId="0" fontId="7" fillId="8" borderId="34" xfId="0" applyFont="1" applyFill="1" applyBorder="1" applyAlignment="1">
      <alignment vertical="center"/>
    </xf>
    <xf numFmtId="0" fontId="7" fillId="8" borderId="33" xfId="0" applyFont="1" applyFill="1" applyBorder="1" applyAlignment="1">
      <alignment vertical="center"/>
    </xf>
    <xf numFmtId="0" fontId="7" fillId="8" borderId="59" xfId="0" applyFont="1" applyFill="1" applyBorder="1" applyAlignment="1">
      <alignment horizontal="left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/>
    <xf numFmtId="169" fontId="0" fillId="0" borderId="2" xfId="0" applyNumberFormat="1" applyBorder="1" applyAlignment="1">
      <alignment horizontal="center" vertical="center"/>
    </xf>
    <xf numFmtId="0" fontId="4" fillId="0" borderId="7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9" fontId="0" fillId="0" borderId="2" xfId="0" quotePrefix="1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/>
    <xf numFmtId="0" fontId="0" fillId="0" borderId="2" xfId="0" applyBorder="1" applyAlignment="1">
      <alignment vertical="center"/>
    </xf>
    <xf numFmtId="169" fontId="0" fillId="0" borderId="2" xfId="0" applyNumberFormat="1" applyBorder="1" applyAlignment="1">
      <alignment vertical="center"/>
    </xf>
    <xf numFmtId="169" fontId="4" fillId="0" borderId="2" xfId="0" quotePrefix="1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2" fontId="21" fillId="0" borderId="2" xfId="0" quotePrefix="1" applyNumberFormat="1" applyFont="1" applyBorder="1" applyAlignment="1">
      <alignment horizontal="center" vertical="center"/>
    </xf>
    <xf numFmtId="2" fontId="0" fillId="0" borderId="2" xfId="0" applyNumberFormat="1" applyBorder="1"/>
    <xf numFmtId="2" fontId="0" fillId="0" borderId="2" xfId="0" quotePrefix="1" applyNumberFormat="1" applyBorder="1" applyAlignment="1">
      <alignment horizontal="center" vertical="center"/>
    </xf>
    <xf numFmtId="165" fontId="0" fillId="0" borderId="2" xfId="0" applyNumberFormat="1" applyBorder="1"/>
    <xf numFmtId="2" fontId="4" fillId="0" borderId="2" xfId="0" quotePrefix="1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5" fontId="0" fillId="0" borderId="18" xfId="0" quotePrefix="1" applyNumberFormat="1" applyBorder="1" applyAlignment="1">
      <alignment horizontal="center" vertical="center"/>
    </xf>
    <xf numFmtId="2" fontId="22" fillId="0" borderId="2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30" fillId="0" borderId="31" xfId="0" applyFont="1" applyBorder="1" applyAlignment="1">
      <alignment vertical="center"/>
    </xf>
    <xf numFmtId="165" fontId="34" fillId="0" borderId="18" xfId="2" applyNumberFormat="1" applyFont="1" applyBorder="1" applyAlignment="1">
      <alignment horizontal="center"/>
    </xf>
    <xf numFmtId="0" fontId="4" fillId="0" borderId="0" xfId="2" applyProtection="1">
      <protection locked="0"/>
    </xf>
    <xf numFmtId="0" fontId="39" fillId="0" borderId="0" xfId="0" applyFont="1" applyProtection="1">
      <protection locked="0"/>
    </xf>
    <xf numFmtId="0" fontId="34" fillId="0" borderId="0" xfId="0" applyFont="1" applyAlignment="1" applyProtection="1">
      <alignment horizontal="center" vertical="center" wrapText="1"/>
      <protection locked="0"/>
    </xf>
    <xf numFmtId="164" fontId="34" fillId="0" borderId="0" xfId="0" applyNumberFormat="1" applyFont="1" applyAlignment="1" applyProtection="1">
      <alignment horizontal="center" vertical="center"/>
      <protection locked="0"/>
    </xf>
    <xf numFmtId="164" fontId="34" fillId="0" borderId="0" xfId="0" applyNumberFormat="1" applyFont="1" applyAlignment="1" applyProtection="1">
      <alignment horizontal="center"/>
      <protection locked="0"/>
    </xf>
    <xf numFmtId="0" fontId="7" fillId="0" borderId="2" xfId="1" applyFont="1" applyFill="1" applyBorder="1" applyAlignment="1">
      <alignment horizontal="center"/>
    </xf>
    <xf numFmtId="2" fontId="7" fillId="0" borderId="0" xfId="1" applyNumberFormat="1" applyFont="1" applyFill="1" applyAlignment="1">
      <alignment horizontal="center"/>
    </xf>
    <xf numFmtId="0" fontId="4" fillId="0" borderId="0" xfId="2" applyProtection="1"/>
    <xf numFmtId="0" fontId="34" fillId="0" borderId="0" xfId="2" applyFont="1" applyProtection="1"/>
    <xf numFmtId="0" fontId="4" fillId="0" borderId="0" xfId="2" applyAlignment="1" applyProtection="1">
      <alignment horizontal="right"/>
    </xf>
    <xf numFmtId="0" fontId="34" fillId="0" borderId="0" xfId="0" applyFont="1" applyAlignment="1" applyProtection="1">
      <alignment horizontal="left"/>
    </xf>
    <xf numFmtId="164" fontId="34" fillId="0" borderId="0" xfId="2" applyNumberFormat="1" applyFont="1" applyAlignment="1" applyProtection="1">
      <alignment horizontal="left"/>
    </xf>
    <xf numFmtId="0" fontId="39" fillId="0" borderId="0" xfId="2" applyFont="1" applyProtection="1"/>
    <xf numFmtId="164" fontId="34" fillId="0" borderId="0" xfId="2" applyNumberFormat="1" applyFont="1" applyAlignment="1" applyProtection="1">
      <alignment horizontal="left" vertical="center"/>
    </xf>
    <xf numFmtId="164" fontId="34" fillId="0" borderId="0" xfId="2" applyNumberFormat="1" applyFont="1" applyAlignment="1" applyProtection="1">
      <alignment horizontal="center"/>
    </xf>
    <xf numFmtId="164" fontId="34" fillId="0" borderId="0" xfId="2" applyNumberFormat="1" applyFont="1" applyProtection="1"/>
    <xf numFmtId="0" fontId="16" fillId="0" borderId="0" xfId="2" applyFont="1" applyProtection="1"/>
    <xf numFmtId="0" fontId="34" fillId="0" borderId="2" xfId="2" quotePrefix="1" applyFont="1" applyBorder="1" applyAlignment="1" applyProtection="1">
      <alignment horizontal="center"/>
    </xf>
    <xf numFmtId="0" fontId="34" fillId="0" borderId="7" xfId="2" applyFont="1" applyBorder="1" applyProtection="1"/>
    <xf numFmtId="0" fontId="34" fillId="0" borderId="5" xfId="2" applyFont="1" applyBorder="1" applyProtection="1"/>
    <xf numFmtId="164" fontId="48" fillId="2" borderId="12" xfId="0" applyNumberFormat="1" applyFont="1" applyFill="1" applyBorder="1" applyAlignment="1" applyProtection="1">
      <alignment horizontal="left" vertical="center"/>
    </xf>
    <xf numFmtId="0" fontId="34" fillId="0" borderId="7" xfId="0" applyFont="1" applyBorder="1" applyAlignment="1" applyProtection="1">
      <alignment horizontal="right"/>
    </xf>
    <xf numFmtId="0" fontId="4" fillId="0" borderId="12" xfId="0" applyFont="1" applyBorder="1" applyAlignment="1" applyProtection="1">
      <alignment horizontal="left"/>
    </xf>
    <xf numFmtId="165" fontId="34" fillId="0" borderId="7" xfId="2" applyNumberFormat="1" applyFont="1" applyBorder="1" applyAlignment="1" applyProtection="1">
      <alignment horizontal="right" vertical="center"/>
    </xf>
    <xf numFmtId="0" fontId="34" fillId="0" borderId="5" xfId="0" applyFont="1" applyBorder="1" applyAlignment="1" applyProtection="1">
      <alignment horizontal="right"/>
    </xf>
    <xf numFmtId="0" fontId="4" fillId="0" borderId="0" xfId="2" quotePrefix="1" applyAlignment="1" applyProtection="1">
      <alignment horizontal="center"/>
    </xf>
    <xf numFmtId="164" fontId="4" fillId="0" borderId="0" xfId="2" applyNumberFormat="1" applyAlignment="1" applyProtection="1">
      <alignment horizontal="center"/>
    </xf>
    <xf numFmtId="0" fontId="40" fillId="0" borderId="0" xfId="2" applyFont="1" applyAlignment="1" applyProtection="1">
      <alignment horizontal="center"/>
    </xf>
    <xf numFmtId="0" fontId="39" fillId="0" borderId="0" xfId="0" applyFont="1" applyProtection="1"/>
    <xf numFmtId="0" fontId="34" fillId="0" borderId="0" xfId="0" applyFont="1" applyProtection="1"/>
    <xf numFmtId="0" fontId="7" fillId="0" borderId="0" xfId="2" applyFont="1" applyProtection="1"/>
    <xf numFmtId="0" fontId="34" fillId="0" borderId="2" xfId="0" applyFont="1" applyBorder="1" applyAlignment="1" applyProtection="1">
      <alignment horizontal="center" vertical="center"/>
    </xf>
    <xf numFmtId="0" fontId="8" fillId="0" borderId="0" xfId="2" applyFont="1" applyProtection="1"/>
    <xf numFmtId="0" fontId="39" fillId="0" borderId="7" xfId="2" applyFont="1" applyBorder="1" applyAlignment="1" applyProtection="1">
      <alignment horizontal="center" vertical="top"/>
    </xf>
    <xf numFmtId="0" fontId="39" fillId="0" borderId="2" xfId="2" applyFont="1" applyBorder="1" applyAlignment="1" applyProtection="1">
      <alignment horizontal="center" vertical="top"/>
    </xf>
    <xf numFmtId="0" fontId="39" fillId="0" borderId="2" xfId="0" applyFont="1" applyBorder="1" applyAlignment="1" applyProtection="1">
      <alignment horizontal="center" vertical="top" wrapText="1"/>
    </xf>
    <xf numFmtId="165" fontId="39" fillId="0" borderId="2" xfId="0" applyNumberFormat="1" applyFont="1" applyBorder="1" applyAlignment="1" applyProtection="1">
      <alignment horizontal="center" vertical="top" wrapText="1"/>
    </xf>
    <xf numFmtId="0" fontId="39" fillId="0" borderId="2" xfId="2" applyFont="1" applyBorder="1" applyAlignment="1" applyProtection="1">
      <alignment horizontal="center" vertical="top" wrapText="1"/>
    </xf>
    <xf numFmtId="0" fontId="34" fillId="0" borderId="7" xfId="2" applyFont="1" applyBorder="1" applyAlignment="1" applyProtection="1">
      <alignment horizontal="center" vertical="center"/>
    </xf>
    <xf numFmtId="0" fontId="34" fillId="0" borderId="2" xfId="2" applyFont="1" applyBorder="1" applyAlignment="1" applyProtection="1">
      <alignment horizontal="center" vertical="center" wrapText="1"/>
    </xf>
    <xf numFmtId="2" fontId="34" fillId="0" borderId="2" xfId="0" applyNumberFormat="1" applyFont="1" applyBorder="1" applyAlignment="1" applyProtection="1">
      <alignment horizontal="center" vertical="center"/>
    </xf>
    <xf numFmtId="0" fontId="34" fillId="0" borderId="2" xfId="2" applyFont="1" applyFill="1" applyBorder="1" applyAlignment="1" applyProtection="1">
      <alignment horizontal="center" vertical="center"/>
    </xf>
    <xf numFmtId="0" fontId="34" fillId="0" borderId="7" xfId="0" applyFont="1" applyBorder="1" applyAlignment="1" applyProtection="1">
      <alignment horizontal="right" vertical="center"/>
    </xf>
    <xf numFmtId="0" fontId="4" fillId="0" borderId="7" xfId="0" applyFont="1" applyBorder="1" applyProtection="1">
      <protection locked="0"/>
    </xf>
    <xf numFmtId="0" fontId="4" fillId="0" borderId="5" xfId="2" applyBorder="1" applyProtection="1"/>
    <xf numFmtId="1" fontId="34" fillId="0" borderId="7" xfId="2" applyNumberFormat="1" applyFont="1" applyBorder="1" applyAlignment="1" applyProtection="1">
      <alignment horizontal="right" vertical="center"/>
    </xf>
    <xf numFmtId="164" fontId="34" fillId="0" borderId="7" xfId="2" applyNumberFormat="1" applyFont="1" applyFill="1" applyBorder="1" applyAlignment="1" applyProtection="1">
      <alignment horizontal="right" vertical="center"/>
    </xf>
    <xf numFmtId="2" fontId="7" fillId="0" borderId="0" xfId="2" applyNumberFormat="1" applyFont="1" applyProtection="1"/>
    <xf numFmtId="2" fontId="34" fillId="0" borderId="2" xfId="0" applyNumberFormat="1" applyFont="1" applyBorder="1" applyAlignment="1" applyProtection="1">
      <alignment horizontal="center" vertical="center" wrapText="1"/>
    </xf>
    <xf numFmtId="2" fontId="34" fillId="0" borderId="2" xfId="0" applyNumberFormat="1" applyFont="1" applyBorder="1" applyAlignment="1" applyProtection="1">
      <alignment horizontal="center"/>
    </xf>
    <xf numFmtId="164" fontId="34" fillId="0" borderId="12" xfId="0" applyNumberFormat="1" applyFont="1" applyBorder="1" applyAlignment="1" applyProtection="1">
      <alignment horizontal="left"/>
    </xf>
    <xf numFmtId="0" fontId="51" fillId="0" borderId="0" xfId="2" applyFont="1" applyAlignment="1" applyProtection="1">
      <alignment horizontal="center" vertical="center"/>
    </xf>
    <xf numFmtId="2" fontId="4" fillId="0" borderId="2" xfId="2" applyNumberFormat="1" applyBorder="1" applyProtection="1"/>
    <xf numFmtId="0" fontId="34" fillId="2" borderId="0" xfId="0" applyFont="1" applyFill="1" applyAlignment="1" applyProtection="1">
      <alignment horizontal="center" vertical="top" wrapText="1"/>
    </xf>
    <xf numFmtId="2" fontId="34" fillId="0" borderId="2" xfId="2" applyNumberFormat="1" applyFont="1" applyBorder="1" applyAlignment="1" applyProtection="1">
      <alignment horizontal="center" vertical="center"/>
    </xf>
    <xf numFmtId="2" fontId="34" fillId="0" borderId="12" xfId="2" applyNumberFormat="1" applyFont="1" applyBorder="1" applyAlignment="1" applyProtection="1">
      <alignment horizontal="left" vertical="center"/>
    </xf>
    <xf numFmtId="0" fontId="95" fillId="0" borderId="0" xfId="0" applyFont="1"/>
    <xf numFmtId="0" fontId="96" fillId="0" borderId="0" xfId="0" applyFont="1" applyProtection="1">
      <protection locked="0"/>
    </xf>
    <xf numFmtId="0" fontId="21" fillId="3" borderId="4" xfId="7" applyFont="1" applyFill="1" applyBorder="1" applyAlignment="1">
      <alignment horizontal="center" vertical="center"/>
    </xf>
    <xf numFmtId="0" fontId="21" fillId="3" borderId="5" xfId="7" applyFont="1" applyFill="1" applyBorder="1" applyAlignment="1">
      <alignment horizontal="center" vertical="center"/>
    </xf>
    <xf numFmtId="0" fontId="21" fillId="3" borderId="24" xfId="7" applyFont="1" applyFill="1" applyBorder="1" applyAlignment="1">
      <alignment horizontal="center" vertical="center"/>
    </xf>
    <xf numFmtId="0" fontId="16" fillId="3" borderId="4" xfId="7" applyFont="1" applyFill="1" applyBorder="1" applyAlignment="1">
      <alignment horizontal="center" vertical="center"/>
    </xf>
    <xf numFmtId="0" fontId="16" fillId="3" borderId="5" xfId="7" applyFont="1" applyFill="1" applyBorder="1" applyAlignment="1">
      <alignment horizontal="center" vertical="center"/>
    </xf>
    <xf numFmtId="0" fontId="16" fillId="3" borderId="12" xfId="7" applyFont="1" applyFill="1" applyBorder="1" applyAlignment="1">
      <alignment horizontal="center" vertical="center"/>
    </xf>
    <xf numFmtId="0" fontId="47" fillId="15" borderId="69" xfId="5" applyFont="1" applyFill="1" applyBorder="1" applyAlignment="1">
      <alignment horizontal="center" vertical="center" wrapText="1"/>
    </xf>
    <xf numFmtId="0" fontId="47" fillId="15" borderId="56" xfId="5" applyFont="1" applyFill="1" applyBorder="1" applyAlignment="1">
      <alignment horizontal="center" vertical="center" wrapText="1"/>
    </xf>
    <xf numFmtId="0" fontId="47" fillId="15" borderId="70" xfId="5" applyFont="1" applyFill="1" applyBorder="1" applyAlignment="1">
      <alignment horizontal="center" vertical="center" wrapText="1"/>
    </xf>
    <xf numFmtId="0" fontId="47" fillId="15" borderId="44" xfId="5" applyFont="1" applyFill="1" applyBorder="1" applyAlignment="1">
      <alignment horizontal="center" vertical="center" wrapText="1"/>
    </xf>
    <xf numFmtId="0" fontId="47" fillId="15" borderId="3" xfId="5" applyFont="1" applyFill="1" applyBorder="1" applyAlignment="1">
      <alignment horizontal="center" vertical="center" wrapText="1"/>
    </xf>
    <xf numFmtId="0" fontId="4" fillId="15" borderId="58" xfId="5" applyFill="1" applyBorder="1" applyAlignment="1">
      <alignment horizontal="center" wrapText="1"/>
    </xf>
    <xf numFmtId="0" fontId="4" fillId="15" borderId="61" xfId="5" applyFill="1" applyBorder="1" applyAlignment="1">
      <alignment horizontal="center" wrapText="1"/>
    </xf>
    <xf numFmtId="0" fontId="92" fillId="3" borderId="0" xfId="5" applyFont="1" applyFill="1" applyAlignment="1">
      <alignment horizontal="left" wrapText="1"/>
    </xf>
    <xf numFmtId="0" fontId="62" fillId="3" borderId="0" xfId="5" applyFont="1" applyFill="1" applyAlignment="1">
      <alignment horizontal="center" vertical="center" wrapText="1"/>
    </xf>
    <xf numFmtId="0" fontId="87" fillId="3" borderId="58" xfId="7" applyFont="1" applyFill="1" applyBorder="1" applyAlignment="1">
      <alignment horizontal="center" vertical="center" wrapText="1"/>
    </xf>
    <xf numFmtId="0" fontId="87" fillId="3" borderId="37" xfId="7" applyFont="1" applyFill="1" applyBorder="1" applyAlignment="1">
      <alignment horizontal="center" vertical="center" wrapText="1"/>
    </xf>
    <xf numFmtId="0" fontId="87" fillId="3" borderId="61" xfId="7" applyFont="1" applyFill="1" applyBorder="1" applyAlignment="1">
      <alignment horizontal="center" vertical="center" wrapText="1"/>
    </xf>
    <xf numFmtId="0" fontId="16" fillId="15" borderId="45" xfId="5" applyFont="1" applyFill="1" applyBorder="1" applyAlignment="1">
      <alignment horizontal="center" vertical="center" wrapText="1"/>
    </xf>
    <xf numFmtId="0" fontId="16" fillId="15" borderId="25" xfId="5" applyFont="1" applyFill="1" applyBorder="1" applyAlignment="1">
      <alignment horizontal="center" vertical="center" wrapText="1"/>
    </xf>
    <xf numFmtId="0" fontId="16" fillId="15" borderId="65" xfId="5" applyFont="1" applyFill="1" applyBorder="1" applyAlignment="1">
      <alignment horizontal="center" vertical="center" wrapText="1"/>
    </xf>
    <xf numFmtId="0" fontId="8" fillId="11" borderId="4" xfId="7" applyFont="1" applyFill="1" applyBorder="1"/>
    <xf numFmtId="0" fontId="8" fillId="11" borderId="5" xfId="7" applyFont="1" applyFill="1" applyBorder="1"/>
    <xf numFmtId="0" fontId="8" fillId="11" borderId="24" xfId="7" applyFont="1" applyFill="1" applyBorder="1"/>
    <xf numFmtId="0" fontId="100" fillId="0" borderId="0" xfId="2" applyFont="1"/>
    <xf numFmtId="0" fontId="88" fillId="0" borderId="0" xfId="2" applyFont="1"/>
    <xf numFmtId="0" fontId="88" fillId="0" borderId="0" xfId="2" applyFont="1" applyProtection="1"/>
    <xf numFmtId="0" fontId="101" fillId="0" borderId="0" xfId="2" applyFont="1" applyProtection="1"/>
    <xf numFmtId="0" fontId="101" fillId="0" borderId="0" xfId="2" applyFont="1" applyAlignment="1" applyProtection="1">
      <alignment horizontal="right"/>
    </xf>
    <xf numFmtId="0" fontId="101" fillId="3" borderId="0" xfId="2" applyFont="1" applyFill="1" applyProtection="1"/>
    <xf numFmtId="0" fontId="84" fillId="0" borderId="0" xfId="2" applyFont="1" applyProtection="1"/>
    <xf numFmtId="0" fontId="102" fillId="0" borderId="0" xfId="2" applyFont="1" applyProtection="1"/>
    <xf numFmtId="0" fontId="84" fillId="0" borderId="0" xfId="2" applyFont="1" applyAlignment="1" applyProtection="1">
      <alignment horizontal="right"/>
    </xf>
    <xf numFmtId="0" fontId="102" fillId="3" borderId="0" xfId="0" applyFont="1" applyFill="1" applyAlignment="1" applyProtection="1">
      <alignment horizontal="left"/>
      <protection locked="0"/>
    </xf>
    <xf numFmtId="0" fontId="102" fillId="3" borderId="0" xfId="2" applyFont="1" applyFill="1" applyProtection="1"/>
    <xf numFmtId="0" fontId="102" fillId="3" borderId="0" xfId="0" applyFont="1" applyFill="1" applyAlignment="1" applyProtection="1">
      <alignment vertical="center"/>
      <protection locked="0"/>
    </xf>
    <xf numFmtId="0" fontId="102" fillId="3" borderId="0" xfId="0" applyFont="1" applyFill="1" applyAlignment="1" applyProtection="1">
      <alignment vertical="center"/>
    </xf>
    <xf numFmtId="0" fontId="102" fillId="0" borderId="0" xfId="0" applyFont="1" applyProtection="1"/>
    <xf numFmtId="0" fontId="96" fillId="0" borderId="0" xfId="2" applyFont="1" applyProtection="1"/>
    <xf numFmtId="0" fontId="96" fillId="0" borderId="2" xfId="2" applyFont="1" applyBorder="1" applyAlignment="1" applyProtection="1">
      <alignment horizontal="center" vertical="center" wrapText="1"/>
    </xf>
    <xf numFmtId="164" fontId="102" fillId="3" borderId="5" xfId="2" applyNumberFormat="1" applyFont="1" applyFill="1" applyBorder="1" applyAlignment="1" applyProtection="1">
      <alignment horizontal="center" vertical="center"/>
      <protection locked="0"/>
    </xf>
    <xf numFmtId="0" fontId="91" fillId="0" borderId="0" xfId="2" applyFont="1" applyProtection="1"/>
    <xf numFmtId="0" fontId="103" fillId="0" borderId="0" xfId="2" applyFont="1"/>
    <xf numFmtId="0" fontId="102" fillId="0" borderId="2" xfId="2" quotePrefix="1" applyFont="1" applyBorder="1" applyAlignment="1" applyProtection="1">
      <alignment horizontal="center" vertical="center"/>
    </xf>
    <xf numFmtId="0" fontId="102" fillId="0" borderId="7" xfId="2" applyFont="1" applyBorder="1" applyAlignment="1" applyProtection="1">
      <alignment vertical="center"/>
      <protection locked="0"/>
    </xf>
    <xf numFmtId="0" fontId="102" fillId="0" borderId="5" xfId="2" applyFont="1" applyBorder="1" applyAlignment="1" applyProtection="1">
      <alignment vertical="center"/>
      <protection locked="0"/>
    </xf>
    <xf numFmtId="0" fontId="84" fillId="0" borderId="5" xfId="2" applyFont="1" applyBorder="1" applyAlignment="1" applyProtection="1">
      <alignment vertical="center"/>
      <protection locked="0"/>
    </xf>
    <xf numFmtId="0" fontId="102" fillId="0" borderId="12" xfId="0" applyFont="1" applyBorder="1" applyAlignment="1" applyProtection="1">
      <alignment horizontal="left" vertical="center"/>
    </xf>
    <xf numFmtId="0" fontId="102" fillId="0" borderId="5" xfId="0" applyFont="1" applyBorder="1" applyAlignment="1" applyProtection="1">
      <alignment horizontal="right"/>
    </xf>
    <xf numFmtId="0" fontId="102" fillId="0" borderId="12" xfId="0" applyFont="1" applyBorder="1" applyAlignment="1" applyProtection="1">
      <alignment horizontal="left"/>
    </xf>
    <xf numFmtId="0" fontId="88" fillId="0" borderId="0" xfId="2" applyFont="1" applyAlignment="1">
      <alignment horizontal="left"/>
    </xf>
    <xf numFmtId="0" fontId="96" fillId="0" borderId="2" xfId="0" applyFont="1" applyBorder="1" applyAlignment="1" applyProtection="1">
      <alignment horizontal="left" vertical="center"/>
      <protection locked="0"/>
    </xf>
    <xf numFmtId="0" fontId="84" fillId="0" borderId="2" xfId="2" applyFont="1" applyBorder="1" applyAlignment="1" applyProtection="1">
      <alignment horizontal="center"/>
      <protection locked="0"/>
    </xf>
    <xf numFmtId="0" fontId="53" fillId="0" borderId="0" xfId="2" applyFont="1" applyAlignment="1">
      <alignment vertical="center"/>
    </xf>
    <xf numFmtId="0" fontId="104" fillId="0" borderId="0" xfId="0" applyFont="1" applyAlignment="1" applyProtection="1">
      <alignment vertical="center"/>
      <protection locked="0"/>
    </xf>
    <xf numFmtId="0" fontId="101" fillId="0" borderId="0" xfId="0" applyFont="1" applyAlignment="1" applyProtection="1">
      <alignment horizontal="center" vertical="center"/>
      <protection locked="0"/>
    </xf>
    <xf numFmtId="0" fontId="84" fillId="0" borderId="0" xfId="2" quotePrefix="1" applyFont="1" applyAlignment="1" applyProtection="1">
      <alignment horizontal="center"/>
    </xf>
    <xf numFmtId="164" fontId="84" fillId="0" borderId="0" xfId="2" applyNumberFormat="1" applyFont="1" applyAlignment="1" applyProtection="1">
      <alignment horizontal="center"/>
    </xf>
    <xf numFmtId="0" fontId="105" fillId="0" borderId="0" xfId="2" applyFont="1" applyAlignment="1" applyProtection="1">
      <alignment horizontal="center"/>
    </xf>
    <xf numFmtId="0" fontId="96" fillId="0" borderId="0" xfId="0" applyFont="1" applyProtection="1"/>
    <xf numFmtId="0" fontId="106" fillId="0" borderId="0" xfId="2" applyFont="1" applyProtection="1"/>
    <xf numFmtId="0" fontId="102" fillId="0" borderId="0" xfId="0" applyFont="1" applyAlignment="1" applyProtection="1">
      <alignment vertical="top" wrapText="1"/>
    </xf>
    <xf numFmtId="0" fontId="106" fillId="0" borderId="0" xfId="2" applyFont="1"/>
    <xf numFmtId="0" fontId="104" fillId="0" borderId="0" xfId="0" applyFont="1" applyProtection="1"/>
    <xf numFmtId="0" fontId="102" fillId="0" borderId="2" xfId="0" applyFont="1" applyBorder="1" applyAlignment="1" applyProtection="1">
      <alignment horizontal="center" vertical="center"/>
    </xf>
    <xf numFmtId="2" fontId="102" fillId="0" borderId="2" xfId="0" applyNumberFormat="1" applyFont="1" applyBorder="1" applyAlignment="1" applyProtection="1">
      <alignment horizontal="center" vertical="center" wrapText="1"/>
    </xf>
    <xf numFmtId="2" fontId="102" fillId="0" borderId="2" xfId="0" applyNumberFormat="1" applyFont="1" applyBorder="1" applyAlignment="1" applyProtection="1">
      <alignment horizontal="center"/>
    </xf>
    <xf numFmtId="0" fontId="107" fillId="0" borderId="0" xfId="0" applyFont="1" applyAlignment="1" applyProtection="1">
      <alignment horizontal="center" vertical="center"/>
    </xf>
    <xf numFmtId="2" fontId="102" fillId="0" borderId="2" xfId="0" applyNumberFormat="1" applyFont="1" applyBorder="1" applyAlignment="1">
      <alignment horizontal="center"/>
    </xf>
    <xf numFmtId="2" fontId="107" fillId="0" borderId="0" xfId="0" applyNumberFormat="1" applyFont="1" applyAlignment="1" applyProtection="1">
      <alignment horizontal="center" vertical="center"/>
    </xf>
    <xf numFmtId="0" fontId="91" fillId="0" borderId="7" xfId="2" applyFont="1" applyBorder="1" applyAlignment="1" applyProtection="1">
      <alignment horizontal="center" vertical="center"/>
    </xf>
    <xf numFmtId="164" fontId="96" fillId="0" borderId="2" xfId="0" applyNumberFormat="1" applyFont="1" applyBorder="1" applyAlignment="1" applyProtection="1">
      <alignment horizontal="center" vertical="center"/>
    </xf>
    <xf numFmtId="165" fontId="96" fillId="0" borderId="2" xfId="0" applyNumberFormat="1" applyFont="1" applyBorder="1" applyAlignment="1" applyProtection="1">
      <alignment horizontal="center" vertical="center" wrapText="1"/>
    </xf>
    <xf numFmtId="0" fontId="91" fillId="0" borderId="2" xfId="2" applyFont="1" applyBorder="1" applyAlignment="1" applyProtection="1">
      <alignment horizontal="center" vertical="center" wrapText="1"/>
    </xf>
    <xf numFmtId="0" fontId="91" fillId="0" borderId="2" xfId="2" applyFont="1" applyBorder="1" applyAlignment="1" applyProtection="1">
      <alignment horizontal="center" vertical="center"/>
    </xf>
    <xf numFmtId="0" fontId="91" fillId="0" borderId="2" xfId="2" applyFont="1" applyBorder="1" applyAlignment="1">
      <alignment horizontal="center" vertical="center" wrapText="1"/>
    </xf>
    <xf numFmtId="0" fontId="84" fillId="0" borderId="7" xfId="2" applyFont="1" applyBorder="1" applyAlignment="1" applyProtection="1">
      <alignment horizontal="center" vertical="center"/>
    </xf>
    <xf numFmtId="0" fontId="102" fillId="0" borderId="2" xfId="2" applyFont="1" applyBorder="1" applyAlignment="1" applyProtection="1">
      <alignment horizontal="center" vertical="center" wrapText="1"/>
    </xf>
    <xf numFmtId="2" fontId="102" fillId="0" borderId="2" xfId="0" applyNumberFormat="1" applyFont="1" applyBorder="1" applyAlignment="1" applyProtection="1">
      <alignment horizontal="center" vertical="center"/>
    </xf>
    <xf numFmtId="2" fontId="102" fillId="0" borderId="2" xfId="2" applyNumberFormat="1" applyFont="1" applyBorder="1" applyAlignment="1" applyProtection="1">
      <alignment horizontal="center" vertical="center"/>
    </xf>
    <xf numFmtId="2" fontId="102" fillId="0" borderId="2" xfId="2" applyNumberFormat="1" applyFont="1" applyBorder="1" applyAlignment="1">
      <alignment horizontal="center" vertical="center"/>
    </xf>
    <xf numFmtId="0" fontId="96" fillId="0" borderId="0" xfId="2" applyFont="1" applyAlignment="1" applyProtection="1">
      <alignment horizontal="left"/>
      <protection locked="0"/>
    </xf>
    <xf numFmtId="0" fontId="88" fillId="0" borderId="0" xfId="2" applyFont="1" applyProtection="1">
      <protection locked="0"/>
    </xf>
    <xf numFmtId="0" fontId="96" fillId="0" borderId="0" xfId="2" applyFont="1" applyAlignment="1" applyProtection="1">
      <alignment horizontal="center"/>
      <protection locked="0"/>
    </xf>
    <xf numFmtId="0" fontId="102" fillId="0" borderId="0" xfId="2" applyFont="1" applyAlignment="1" applyProtection="1">
      <alignment horizontal="center"/>
      <protection locked="0"/>
    </xf>
    <xf numFmtId="2" fontId="102" fillId="0" borderId="0" xfId="2" applyNumberFormat="1" applyFont="1" applyAlignment="1" applyProtection="1">
      <alignment horizontal="center"/>
      <protection locked="0"/>
    </xf>
    <xf numFmtId="0" fontId="102" fillId="0" borderId="0" xfId="2" applyFont="1" applyAlignment="1" applyProtection="1">
      <alignment horizontal="left"/>
      <protection locked="0"/>
    </xf>
    <xf numFmtId="0" fontId="102" fillId="0" borderId="0" xfId="0" applyFont="1" applyProtection="1">
      <protection locked="0"/>
    </xf>
    <xf numFmtId="0" fontId="88" fillId="0" borderId="0" xfId="2" applyFont="1" applyAlignment="1">
      <alignment horizontal="center"/>
    </xf>
    <xf numFmtId="0" fontId="96" fillId="0" borderId="0" xfId="2" applyFont="1" applyProtection="1">
      <protection locked="0"/>
    </xf>
    <xf numFmtId="0" fontId="102" fillId="2" borderId="0" xfId="0" applyFont="1" applyFill="1" applyAlignment="1" applyProtection="1">
      <alignment horizontal="left"/>
      <protection locked="0"/>
    </xf>
    <xf numFmtId="0" fontId="102" fillId="0" borderId="0" xfId="2" applyFont="1" applyProtection="1">
      <protection locked="0"/>
    </xf>
    <xf numFmtId="165" fontId="106" fillId="0" borderId="0" xfId="2" applyNumberFormat="1" applyFont="1" applyAlignment="1">
      <alignment horizontal="center"/>
    </xf>
    <xf numFmtId="0" fontId="102" fillId="0" borderId="0" xfId="0" applyFont="1" applyAlignment="1" applyProtection="1">
      <alignment horizontal="left"/>
      <protection locked="0"/>
    </xf>
    <xf numFmtId="2" fontId="102" fillId="0" borderId="0" xfId="0" applyNumberFormat="1" applyFont="1" applyAlignment="1" applyProtection="1">
      <alignment horizontal="left"/>
      <protection locked="0"/>
    </xf>
    <xf numFmtId="0" fontId="102" fillId="0" borderId="0" xfId="0" quotePrefix="1" applyFont="1" applyAlignment="1" applyProtection="1">
      <alignment horizontal="left"/>
      <protection locked="0"/>
    </xf>
    <xf numFmtId="0" fontId="84" fillId="0" borderId="0" xfId="2" applyFont="1" applyProtection="1">
      <protection locked="0"/>
    </xf>
    <xf numFmtId="0" fontId="88" fillId="0" borderId="0" xfId="2" applyFont="1" applyAlignment="1" applyProtection="1">
      <alignment wrapText="1"/>
      <protection locked="0"/>
    </xf>
    <xf numFmtId="0" fontId="88" fillId="0" borderId="0" xfId="2" applyFont="1" applyAlignment="1">
      <alignment wrapText="1"/>
    </xf>
    <xf numFmtId="169" fontId="88" fillId="0" borderId="0" xfId="2" applyNumberFormat="1" applyFont="1"/>
    <xf numFmtId="0" fontId="102" fillId="0" borderId="0" xfId="2" applyFont="1"/>
    <xf numFmtId="0" fontId="108" fillId="0" borderId="0" xfId="2" applyFont="1"/>
    <xf numFmtId="0" fontId="109" fillId="3" borderId="8" xfId="0" applyFont="1" applyFill="1" applyBorder="1" applyAlignment="1" applyProtection="1">
      <alignment horizontal="left" vertical="top"/>
      <protection hidden="1"/>
    </xf>
    <xf numFmtId="0" fontId="110" fillId="3" borderId="9" xfId="0" quotePrefix="1" applyFont="1" applyFill="1" applyBorder="1" applyAlignment="1" applyProtection="1">
      <alignment vertical="center"/>
      <protection locked="0"/>
    </xf>
    <xf numFmtId="0" fontId="109" fillId="3" borderId="7" xfId="0" applyFont="1" applyFill="1" applyBorder="1" applyAlignment="1" applyProtection="1">
      <alignment horizontal="left" vertical="top"/>
      <protection hidden="1"/>
    </xf>
    <xf numFmtId="0" fontId="110" fillId="3" borderId="59" xfId="0" quotePrefix="1" applyFont="1" applyFill="1" applyBorder="1" applyAlignment="1" applyProtection="1">
      <alignment vertical="center"/>
      <protection locked="0"/>
    </xf>
    <xf numFmtId="0" fontId="2" fillId="0" borderId="0" xfId="2" applyFont="1" applyProtection="1">
      <protection locked="0"/>
    </xf>
    <xf numFmtId="0" fontId="106" fillId="12" borderId="4" xfId="5" applyFont="1" applyFill="1" applyBorder="1" applyProtection="1">
      <protection locked="0"/>
    </xf>
    <xf numFmtId="0" fontId="111" fillId="0" borderId="5" xfId="0" applyFont="1" applyBorder="1" applyAlignment="1">
      <alignment horizontal="right"/>
    </xf>
    <xf numFmtId="0" fontId="102" fillId="0" borderId="0" xfId="0" applyFont="1"/>
    <xf numFmtId="0" fontId="84" fillId="0" borderId="0" xfId="0" applyFont="1"/>
    <xf numFmtId="0" fontId="106" fillId="0" borderId="0" xfId="0" applyFont="1"/>
    <xf numFmtId="0" fontId="102" fillId="0" borderId="0" xfId="5" applyFont="1" applyAlignment="1">
      <alignment horizontal="left" vertical="center"/>
    </xf>
    <xf numFmtId="0" fontId="84" fillId="3" borderId="5" xfId="5" applyFont="1" applyFill="1" applyBorder="1"/>
    <xf numFmtId="0" fontId="102" fillId="3" borderId="0" xfId="5" applyFont="1" applyFill="1" applyAlignment="1" applyProtection="1">
      <alignment horizontal="left" vertical="center"/>
      <protection locked="0"/>
    </xf>
    <xf numFmtId="0" fontId="112" fillId="0" borderId="0" xfId="0" applyFont="1"/>
    <xf numFmtId="0" fontId="88" fillId="10" borderId="4" xfId="6" applyFont="1" applyFill="1" applyBorder="1" applyAlignment="1" applyProtection="1">
      <alignment vertical="center"/>
      <protection locked="0"/>
    </xf>
    <xf numFmtId="0" fontId="53" fillId="5" borderId="0" xfId="0" applyFont="1" applyFill="1"/>
    <xf numFmtId="0" fontId="96" fillId="0" borderId="7" xfId="0" applyFont="1" applyBorder="1" applyAlignment="1">
      <alignment horizontal="center" vertical="center"/>
    </xf>
    <xf numFmtId="0" fontId="96" fillId="0" borderId="8" xfId="0" applyFont="1" applyBorder="1" applyAlignment="1">
      <alignment vertical="center"/>
    </xf>
    <xf numFmtId="0" fontId="102" fillId="0" borderId="2" xfId="0" applyFont="1" applyBorder="1" applyAlignment="1">
      <alignment horizontal="center" vertical="center"/>
    </xf>
    <xf numFmtId="1" fontId="102" fillId="0" borderId="7" xfId="0" applyNumberFormat="1" applyFont="1" applyBorder="1" applyAlignment="1">
      <alignment horizontal="center"/>
    </xf>
    <xf numFmtId="1" fontId="102" fillId="0" borderId="8" xfId="0" applyNumberFormat="1" applyFont="1" applyBorder="1"/>
    <xf numFmtId="0" fontId="88" fillId="10" borderId="4" xfId="6" applyFont="1" applyFill="1" applyBorder="1" applyAlignment="1" applyProtection="1">
      <alignment horizontal="left" vertical="center"/>
      <protection locked="0"/>
    </xf>
    <xf numFmtId="0" fontId="2" fillId="0" borderId="0" xfId="2" applyFont="1"/>
    <xf numFmtId="0" fontId="88" fillId="0" borderId="2" xfId="2" applyFont="1" applyBorder="1" applyAlignment="1">
      <alignment horizontal="right"/>
    </xf>
    <xf numFmtId="0" fontId="88" fillId="0" borderId="2" xfId="2" applyFont="1" applyBorder="1" applyAlignment="1">
      <alignment horizontal="center"/>
    </xf>
    <xf numFmtId="0" fontId="88" fillId="0" borderId="31" xfId="2" applyFont="1" applyBorder="1" applyAlignment="1">
      <alignment horizontal="right"/>
    </xf>
    <xf numFmtId="0" fontId="88" fillId="0" borderId="31" xfId="2" applyFont="1" applyBorder="1"/>
    <xf numFmtId="1" fontId="88" fillId="11" borderId="41" xfId="2" applyNumberFormat="1" applyFont="1" applyFill="1" applyBorder="1"/>
    <xf numFmtId="0" fontId="88" fillId="0" borderId="39" xfId="2" applyFont="1" applyBorder="1" applyAlignment="1">
      <alignment horizontal="center"/>
    </xf>
    <xf numFmtId="0" fontId="88" fillId="0" borderId="15" xfId="2" applyFont="1" applyBorder="1" applyAlignment="1">
      <alignment horizontal="right"/>
    </xf>
    <xf numFmtId="0" fontId="88" fillId="11" borderId="17" xfId="2" applyFont="1" applyFill="1" applyBorder="1" applyAlignment="1">
      <alignment horizontal="center"/>
    </xf>
    <xf numFmtId="0" fontId="84" fillId="0" borderId="0" xfId="0" applyFont="1" applyAlignment="1">
      <alignment vertical="center"/>
    </xf>
    <xf numFmtId="0" fontId="88" fillId="0" borderId="2" xfId="2" applyFont="1" applyBorder="1"/>
    <xf numFmtId="1" fontId="88" fillId="0" borderId="2" xfId="2" applyNumberFormat="1" applyFont="1" applyBorder="1"/>
    <xf numFmtId="0" fontId="84" fillId="0" borderId="0" xfId="2" applyFont="1" applyAlignment="1" applyProtection="1">
      <alignment vertical="center"/>
      <protection locked="0"/>
    </xf>
    <xf numFmtId="1" fontId="88" fillId="0" borderId="31" xfId="2" applyNumberFormat="1" applyFont="1" applyBorder="1" applyAlignment="1">
      <alignment horizontal="center"/>
    </xf>
    <xf numFmtId="168" fontId="88" fillId="0" borderId="41" xfId="2" applyNumberFormat="1" applyFont="1" applyBorder="1" applyAlignment="1">
      <alignment horizontal="right"/>
    </xf>
    <xf numFmtId="0" fontId="88" fillId="11" borderId="42" xfId="2" applyFont="1" applyFill="1" applyBorder="1"/>
    <xf numFmtId="0" fontId="88" fillId="0" borderId="39" xfId="2" applyFont="1" applyBorder="1"/>
    <xf numFmtId="0" fontId="88" fillId="0" borderId="15" xfId="2" applyFont="1" applyBorder="1" applyAlignment="1">
      <alignment horizontal="center"/>
    </xf>
    <xf numFmtId="0" fontId="88" fillId="0" borderId="16" xfId="2" applyFont="1" applyBorder="1"/>
    <xf numFmtId="0" fontId="88" fillId="0" borderId="17" xfId="2" applyFont="1" applyBorder="1"/>
    <xf numFmtId="0" fontId="75" fillId="0" borderId="0" xfId="2" applyFont="1" applyProtection="1"/>
    <xf numFmtId="0" fontId="74" fillId="0" borderId="2" xfId="0" quotePrefix="1" applyFont="1" applyBorder="1" applyAlignment="1" applyProtection="1">
      <alignment horizontal="center" vertical="center"/>
      <protection locked="0"/>
    </xf>
    <xf numFmtId="0" fontId="75" fillId="0" borderId="2" xfId="0" applyFont="1" applyBorder="1" applyAlignment="1" applyProtection="1">
      <alignment horizontal="center" vertical="center"/>
      <protection locked="0"/>
    </xf>
    <xf numFmtId="0" fontId="4" fillId="0" borderId="0" xfId="8"/>
    <xf numFmtId="0" fontId="32" fillId="11" borderId="0" xfId="2" applyFont="1" applyFill="1" applyAlignment="1">
      <alignment horizontal="center"/>
    </xf>
    <xf numFmtId="0" fontId="4" fillId="0" borderId="0" xfId="8" applyProtection="1">
      <protection locked="0"/>
    </xf>
    <xf numFmtId="0" fontId="115" fillId="0" borderId="0" xfId="8" applyFont="1" applyAlignment="1">
      <alignment horizontal="center" vertical="center" wrapText="1"/>
    </xf>
    <xf numFmtId="0" fontId="16" fillId="0" borderId="0" xfId="8" applyFont="1" applyProtection="1">
      <protection locked="0"/>
    </xf>
    <xf numFmtId="0" fontId="14" fillId="0" borderId="7" xfId="8" applyFont="1" applyBorder="1" applyAlignment="1">
      <alignment horizontal="left" vertical="top" wrapText="1"/>
    </xf>
    <xf numFmtId="0" fontId="14" fillId="0" borderId="12" xfId="8" applyFont="1" applyBorder="1" applyAlignment="1">
      <alignment horizontal="left" vertical="top" wrapText="1"/>
    </xf>
    <xf numFmtId="0" fontId="4" fillId="0" borderId="0" xfId="8" applyAlignment="1">
      <alignment horizontal="left" vertical="top"/>
    </xf>
    <xf numFmtId="0" fontId="14" fillId="0" borderId="12" xfId="8" applyFont="1" applyBorder="1" applyAlignment="1">
      <alignment horizontal="left" vertical="top"/>
    </xf>
    <xf numFmtId="0" fontId="14" fillId="0" borderId="0" xfId="8" applyFont="1" applyAlignment="1">
      <alignment vertical="center" wrapText="1"/>
    </xf>
    <xf numFmtId="0" fontId="14" fillId="0" borderId="0" xfId="8" applyFont="1" applyAlignment="1">
      <alignment horizontal="center" vertical="center" wrapText="1"/>
    </xf>
    <xf numFmtId="0" fontId="112" fillId="0" borderId="0" xfId="8" applyFont="1"/>
    <xf numFmtId="0" fontId="14" fillId="0" borderId="0" xfId="8" applyFont="1" applyAlignment="1" applyProtection="1">
      <alignment horizontal="center" vertical="center" wrapText="1"/>
      <protection locked="0"/>
    </xf>
    <xf numFmtId="1" fontId="14" fillId="0" borderId="0" xfId="8" quotePrefix="1" applyNumberFormat="1" applyFont="1" applyAlignment="1" applyProtection="1">
      <alignment horizontal="left"/>
      <protection locked="0"/>
    </xf>
    <xf numFmtId="0" fontId="14" fillId="0" borderId="0" xfId="8" applyFont="1" applyProtection="1">
      <protection locked="0"/>
    </xf>
    <xf numFmtId="1" fontId="116" fillId="0" borderId="0" xfId="8" quotePrefix="1" applyNumberFormat="1" applyFont="1" applyProtection="1">
      <protection locked="0"/>
    </xf>
    <xf numFmtId="0" fontId="112" fillId="0" borderId="0" xfId="8" applyFont="1" applyProtection="1">
      <protection locked="0"/>
    </xf>
    <xf numFmtId="170" fontId="14" fillId="0" borderId="0" xfId="8" quotePrefix="1" applyNumberFormat="1" applyFont="1" applyAlignment="1" applyProtection="1">
      <alignment horizontal="left"/>
      <protection locked="0"/>
    </xf>
    <xf numFmtId="2" fontId="116" fillId="0" borderId="0" xfId="8" quotePrefix="1" applyNumberFormat="1" applyFont="1" applyProtection="1">
      <protection locked="0"/>
    </xf>
    <xf numFmtId="0" fontId="4" fillId="0" borderId="0" xfId="8" applyAlignment="1">
      <alignment vertical="top" wrapText="1"/>
    </xf>
    <xf numFmtId="0" fontId="14" fillId="0" borderId="7" xfId="8" applyFont="1" applyBorder="1" applyAlignment="1">
      <alignment vertical="top"/>
    </xf>
    <xf numFmtId="0" fontId="14" fillId="0" borderId="12" xfId="8" applyFont="1" applyBorder="1" applyAlignment="1" applyProtection="1">
      <alignment vertical="top" wrapText="1"/>
      <protection locked="0"/>
    </xf>
    <xf numFmtId="0" fontId="14" fillId="0" borderId="12" xfId="8" applyFont="1" applyBorder="1" applyAlignment="1" applyProtection="1">
      <alignment vertical="top"/>
      <protection locked="0"/>
    </xf>
    <xf numFmtId="0" fontId="28" fillId="0" borderId="0" xfId="8" applyFont="1" applyAlignment="1">
      <alignment vertical="top"/>
    </xf>
    <xf numFmtId="0" fontId="14" fillId="0" borderId="0" xfId="8" applyFont="1" applyAlignment="1" applyProtection="1">
      <alignment horizontal="center" vertical="top" wrapText="1"/>
      <protection locked="0"/>
    </xf>
    <xf numFmtId="0" fontId="115" fillId="0" borderId="0" xfId="8" applyFont="1" applyAlignment="1">
      <alignment wrapText="1"/>
    </xf>
    <xf numFmtId="0" fontId="97" fillId="0" borderId="0" xfId="8" applyFont="1" applyAlignment="1">
      <alignment horizontal="center"/>
    </xf>
    <xf numFmtId="0" fontId="53" fillId="0" borderId="0" xfId="8" applyFont="1"/>
    <xf numFmtId="0" fontId="14" fillId="0" borderId="0" xfId="8" applyFont="1" applyAlignment="1">
      <alignment horizontal="center" vertical="top" wrapText="1"/>
    </xf>
    <xf numFmtId="0" fontId="14" fillId="0" borderId="0" xfId="8" applyFont="1" applyAlignment="1">
      <alignment vertical="top" wrapText="1"/>
    </xf>
    <xf numFmtId="0" fontId="14" fillId="0" borderId="0" xfId="8" applyFont="1" applyAlignment="1">
      <alignment horizontal="justify" vertical="center" wrapText="1"/>
    </xf>
    <xf numFmtId="0" fontId="103" fillId="0" borderId="0" xfId="8" applyFont="1" applyAlignment="1">
      <alignment vertical="center"/>
    </xf>
    <xf numFmtId="0" fontId="4" fillId="0" borderId="36" xfId="8" applyBorder="1"/>
    <xf numFmtId="0" fontId="118" fillId="0" borderId="30" xfId="8" applyFont="1" applyBorder="1"/>
    <xf numFmtId="0" fontId="4" fillId="0" borderId="6" xfId="8" applyBorder="1"/>
    <xf numFmtId="0" fontId="4" fillId="0" borderId="19" xfId="8" applyBorder="1"/>
    <xf numFmtId="0" fontId="4" fillId="0" borderId="6" xfId="8" applyBorder="1" applyAlignment="1">
      <alignment wrapText="1"/>
    </xf>
    <xf numFmtId="0" fontId="4" fillId="0" borderId="19" xfId="8" applyBorder="1" applyAlignment="1">
      <alignment wrapText="1"/>
    </xf>
    <xf numFmtId="0" fontId="118" fillId="0" borderId="19" xfId="8" applyFont="1" applyBorder="1"/>
    <xf numFmtId="0" fontId="106" fillId="0" borderId="19" xfId="8" applyFont="1" applyBorder="1" applyAlignment="1">
      <alignment horizontal="left" wrapText="1"/>
    </xf>
    <xf numFmtId="0" fontId="4" fillId="0" borderId="0" xfId="8" applyAlignment="1">
      <alignment wrapText="1"/>
    </xf>
    <xf numFmtId="0" fontId="106" fillId="0" borderId="6" xfId="8" applyFont="1" applyBorder="1" applyAlignment="1">
      <alignment wrapText="1"/>
    </xf>
    <xf numFmtId="169" fontId="106" fillId="0" borderId="19" xfId="8" applyNumberFormat="1" applyFont="1" applyBorder="1" applyAlignment="1">
      <alignment horizontal="left"/>
    </xf>
    <xf numFmtId="169" fontId="4" fillId="0" borderId="19" xfId="8" applyNumberFormat="1" applyBorder="1"/>
    <xf numFmtId="0" fontId="119" fillId="0" borderId="19" xfId="8" applyFont="1" applyBorder="1" applyAlignment="1">
      <alignment horizontal="left" wrapText="1"/>
    </xf>
    <xf numFmtId="0" fontId="106" fillId="0" borderId="19" xfId="8" applyFont="1" applyBorder="1" applyAlignment="1">
      <alignment wrapText="1"/>
    </xf>
    <xf numFmtId="0" fontId="106" fillId="0" borderId="6" xfId="8" applyFont="1" applyBorder="1"/>
    <xf numFmtId="0" fontId="106" fillId="0" borderId="22" xfId="8" applyFont="1" applyBorder="1"/>
    <xf numFmtId="0" fontId="106" fillId="0" borderId="23" xfId="8" applyFont="1" applyBorder="1" applyAlignment="1">
      <alignment wrapText="1"/>
    </xf>
    <xf numFmtId="164" fontId="89" fillId="15" borderId="38" xfId="5" applyNumberFormat="1" applyFont="1" applyFill="1" applyBorder="1" applyAlignment="1">
      <alignment horizontal="center" vertical="center"/>
    </xf>
    <xf numFmtId="165" fontId="89" fillId="15" borderId="24" xfId="5" applyNumberFormat="1" applyFont="1" applyFill="1" applyBorder="1" applyAlignment="1">
      <alignment horizontal="center" vertical="center"/>
    </xf>
    <xf numFmtId="164" fontId="89" fillId="15" borderId="24" xfId="5" applyNumberFormat="1" applyFont="1" applyFill="1" applyBorder="1" applyAlignment="1">
      <alignment horizontal="center" vertical="center"/>
    </xf>
    <xf numFmtId="0" fontId="84" fillId="15" borderId="24" xfId="5" applyFont="1" applyFill="1" applyBorder="1" applyAlignment="1">
      <alignment horizontal="right"/>
    </xf>
    <xf numFmtId="0" fontId="88" fillId="15" borderId="2" xfId="5" applyFont="1" applyFill="1" applyBorder="1" applyAlignment="1">
      <alignment horizontal="center" vertical="center"/>
    </xf>
    <xf numFmtId="164" fontId="90" fillId="15" borderId="2" xfId="5" applyNumberFormat="1" applyFont="1" applyFill="1" applyBorder="1" applyAlignment="1">
      <alignment horizontal="center" vertical="center"/>
    </xf>
    <xf numFmtId="0" fontId="120" fillId="0" borderId="0" xfId="2" applyFont="1" applyAlignment="1">
      <alignment vertical="center"/>
    </xf>
    <xf numFmtId="0" fontId="121" fillId="0" borderId="0" xfId="2" applyFont="1" applyAlignment="1">
      <alignment horizontal="center"/>
    </xf>
    <xf numFmtId="0" fontId="100" fillId="0" borderId="0" xfId="2" applyFont="1" applyAlignment="1">
      <alignment horizontal="center"/>
    </xf>
    <xf numFmtId="0" fontId="101" fillId="0" borderId="0" xfId="2" applyFont="1"/>
    <xf numFmtId="0" fontId="122" fillId="0" borderId="0" xfId="2" applyFont="1" applyAlignment="1">
      <alignment horizontal="center"/>
    </xf>
    <xf numFmtId="0" fontId="123" fillId="0" borderId="0" xfId="2" applyFont="1" applyAlignment="1">
      <alignment horizontal="center"/>
    </xf>
    <xf numFmtId="0" fontId="84" fillId="0" borderId="0" xfId="2" applyFont="1"/>
    <xf numFmtId="0" fontId="124" fillId="0" borderId="0" xfId="2" applyFont="1"/>
    <xf numFmtId="0" fontId="102" fillId="0" borderId="0" xfId="0" applyFont="1" applyAlignment="1" applyProtection="1">
      <alignment horizontal="left"/>
    </xf>
    <xf numFmtId="164" fontId="102" fillId="0" borderId="0" xfId="2" applyNumberFormat="1" applyFont="1" applyAlignment="1" applyProtection="1">
      <alignment horizontal="left"/>
    </xf>
    <xf numFmtId="0" fontId="88" fillId="0" borderId="0" xfId="2" quotePrefix="1" applyFont="1"/>
    <xf numFmtId="0" fontId="125" fillId="0" borderId="0" xfId="0" applyFont="1" applyAlignment="1">
      <alignment wrapText="1"/>
    </xf>
    <xf numFmtId="0" fontId="96" fillId="0" borderId="0" xfId="2" applyFont="1" applyAlignment="1" applyProtection="1">
      <alignment vertical="center"/>
    </xf>
    <xf numFmtId="0" fontId="102" fillId="0" borderId="0" xfId="2" applyFont="1" applyAlignment="1" applyProtection="1">
      <alignment vertical="center"/>
    </xf>
    <xf numFmtId="164" fontId="102" fillId="0" borderId="0" xfId="2" applyNumberFormat="1" applyFont="1" applyAlignment="1" applyProtection="1">
      <alignment horizontal="left" vertical="center"/>
    </xf>
    <xf numFmtId="0" fontId="126" fillId="0" borderId="0" xfId="2" applyFont="1"/>
    <xf numFmtId="0" fontId="124" fillId="0" borderId="0" xfId="2" applyFont="1" applyAlignment="1">
      <alignment horizontal="center"/>
    </xf>
    <xf numFmtId="0" fontId="96" fillId="0" borderId="33" xfId="2" applyFont="1" applyBorder="1" applyAlignment="1" applyProtection="1">
      <alignment vertical="center"/>
    </xf>
    <xf numFmtId="0" fontId="96" fillId="0" borderId="32" xfId="2" applyFont="1" applyBorder="1" applyAlignment="1" applyProtection="1">
      <alignment vertical="center"/>
    </xf>
    <xf numFmtId="0" fontId="96" fillId="0" borderId="11" xfId="2" applyFont="1" applyBorder="1" applyAlignment="1" applyProtection="1">
      <alignment vertical="center"/>
    </xf>
    <xf numFmtId="0" fontId="96" fillId="0" borderId="10" xfId="2" applyFont="1" applyBorder="1" applyAlignment="1" applyProtection="1">
      <alignment vertical="center"/>
    </xf>
    <xf numFmtId="0" fontId="102" fillId="0" borderId="2" xfId="2" quotePrefix="1" applyFont="1" applyBorder="1" applyAlignment="1" applyProtection="1">
      <alignment horizontal="center"/>
    </xf>
    <xf numFmtId="0" fontId="102" fillId="0" borderId="7" xfId="2" applyFont="1" applyBorder="1" applyProtection="1"/>
    <xf numFmtId="0" fontId="102" fillId="0" borderId="5" xfId="2" applyFont="1" applyBorder="1" applyProtection="1"/>
    <xf numFmtId="164" fontId="102" fillId="2" borderId="12" xfId="0" applyNumberFormat="1" applyFont="1" applyFill="1" applyBorder="1" applyAlignment="1" applyProtection="1">
      <alignment horizontal="left" vertical="center"/>
    </xf>
    <xf numFmtId="0" fontId="102" fillId="0" borderId="7" xfId="0" applyFont="1" applyBorder="1" applyAlignment="1" applyProtection="1">
      <alignment horizontal="right"/>
    </xf>
    <xf numFmtId="0" fontId="84" fillId="0" borderId="12" xfId="0" applyFont="1" applyBorder="1" applyAlignment="1" applyProtection="1">
      <alignment horizontal="left"/>
    </xf>
    <xf numFmtId="0" fontId="124" fillId="0" borderId="0" xfId="2" applyFont="1" applyAlignment="1">
      <alignment horizontal="left"/>
    </xf>
    <xf numFmtId="0" fontId="96" fillId="0" borderId="0" xfId="0" applyFont="1" applyAlignment="1" applyProtection="1">
      <alignment vertical="center"/>
    </xf>
    <xf numFmtId="0" fontId="2" fillId="0" borderId="0" xfId="0" applyFont="1"/>
    <xf numFmtId="2" fontId="88" fillId="0" borderId="0" xfId="2" applyNumberFormat="1" applyFont="1"/>
    <xf numFmtId="164" fontId="88" fillId="0" borderId="0" xfId="2" applyNumberFormat="1" applyFont="1"/>
    <xf numFmtId="1" fontId="102" fillId="0" borderId="2" xfId="0" applyNumberFormat="1" applyFont="1" applyBorder="1" applyAlignment="1" applyProtection="1">
      <alignment horizontal="center" vertical="center" wrapText="1"/>
    </xf>
    <xf numFmtId="0" fontId="88" fillId="0" borderId="0" xfId="2" applyFont="1" applyAlignment="1">
      <alignment horizontal="center" vertical="center"/>
    </xf>
    <xf numFmtId="0" fontId="127" fillId="0" borderId="0" xfId="2" applyFont="1" applyAlignment="1">
      <alignment horizontal="center" vertical="center"/>
    </xf>
    <xf numFmtId="0" fontId="88" fillId="0" borderId="0" xfId="2" applyFont="1" applyAlignment="1">
      <alignment vertical="center"/>
    </xf>
    <xf numFmtId="0" fontId="96" fillId="0" borderId="7" xfId="2" applyFont="1" applyBorder="1" applyAlignment="1" applyProtection="1">
      <alignment horizontal="center" vertical="top"/>
    </xf>
    <xf numFmtId="0" fontId="96" fillId="0" borderId="2" xfId="2" applyFont="1" applyBorder="1" applyAlignment="1" applyProtection="1">
      <alignment horizontal="center" vertical="top"/>
    </xf>
    <xf numFmtId="0" fontId="96" fillId="0" borderId="2" xfId="0" applyFont="1" applyBorder="1" applyAlignment="1" applyProtection="1">
      <alignment horizontal="center" vertical="top" wrapText="1"/>
    </xf>
    <xf numFmtId="165" fontId="96" fillId="0" borderId="2" xfId="0" applyNumberFormat="1" applyFont="1" applyBorder="1" applyAlignment="1" applyProtection="1">
      <alignment horizontal="center" vertical="top" wrapText="1"/>
    </xf>
    <xf numFmtId="0" fontId="96" fillId="0" borderId="2" xfId="2" applyFont="1" applyBorder="1" applyAlignment="1" applyProtection="1">
      <alignment horizontal="center" vertical="top" wrapText="1"/>
    </xf>
    <xf numFmtId="0" fontId="102" fillId="0" borderId="7" xfId="2" applyFont="1" applyBorder="1" applyAlignment="1" applyProtection="1">
      <alignment horizontal="center" vertical="center"/>
    </xf>
    <xf numFmtId="0" fontId="102" fillId="0" borderId="2" xfId="2" applyFont="1" applyFill="1" applyBorder="1" applyAlignment="1" applyProtection="1">
      <alignment horizontal="center" vertical="center"/>
    </xf>
    <xf numFmtId="0" fontId="102" fillId="0" borderId="7" xfId="0" applyFont="1" applyBorder="1" applyAlignment="1" applyProtection="1">
      <alignment horizontal="right" vertical="center"/>
    </xf>
    <xf numFmtId="0" fontId="102" fillId="0" borderId="0" xfId="0" applyFont="1" applyAlignment="1" applyProtection="1">
      <alignment horizontal="center" vertical="center" wrapText="1"/>
      <protection locked="0"/>
    </xf>
    <xf numFmtId="164" fontId="102" fillId="0" borderId="0" xfId="0" applyNumberFormat="1" applyFont="1" applyAlignment="1" applyProtection="1">
      <alignment horizontal="center" vertical="center"/>
      <protection locked="0"/>
    </xf>
    <xf numFmtId="164" fontId="102" fillId="0" borderId="0" xfId="0" applyNumberFormat="1" applyFont="1" applyAlignment="1" applyProtection="1">
      <alignment horizontal="center"/>
      <protection locked="0"/>
    </xf>
    <xf numFmtId="164" fontId="10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0" fontId="96" fillId="0" borderId="0" xfId="2" applyFont="1" applyAlignment="1" applyProtection="1">
      <alignment horizontal="left" vertical="center"/>
      <protection locked="0"/>
    </xf>
    <xf numFmtId="2" fontId="102" fillId="0" borderId="0" xfId="2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 applyProtection="1">
      <alignment horizontal="center" vertical="center"/>
      <protection locked="0"/>
    </xf>
    <xf numFmtId="165" fontId="2" fillId="0" borderId="0" xfId="2" applyNumberFormat="1" applyFont="1" applyAlignment="1" applyProtection="1">
      <alignment horizontal="center"/>
      <protection locked="0"/>
    </xf>
    <xf numFmtId="0" fontId="129" fillId="0" borderId="0" xfId="0" applyFont="1" applyAlignment="1" applyProtection="1">
      <alignment horizontal="right"/>
      <protection locked="0"/>
    </xf>
    <xf numFmtId="0" fontId="96" fillId="0" borderId="0" xfId="2" applyFont="1" applyAlignment="1" applyProtection="1">
      <alignment vertical="center"/>
      <protection locked="0"/>
    </xf>
    <xf numFmtId="0" fontId="84" fillId="0" borderId="0" xfId="0" applyFont="1" applyProtection="1">
      <protection locked="0"/>
    </xf>
    <xf numFmtId="0" fontId="96" fillId="0" borderId="0" xfId="0" applyFont="1" applyAlignment="1" applyProtection="1">
      <alignment vertical="center"/>
      <protection locked="0"/>
    </xf>
    <xf numFmtId="0" fontId="102" fillId="0" borderId="0" xfId="0" applyFont="1" applyAlignment="1">
      <alignment vertical="center" wrapText="1"/>
    </xf>
    <xf numFmtId="0" fontId="2" fillId="2" borderId="0" xfId="0" applyFont="1" applyFill="1"/>
    <xf numFmtId="0" fontId="102" fillId="0" borderId="0" xfId="0" applyFont="1" applyAlignment="1">
      <alignment horizontal="right" vertical="center"/>
    </xf>
    <xf numFmtId="0" fontId="124" fillId="2" borderId="0" xfId="0" applyFont="1" applyFill="1"/>
    <xf numFmtId="0" fontId="130" fillId="0" borderId="0" xfId="2" applyFont="1"/>
    <xf numFmtId="0" fontId="102" fillId="3" borderId="0" xfId="0" applyFont="1" applyFill="1" applyAlignment="1" applyProtection="1">
      <alignment horizontal="center" vertical="center"/>
      <protection locked="0"/>
    </xf>
    <xf numFmtId="0" fontId="96" fillId="3" borderId="0" xfId="2" applyFont="1" applyFill="1" applyProtection="1">
      <protection locked="0"/>
    </xf>
    <xf numFmtId="0" fontId="102" fillId="3" borderId="0" xfId="2" applyFont="1" applyFill="1" applyAlignment="1" applyProtection="1">
      <alignment vertical="center"/>
      <protection locked="0"/>
    </xf>
    <xf numFmtId="0" fontId="131" fillId="0" borderId="0" xfId="2" applyFont="1" applyProtection="1">
      <protection locked="0"/>
    </xf>
    <xf numFmtId="0" fontId="131" fillId="0" borderId="0" xfId="2" applyFont="1"/>
    <xf numFmtId="1" fontId="132" fillId="0" borderId="0" xfId="2" applyNumberFormat="1" applyFont="1" applyAlignment="1" applyProtection="1">
      <alignment vertical="center"/>
      <protection locked="0"/>
    </xf>
    <xf numFmtId="0" fontId="132" fillId="0" borderId="0" xfId="2" applyFont="1" applyAlignment="1" applyProtection="1">
      <alignment vertical="center"/>
      <protection locked="0"/>
    </xf>
    <xf numFmtId="0" fontId="132" fillId="0" borderId="0" xfId="2" applyFont="1" applyAlignment="1">
      <alignment vertical="center"/>
    </xf>
    <xf numFmtId="0" fontId="102" fillId="3" borderId="0" xfId="2" quotePrefix="1" applyFont="1" applyFill="1" applyAlignment="1" applyProtection="1">
      <alignment vertical="center"/>
      <protection locked="0"/>
    </xf>
    <xf numFmtId="0" fontId="96" fillId="3" borderId="0" xfId="2" applyFont="1" applyFill="1" applyAlignment="1" applyProtection="1">
      <alignment vertical="center"/>
      <protection locked="0"/>
    </xf>
    <xf numFmtId="164" fontId="75" fillId="0" borderId="0" xfId="2" applyNumberFormat="1" applyFont="1" applyAlignment="1" applyProtection="1">
      <alignment horizontal="center"/>
    </xf>
    <xf numFmtId="0" fontId="75" fillId="0" borderId="0" xfId="2" applyFont="1" applyAlignment="1" applyProtection="1">
      <alignment horizontal="left"/>
    </xf>
    <xf numFmtId="0" fontId="86" fillId="0" borderId="0" xfId="2" applyFont="1" applyProtection="1"/>
    <xf numFmtId="164" fontId="75" fillId="0" borderId="7" xfId="2" applyNumberFormat="1" applyFont="1" applyBorder="1" applyAlignment="1" applyProtection="1">
      <alignment horizontal="right" vertical="center"/>
    </xf>
    <xf numFmtId="165" fontId="75" fillId="0" borderId="7" xfId="2" applyNumberFormat="1" applyFont="1" applyBorder="1" applyAlignment="1" applyProtection="1">
      <alignment horizontal="right" vertical="center"/>
    </xf>
    <xf numFmtId="2" fontId="75" fillId="0" borderId="12" xfId="0" applyNumberFormat="1" applyFont="1" applyBorder="1" applyAlignment="1" applyProtection="1">
      <alignment horizontal="center"/>
    </xf>
    <xf numFmtId="2" fontId="75" fillId="0" borderId="2" xfId="2" applyNumberFormat="1" applyFont="1" applyBorder="1" applyAlignment="1" applyProtection="1">
      <alignment horizontal="center"/>
    </xf>
    <xf numFmtId="0" fontId="102" fillId="0" borderId="7" xfId="2" applyFont="1" applyBorder="1" applyAlignment="1">
      <alignment horizontal="right"/>
    </xf>
    <xf numFmtId="164" fontId="75" fillId="0" borderId="5" xfId="0" applyNumberFormat="1" applyFont="1" applyBorder="1" applyAlignment="1" applyProtection="1">
      <alignment horizontal="left"/>
    </xf>
    <xf numFmtId="2" fontId="75" fillId="0" borderId="12" xfId="0" applyNumberFormat="1" applyFont="1" applyBorder="1" applyAlignment="1" applyProtection="1">
      <alignment horizontal="left" vertical="center"/>
    </xf>
    <xf numFmtId="2" fontId="75" fillId="0" borderId="2" xfId="0" applyNumberFormat="1" applyFont="1" applyBorder="1" applyAlignment="1" applyProtection="1">
      <alignment horizontal="center" vertical="center"/>
    </xf>
    <xf numFmtId="0" fontId="75" fillId="0" borderId="0" xfId="2" applyFont="1" applyAlignment="1" applyProtection="1">
      <alignment horizontal="left"/>
      <protection locked="0"/>
    </xf>
    <xf numFmtId="0" fontId="75" fillId="0" borderId="0" xfId="0" applyFont="1" applyAlignment="1" applyProtection="1">
      <alignment horizontal="left"/>
      <protection locked="0"/>
    </xf>
    <xf numFmtId="0" fontId="102" fillId="3" borderId="0" xfId="0" quotePrefix="1" applyFont="1" applyFill="1" applyAlignment="1" applyProtection="1">
      <alignment horizontal="left"/>
      <protection locked="0"/>
    </xf>
    <xf numFmtId="0" fontId="96" fillId="0" borderId="2" xfId="0" applyFont="1" applyBorder="1" applyAlignment="1">
      <alignment horizontal="center" vertical="center" wrapText="1"/>
    </xf>
    <xf numFmtId="0" fontId="96" fillId="0" borderId="2" xfId="0" applyFont="1" applyBorder="1" applyAlignment="1" applyProtection="1">
      <alignment horizontal="center" vertical="center" wrapText="1"/>
    </xf>
    <xf numFmtId="0" fontId="102" fillId="0" borderId="0" xfId="2" applyFont="1" applyProtection="1">
      <protection locked="0"/>
    </xf>
    <xf numFmtId="15" fontId="102" fillId="3" borderId="0" xfId="0" quotePrefix="1" applyNumberFormat="1" applyFont="1" applyFill="1" applyAlignment="1" applyProtection="1">
      <alignment horizontal="left"/>
      <protection locked="0"/>
    </xf>
    <xf numFmtId="0" fontId="102" fillId="3" borderId="0" xfId="0" applyFont="1" applyFill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2" applyFont="1" applyAlignment="1">
      <alignment vertical="center"/>
    </xf>
    <xf numFmtId="0" fontId="1" fillId="0" borderId="0" xfId="0" applyFont="1" applyProtection="1">
      <protection locked="0"/>
    </xf>
    <xf numFmtId="0" fontId="1" fillId="0" borderId="0" xfId="3" applyFont="1" applyProtection="1">
      <protection locked="0"/>
    </xf>
    <xf numFmtId="0" fontId="1" fillId="0" borderId="0" xfId="2" applyFont="1" applyProtection="1">
      <protection locked="0"/>
    </xf>
    <xf numFmtId="0" fontId="1" fillId="0" borderId="7" xfId="2" applyFont="1" applyBorder="1" applyAlignment="1">
      <alignment vertical="center"/>
    </xf>
    <xf numFmtId="0" fontId="1" fillId="0" borderId="0" xfId="0" quotePrefix="1" applyFont="1" applyAlignment="1" applyProtection="1">
      <alignment horizontal="left"/>
      <protection locked="0"/>
    </xf>
    <xf numFmtId="0" fontId="1" fillId="0" borderId="0" xfId="2" applyFont="1"/>
    <xf numFmtId="0" fontId="74" fillId="3" borderId="0" xfId="2" applyFont="1" applyFill="1" applyProtection="1">
      <protection locked="0"/>
    </xf>
    <xf numFmtId="164" fontId="75" fillId="0" borderId="0" xfId="0" applyNumberFormat="1" applyFont="1" applyAlignment="1" applyProtection="1">
      <alignment horizontal="left"/>
    </xf>
    <xf numFmtId="164" fontId="34" fillId="0" borderId="0" xfId="0" applyNumberFormat="1" applyFont="1" applyAlignment="1" applyProtection="1">
      <alignment horizontal="left"/>
    </xf>
    <xf numFmtId="0" fontId="102" fillId="0" borderId="0" xfId="2" applyFont="1" applyProtection="1">
      <protection locked="0"/>
    </xf>
    <xf numFmtId="0" fontId="133" fillId="4" borderId="0" xfId="2" applyFont="1" applyFill="1"/>
    <xf numFmtId="0" fontId="134" fillId="0" borderId="2" xfId="0" applyFont="1" applyBorder="1" applyAlignment="1" applyProtection="1">
      <alignment horizontal="left" vertical="center"/>
      <protection locked="0"/>
    </xf>
    <xf numFmtId="2" fontId="21" fillId="3" borderId="7" xfId="0" applyNumberFormat="1" applyFont="1" applyFill="1" applyBorder="1" applyAlignment="1">
      <alignment horizontal="center" vertical="center"/>
    </xf>
    <xf numFmtId="2" fontId="21" fillId="3" borderId="5" xfId="0" applyNumberFormat="1" applyFont="1" applyFill="1" applyBorder="1" applyAlignment="1">
      <alignment horizontal="center" vertical="center"/>
    </xf>
    <xf numFmtId="2" fontId="21" fillId="3" borderId="12" xfId="0" applyNumberFormat="1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2" fontId="7" fillId="3" borderId="7" xfId="0" applyNumberFormat="1" applyFont="1" applyFill="1" applyBorder="1" applyAlignment="1">
      <alignment horizontal="center"/>
    </xf>
    <xf numFmtId="2" fontId="7" fillId="3" borderId="5" xfId="0" applyNumberFormat="1" applyFont="1" applyFill="1" applyBorder="1" applyAlignment="1">
      <alignment horizontal="center"/>
    </xf>
    <xf numFmtId="2" fontId="7" fillId="3" borderId="12" xfId="0" applyNumberFormat="1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4" borderId="29" xfId="0" applyNumberFormat="1" applyFont="1" applyFill="1" applyBorder="1" applyAlignment="1">
      <alignment horizontal="center" vertical="center"/>
    </xf>
    <xf numFmtId="2" fontId="11" fillId="4" borderId="30" xfId="0" applyNumberFormat="1" applyFont="1" applyFill="1" applyBorder="1" applyAlignment="1">
      <alignment horizontal="center" vertical="center"/>
    </xf>
    <xf numFmtId="2" fontId="35" fillId="9" borderId="1" xfId="5" applyNumberFormat="1" applyFont="1" applyFill="1" applyBorder="1" applyAlignment="1">
      <alignment horizontal="center" vertical="center"/>
    </xf>
    <xf numFmtId="2" fontId="35" fillId="9" borderId="12" xfId="5" applyNumberFormat="1" applyFont="1" applyFill="1" applyBorder="1" applyAlignment="1">
      <alignment horizontal="center" vertical="center"/>
    </xf>
    <xf numFmtId="2" fontId="35" fillId="9" borderId="2" xfId="5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 wrapText="1"/>
    </xf>
    <xf numFmtId="2" fontId="21" fillId="3" borderId="14" xfId="0" applyNumberFormat="1" applyFont="1" applyFill="1" applyBorder="1" applyAlignment="1">
      <alignment horizontal="center" vertical="center" wrapText="1"/>
    </xf>
    <xf numFmtId="2" fontId="14" fillId="9" borderId="7" xfId="5" applyNumberFormat="1" applyFont="1" applyFill="1" applyBorder="1" applyAlignment="1">
      <alignment horizontal="center"/>
    </xf>
    <xf numFmtId="2" fontId="14" fillId="9" borderId="5" xfId="5" applyNumberFormat="1" applyFont="1" applyFill="1" applyBorder="1" applyAlignment="1">
      <alignment horizontal="center"/>
    </xf>
    <xf numFmtId="2" fontId="14" fillId="9" borderId="12" xfId="5" applyNumberFormat="1" applyFont="1" applyFill="1" applyBorder="1" applyAlignment="1">
      <alignment horizontal="center"/>
    </xf>
    <xf numFmtId="2" fontId="35" fillId="9" borderId="1" xfId="5" applyNumberFormat="1" applyFont="1" applyFill="1" applyBorder="1" applyAlignment="1">
      <alignment horizontal="center"/>
    </xf>
    <xf numFmtId="2" fontId="35" fillId="9" borderId="12" xfId="5" applyNumberFormat="1" applyFont="1" applyFill="1" applyBorder="1" applyAlignment="1">
      <alignment horizontal="center"/>
    </xf>
    <xf numFmtId="2" fontId="35" fillId="9" borderId="2" xfId="5" applyNumberFormat="1" applyFont="1" applyFill="1" applyBorder="1" applyAlignment="1">
      <alignment horizontal="center"/>
    </xf>
    <xf numFmtId="2" fontId="14" fillId="9" borderId="4" xfId="5" applyNumberFormat="1" applyFon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2" fontId="0" fillId="3" borderId="10" xfId="0" applyNumberFormat="1" applyFill="1" applyBorder="1" applyAlignment="1">
      <alignment horizontal="center"/>
    </xf>
    <xf numFmtId="2" fontId="0" fillId="3" borderId="35" xfId="0" applyNumberFormat="1" applyFill="1" applyBorder="1" applyAlignment="1">
      <alignment horizontal="center"/>
    </xf>
    <xf numFmtId="2" fontId="7" fillId="3" borderId="11" xfId="0" applyNumberFormat="1" applyFont="1" applyFill="1" applyBorder="1" applyAlignment="1">
      <alignment horizontal="center"/>
    </xf>
    <xf numFmtId="2" fontId="7" fillId="3" borderId="10" xfId="0" applyNumberFormat="1" applyFont="1" applyFill="1" applyBorder="1" applyAlignment="1">
      <alignment horizontal="center"/>
    </xf>
    <xf numFmtId="2" fontId="7" fillId="3" borderId="35" xfId="0" applyNumberFormat="1" applyFont="1" applyFill="1" applyBorder="1" applyAlignment="1">
      <alignment horizontal="center"/>
    </xf>
    <xf numFmtId="2" fontId="16" fillId="0" borderId="39" xfId="0" applyNumberFormat="1" applyFont="1" applyBorder="1" applyAlignment="1">
      <alignment horizontal="center" vertical="center" wrapText="1"/>
    </xf>
    <xf numFmtId="2" fontId="16" fillId="0" borderId="14" xfId="0" applyNumberFormat="1" applyFont="1" applyBorder="1" applyAlignment="1">
      <alignment horizontal="center" vertical="center" wrapText="1"/>
    </xf>
    <xf numFmtId="2" fontId="7" fillId="6" borderId="69" xfId="0" applyNumberFormat="1" applyFont="1" applyFill="1" applyBorder="1" applyAlignment="1">
      <alignment horizontal="center" vertical="center"/>
    </xf>
    <xf numFmtId="2" fontId="7" fillId="6" borderId="56" xfId="0" applyNumberFormat="1" applyFont="1" applyFill="1" applyBorder="1" applyAlignment="1">
      <alignment horizontal="center" vertical="center"/>
    </xf>
    <xf numFmtId="2" fontId="7" fillId="6" borderId="56" xfId="0" applyNumberFormat="1" applyFont="1" applyFill="1" applyBorder="1" applyAlignment="1">
      <alignment horizontal="center" vertical="center" wrapText="1"/>
    </xf>
    <xf numFmtId="2" fontId="0" fillId="4" borderId="22" xfId="0" applyNumberFormat="1" applyFill="1" applyBorder="1" applyAlignment="1">
      <alignment horizontal="center" vertical="center"/>
    </xf>
    <xf numFmtId="2" fontId="0" fillId="4" borderId="21" xfId="0" applyNumberFormat="1" applyFill="1" applyBorder="1" applyAlignment="1">
      <alignment horizontal="center" vertical="center"/>
    </xf>
    <xf numFmtId="2" fontId="0" fillId="4" borderId="23" xfId="0" applyNumberFormat="1" applyFill="1" applyBorder="1" applyAlignment="1">
      <alignment horizontal="center" vertical="center"/>
    </xf>
    <xf numFmtId="2" fontId="6" fillId="6" borderId="41" xfId="0" applyNumberFormat="1" applyFont="1" applyFill="1" applyBorder="1" applyAlignment="1">
      <alignment horizontal="center" vertical="center" wrapText="1"/>
    </xf>
    <xf numFmtId="2" fontId="6" fillId="6" borderId="1" xfId="0" applyNumberFormat="1" applyFont="1" applyFill="1" applyBorder="1" applyAlignment="1">
      <alignment horizontal="center" vertical="center" wrapText="1"/>
    </xf>
    <xf numFmtId="2" fontId="6" fillId="6" borderId="43" xfId="0" applyNumberFormat="1" applyFont="1" applyFill="1" applyBorder="1" applyAlignment="1">
      <alignment horizontal="center" vertical="center" wrapText="1"/>
    </xf>
    <xf numFmtId="2" fontId="6" fillId="6" borderId="44" xfId="0" applyNumberFormat="1" applyFont="1" applyFill="1" applyBorder="1" applyAlignment="1">
      <alignment horizontal="center" vertical="center" wrapText="1"/>
    </xf>
    <xf numFmtId="2" fontId="6" fillId="6" borderId="3" xfId="0" applyNumberFormat="1" applyFont="1" applyFill="1" applyBorder="1" applyAlignment="1">
      <alignment horizontal="center" vertical="center" wrapText="1"/>
    </xf>
    <xf numFmtId="2" fontId="6" fillId="6" borderId="63" xfId="0" applyNumberFormat="1" applyFont="1" applyFill="1" applyBorder="1" applyAlignment="1">
      <alignment horizontal="center" vertical="center" wrapText="1"/>
    </xf>
    <xf numFmtId="2" fontId="55" fillId="6" borderId="42" xfId="0" applyNumberFormat="1" applyFont="1" applyFill="1" applyBorder="1" applyAlignment="1">
      <alignment horizontal="center" vertical="center" wrapText="1"/>
    </xf>
    <xf numFmtId="2" fontId="55" fillId="6" borderId="2" xfId="0" applyNumberFormat="1" applyFont="1" applyFill="1" applyBorder="1" applyAlignment="1">
      <alignment horizontal="center" vertical="center" wrapText="1"/>
    </xf>
    <xf numFmtId="2" fontId="55" fillId="6" borderId="42" xfId="0" applyNumberFormat="1" applyFont="1" applyFill="1" applyBorder="1" applyAlignment="1">
      <alignment horizontal="center" vertical="center"/>
    </xf>
    <xf numFmtId="2" fontId="55" fillId="6" borderId="2" xfId="0" applyNumberFormat="1" applyFont="1" applyFill="1" applyBorder="1" applyAlignment="1">
      <alignment horizontal="center" vertical="center"/>
    </xf>
    <xf numFmtId="2" fontId="55" fillId="6" borderId="44" xfId="0" applyNumberFormat="1" applyFont="1" applyFill="1" applyBorder="1" applyAlignment="1">
      <alignment horizontal="center" vertical="center"/>
    </xf>
    <xf numFmtId="2" fontId="55" fillId="6" borderId="3" xfId="0" applyNumberFormat="1" applyFont="1" applyFill="1" applyBorder="1" applyAlignment="1">
      <alignment horizontal="center" vertical="center"/>
    </xf>
    <xf numFmtId="2" fontId="55" fillId="6" borderId="63" xfId="0" applyNumberFormat="1" applyFont="1" applyFill="1" applyBorder="1" applyAlignment="1">
      <alignment horizontal="center" vertical="center"/>
    </xf>
    <xf numFmtId="2" fontId="55" fillId="6" borderId="31" xfId="0" applyNumberFormat="1" applyFont="1" applyFill="1" applyBorder="1" applyAlignment="1">
      <alignment horizontal="center" vertical="center" wrapText="1"/>
    </xf>
    <xf numFmtId="2" fontId="6" fillId="6" borderId="42" xfId="0" applyNumberFormat="1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2" fontId="7" fillId="6" borderId="69" xfId="0" applyNumberFormat="1" applyFont="1" applyFill="1" applyBorder="1" applyAlignment="1">
      <alignment horizontal="center" vertical="center" wrapText="1"/>
    </xf>
    <xf numFmtId="2" fontId="7" fillId="6" borderId="41" xfId="0" applyNumberFormat="1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2" fontId="7" fillId="6" borderId="43" xfId="0" applyNumberFormat="1" applyFont="1" applyFill="1" applyBorder="1" applyAlignment="1">
      <alignment horizontal="center" vertical="center" wrapText="1"/>
    </xf>
    <xf numFmtId="2" fontId="7" fillId="3" borderId="41" xfId="0" applyNumberFormat="1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2" fontId="7" fillId="3" borderId="43" xfId="0" applyNumberFormat="1" applyFont="1" applyFill="1" applyBorder="1" applyAlignment="1">
      <alignment horizontal="center" vertical="center" wrapText="1"/>
    </xf>
    <xf numFmtId="2" fontId="55" fillId="6" borderId="18" xfId="0" applyNumberFormat="1" applyFont="1" applyFill="1" applyBorder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 wrapText="1"/>
    </xf>
    <xf numFmtId="2" fontId="6" fillId="3" borderId="41" xfId="0" applyNumberFormat="1" applyFont="1" applyFill="1" applyBorder="1" applyAlignment="1">
      <alignment horizontal="center" vertical="center"/>
    </xf>
    <xf numFmtId="2" fontId="6" fillId="3" borderId="28" xfId="0" applyNumberFormat="1" applyFont="1" applyFill="1" applyBorder="1" applyAlignment="1">
      <alignment horizontal="center" vertical="center"/>
    </xf>
    <xf numFmtId="2" fontId="6" fillId="3" borderId="42" xfId="0" applyNumberFormat="1" applyFont="1" applyFill="1" applyBorder="1" applyAlignment="1">
      <alignment horizontal="center" vertical="center"/>
    </xf>
    <xf numFmtId="2" fontId="6" fillId="3" borderId="39" xfId="0" applyNumberFormat="1" applyFont="1" applyFill="1" applyBorder="1" applyAlignment="1">
      <alignment horizontal="center" vertical="center"/>
    </xf>
    <xf numFmtId="2" fontId="11" fillId="3" borderId="41" xfId="0" applyNumberFormat="1" applyFont="1" applyFill="1" applyBorder="1" applyAlignment="1">
      <alignment horizontal="center" vertical="center"/>
    </xf>
    <xf numFmtId="2" fontId="11" fillId="3" borderId="42" xfId="0" applyNumberFormat="1" applyFont="1" applyFill="1" applyBorder="1" applyAlignment="1">
      <alignment horizontal="center" vertical="center"/>
    </xf>
    <xf numFmtId="2" fontId="11" fillId="3" borderId="39" xfId="0" applyNumberFormat="1" applyFont="1" applyFill="1" applyBorder="1" applyAlignment="1">
      <alignment horizontal="center" vertical="center"/>
    </xf>
    <xf numFmtId="2" fontId="28" fillId="3" borderId="47" xfId="0" applyNumberFormat="1" applyFont="1" applyFill="1" applyBorder="1" applyAlignment="1">
      <alignment horizontal="center" vertical="center"/>
    </xf>
    <xf numFmtId="2" fontId="28" fillId="3" borderId="48" xfId="0" applyNumberFormat="1" applyFont="1" applyFill="1" applyBorder="1" applyAlignment="1">
      <alignment horizontal="center" vertical="center"/>
    </xf>
    <xf numFmtId="2" fontId="28" fillId="3" borderId="64" xfId="0" applyNumberFormat="1" applyFont="1" applyFill="1" applyBorder="1" applyAlignment="1">
      <alignment horizontal="center" vertical="center"/>
    </xf>
    <xf numFmtId="2" fontId="0" fillId="0" borderId="46" xfId="0" applyNumberFormat="1" applyBorder="1" applyAlignment="1">
      <alignment horizontal="left" vertical="center"/>
    </xf>
    <xf numFmtId="2" fontId="0" fillId="0" borderId="67" xfId="0" applyNumberFormat="1" applyBorder="1" applyAlignment="1">
      <alignment horizontal="left" vertical="center"/>
    </xf>
    <xf numFmtId="2" fontId="0" fillId="0" borderId="68" xfId="0" applyNumberFormat="1" applyBorder="1" applyAlignment="1">
      <alignment horizontal="left" vertical="center"/>
    </xf>
    <xf numFmtId="2" fontId="4" fillId="0" borderId="4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7" fillId="6" borderId="70" xfId="0" applyNumberFormat="1" applyFont="1" applyFill="1" applyBorder="1" applyAlignment="1">
      <alignment horizontal="center" vertical="center" wrapText="1"/>
    </xf>
    <xf numFmtId="2" fontId="10" fillId="3" borderId="7" xfId="5" applyNumberFormat="1" applyFont="1" applyFill="1" applyBorder="1" applyAlignment="1">
      <alignment horizontal="center" vertical="center" wrapText="1"/>
    </xf>
    <xf numFmtId="2" fontId="10" fillId="3" borderId="5" xfId="5" applyNumberFormat="1" applyFont="1" applyFill="1" applyBorder="1" applyAlignment="1">
      <alignment horizontal="center" vertical="center" wrapText="1"/>
    </xf>
    <xf numFmtId="2" fontId="10" fillId="3" borderId="34" xfId="5" applyNumberFormat="1" applyFont="1" applyFill="1" applyBorder="1" applyAlignment="1">
      <alignment horizontal="center" vertical="center" wrapText="1"/>
    </xf>
    <xf numFmtId="2" fontId="10" fillId="3" borderId="0" xfId="5" applyNumberFormat="1" applyFont="1" applyFill="1" applyAlignment="1">
      <alignment horizontal="left" vertical="center" wrapText="1"/>
    </xf>
    <xf numFmtId="2" fontId="55" fillId="3" borderId="7" xfId="0" applyNumberFormat="1" applyFont="1" applyFill="1" applyBorder="1" applyAlignment="1">
      <alignment horizontal="center" vertical="center"/>
    </xf>
    <xf numFmtId="2" fontId="55" fillId="3" borderId="5" xfId="0" applyNumberFormat="1" applyFont="1" applyFill="1" applyBorder="1" applyAlignment="1">
      <alignment horizontal="center" vertical="center"/>
    </xf>
    <xf numFmtId="2" fontId="55" fillId="3" borderId="12" xfId="0" applyNumberFormat="1" applyFont="1" applyFill="1" applyBorder="1" applyAlignment="1">
      <alignment horizontal="center" vertical="center"/>
    </xf>
    <xf numFmtId="2" fontId="55" fillId="3" borderId="31" xfId="0" applyNumberFormat="1" applyFont="1" applyFill="1" applyBorder="1" applyAlignment="1">
      <alignment horizontal="center" vertical="center"/>
    </xf>
    <xf numFmtId="2" fontId="55" fillId="3" borderId="18" xfId="0" applyNumberFormat="1" applyFont="1" applyFill="1" applyBorder="1" applyAlignment="1">
      <alignment horizontal="center" vertical="center"/>
    </xf>
    <xf numFmtId="2" fontId="55" fillId="3" borderId="2" xfId="0" applyNumberFormat="1" applyFont="1" applyFill="1" applyBorder="1" applyAlignment="1">
      <alignment horizontal="center" vertical="center"/>
    </xf>
    <xf numFmtId="2" fontId="55" fillId="3" borderId="2" xfId="0" applyNumberFormat="1" applyFont="1" applyFill="1" applyBorder="1" applyAlignment="1">
      <alignment horizontal="center" vertical="center" wrapText="1"/>
    </xf>
    <xf numFmtId="2" fontId="21" fillId="3" borderId="0" xfId="0" applyNumberFormat="1" applyFont="1" applyFill="1" applyAlignment="1">
      <alignment horizontal="center" vertical="center"/>
    </xf>
    <xf numFmtId="0" fontId="8" fillId="0" borderId="0" xfId="8" applyFont="1" applyAlignment="1">
      <alignment horizontal="left" vertical="center" wrapText="1"/>
    </xf>
    <xf numFmtId="0" fontId="14" fillId="0" borderId="0" xfId="8" applyFont="1" applyAlignment="1">
      <alignment horizontal="left" vertical="center" wrapText="1"/>
    </xf>
    <xf numFmtId="169" fontId="14" fillId="0" borderId="0" xfId="8" applyNumberFormat="1" applyFont="1" applyAlignment="1">
      <alignment horizontal="left" vertical="top" wrapText="1"/>
    </xf>
    <xf numFmtId="1" fontId="14" fillId="0" borderId="0" xfId="8" applyNumberFormat="1" applyFont="1" applyAlignment="1">
      <alignment horizontal="left" vertical="top" wrapText="1"/>
    </xf>
    <xf numFmtId="0" fontId="14" fillId="0" borderId="0" xfId="8" applyFont="1" applyAlignment="1">
      <alignment horizontal="left" vertical="top" wrapText="1"/>
    </xf>
    <xf numFmtId="0" fontId="14" fillId="11" borderId="0" xfId="8" applyFont="1" applyFill="1" applyAlignment="1">
      <alignment horizontal="justify" vertical="center" wrapText="1"/>
    </xf>
    <xf numFmtId="169" fontId="14" fillId="0" borderId="0" xfId="8" applyNumberFormat="1" applyFont="1" applyAlignment="1">
      <alignment horizontal="left" vertical="center" wrapText="1"/>
    </xf>
    <xf numFmtId="0" fontId="14" fillId="0" borderId="7" xfId="8" applyFont="1" applyBorder="1" applyAlignment="1">
      <alignment horizontal="left" vertical="top" wrapText="1"/>
    </xf>
    <xf numFmtId="0" fontId="14" fillId="0" borderId="5" xfId="8" applyFont="1" applyBorder="1" applyAlignment="1">
      <alignment horizontal="left" vertical="top" wrapText="1"/>
    </xf>
    <xf numFmtId="0" fontId="116" fillId="0" borderId="0" xfId="8" applyFont="1" applyAlignment="1" applyProtection="1">
      <alignment horizontal="left"/>
      <protection locked="0"/>
    </xf>
    <xf numFmtId="0" fontId="112" fillId="0" borderId="0" xfId="8" applyFont="1" applyAlignment="1" applyProtection="1">
      <alignment horizontal="left" vertical="center" wrapText="1"/>
      <protection locked="0"/>
    </xf>
    <xf numFmtId="0" fontId="14" fillId="0" borderId="0" xfId="8" applyFont="1" applyAlignment="1" applyProtection="1">
      <alignment horizontal="left" vertical="top" wrapText="1"/>
      <protection locked="0"/>
    </xf>
    <xf numFmtId="0" fontId="14" fillId="0" borderId="0" xfId="8" applyFont="1" applyAlignment="1" applyProtection="1">
      <alignment horizontal="justify" vertical="top" wrapText="1"/>
      <protection locked="0"/>
    </xf>
    <xf numFmtId="171" fontId="116" fillId="0" borderId="0" xfId="8" quotePrefix="1" applyNumberFormat="1" applyFont="1" applyAlignment="1" applyProtection="1">
      <alignment horizontal="left" vertical="center"/>
      <protection locked="0"/>
    </xf>
    <xf numFmtId="171" fontId="116" fillId="0" borderId="0" xfId="8" applyNumberFormat="1" applyFont="1" applyAlignment="1" applyProtection="1">
      <alignment horizontal="left" vertical="center"/>
      <protection locked="0"/>
    </xf>
    <xf numFmtId="0" fontId="97" fillId="0" borderId="0" xfId="8" applyFont="1" applyAlignment="1">
      <alignment horizontal="center"/>
    </xf>
    <xf numFmtId="0" fontId="116" fillId="0" borderId="0" xfId="8" quotePrefix="1" applyFont="1" applyAlignment="1" applyProtection="1">
      <alignment horizontal="left"/>
      <protection locked="0"/>
    </xf>
    <xf numFmtId="1" fontId="14" fillId="0" borderId="0" xfId="8" applyNumberFormat="1" applyFont="1" applyAlignment="1">
      <alignment horizontal="left" vertical="center" wrapText="1"/>
    </xf>
    <xf numFmtId="0" fontId="112" fillId="0" borderId="0" xfId="8" quotePrefix="1" applyFont="1" applyAlignment="1" applyProtection="1">
      <alignment horizontal="left" vertical="center" wrapText="1"/>
      <protection locked="0"/>
    </xf>
    <xf numFmtId="11" fontId="116" fillId="0" borderId="0" xfId="8" quotePrefix="1" applyNumberFormat="1" applyFont="1" applyAlignment="1" applyProtection="1">
      <alignment horizontal="left"/>
      <protection locked="0"/>
    </xf>
    <xf numFmtId="0" fontId="14" fillId="0" borderId="0" xfId="8" applyFont="1" applyAlignment="1" applyProtection="1">
      <alignment horizontal="left" vertical="center" wrapText="1"/>
      <protection locked="0"/>
    </xf>
    <xf numFmtId="0" fontId="114" fillId="0" borderId="0" xfId="8" applyFont="1" applyAlignment="1" applyProtection="1">
      <alignment horizontal="center" vertical="center"/>
      <protection locked="0"/>
    </xf>
    <xf numFmtId="169" fontId="116" fillId="0" borderId="0" xfId="8" quotePrefix="1" applyNumberFormat="1" applyFont="1" applyAlignment="1" applyProtection="1">
      <alignment horizontal="center" vertical="center"/>
      <protection locked="0"/>
    </xf>
    <xf numFmtId="169" fontId="116" fillId="0" borderId="0" xfId="8" applyNumberFormat="1" applyFont="1" applyAlignment="1" applyProtection="1">
      <alignment horizontal="center" vertical="center"/>
      <protection locked="0"/>
    </xf>
    <xf numFmtId="0" fontId="14" fillId="0" borderId="0" xfId="8" applyFont="1" applyAlignment="1">
      <alignment horizontal="center"/>
    </xf>
    <xf numFmtId="0" fontId="117" fillId="0" borderId="0" xfId="8" applyFont="1" applyAlignment="1">
      <alignment horizontal="right" vertical="center"/>
    </xf>
    <xf numFmtId="0" fontId="98" fillId="0" borderId="0" xfId="8" applyFont="1" applyAlignment="1">
      <alignment horizontal="center"/>
    </xf>
    <xf numFmtId="0" fontId="21" fillId="14" borderId="7" xfId="5" applyFont="1" applyFill="1" applyBorder="1" applyAlignment="1" applyProtection="1">
      <alignment horizontal="center" vertical="center"/>
      <protection locked="0"/>
    </xf>
    <xf numFmtId="0" fontId="21" fillId="14" borderId="5" xfId="5" applyFont="1" applyFill="1" applyBorder="1" applyAlignment="1" applyProtection="1">
      <alignment horizontal="center" vertical="center"/>
      <protection locked="0"/>
    </xf>
    <xf numFmtId="0" fontId="21" fillId="14" borderId="12" xfId="5" applyFont="1" applyFill="1" applyBorder="1" applyAlignment="1" applyProtection="1">
      <alignment horizontal="center" vertical="center"/>
      <protection locked="0"/>
    </xf>
    <xf numFmtId="0" fontId="21" fillId="14" borderId="7" xfId="5" applyFont="1" applyFill="1" applyBorder="1" applyAlignment="1" applyProtection="1">
      <alignment horizontal="center" vertical="center" wrapText="1"/>
      <protection locked="0"/>
    </xf>
    <xf numFmtId="0" fontId="21" fillId="14" borderId="5" xfId="5" applyFont="1" applyFill="1" applyBorder="1" applyAlignment="1" applyProtection="1">
      <alignment horizontal="center" vertical="center" wrapText="1"/>
      <protection locked="0"/>
    </xf>
    <xf numFmtId="0" fontId="21" fillId="14" borderId="12" xfId="5" applyFont="1" applyFill="1" applyBorder="1" applyAlignment="1" applyProtection="1">
      <alignment horizontal="center" vertical="center" wrapText="1"/>
      <protection locked="0"/>
    </xf>
    <xf numFmtId="0" fontId="85" fillId="3" borderId="6" xfId="5" applyFont="1" applyFill="1" applyBorder="1" applyAlignment="1">
      <alignment horizontal="center" vertical="center"/>
    </xf>
    <xf numFmtId="0" fontId="85" fillId="3" borderId="0" xfId="5" applyFont="1" applyFill="1" applyAlignment="1">
      <alignment horizontal="center" vertical="center"/>
    </xf>
    <xf numFmtId="0" fontId="85" fillId="3" borderId="19" xfId="5" applyFont="1" applyFill="1" applyBorder="1" applyAlignment="1">
      <alignment horizontal="center" vertical="center"/>
    </xf>
    <xf numFmtId="0" fontId="46" fillId="14" borderId="31" xfId="5" applyFont="1" applyFill="1" applyBorder="1" applyAlignment="1" applyProtection="1">
      <alignment horizontal="center" vertical="center" wrapText="1"/>
      <protection locked="0"/>
    </xf>
    <xf numFmtId="0" fontId="46" fillId="14" borderId="3" xfId="5" applyFont="1" applyFill="1" applyBorder="1" applyAlignment="1" applyProtection="1">
      <alignment horizontal="center" vertical="center" wrapText="1"/>
      <protection locked="0"/>
    </xf>
    <xf numFmtId="0" fontId="46" fillId="14" borderId="18" xfId="5" applyFont="1" applyFill="1" applyBorder="1" applyAlignment="1" applyProtection="1">
      <alignment horizontal="center" vertical="center" wrapText="1"/>
      <protection locked="0"/>
    </xf>
    <xf numFmtId="0" fontId="53" fillId="14" borderId="2" xfId="5" applyFont="1" applyFill="1" applyBorder="1" applyAlignment="1" applyProtection="1">
      <alignment horizontal="center" vertical="center" wrapText="1"/>
      <protection locked="0"/>
    </xf>
    <xf numFmtId="0" fontId="17" fillId="14" borderId="2" xfId="5" applyFont="1" applyFill="1" applyBorder="1" applyAlignment="1" applyProtection="1">
      <alignment horizontal="center"/>
      <protection locked="0"/>
    </xf>
    <xf numFmtId="0" fontId="16" fillId="14" borderId="2" xfId="5" applyFont="1" applyFill="1" applyBorder="1" applyAlignment="1" applyProtection="1">
      <alignment horizontal="center" vertical="center" wrapText="1"/>
      <protection locked="0"/>
    </xf>
    <xf numFmtId="0" fontId="17" fillId="14" borderId="18" xfId="5" applyFont="1" applyFill="1" applyBorder="1" applyAlignment="1" applyProtection="1">
      <alignment horizontal="center"/>
      <protection locked="0"/>
    </xf>
    <xf numFmtId="0" fontId="17" fillId="14" borderId="7" xfId="5" applyFont="1" applyFill="1" applyBorder="1" applyAlignment="1" applyProtection="1">
      <alignment horizontal="center" vertical="center"/>
      <protection locked="0"/>
    </xf>
    <xf numFmtId="0" fontId="17" fillId="14" borderId="5" xfId="5" applyFont="1" applyFill="1" applyBorder="1" applyAlignment="1" applyProtection="1">
      <alignment horizontal="center" vertical="center"/>
      <protection locked="0"/>
    </xf>
    <xf numFmtId="0" fontId="17" fillId="14" borderId="12" xfId="5" applyFont="1" applyFill="1" applyBorder="1" applyAlignment="1" applyProtection="1">
      <alignment horizontal="center" vertical="center"/>
      <protection locked="0"/>
    </xf>
    <xf numFmtId="0" fontId="53" fillId="14" borderId="2" xfId="5" applyFont="1" applyFill="1" applyBorder="1" applyAlignment="1" applyProtection="1">
      <alignment horizontal="center" vertical="center"/>
      <protection locked="0"/>
    </xf>
    <xf numFmtId="0" fontId="21" fillId="14" borderId="11" xfId="5" applyFont="1" applyFill="1" applyBorder="1" applyAlignment="1" applyProtection="1">
      <alignment horizontal="center" vertical="center"/>
      <protection locked="0"/>
    </xf>
    <xf numFmtId="0" fontId="21" fillId="14" borderId="10" xfId="5" applyFont="1" applyFill="1" applyBorder="1" applyAlignment="1" applyProtection="1">
      <alignment horizontal="center" vertical="center"/>
      <protection locked="0"/>
    </xf>
    <xf numFmtId="0" fontId="21" fillId="14" borderId="35" xfId="5" applyFont="1" applyFill="1" applyBorder="1" applyAlignment="1" applyProtection="1">
      <alignment horizontal="center" vertical="center"/>
      <protection locked="0"/>
    </xf>
    <xf numFmtId="0" fontId="21" fillId="11" borderId="26" xfId="7" applyFont="1" applyFill="1" applyBorder="1" applyAlignment="1">
      <alignment horizontal="center" vertical="center" wrapText="1"/>
    </xf>
    <xf numFmtId="0" fontId="21" fillId="11" borderId="27" xfId="7" applyFont="1" applyFill="1" applyBorder="1" applyAlignment="1">
      <alignment horizontal="center" vertical="center" wrapText="1"/>
    </xf>
    <xf numFmtId="0" fontId="21" fillId="11" borderId="38" xfId="7" applyFont="1" applyFill="1" applyBorder="1" applyAlignment="1">
      <alignment horizontal="center" vertical="center" wrapText="1"/>
    </xf>
    <xf numFmtId="0" fontId="10" fillId="15" borderId="26" xfId="5" applyFont="1" applyFill="1" applyBorder="1" applyAlignment="1">
      <alignment horizontal="center" vertical="center"/>
    </xf>
    <xf numFmtId="0" fontId="10" fillId="15" borderId="27" xfId="5" applyFont="1" applyFill="1" applyBorder="1" applyAlignment="1">
      <alignment horizontal="center" vertical="center"/>
    </xf>
    <xf numFmtId="0" fontId="10" fillId="15" borderId="38" xfId="5" applyFont="1" applyFill="1" applyBorder="1" applyAlignment="1">
      <alignment horizontal="center" vertical="center"/>
    </xf>
    <xf numFmtId="0" fontId="52" fillId="0" borderId="26" xfId="7" applyFont="1" applyBorder="1" applyAlignment="1">
      <alignment horizontal="center"/>
    </xf>
    <xf numFmtId="0" fontId="52" fillId="0" borderId="27" xfId="7" applyFont="1" applyBorder="1" applyAlignment="1">
      <alignment horizontal="center"/>
    </xf>
    <xf numFmtId="0" fontId="52" fillId="0" borderId="38" xfId="7" applyFont="1" applyBorder="1" applyAlignment="1">
      <alignment horizontal="center"/>
    </xf>
    <xf numFmtId="0" fontId="16" fillId="13" borderId="46" xfId="7" applyFont="1" applyFill="1" applyBorder="1" applyAlignment="1">
      <alignment horizontal="center"/>
    </xf>
    <xf numFmtId="0" fontId="16" fillId="13" borderId="67" xfId="7" applyFont="1" applyFill="1" applyBorder="1" applyAlignment="1">
      <alignment horizontal="center"/>
    </xf>
    <xf numFmtId="0" fontId="16" fillId="13" borderId="68" xfId="7" applyFont="1" applyFill="1" applyBorder="1" applyAlignment="1">
      <alignment horizontal="center"/>
    </xf>
    <xf numFmtId="0" fontId="89" fillId="15" borderId="4" xfId="5" applyFont="1" applyFill="1" applyBorder="1" applyAlignment="1">
      <alignment horizontal="center" vertical="center" wrapText="1"/>
    </xf>
    <xf numFmtId="0" fontId="89" fillId="15" borderId="5" xfId="5" applyFont="1" applyFill="1" applyBorder="1" applyAlignment="1">
      <alignment horizontal="center" vertical="center" wrapText="1"/>
    </xf>
    <xf numFmtId="0" fontId="89" fillId="15" borderId="24" xfId="5" applyFont="1" applyFill="1" applyBorder="1" applyAlignment="1">
      <alignment horizontal="center" vertical="center" wrapText="1"/>
    </xf>
    <xf numFmtId="0" fontId="10" fillId="15" borderId="4" xfId="5" applyFont="1" applyFill="1" applyBorder="1" applyAlignment="1">
      <alignment horizontal="center" vertical="center" wrapText="1"/>
    </xf>
    <xf numFmtId="0" fontId="10" fillId="15" borderId="5" xfId="5" applyFont="1" applyFill="1" applyBorder="1" applyAlignment="1">
      <alignment horizontal="center" vertical="center" wrapText="1"/>
    </xf>
    <xf numFmtId="0" fontId="10" fillId="15" borderId="24" xfId="5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4" fillId="0" borderId="0" xfId="2" applyFont="1" applyAlignment="1">
      <alignment horizontal="left"/>
    </xf>
    <xf numFmtId="0" fontId="38" fillId="0" borderId="0" xfId="2" applyFont="1" applyAlignment="1">
      <alignment horizontal="center"/>
    </xf>
    <xf numFmtId="0" fontId="45" fillId="0" borderId="0" xfId="2" applyFont="1" applyAlignment="1">
      <alignment horizontal="center"/>
    </xf>
    <xf numFmtId="0" fontId="34" fillId="2" borderId="0" xfId="0" applyFont="1" applyFill="1" applyAlignment="1">
      <alignment horizontal="left"/>
    </xf>
    <xf numFmtId="164" fontId="34" fillId="0" borderId="7" xfId="0" applyNumberFormat="1" applyFont="1" applyBorder="1" applyAlignment="1">
      <alignment horizontal="center"/>
    </xf>
    <xf numFmtId="164" fontId="34" fillId="0" borderId="12" xfId="0" applyNumberFormat="1" applyFont="1" applyBorder="1" applyAlignment="1">
      <alignment horizontal="center"/>
    </xf>
    <xf numFmtId="164" fontId="34" fillId="0" borderId="2" xfId="0" applyNumberFormat="1" applyFont="1" applyBorder="1" applyAlignment="1">
      <alignment horizontal="center"/>
    </xf>
    <xf numFmtId="0" fontId="39" fillId="0" borderId="33" xfId="0" applyFont="1" applyBorder="1" applyAlignment="1">
      <alignment horizontal="center" vertical="center"/>
    </xf>
    <xf numFmtId="0" fontId="39" fillId="0" borderId="11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34" fillId="0" borderId="7" xfId="2" applyFont="1" applyBorder="1" applyAlignment="1">
      <alignment horizontal="left" vertical="center"/>
    </xf>
    <xf numFmtId="0" fontId="34" fillId="0" borderId="5" xfId="2" applyFont="1" applyBorder="1" applyAlignment="1">
      <alignment horizontal="left" vertical="center"/>
    </xf>
    <xf numFmtId="0" fontId="34" fillId="0" borderId="12" xfId="2" applyFont="1" applyBorder="1" applyAlignment="1">
      <alignment horizontal="left" vertical="center"/>
    </xf>
    <xf numFmtId="0" fontId="7" fillId="0" borderId="0" xfId="2" applyFont="1" applyBorder="1" applyAlignment="1">
      <alignment horizontal="center"/>
    </xf>
    <xf numFmtId="0" fontId="78" fillId="0" borderId="0" xfId="0" applyFont="1" applyAlignment="1">
      <alignment horizontal="center" vertical="center"/>
    </xf>
    <xf numFmtId="165" fontId="34" fillId="0" borderId="31" xfId="0" applyNumberFormat="1" applyFont="1" applyBorder="1" applyAlignment="1">
      <alignment horizontal="center" vertical="center" wrapText="1"/>
    </xf>
    <xf numFmtId="165" fontId="34" fillId="0" borderId="3" xfId="0" applyNumberFormat="1" applyFont="1" applyBorder="1" applyAlignment="1">
      <alignment horizontal="center" vertical="center" wrapText="1"/>
    </xf>
    <xf numFmtId="165" fontId="34" fillId="0" borderId="18" xfId="0" applyNumberFormat="1" applyFont="1" applyBorder="1" applyAlignment="1">
      <alignment horizontal="center" vertical="center" wrapText="1"/>
    </xf>
    <xf numFmtId="9" fontId="79" fillId="0" borderId="0" xfId="0" applyNumberFormat="1" applyFont="1" applyAlignment="1">
      <alignment horizontal="center" vertical="center"/>
    </xf>
    <xf numFmtId="0" fontId="39" fillId="0" borderId="31" xfId="0" applyFont="1" applyBorder="1" applyAlignment="1">
      <alignment horizontal="center" vertical="center" wrapText="1"/>
    </xf>
    <xf numFmtId="0" fontId="39" fillId="0" borderId="3" xfId="0" applyFont="1" applyBorder="1" applyAlignment="1">
      <alignment horizontal="center" vertical="center" wrapText="1"/>
    </xf>
    <xf numFmtId="0" fontId="39" fillId="0" borderId="18" xfId="0" applyFont="1" applyBorder="1" applyAlignment="1">
      <alignment horizontal="center" vertical="center" wrapText="1"/>
    </xf>
    <xf numFmtId="164" fontId="39" fillId="0" borderId="7" xfId="0" applyNumberFormat="1" applyFont="1" applyBorder="1" applyAlignment="1">
      <alignment horizontal="center" vertical="center"/>
    </xf>
    <xf numFmtId="164" fontId="39" fillId="0" borderId="12" xfId="0" applyNumberFormat="1" applyFont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7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80" fillId="0" borderId="0" xfId="2" applyFont="1" applyAlignment="1">
      <alignment horizontal="left" wrapText="1"/>
    </xf>
    <xf numFmtId="1" fontId="34" fillId="0" borderId="2" xfId="0" applyNumberFormat="1" applyFont="1" applyBorder="1" applyAlignment="1">
      <alignment horizontal="center"/>
    </xf>
    <xf numFmtId="0" fontId="78" fillId="0" borderId="8" xfId="0" applyFont="1" applyBorder="1" applyAlignment="1">
      <alignment horizontal="center" vertical="center"/>
    </xf>
    <xf numFmtId="9" fontId="79" fillId="0" borderId="8" xfId="0" applyNumberFormat="1" applyFont="1" applyBorder="1" applyAlignment="1">
      <alignment horizontal="center" vertical="center"/>
    </xf>
    <xf numFmtId="0" fontId="79" fillId="0" borderId="8" xfId="0" applyFont="1" applyBorder="1" applyAlignment="1">
      <alignment horizontal="center" vertical="center"/>
    </xf>
    <xf numFmtId="9" fontId="79" fillId="0" borderId="8" xfId="2" applyNumberFormat="1" applyFont="1" applyBorder="1" applyAlignment="1">
      <alignment horizontal="center" vertical="center"/>
    </xf>
    <xf numFmtId="0" fontId="79" fillId="0" borderId="8" xfId="2" applyFont="1" applyBorder="1" applyAlignment="1">
      <alignment horizontal="center" vertical="center"/>
    </xf>
    <xf numFmtId="0" fontId="39" fillId="0" borderId="33" xfId="2" applyFont="1" applyBorder="1" applyAlignment="1">
      <alignment horizontal="center" vertical="center" wrapText="1"/>
    </xf>
    <xf numFmtId="0" fontId="39" fillId="0" borderId="32" xfId="2" applyFont="1" applyBorder="1" applyAlignment="1">
      <alignment horizontal="center" vertical="center" wrapText="1"/>
    </xf>
    <xf numFmtId="0" fontId="39" fillId="0" borderId="11" xfId="2" applyFont="1" applyBorder="1" applyAlignment="1">
      <alignment horizontal="center" vertical="center" wrapText="1"/>
    </xf>
    <xf numFmtId="0" fontId="39" fillId="0" borderId="10" xfId="2" applyFont="1" applyBorder="1" applyAlignment="1">
      <alignment horizontal="center" vertical="center" wrapText="1"/>
    </xf>
    <xf numFmtId="0" fontId="39" fillId="0" borderId="7" xfId="2" applyFont="1" applyBorder="1" applyAlignment="1">
      <alignment horizontal="center"/>
    </xf>
    <xf numFmtId="0" fontId="39" fillId="0" borderId="12" xfId="2" applyFont="1" applyBorder="1" applyAlignment="1">
      <alignment horizontal="center"/>
    </xf>
    <xf numFmtId="0" fontId="34" fillId="0" borderId="2" xfId="2" applyFont="1" applyBorder="1" applyAlignment="1">
      <alignment horizontal="center"/>
    </xf>
    <xf numFmtId="0" fontId="39" fillId="0" borderId="34" xfId="2" applyFont="1" applyBorder="1" applyAlignment="1">
      <alignment horizontal="center" vertical="center" wrapText="1"/>
    </xf>
    <xf numFmtId="0" fontId="39" fillId="0" borderId="0" xfId="2" applyFont="1" applyAlignment="1">
      <alignment horizontal="center" vertical="center" wrapText="1"/>
    </xf>
    <xf numFmtId="0" fontId="39" fillId="0" borderId="13" xfId="2" applyFont="1" applyBorder="1" applyAlignment="1">
      <alignment horizontal="center" vertical="center" wrapText="1"/>
    </xf>
    <xf numFmtId="0" fontId="49" fillId="0" borderId="0" xfId="0" applyFont="1" applyAlignment="1">
      <alignment horizontal="left" vertical="center" wrapText="1"/>
    </xf>
    <xf numFmtId="0" fontId="39" fillId="0" borderId="33" xfId="2" applyFont="1" applyBorder="1" applyAlignment="1">
      <alignment horizontal="center" vertical="center"/>
    </xf>
    <xf numFmtId="0" fontId="39" fillId="0" borderId="32" xfId="2" applyFont="1" applyBorder="1" applyAlignment="1">
      <alignment horizontal="center" vertical="center"/>
    </xf>
    <xf numFmtId="0" fontId="39" fillId="0" borderId="34" xfId="2" applyFont="1" applyBorder="1" applyAlignment="1">
      <alignment horizontal="center" vertical="center"/>
    </xf>
    <xf numFmtId="0" fontId="39" fillId="0" borderId="11" xfId="2" applyFont="1" applyBorder="1" applyAlignment="1">
      <alignment horizontal="center" vertical="center"/>
    </xf>
    <xf numFmtId="0" fontId="39" fillId="0" borderId="10" xfId="2" applyFont="1" applyBorder="1" applyAlignment="1">
      <alignment horizontal="center" vertical="center"/>
    </xf>
    <xf numFmtId="0" fontId="39" fillId="0" borderId="35" xfId="2" applyFont="1" applyBorder="1" applyAlignment="1">
      <alignment horizontal="center" vertical="center"/>
    </xf>
    <xf numFmtId="0" fontId="39" fillId="0" borderId="31" xfId="2" applyFont="1" applyBorder="1" applyAlignment="1">
      <alignment horizontal="center" vertical="center"/>
    </xf>
    <xf numFmtId="0" fontId="39" fillId="0" borderId="18" xfId="2" applyFont="1" applyBorder="1" applyAlignment="1">
      <alignment horizontal="center" vertical="center"/>
    </xf>
    <xf numFmtId="0" fontId="39" fillId="0" borderId="31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4" fillId="0" borderId="31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18" xfId="0" applyFont="1" applyBorder="1" applyAlignment="1">
      <alignment horizontal="center" vertical="center" wrapText="1"/>
    </xf>
    <xf numFmtId="0" fontId="4" fillId="0" borderId="0" xfId="2"/>
    <xf numFmtId="164" fontId="39" fillId="0" borderId="2" xfId="0" applyNumberFormat="1" applyFont="1" applyBorder="1" applyAlignment="1">
      <alignment horizontal="center" vertical="center"/>
    </xf>
    <xf numFmtId="0" fontId="99" fillId="0" borderId="0" xfId="2" applyFont="1" applyAlignment="1" applyProtection="1">
      <alignment horizontal="center"/>
    </xf>
    <xf numFmtId="0" fontId="96" fillId="0" borderId="0" xfId="0" applyFont="1" applyAlignment="1" applyProtection="1">
      <alignment horizontal="left"/>
    </xf>
    <xf numFmtId="0" fontId="96" fillId="7" borderId="10" xfId="0" applyFont="1" applyFill="1" applyBorder="1" applyAlignment="1" applyProtection="1">
      <alignment horizontal="left" vertical="center"/>
    </xf>
    <xf numFmtId="0" fontId="96" fillId="0" borderId="7" xfId="2" applyFont="1" applyBorder="1" applyAlignment="1" applyProtection="1">
      <alignment horizontal="center" vertical="center" wrapText="1"/>
    </xf>
    <xf numFmtId="0" fontId="96" fillId="0" borderId="12" xfId="2" applyFont="1" applyBorder="1" applyAlignment="1" applyProtection="1">
      <alignment horizontal="center" vertical="center" wrapText="1"/>
    </xf>
    <xf numFmtId="164" fontId="102" fillId="0" borderId="7" xfId="2" applyNumberFormat="1" applyFont="1" applyBorder="1" applyAlignment="1" applyProtection="1">
      <alignment horizontal="center" vertical="center"/>
    </xf>
    <xf numFmtId="164" fontId="102" fillId="0" borderId="12" xfId="2" applyNumberFormat="1" applyFont="1" applyBorder="1" applyAlignment="1" applyProtection="1">
      <alignment horizontal="center" vertical="center"/>
    </xf>
    <xf numFmtId="0" fontId="96" fillId="0" borderId="33" xfId="2" applyFont="1" applyBorder="1" applyAlignment="1" applyProtection="1">
      <alignment horizontal="center" vertical="center" wrapText="1"/>
    </xf>
    <xf numFmtId="0" fontId="96" fillId="0" borderId="34" xfId="2" applyFont="1" applyBorder="1" applyAlignment="1" applyProtection="1">
      <alignment horizontal="center" vertical="center" wrapText="1"/>
    </xf>
    <xf numFmtId="0" fontId="96" fillId="0" borderId="11" xfId="2" applyFont="1" applyBorder="1" applyAlignment="1" applyProtection="1">
      <alignment horizontal="center" vertical="center" wrapText="1"/>
    </xf>
    <xf numFmtId="0" fontId="96" fillId="0" borderId="35" xfId="2" applyFont="1" applyBorder="1" applyAlignment="1" applyProtection="1">
      <alignment horizontal="center" vertical="center" wrapText="1"/>
    </xf>
    <xf numFmtId="0" fontId="96" fillId="0" borderId="33" xfId="2" applyFont="1" applyBorder="1" applyAlignment="1" applyProtection="1">
      <alignment horizontal="center" vertical="center"/>
    </xf>
    <xf numFmtId="0" fontId="96" fillId="0" borderId="32" xfId="2" applyFont="1" applyBorder="1" applyAlignment="1" applyProtection="1">
      <alignment horizontal="center" vertical="center"/>
    </xf>
    <xf numFmtId="0" fontId="96" fillId="0" borderId="11" xfId="2" applyFont="1" applyBorder="1" applyAlignment="1" applyProtection="1">
      <alignment horizontal="center" vertical="center"/>
    </xf>
    <xf numFmtId="0" fontId="96" fillId="0" borderId="10" xfId="2" applyFont="1" applyBorder="1" applyAlignment="1" applyProtection="1">
      <alignment horizontal="center" vertical="center"/>
    </xf>
    <xf numFmtId="164" fontId="102" fillId="0" borderId="5" xfId="2" applyNumberFormat="1" applyFont="1" applyBorder="1" applyAlignment="1" applyProtection="1">
      <alignment horizontal="center" vertical="center"/>
    </xf>
    <xf numFmtId="0" fontId="75" fillId="7" borderId="7" xfId="2" applyFont="1" applyFill="1" applyBorder="1" applyAlignment="1" applyProtection="1">
      <alignment horizontal="left" vertical="center"/>
      <protection locked="0"/>
    </xf>
    <xf numFmtId="0" fontId="75" fillId="7" borderId="5" xfId="2" applyFont="1" applyFill="1" applyBorder="1" applyAlignment="1" applyProtection="1">
      <alignment horizontal="left" vertical="center"/>
      <protection locked="0"/>
    </xf>
    <xf numFmtId="0" fontId="75" fillId="7" borderId="12" xfId="2" applyFont="1" applyFill="1" applyBorder="1" applyAlignment="1" applyProtection="1">
      <alignment horizontal="left" vertical="center"/>
      <protection locked="0"/>
    </xf>
    <xf numFmtId="0" fontId="96" fillId="0" borderId="31" xfId="2" applyFont="1" applyBorder="1" applyAlignment="1" applyProtection="1">
      <alignment horizontal="center" vertical="center"/>
    </xf>
    <xf numFmtId="0" fontId="96" fillId="0" borderId="18" xfId="2" applyFont="1" applyBorder="1" applyAlignment="1" applyProtection="1">
      <alignment horizontal="center" vertical="center"/>
    </xf>
    <xf numFmtId="0" fontId="96" fillId="0" borderId="2" xfId="0" applyFont="1" applyBorder="1" applyAlignment="1">
      <alignment horizontal="center" vertical="center" wrapText="1"/>
    </xf>
    <xf numFmtId="0" fontId="96" fillId="0" borderId="2" xfId="0" applyFont="1" applyBorder="1" applyAlignment="1" applyProtection="1">
      <alignment horizontal="center" vertical="center" wrapText="1"/>
    </xf>
    <xf numFmtId="0" fontId="96" fillId="0" borderId="31" xfId="0" applyFont="1" applyBorder="1" applyAlignment="1" applyProtection="1">
      <alignment horizontal="center" vertical="center" wrapText="1"/>
    </xf>
    <xf numFmtId="0" fontId="96" fillId="0" borderId="3" xfId="0" applyFont="1" applyBorder="1" applyAlignment="1" applyProtection="1">
      <alignment horizontal="center" vertical="center" wrapText="1"/>
    </xf>
    <xf numFmtId="0" fontId="96" fillId="0" borderId="18" xfId="0" applyFont="1" applyBorder="1" applyAlignment="1" applyProtection="1">
      <alignment horizontal="center" vertical="center" wrapText="1"/>
    </xf>
    <xf numFmtId="0" fontId="96" fillId="0" borderId="31" xfId="0" applyFont="1" applyBorder="1" applyAlignment="1" applyProtection="1">
      <alignment horizontal="center" vertical="center"/>
    </xf>
    <xf numFmtId="0" fontId="96" fillId="0" borderId="18" xfId="0" applyFont="1" applyBorder="1" applyAlignment="1" applyProtection="1">
      <alignment horizontal="center" vertical="center"/>
    </xf>
    <xf numFmtId="169" fontId="102" fillId="0" borderId="0" xfId="2" quotePrefix="1" applyNumberFormat="1" applyFont="1" applyAlignment="1" applyProtection="1">
      <alignment horizontal="left" vertical="center"/>
      <protection locked="0"/>
    </xf>
    <xf numFmtId="0" fontId="102" fillId="0" borderId="0" xfId="2" applyFont="1" applyAlignment="1" applyProtection="1">
      <alignment horizontal="left" vertical="center" wrapText="1"/>
      <protection locked="0"/>
    </xf>
    <xf numFmtId="0" fontId="102" fillId="7" borderId="0" xfId="2" applyFont="1" applyFill="1" applyAlignment="1" applyProtection="1">
      <alignment horizontal="left"/>
      <protection locked="0"/>
    </xf>
    <xf numFmtId="0" fontId="75" fillId="7" borderId="0" xfId="3" applyFont="1" applyFill="1" applyAlignment="1" applyProtection="1">
      <alignment horizontal="left"/>
      <protection locked="0"/>
    </xf>
    <xf numFmtId="0" fontId="75" fillId="7" borderId="0" xfId="0" applyFont="1" applyFill="1" applyAlignment="1" applyProtection="1">
      <alignment horizontal="left"/>
      <protection locked="0"/>
    </xf>
    <xf numFmtId="0" fontId="102" fillId="0" borderId="31" xfId="0" applyFont="1" applyBorder="1" applyAlignment="1" applyProtection="1">
      <alignment horizontal="center" vertical="center" wrapText="1"/>
    </xf>
    <xf numFmtId="0" fontId="102" fillId="0" borderId="3" xfId="0" applyFont="1" applyBorder="1" applyAlignment="1" applyProtection="1">
      <alignment horizontal="center" vertical="center" wrapText="1"/>
    </xf>
    <xf numFmtId="0" fontId="102" fillId="0" borderId="18" xfId="0" applyFont="1" applyBorder="1" applyAlignment="1" applyProtection="1">
      <alignment horizontal="center" vertical="center" wrapText="1"/>
    </xf>
    <xf numFmtId="0" fontId="96" fillId="0" borderId="3" xfId="2" applyFont="1" applyBorder="1" applyAlignment="1" applyProtection="1">
      <alignment horizontal="center" vertical="center"/>
    </xf>
    <xf numFmtId="0" fontId="102" fillId="0" borderId="0" xfId="2" applyFont="1" applyProtection="1">
      <protection locked="0"/>
    </xf>
    <xf numFmtId="0" fontId="96" fillId="0" borderId="3" xfId="0" applyFont="1" applyBorder="1" applyAlignment="1" applyProtection="1">
      <alignment horizontal="center" vertical="center"/>
    </xf>
    <xf numFmtId="0" fontId="96" fillId="0" borderId="7" xfId="0" applyFont="1" applyBorder="1" applyAlignment="1" applyProtection="1">
      <alignment horizontal="center" vertical="center"/>
    </xf>
    <xf numFmtId="0" fontId="96" fillId="0" borderId="5" xfId="0" applyFont="1" applyBorder="1" applyAlignment="1" applyProtection="1">
      <alignment horizontal="center" vertical="center"/>
    </xf>
    <xf numFmtId="0" fontId="70" fillId="0" borderId="52" xfId="0" applyFont="1" applyBorder="1" applyAlignment="1">
      <alignment horizontal="center"/>
    </xf>
    <xf numFmtId="0" fontId="70" fillId="0" borderId="53" xfId="0" applyFont="1" applyBorder="1" applyAlignment="1">
      <alignment horizontal="center"/>
    </xf>
    <xf numFmtId="0" fontId="70" fillId="0" borderId="54" xfId="0" applyFont="1" applyBorder="1" applyAlignment="1">
      <alignment horizontal="center"/>
    </xf>
    <xf numFmtId="0" fontId="65" fillId="0" borderId="7" xfId="1" applyFont="1" applyBorder="1" applyAlignment="1">
      <alignment horizontal="center" vertical="center"/>
    </xf>
    <xf numFmtId="0" fontId="65" fillId="0" borderId="12" xfId="1" applyFont="1" applyBorder="1" applyAlignment="1">
      <alignment horizontal="center" vertical="center"/>
    </xf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38" xfId="0" applyFont="1" applyBorder="1" applyAlignment="1">
      <alignment horizontal="center"/>
    </xf>
    <xf numFmtId="0" fontId="65" fillId="0" borderId="2" xfId="1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0" fontId="67" fillId="0" borderId="12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" xfId="0" applyFont="1" applyBorder="1" applyAlignment="1">
      <alignment horizontal="center" vertical="center"/>
    </xf>
    <xf numFmtId="0" fontId="67" fillId="0" borderId="18" xfId="0" applyFont="1" applyBorder="1" applyAlignment="1">
      <alignment horizontal="center" vertical="center"/>
    </xf>
    <xf numFmtId="0" fontId="68" fillId="0" borderId="2" xfId="0" applyFont="1" applyBorder="1" applyAlignment="1">
      <alignment horizontal="center" vertical="center" wrapText="1"/>
    </xf>
    <xf numFmtId="0" fontId="68" fillId="0" borderId="2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/>
    </xf>
    <xf numFmtId="0" fontId="11" fillId="0" borderId="53" xfId="0" applyFont="1" applyBorder="1" applyAlignment="1">
      <alignment horizontal="center"/>
    </xf>
    <xf numFmtId="0" fontId="11" fillId="0" borderId="54" xfId="0" applyFont="1" applyBorder="1" applyAlignment="1">
      <alignment horizontal="center"/>
    </xf>
    <xf numFmtId="0" fontId="24" fillId="0" borderId="36" xfId="0" applyFont="1" applyBorder="1" applyAlignment="1">
      <alignment horizontal="center" vertical="center"/>
    </xf>
    <xf numFmtId="0" fontId="24" fillId="0" borderId="29" xfId="0" applyFont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17" fillId="0" borderId="41" xfId="1" applyFont="1" applyBorder="1" applyAlignment="1">
      <alignment horizontal="center"/>
    </xf>
    <xf numFmtId="0" fontId="17" fillId="0" borderId="42" xfId="1" applyFont="1" applyBorder="1" applyAlignment="1">
      <alignment horizontal="center"/>
    </xf>
    <xf numFmtId="0" fontId="21" fillId="0" borderId="4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8" fillId="0" borderId="2" xfId="0" applyFont="1" applyBorder="1" applyAlignment="1">
      <alignment horizontal="center" wrapText="1"/>
    </xf>
    <xf numFmtId="0" fontId="68" fillId="0" borderId="2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9" xfId="0" applyFont="1" applyBorder="1" applyAlignment="1">
      <alignment horizontal="center"/>
    </xf>
    <xf numFmtId="0" fontId="36" fillId="0" borderId="0" xfId="2" applyFont="1" applyAlignment="1">
      <alignment horizontal="center" vertical="center"/>
    </xf>
    <xf numFmtId="1" fontId="37" fillId="0" borderId="0" xfId="2" applyNumberFormat="1" applyFont="1" applyAlignment="1" applyProtection="1">
      <alignment horizontal="center" vertical="center"/>
      <protection locked="0"/>
    </xf>
    <xf numFmtId="1" fontId="44" fillId="0" borderId="2" xfId="2" applyNumberFormat="1" applyFont="1" applyBorder="1" applyAlignment="1" applyProtection="1">
      <alignment horizontal="center" vertical="center"/>
      <protection locked="0"/>
    </xf>
    <xf numFmtId="0" fontId="44" fillId="0" borderId="2" xfId="2" applyFont="1" applyBorder="1" applyAlignment="1" applyProtection="1">
      <alignment horizontal="center" vertical="center"/>
      <protection locked="0"/>
    </xf>
    <xf numFmtId="0" fontId="4" fillId="0" borderId="2" xfId="2" applyBorder="1" applyAlignment="1" applyProtection="1">
      <alignment horizontal="center"/>
      <protection locked="0"/>
    </xf>
    <xf numFmtId="0" fontId="34" fillId="0" borderId="0" xfId="0" applyFont="1" applyAlignment="1" applyProtection="1">
      <alignment horizontal="left" vertical="center" wrapText="1"/>
      <protection locked="0"/>
    </xf>
    <xf numFmtId="1" fontId="72" fillId="3" borderId="0" xfId="2" applyNumberFormat="1" applyFont="1" applyFill="1" applyAlignment="1">
      <alignment horizontal="center" vertical="center"/>
    </xf>
    <xf numFmtId="0" fontId="72" fillId="3" borderId="0" xfId="2" applyFont="1" applyFill="1" applyAlignment="1">
      <alignment horizontal="center" vertical="center"/>
    </xf>
    <xf numFmtId="0" fontId="71" fillId="3" borderId="0" xfId="2" applyFont="1" applyFill="1" applyAlignment="1">
      <alignment horizontal="center"/>
    </xf>
    <xf numFmtId="0" fontId="39" fillId="0" borderId="7" xfId="2" applyFont="1" applyBorder="1" applyAlignment="1" applyProtection="1">
      <alignment horizontal="center" vertical="top" wrapText="1"/>
    </xf>
    <xf numFmtId="0" fontId="39" fillId="0" borderId="12" xfId="2" applyFont="1" applyBorder="1" applyAlignment="1" applyProtection="1">
      <alignment horizontal="center" vertical="top" wrapText="1"/>
    </xf>
    <xf numFmtId="2" fontId="34" fillId="0" borderId="2" xfId="2" applyNumberFormat="1" applyFont="1" applyBorder="1" applyAlignment="1" applyProtection="1">
      <alignment horizontal="center" vertical="center"/>
    </xf>
    <xf numFmtId="0" fontId="4" fillId="0" borderId="7" xfId="2" applyBorder="1" applyAlignment="1" applyProtection="1">
      <alignment horizontal="center"/>
      <protection locked="0"/>
    </xf>
    <xf numFmtId="0" fontId="4" fillId="0" borderId="12" xfId="2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4" fillId="0" borderId="12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16" fillId="0" borderId="7" xfId="2" applyFont="1" applyBorder="1" applyAlignment="1" applyProtection="1">
      <alignment horizontal="center"/>
      <protection locked="0"/>
    </xf>
    <xf numFmtId="0" fontId="16" fillId="0" borderId="12" xfId="2" applyFont="1" applyBorder="1" applyAlignment="1" applyProtection="1">
      <alignment horizontal="center"/>
      <protection locked="0"/>
    </xf>
    <xf numFmtId="169" fontId="4" fillId="0" borderId="7" xfId="2" applyNumberFormat="1" applyBorder="1" applyAlignment="1" applyProtection="1">
      <alignment horizontal="center"/>
      <protection locked="0"/>
    </xf>
    <xf numFmtId="169" fontId="4" fillId="0" borderId="12" xfId="2" applyNumberFormat="1" applyBorder="1" applyAlignment="1" applyProtection="1">
      <alignment horizontal="center"/>
      <protection locked="0"/>
    </xf>
    <xf numFmtId="0" fontId="39" fillId="0" borderId="2" xfId="2" applyFont="1" applyBorder="1" applyAlignment="1" applyProtection="1">
      <alignment horizontal="center" vertical="center" wrapText="1"/>
    </xf>
    <xf numFmtId="0" fontId="38" fillId="0" borderId="0" xfId="2" applyFont="1" applyAlignment="1" applyProtection="1">
      <alignment horizontal="center"/>
    </xf>
    <xf numFmtId="0" fontId="45" fillId="0" borderId="0" xfId="2" applyFont="1" applyAlignment="1" applyProtection="1">
      <alignment horizontal="center"/>
    </xf>
    <xf numFmtId="0" fontId="39" fillId="0" borderId="33" xfId="2" applyFont="1" applyBorder="1" applyAlignment="1" applyProtection="1">
      <alignment horizontal="center" vertical="top" wrapText="1"/>
    </xf>
    <xf numFmtId="0" fontId="39" fillId="0" borderId="34" xfId="2" applyFont="1" applyBorder="1" applyAlignment="1" applyProtection="1">
      <alignment horizontal="center" vertical="top" wrapText="1"/>
    </xf>
    <xf numFmtId="0" fontId="39" fillId="0" borderId="11" xfId="2" applyFont="1" applyBorder="1" applyAlignment="1" applyProtection="1">
      <alignment horizontal="center" vertical="top" wrapText="1"/>
    </xf>
    <xf numFmtId="0" fontId="39" fillId="0" borderId="35" xfId="2" applyFont="1" applyBorder="1" applyAlignment="1" applyProtection="1">
      <alignment horizontal="center" vertical="top" wrapText="1"/>
    </xf>
    <xf numFmtId="0" fontId="39" fillId="0" borderId="2" xfId="0" applyFont="1" applyBorder="1" applyAlignment="1" applyProtection="1">
      <alignment horizontal="center" vertical="top"/>
    </xf>
    <xf numFmtId="0" fontId="39" fillId="0" borderId="2" xfId="0" applyFont="1" applyBorder="1" applyAlignment="1" applyProtection="1">
      <alignment horizontal="center" vertical="top" wrapText="1"/>
    </xf>
    <xf numFmtId="0" fontId="39" fillId="0" borderId="31" xfId="2" applyFont="1" applyBorder="1" applyAlignment="1" applyProtection="1">
      <alignment horizontal="center" vertical="top"/>
    </xf>
    <xf numFmtId="0" fontId="39" fillId="0" borderId="18" xfId="2" applyFont="1" applyBorder="1" applyAlignment="1" applyProtection="1">
      <alignment horizontal="center" vertical="top"/>
    </xf>
    <xf numFmtId="0" fontId="39" fillId="0" borderId="33" xfId="2" applyFont="1" applyBorder="1" applyAlignment="1" applyProtection="1">
      <alignment horizontal="center" vertical="top"/>
    </xf>
    <xf numFmtId="0" fontId="39" fillId="0" borderId="32" xfId="2" applyFont="1" applyBorder="1" applyAlignment="1" applyProtection="1">
      <alignment horizontal="center" vertical="top"/>
    </xf>
    <xf numFmtId="0" fontId="39" fillId="0" borderId="11" xfId="2" applyFont="1" applyBorder="1" applyAlignment="1" applyProtection="1">
      <alignment horizontal="center" vertical="top"/>
    </xf>
    <xf numFmtId="0" fontId="39" fillId="0" borderId="10" xfId="2" applyFont="1" applyBorder="1" applyAlignment="1" applyProtection="1">
      <alignment horizontal="center" vertical="top"/>
    </xf>
    <xf numFmtId="0" fontId="39" fillId="0" borderId="31" xfId="0" applyFont="1" applyBorder="1" applyAlignment="1" applyProtection="1">
      <alignment horizontal="center" vertical="top" wrapText="1"/>
    </xf>
    <xf numFmtId="0" fontId="39" fillId="0" borderId="3" xfId="0" applyFont="1" applyBorder="1" applyAlignment="1" applyProtection="1">
      <alignment horizontal="center" vertical="top" wrapText="1"/>
    </xf>
    <xf numFmtId="0" fontId="39" fillId="0" borderId="18" xfId="0" applyFont="1" applyBorder="1" applyAlignment="1" applyProtection="1">
      <alignment horizontal="center" vertical="top" wrapText="1"/>
    </xf>
    <xf numFmtId="0" fontId="39" fillId="0" borderId="33" xfId="0" applyFont="1" applyBorder="1" applyAlignment="1" applyProtection="1">
      <alignment horizontal="center" vertical="top" wrapText="1"/>
    </xf>
    <xf numFmtId="0" fontId="39" fillId="0" borderId="34" xfId="0" applyFont="1" applyBorder="1" applyAlignment="1" applyProtection="1">
      <alignment horizontal="center" vertical="top" wrapText="1"/>
    </xf>
    <xf numFmtId="0" fontId="39" fillId="0" borderId="8" xfId="0" applyFont="1" applyBorder="1" applyAlignment="1" applyProtection="1">
      <alignment horizontal="center" vertical="top" wrapText="1"/>
    </xf>
    <xf numFmtId="0" fontId="39" fillId="0" borderId="13" xfId="0" applyFont="1" applyBorder="1" applyAlignment="1" applyProtection="1">
      <alignment horizontal="center" vertical="top" wrapText="1"/>
    </xf>
    <xf numFmtId="0" fontId="39" fillId="0" borderId="11" xfId="0" applyFont="1" applyBorder="1" applyAlignment="1" applyProtection="1">
      <alignment horizontal="center" vertical="top" wrapText="1"/>
    </xf>
    <xf numFmtId="0" fontId="39" fillId="0" borderId="35" xfId="0" applyFont="1" applyBorder="1" applyAlignment="1" applyProtection="1">
      <alignment horizontal="center" vertical="top" wrapText="1"/>
    </xf>
    <xf numFmtId="0" fontId="7" fillId="0" borderId="7" xfId="2" applyFont="1" applyBorder="1" applyAlignment="1">
      <alignment horizontal="center" vertical="center"/>
    </xf>
    <xf numFmtId="0" fontId="34" fillId="0" borderId="2" xfId="0" applyFont="1" applyBorder="1" applyAlignment="1" applyProtection="1">
      <alignment horizontal="center" vertical="center" wrapText="1"/>
    </xf>
    <xf numFmtId="165" fontId="34" fillId="0" borderId="2" xfId="0" applyNumberFormat="1" applyFont="1" applyBorder="1" applyAlignment="1" applyProtection="1">
      <alignment horizontal="center" vertical="center" wrapText="1"/>
    </xf>
    <xf numFmtId="0" fontId="16" fillId="0" borderId="31" xfId="2" applyFont="1" applyBorder="1" applyAlignment="1" applyProtection="1">
      <alignment horizontal="center" vertical="center" wrapText="1"/>
    </xf>
    <xf numFmtId="0" fontId="16" fillId="0" borderId="3" xfId="2" applyFont="1" applyBorder="1" applyAlignment="1" applyProtection="1">
      <alignment horizontal="center" vertical="center" wrapText="1"/>
    </xf>
    <xf numFmtId="0" fontId="16" fillId="0" borderId="18" xfId="2" applyFont="1" applyBorder="1" applyAlignment="1" applyProtection="1">
      <alignment horizontal="center" vertical="center" wrapText="1"/>
    </xf>
    <xf numFmtId="0" fontId="102" fillId="0" borderId="0" xfId="0" applyFont="1" applyAlignment="1" applyProtection="1">
      <alignment horizontal="left" vertical="center" wrapText="1"/>
      <protection locked="0"/>
    </xf>
    <xf numFmtId="0" fontId="96" fillId="0" borderId="33" xfId="0" applyFont="1" applyBorder="1" applyAlignment="1" applyProtection="1">
      <alignment horizontal="center" vertical="top" wrapText="1"/>
    </xf>
    <xf numFmtId="0" fontId="96" fillId="0" borderId="34" xfId="0" applyFont="1" applyBorder="1" applyAlignment="1" applyProtection="1">
      <alignment horizontal="center" vertical="top" wrapText="1"/>
    </xf>
    <xf numFmtId="0" fontId="96" fillId="0" borderId="8" xfId="0" applyFont="1" applyBorder="1" applyAlignment="1" applyProtection="1">
      <alignment horizontal="center" vertical="top" wrapText="1"/>
    </xf>
    <xf numFmtId="0" fontId="96" fillId="0" borderId="13" xfId="0" applyFont="1" applyBorder="1" applyAlignment="1" applyProtection="1">
      <alignment horizontal="center" vertical="top" wrapText="1"/>
    </xf>
    <xf numFmtId="0" fontId="96" fillId="0" borderId="11" xfId="0" applyFont="1" applyBorder="1" applyAlignment="1" applyProtection="1">
      <alignment horizontal="center" vertical="top" wrapText="1"/>
    </xf>
    <xf numFmtId="0" fontId="96" fillId="0" borderId="35" xfId="0" applyFont="1" applyBorder="1" applyAlignment="1" applyProtection="1">
      <alignment horizontal="center" vertical="top" wrapText="1"/>
    </xf>
    <xf numFmtId="0" fontId="96" fillId="0" borderId="31" xfId="0" applyFont="1" applyBorder="1" applyAlignment="1" applyProtection="1">
      <alignment horizontal="center" vertical="top" wrapText="1"/>
    </xf>
    <xf numFmtId="0" fontId="96" fillId="0" borderId="3" xfId="0" applyFont="1" applyBorder="1" applyAlignment="1" applyProtection="1">
      <alignment horizontal="center" vertical="top" wrapText="1"/>
    </xf>
    <xf numFmtId="0" fontId="96" fillId="0" borderId="18" xfId="0" applyFont="1" applyBorder="1" applyAlignment="1" applyProtection="1">
      <alignment horizontal="center" vertical="top" wrapText="1"/>
    </xf>
    <xf numFmtId="0" fontId="96" fillId="0" borderId="31" xfId="0" applyFont="1" applyBorder="1" applyAlignment="1" applyProtection="1">
      <alignment horizontal="center" vertical="top"/>
    </xf>
    <xf numFmtId="0" fontId="96" fillId="0" borderId="3" xfId="0" applyFont="1" applyBorder="1" applyAlignment="1" applyProtection="1">
      <alignment horizontal="center" vertical="top"/>
    </xf>
    <xf numFmtId="0" fontId="96" fillId="0" borderId="18" xfId="0" applyFont="1" applyBorder="1" applyAlignment="1" applyProtection="1">
      <alignment horizontal="center" vertical="top"/>
    </xf>
    <xf numFmtId="0" fontId="96" fillId="0" borderId="2" xfId="0" applyFont="1" applyBorder="1" applyAlignment="1" applyProtection="1">
      <alignment horizontal="center" vertical="top" wrapText="1"/>
    </xf>
    <xf numFmtId="1" fontId="128" fillId="0" borderId="0" xfId="2" applyNumberFormat="1" applyFont="1" applyAlignment="1">
      <alignment horizontal="center" vertical="center"/>
    </xf>
    <xf numFmtId="0" fontId="96" fillId="0" borderId="7" xfId="2" applyFont="1" applyBorder="1" applyAlignment="1" applyProtection="1">
      <alignment horizontal="center" vertical="top" wrapText="1"/>
    </xf>
    <xf numFmtId="0" fontId="96" fillId="0" borderId="12" xfId="2" applyFont="1" applyBorder="1" applyAlignment="1" applyProtection="1">
      <alignment horizontal="center" vertical="top" wrapText="1"/>
    </xf>
    <xf numFmtId="165" fontId="102" fillId="0" borderId="2" xfId="0" applyNumberFormat="1" applyFont="1" applyBorder="1" applyAlignment="1" applyProtection="1">
      <alignment horizontal="center" vertical="center" wrapText="1"/>
    </xf>
    <xf numFmtId="0" fontId="120" fillId="0" borderId="0" xfId="2" applyFont="1" applyAlignment="1" applyProtection="1">
      <alignment horizontal="center" vertical="center"/>
    </xf>
    <xf numFmtId="0" fontId="101" fillId="0" borderId="0" xfId="2" applyFont="1" applyAlignment="1" applyProtection="1">
      <alignment horizontal="center"/>
    </xf>
    <xf numFmtId="1" fontId="128" fillId="0" borderId="0" xfId="2" applyNumberFormat="1" applyFont="1" applyAlignment="1" applyProtection="1">
      <alignment horizontal="center" vertical="center"/>
      <protection locked="0"/>
    </xf>
    <xf numFmtId="0" fontId="124" fillId="0" borderId="0" xfId="2" applyFont="1" applyAlignment="1">
      <alignment horizontal="center"/>
    </xf>
    <xf numFmtId="0" fontId="21" fillId="8" borderId="2" xfId="0" applyFont="1" applyFill="1" applyBorder="1" applyAlignment="1">
      <alignment horizontal="center" vertical="center"/>
    </xf>
    <xf numFmtId="0" fontId="21" fillId="8" borderId="14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17" fillId="8" borderId="1" xfId="5" applyFont="1" applyFill="1" applyBorder="1" applyAlignment="1">
      <alignment horizontal="center" vertical="center"/>
    </xf>
    <xf numFmtId="0" fontId="17" fillId="8" borderId="2" xfId="5" applyFont="1" applyFill="1" applyBorder="1" applyAlignment="1">
      <alignment horizontal="center" vertical="center"/>
    </xf>
    <xf numFmtId="0" fontId="23" fillId="8" borderId="1" xfId="5" applyFont="1" applyFill="1" applyBorder="1" applyAlignment="1">
      <alignment horizontal="center" vertical="center"/>
    </xf>
    <xf numFmtId="0" fontId="54" fillId="4" borderId="6" xfId="0" applyFont="1" applyFill="1" applyBorder="1" applyAlignment="1">
      <alignment horizontal="center" vertical="center"/>
    </xf>
    <xf numFmtId="0" fontId="54" fillId="4" borderId="0" xfId="0" applyFont="1" applyFill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0" fillId="8" borderId="41" xfId="5" applyFont="1" applyFill="1" applyBorder="1" applyAlignment="1">
      <alignment horizontal="center" vertical="center"/>
    </xf>
    <xf numFmtId="0" fontId="10" fillId="8" borderId="42" xfId="5" applyFont="1" applyFill="1" applyBorder="1" applyAlignment="1">
      <alignment horizontal="center" vertical="center"/>
    </xf>
    <xf numFmtId="0" fontId="10" fillId="8" borderId="39" xfId="5" applyFont="1" applyFill="1" applyBorder="1" applyAlignment="1">
      <alignment horizontal="center" vertical="center"/>
    </xf>
    <xf numFmtId="1" fontId="47" fillId="8" borderId="41" xfId="0" applyNumberFormat="1" applyFont="1" applyFill="1" applyBorder="1" applyAlignment="1">
      <alignment horizontal="center" vertical="center"/>
    </xf>
    <xf numFmtId="1" fontId="47" fillId="8" borderId="39" xfId="0" applyNumberFormat="1" applyFont="1" applyFill="1" applyBorder="1" applyAlignment="1">
      <alignment horizontal="center" vertical="center"/>
    </xf>
    <xf numFmtId="0" fontId="21" fillId="8" borderId="47" xfId="0" applyFont="1" applyFill="1" applyBorder="1" applyAlignment="1">
      <alignment horizontal="center" vertical="center"/>
    </xf>
    <xf numFmtId="0" fontId="21" fillId="8" borderId="49" xfId="0" applyFont="1" applyFill="1" applyBorder="1" applyAlignment="1">
      <alignment horizontal="center" vertical="center"/>
    </xf>
    <xf numFmtId="0" fontId="21" fillId="8" borderId="60" xfId="0" applyFont="1" applyFill="1" applyBorder="1" applyAlignment="1">
      <alignment horizontal="center" vertical="center"/>
    </xf>
    <xf numFmtId="0" fontId="21" fillId="8" borderId="48" xfId="0" applyFont="1" applyFill="1" applyBorder="1" applyAlignment="1">
      <alignment horizontal="center" vertical="center"/>
    </xf>
    <xf numFmtId="0" fontId="21" fillId="8" borderId="58" xfId="0" applyFont="1" applyFill="1" applyBorder="1" applyAlignment="1">
      <alignment horizontal="center" vertical="center"/>
    </xf>
    <xf numFmtId="0" fontId="21" fillId="8" borderId="61" xfId="0" applyFont="1" applyFill="1" applyBorder="1" applyAlignment="1">
      <alignment horizontal="center" vertical="center"/>
    </xf>
    <xf numFmtId="0" fontId="17" fillId="8" borderId="47" xfId="5" applyFont="1" applyFill="1" applyBorder="1" applyAlignment="1">
      <alignment horizontal="center" vertical="center"/>
    </xf>
    <xf numFmtId="0" fontId="17" fillId="8" borderId="49" xfId="5" applyFont="1" applyFill="1" applyBorder="1" applyAlignment="1">
      <alignment horizontal="center" vertical="center"/>
    </xf>
    <xf numFmtId="0" fontId="23" fillId="8" borderId="22" xfId="5" applyFont="1" applyFill="1" applyBorder="1" applyAlignment="1">
      <alignment horizontal="center" vertical="center"/>
    </xf>
    <xf numFmtId="0" fontId="17" fillId="8" borderId="62" xfId="5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0" fillId="8" borderId="36" xfId="5" applyFont="1" applyFill="1" applyBorder="1" applyAlignment="1">
      <alignment horizontal="center" vertical="center"/>
    </xf>
    <xf numFmtId="0" fontId="10" fillId="8" borderId="29" xfId="5" applyFont="1" applyFill="1" applyBorder="1" applyAlignment="1">
      <alignment horizontal="center" vertical="center"/>
    </xf>
    <xf numFmtId="0" fontId="10" fillId="8" borderId="30" xfId="5" applyFont="1" applyFill="1" applyBorder="1" applyAlignment="1">
      <alignment horizontal="center" vertical="center"/>
    </xf>
    <xf numFmtId="0" fontId="10" fillId="8" borderId="47" xfId="5" applyFont="1" applyFill="1" applyBorder="1" applyAlignment="1">
      <alignment horizontal="center" vertical="center"/>
    </xf>
    <xf numFmtId="0" fontId="10" fillId="8" borderId="48" xfId="5" applyFont="1" applyFill="1" applyBorder="1" applyAlignment="1">
      <alignment horizontal="center" vertical="center"/>
    </xf>
    <xf numFmtId="0" fontId="10" fillId="8" borderId="64" xfId="5" applyFont="1" applyFill="1" applyBorder="1" applyAlignment="1">
      <alignment horizontal="center" vertical="center"/>
    </xf>
    <xf numFmtId="0" fontId="6" fillId="8" borderId="4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42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42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" fontId="10" fillId="11" borderId="41" xfId="0" applyNumberFormat="1" applyFont="1" applyFill="1" applyBorder="1" applyAlignment="1">
      <alignment horizontal="center" vertical="center"/>
    </xf>
    <xf numFmtId="1" fontId="10" fillId="11" borderId="39" xfId="0" applyNumberFormat="1" applyFont="1" applyFill="1" applyBorder="1" applyAlignment="1">
      <alignment horizontal="center" vertical="center"/>
    </xf>
    <xf numFmtId="0" fontId="55" fillId="8" borderId="2" xfId="0" applyFont="1" applyFill="1" applyBorder="1" applyAlignment="1">
      <alignment horizontal="center" vertical="center"/>
    </xf>
    <xf numFmtId="0" fontId="55" fillId="8" borderId="14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11" borderId="1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8" borderId="4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43" xfId="0" applyFont="1" applyFill="1" applyBorder="1" applyAlignment="1">
      <alignment horizontal="center" vertical="center"/>
    </xf>
    <xf numFmtId="0" fontId="7" fillId="8" borderId="56" xfId="0" applyFont="1" applyFill="1" applyBorder="1" applyAlignment="1">
      <alignment horizontal="center" vertical="center"/>
    </xf>
    <xf numFmtId="0" fontId="7" fillId="8" borderId="70" xfId="0" applyFont="1" applyFill="1" applyBorder="1" applyAlignment="1">
      <alignment horizontal="center" vertical="center"/>
    </xf>
    <xf numFmtId="0" fontId="7" fillId="8" borderId="3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63" xfId="0" applyFont="1" applyFill="1" applyBorder="1" applyAlignment="1">
      <alignment horizontal="center" vertical="center"/>
    </xf>
    <xf numFmtId="0" fontId="7" fillId="8" borderId="69" xfId="0" applyFont="1" applyFill="1" applyBorder="1" applyAlignment="1">
      <alignment horizontal="center" vertical="center"/>
    </xf>
    <xf numFmtId="0" fontId="7" fillId="8" borderId="4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6" fillId="3" borderId="14" xfId="5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10" fillId="3" borderId="42" xfId="5" applyFont="1" applyFill="1" applyBorder="1" applyAlignment="1">
      <alignment horizontal="left" vertical="center" wrapText="1"/>
    </xf>
    <xf numFmtId="0" fontId="10" fillId="3" borderId="39" xfId="5" applyFont="1" applyFill="1" applyBorder="1" applyAlignment="1">
      <alignment horizontal="left" vertical="center" wrapText="1"/>
    </xf>
    <xf numFmtId="0" fontId="55" fillId="3" borderId="2" xfId="0" applyFont="1" applyFill="1" applyBorder="1" applyAlignment="1">
      <alignment horizontal="center" vertical="center"/>
    </xf>
    <xf numFmtId="0" fontId="55" fillId="3" borderId="14" xfId="0" applyFont="1" applyFill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0" fillId="3" borderId="64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/>
    </xf>
    <xf numFmtId="0" fontId="6" fillId="9" borderId="27" xfId="0" applyFont="1" applyFill="1" applyBorder="1" applyAlignment="1">
      <alignment horizontal="center" vertical="center"/>
    </xf>
    <xf numFmtId="0" fontId="6" fillId="9" borderId="29" xfId="0" applyFont="1" applyFill="1" applyBorder="1" applyAlignment="1">
      <alignment horizontal="center" vertical="center"/>
    </xf>
    <xf numFmtId="0" fontId="6" fillId="9" borderId="38" xfId="0" applyFont="1" applyFill="1" applyBorder="1" applyAlignment="1">
      <alignment horizontal="center" vertical="center"/>
    </xf>
    <xf numFmtId="0" fontId="6" fillId="3" borderId="41" xfId="5" applyFont="1" applyFill="1" applyBorder="1" applyAlignment="1">
      <alignment horizontal="center" vertical="center"/>
    </xf>
    <xf numFmtId="0" fontId="6" fillId="3" borderId="42" xfId="5" applyFont="1" applyFill="1" applyBorder="1" applyAlignment="1">
      <alignment horizontal="center" vertical="center"/>
    </xf>
    <xf numFmtId="0" fontId="6" fillId="3" borderId="39" xfId="5" applyFont="1" applyFill="1" applyBorder="1" applyAlignment="1">
      <alignment horizontal="center" vertical="center"/>
    </xf>
    <xf numFmtId="0" fontId="6" fillId="8" borderId="15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6" fillId="8" borderId="63" xfId="0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88" fillId="0" borderId="75" xfId="0" quotePrefix="1" applyFont="1" applyBorder="1" applyAlignment="1">
      <alignment vertical="center"/>
    </xf>
    <xf numFmtId="2" fontId="75" fillId="0" borderId="0" xfId="0" applyNumberFormat="1" applyFont="1" applyAlignment="1">
      <alignment horizontal="left" vertical="center"/>
    </xf>
    <xf numFmtId="1" fontId="75" fillId="0" borderId="0" xfId="0" applyNumberFormat="1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" xfId="5" xr:uid="{00000000-0005-0000-0000-000002000000}"/>
    <cellStyle name="Normal 2 3" xfId="8" xr:uid="{34BAE05B-2388-4F5E-91D1-0B36BA80FF85}"/>
    <cellStyle name="Normal 3" xfId="4" xr:uid="{00000000-0005-0000-0000-000003000000}"/>
    <cellStyle name="Normal 4" xfId="6" xr:uid="{00000000-0005-0000-0000-000004000000}"/>
    <cellStyle name="Normal 5 2" xfId="7" xr:uid="{7241E18D-8D13-4365-ACED-E0F320C823BC}"/>
    <cellStyle name="Normal_Daftar kelistrikan (ecg)" xfId="2" xr:uid="{00000000-0005-0000-0000-000005000000}"/>
    <cellStyle name="Normal_Sheet1" xfId="3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88</xdr:row>
      <xdr:rowOff>0</xdr:rowOff>
    </xdr:from>
    <xdr:to>
      <xdr:col>14</xdr:col>
      <xdr:colOff>76200</xdr:colOff>
      <xdr:row>89</xdr:row>
      <xdr:rowOff>38099</xdr:rowOff>
    </xdr:to>
    <xdr:sp macro="" textlink="">
      <xdr:nvSpPr>
        <xdr:cNvPr id="47134" name="Text Box 1">
          <a:extLst>
            <a:ext uri="{FF2B5EF4-FFF2-40B4-BE49-F238E27FC236}">
              <a16:creationId xmlns:a16="http://schemas.microsoft.com/office/drawing/2014/main" id="{00000000-0008-0000-0000-00001EB80000}"/>
            </a:ext>
          </a:extLst>
        </xdr:cNvPr>
        <xdr:cNvSpPr txBox="1">
          <a:spLocks noChangeArrowheads="1"/>
        </xdr:cNvSpPr>
      </xdr:nvSpPr>
      <xdr:spPr bwMode="auto">
        <a:xfrm>
          <a:off x="6315075" y="2206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73</xdr:row>
      <xdr:rowOff>0</xdr:rowOff>
    </xdr:from>
    <xdr:to>
      <xdr:col>14</xdr:col>
      <xdr:colOff>76200</xdr:colOff>
      <xdr:row>74</xdr:row>
      <xdr:rowOff>9524</xdr:rowOff>
    </xdr:to>
    <xdr:sp macro="" textlink="">
      <xdr:nvSpPr>
        <xdr:cNvPr id="47135" name="Text Box 43">
          <a:extLst>
            <a:ext uri="{FF2B5EF4-FFF2-40B4-BE49-F238E27FC236}">
              <a16:creationId xmlns:a16="http://schemas.microsoft.com/office/drawing/2014/main" id="{00000000-0008-0000-0000-00001FB80000}"/>
            </a:ext>
          </a:extLst>
        </xdr:cNvPr>
        <xdr:cNvSpPr txBox="1">
          <a:spLocks noChangeArrowheads="1"/>
        </xdr:cNvSpPr>
      </xdr:nvSpPr>
      <xdr:spPr bwMode="auto">
        <a:xfrm>
          <a:off x="6315075" y="193929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13</xdr:col>
      <xdr:colOff>391697</xdr:colOff>
      <xdr:row>29</xdr:row>
      <xdr:rowOff>52497</xdr:rowOff>
    </xdr:from>
    <xdr:to>
      <xdr:col>13</xdr:col>
      <xdr:colOff>712616</xdr:colOff>
      <xdr:row>29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30</xdr:row>
      <xdr:rowOff>157490</xdr:rowOff>
    </xdr:from>
    <xdr:to>
      <xdr:col>11</xdr:col>
      <xdr:colOff>734011</xdr:colOff>
      <xdr:row>30</xdr:row>
      <xdr:rowOff>157490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30</xdr:row>
      <xdr:rowOff>157490</xdr:rowOff>
    </xdr:from>
    <xdr:to>
      <xdr:col>11</xdr:col>
      <xdr:colOff>734011</xdr:colOff>
      <xdr:row>30</xdr:row>
      <xdr:rowOff>157490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33</xdr:row>
      <xdr:rowOff>157490</xdr:rowOff>
    </xdr:from>
    <xdr:to>
      <xdr:col>11</xdr:col>
      <xdr:colOff>734011</xdr:colOff>
      <xdr:row>33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36</xdr:row>
      <xdr:rowOff>157490</xdr:rowOff>
    </xdr:from>
    <xdr:to>
      <xdr:col>11</xdr:col>
      <xdr:colOff>734011</xdr:colOff>
      <xdr:row>36</xdr:row>
      <xdr:rowOff>157490</xdr:rowOff>
    </xdr:to>
    <xdr:sp macro="" textlink="">
      <xdr:nvSpPr>
        <xdr:cNvPr id="57" name="Text Box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36</xdr:row>
      <xdr:rowOff>157490</xdr:rowOff>
    </xdr:from>
    <xdr:to>
      <xdr:col>11</xdr:col>
      <xdr:colOff>734011</xdr:colOff>
      <xdr:row>36</xdr:row>
      <xdr:rowOff>157490</xdr:rowOff>
    </xdr:to>
    <xdr:sp macro="" textlink="">
      <xdr:nvSpPr>
        <xdr:cNvPr id="58" name="Text Box 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37</xdr:row>
      <xdr:rowOff>157490</xdr:rowOff>
    </xdr:from>
    <xdr:to>
      <xdr:col>10</xdr:col>
      <xdr:colOff>734011</xdr:colOff>
      <xdr:row>37</xdr:row>
      <xdr:rowOff>157490</xdr:rowOff>
    </xdr:to>
    <xdr:sp macro="" textlink="">
      <xdr:nvSpPr>
        <xdr:cNvPr id="61" name="Text Box 6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37</xdr:row>
      <xdr:rowOff>157490</xdr:rowOff>
    </xdr:from>
    <xdr:to>
      <xdr:col>10</xdr:col>
      <xdr:colOff>734011</xdr:colOff>
      <xdr:row>37</xdr:row>
      <xdr:rowOff>157490</xdr:rowOff>
    </xdr:to>
    <xdr:sp macro="" textlink="">
      <xdr:nvSpPr>
        <xdr:cNvPr id="62" name="Text Box 7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69</xdr:row>
      <xdr:rowOff>157490</xdr:rowOff>
    </xdr:from>
    <xdr:to>
      <xdr:col>11</xdr:col>
      <xdr:colOff>734011</xdr:colOff>
      <xdr:row>69</xdr:row>
      <xdr:rowOff>157490</xdr:rowOff>
    </xdr:to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69</xdr:row>
      <xdr:rowOff>157490</xdr:rowOff>
    </xdr:from>
    <xdr:to>
      <xdr:col>11</xdr:col>
      <xdr:colOff>734011</xdr:colOff>
      <xdr:row>69</xdr:row>
      <xdr:rowOff>157490</xdr:rowOff>
    </xdr:to>
    <xdr:sp macro="" textlink="">
      <xdr:nvSpPr>
        <xdr:cNvPr id="70" name="Text Box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34</xdr:row>
      <xdr:rowOff>157490</xdr:rowOff>
    </xdr:from>
    <xdr:to>
      <xdr:col>11</xdr:col>
      <xdr:colOff>734011</xdr:colOff>
      <xdr:row>34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727917" y="10206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oneCellAnchor>
    <xdr:from>
      <xdr:col>14</xdr:col>
      <xdr:colOff>0</xdr:colOff>
      <xdr:row>33</xdr:row>
      <xdr:rowOff>180975</xdr:rowOff>
    </xdr:from>
    <xdr:ext cx="228600" cy="18081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296025" y="10039350"/>
          <a:ext cx="228600" cy="180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6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68</xdr:row>
      <xdr:rowOff>0</xdr:rowOff>
    </xdr:from>
    <xdr:to>
      <xdr:col>13</xdr:col>
      <xdr:colOff>76200</xdr:colOff>
      <xdr:row>69</xdr:row>
      <xdr:rowOff>9525</xdr:rowOff>
    </xdr:to>
    <xdr:sp macro="" textlink="">
      <xdr:nvSpPr>
        <xdr:cNvPr id="42883" name="Text Box 1">
          <a:extLst>
            <a:ext uri="{FF2B5EF4-FFF2-40B4-BE49-F238E27FC236}">
              <a16:creationId xmlns:a16="http://schemas.microsoft.com/office/drawing/2014/main" id="{00000000-0008-0000-0100-000083A70000}"/>
            </a:ext>
          </a:extLst>
        </xdr:cNvPr>
        <xdr:cNvSpPr txBox="1">
          <a:spLocks noChangeArrowheads="1"/>
        </xdr:cNvSpPr>
      </xdr:nvSpPr>
      <xdr:spPr bwMode="auto">
        <a:xfrm>
          <a:off x="7334250" y="18592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76200</xdr:colOff>
      <xdr:row>47</xdr:row>
      <xdr:rowOff>28575</xdr:rowOff>
    </xdr:to>
    <xdr:sp macro="" textlink="">
      <xdr:nvSpPr>
        <xdr:cNvPr id="42884" name="Text Box 43">
          <a:extLst>
            <a:ext uri="{FF2B5EF4-FFF2-40B4-BE49-F238E27FC236}">
              <a16:creationId xmlns:a16="http://schemas.microsoft.com/office/drawing/2014/main" id="{00000000-0008-0000-0100-000084A70000}"/>
            </a:ext>
          </a:extLst>
        </xdr:cNvPr>
        <xdr:cNvSpPr txBox="1">
          <a:spLocks noChangeArrowheads="1"/>
        </xdr:cNvSpPr>
      </xdr:nvSpPr>
      <xdr:spPr bwMode="auto">
        <a:xfrm>
          <a:off x="7334250" y="15516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381000</xdr:colOff>
      <xdr:row>25</xdr:row>
      <xdr:rowOff>64785</xdr:rowOff>
    </xdr:from>
    <xdr:to>
      <xdr:col>11</xdr:col>
      <xdr:colOff>120308</xdr:colOff>
      <xdr:row>26</xdr:row>
      <xdr:rowOff>117282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610100" y="5627385"/>
          <a:ext cx="75848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391697</xdr:colOff>
      <xdr:row>25</xdr:row>
      <xdr:rowOff>52497</xdr:rowOff>
    </xdr:from>
    <xdr:to>
      <xdr:col>10</xdr:col>
      <xdr:colOff>712616</xdr:colOff>
      <xdr:row>25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26</xdr:row>
      <xdr:rowOff>64785</xdr:rowOff>
    </xdr:from>
    <xdr:to>
      <xdr:col>11</xdr:col>
      <xdr:colOff>120308</xdr:colOff>
      <xdr:row>27</xdr:row>
      <xdr:rowOff>0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5762625" y="5017785"/>
          <a:ext cx="4346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90</xdr:row>
      <xdr:rowOff>0</xdr:rowOff>
    </xdr:from>
    <xdr:to>
      <xdr:col>11</xdr:col>
      <xdr:colOff>120308</xdr:colOff>
      <xdr:row>90</xdr:row>
      <xdr:rowOff>117282</xdr:rowOff>
    </xdr:to>
    <xdr:sp macro="" textlink="">
      <xdr:nvSpPr>
        <xdr:cNvPr id="31" name="Text Box 4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5762625" y="5017785"/>
          <a:ext cx="4346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90</xdr:row>
      <xdr:rowOff>64785</xdr:rowOff>
    </xdr:from>
    <xdr:to>
      <xdr:col>11</xdr:col>
      <xdr:colOff>120308</xdr:colOff>
      <xdr:row>91</xdr:row>
      <xdr:rowOff>0</xdr:rowOff>
    </xdr:to>
    <xdr:sp macro="" textlink="">
      <xdr:nvSpPr>
        <xdr:cNvPr id="32" name="Text Box 4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5762625" y="5208285"/>
          <a:ext cx="434633" cy="125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92</xdr:row>
      <xdr:rowOff>64785</xdr:rowOff>
    </xdr:from>
    <xdr:to>
      <xdr:col>11</xdr:col>
      <xdr:colOff>120308</xdr:colOff>
      <xdr:row>93</xdr:row>
      <xdr:rowOff>0</xdr:rowOff>
    </xdr:to>
    <xdr:sp macro="" textlink="">
      <xdr:nvSpPr>
        <xdr:cNvPr id="34" name="Text Box 4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7715250" y="6160785"/>
          <a:ext cx="491783" cy="125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93</xdr:row>
      <xdr:rowOff>157490</xdr:rowOff>
    </xdr:from>
    <xdr:to>
      <xdr:col>10</xdr:col>
      <xdr:colOff>734011</xdr:colOff>
      <xdr:row>93</xdr:row>
      <xdr:rowOff>157490</xdr:rowOff>
    </xdr:to>
    <xdr:sp macro="" textlink="">
      <xdr:nvSpPr>
        <xdr:cNvPr id="35" name="Text Box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5794717" y="5491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93</xdr:row>
      <xdr:rowOff>157490</xdr:rowOff>
    </xdr:from>
    <xdr:to>
      <xdr:col>10</xdr:col>
      <xdr:colOff>734011</xdr:colOff>
      <xdr:row>93</xdr:row>
      <xdr:rowOff>157490</xdr:rowOff>
    </xdr:to>
    <xdr:sp macro="" textlink="">
      <xdr:nvSpPr>
        <xdr:cNvPr id="36" name="Text Box 7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5794717" y="5491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94</xdr:row>
      <xdr:rowOff>157490</xdr:rowOff>
    </xdr:from>
    <xdr:to>
      <xdr:col>10</xdr:col>
      <xdr:colOff>734011</xdr:colOff>
      <xdr:row>94</xdr:row>
      <xdr:rowOff>157490</xdr:rowOff>
    </xdr:to>
    <xdr:sp macro="" textlink="">
      <xdr:nvSpPr>
        <xdr:cNvPr id="37" name="Text Box 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5794717" y="5681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94</xdr:row>
      <xdr:rowOff>157490</xdr:rowOff>
    </xdr:from>
    <xdr:to>
      <xdr:col>10</xdr:col>
      <xdr:colOff>734011</xdr:colOff>
      <xdr:row>94</xdr:row>
      <xdr:rowOff>157490</xdr:rowOff>
    </xdr:to>
    <xdr:sp macro="" textlink="">
      <xdr:nvSpPr>
        <xdr:cNvPr id="38" name="Text Box 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5794717" y="5681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40" name="Text Box 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17</xdr:col>
      <xdr:colOff>142875</xdr:colOff>
      <xdr:row>26</xdr:row>
      <xdr:rowOff>76200</xdr:rowOff>
    </xdr:from>
    <xdr:to>
      <xdr:col>17</xdr:col>
      <xdr:colOff>533400</xdr:colOff>
      <xdr:row>26</xdr:row>
      <xdr:rowOff>121919</xdr:rowOff>
    </xdr:to>
    <xdr:sp macro="" textlink="">
      <xdr:nvSpPr>
        <xdr:cNvPr id="20" name="Right Arrow 1">
          <a:extLst>
            <a:ext uri="{FF2B5EF4-FFF2-40B4-BE49-F238E27FC236}">
              <a16:creationId xmlns:a16="http://schemas.microsoft.com/office/drawing/2014/main" id="{C4050ABF-BE1E-44A6-9CFF-0E564264A7ED}"/>
            </a:ext>
          </a:extLst>
        </xdr:cNvPr>
        <xdr:cNvSpPr/>
      </xdr:nvSpPr>
      <xdr:spPr>
        <a:xfrm rot="10800000">
          <a:off x="10868025" y="4743450"/>
          <a:ext cx="390525" cy="4571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61</xdr:row>
      <xdr:rowOff>0</xdr:rowOff>
    </xdr:from>
    <xdr:to>
      <xdr:col>13</xdr:col>
      <xdr:colOff>76200</xdr:colOff>
      <xdr:row>62</xdr:row>
      <xdr:rowOff>38099</xdr:rowOff>
    </xdr:to>
    <xdr:sp macro="" textlink="">
      <xdr:nvSpPr>
        <xdr:cNvPr id="48178" name="Text Box 1">
          <a:extLst>
            <a:ext uri="{FF2B5EF4-FFF2-40B4-BE49-F238E27FC236}">
              <a16:creationId xmlns:a16="http://schemas.microsoft.com/office/drawing/2014/main" id="{00000000-0008-0000-0300-000032BC0000}"/>
            </a:ext>
          </a:extLst>
        </xdr:cNvPr>
        <xdr:cNvSpPr txBox="1">
          <a:spLocks noChangeArrowheads="1"/>
        </xdr:cNvSpPr>
      </xdr:nvSpPr>
      <xdr:spPr bwMode="auto">
        <a:xfrm>
          <a:off x="7134225" y="17192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67</xdr:row>
      <xdr:rowOff>0</xdr:rowOff>
    </xdr:from>
    <xdr:to>
      <xdr:col>13</xdr:col>
      <xdr:colOff>76200</xdr:colOff>
      <xdr:row>68</xdr:row>
      <xdr:rowOff>38100</xdr:rowOff>
    </xdr:to>
    <xdr:sp macro="" textlink="">
      <xdr:nvSpPr>
        <xdr:cNvPr id="48179" name="Text Box 43">
          <a:extLst>
            <a:ext uri="{FF2B5EF4-FFF2-40B4-BE49-F238E27FC236}">
              <a16:creationId xmlns:a16="http://schemas.microsoft.com/office/drawing/2014/main" id="{00000000-0008-0000-0300-000033BC0000}"/>
            </a:ext>
          </a:extLst>
        </xdr:cNvPr>
        <xdr:cNvSpPr txBox="1">
          <a:spLocks noChangeArrowheads="1"/>
        </xdr:cNvSpPr>
      </xdr:nvSpPr>
      <xdr:spPr bwMode="auto">
        <a:xfrm>
          <a:off x="7134225" y="2304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391697</xdr:colOff>
      <xdr:row>26</xdr:row>
      <xdr:rowOff>52497</xdr:rowOff>
    </xdr:from>
    <xdr:to>
      <xdr:col>10</xdr:col>
      <xdr:colOff>712616</xdr:colOff>
      <xdr:row>26</xdr:row>
      <xdr:rowOff>52497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SpPr txBox="1">
          <a:spLocks noChangeArrowheads="1"/>
        </xdr:cNvSpPr>
      </xdr:nvSpPr>
      <xdr:spPr bwMode="auto">
        <a:xfrm>
          <a:off x="4649372" y="552937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25</xdr:row>
      <xdr:rowOff>64785</xdr:rowOff>
    </xdr:from>
    <xdr:to>
      <xdr:col>11</xdr:col>
      <xdr:colOff>120308</xdr:colOff>
      <xdr:row>26</xdr:row>
      <xdr:rowOff>117282</xdr:rowOff>
    </xdr:to>
    <xdr:sp macro="" textlink="">
      <xdr:nvSpPr>
        <xdr:cNvPr id="37" name="Text Box 4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5753100" y="4922535"/>
          <a:ext cx="5775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391697</xdr:colOff>
      <xdr:row>25</xdr:row>
      <xdr:rowOff>52497</xdr:rowOff>
    </xdr:from>
    <xdr:to>
      <xdr:col>10</xdr:col>
      <xdr:colOff>712616</xdr:colOff>
      <xdr:row>25</xdr:row>
      <xdr:rowOff>52497</xdr:rowOff>
    </xdr:to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5763797" y="491024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43" name="Text Box 7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26</xdr:row>
      <xdr:rowOff>64785</xdr:rowOff>
    </xdr:from>
    <xdr:to>
      <xdr:col>11</xdr:col>
      <xdr:colOff>120308</xdr:colOff>
      <xdr:row>27</xdr:row>
      <xdr:rowOff>117282</xdr:rowOff>
    </xdr:to>
    <xdr:sp macro="" textlink="">
      <xdr:nvSpPr>
        <xdr:cNvPr id="36" name="Text Box 4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27</xdr:row>
      <xdr:rowOff>64785</xdr:rowOff>
    </xdr:from>
    <xdr:to>
      <xdr:col>11</xdr:col>
      <xdr:colOff>120308</xdr:colOff>
      <xdr:row>28</xdr:row>
      <xdr:rowOff>117282</xdr:rowOff>
    </xdr:to>
    <xdr:sp macro="" textlink="">
      <xdr:nvSpPr>
        <xdr:cNvPr id="40" name="Text Box 4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28</xdr:row>
      <xdr:rowOff>64785</xdr:rowOff>
    </xdr:from>
    <xdr:to>
      <xdr:col>11</xdr:col>
      <xdr:colOff>120308</xdr:colOff>
      <xdr:row>29</xdr:row>
      <xdr:rowOff>0</xdr:rowOff>
    </xdr:to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391697</xdr:colOff>
      <xdr:row>25</xdr:row>
      <xdr:rowOff>52497</xdr:rowOff>
    </xdr:from>
    <xdr:to>
      <xdr:col>10</xdr:col>
      <xdr:colOff>712616</xdr:colOff>
      <xdr:row>25</xdr:row>
      <xdr:rowOff>52497</xdr:rowOff>
    </xdr:to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773322" y="4433997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66" name="Text Box 6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28</xdr:row>
      <xdr:rowOff>157490</xdr:rowOff>
    </xdr:from>
    <xdr:to>
      <xdr:col>10</xdr:col>
      <xdr:colOff>734011</xdr:colOff>
      <xdr:row>28</xdr:row>
      <xdr:rowOff>157490</xdr:rowOff>
    </xdr:to>
    <xdr:sp macro="" textlink="">
      <xdr:nvSpPr>
        <xdr:cNvPr id="67" name="Text Box 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6166192" y="506286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6166192" y="506286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6166192" y="506286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6166192" y="5062865"/>
          <a:ext cx="23519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71</xdr:row>
      <xdr:rowOff>0</xdr:rowOff>
    </xdr:from>
    <xdr:to>
      <xdr:col>12</xdr:col>
      <xdr:colOff>76200</xdr:colOff>
      <xdr:row>71</xdr:row>
      <xdr:rowOff>200025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7134225" y="147256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133</xdr:row>
      <xdr:rowOff>0</xdr:rowOff>
    </xdr:from>
    <xdr:to>
      <xdr:col>12</xdr:col>
      <xdr:colOff>76200</xdr:colOff>
      <xdr:row>134</xdr:row>
      <xdr:rowOff>38100</xdr:rowOff>
    </xdr:to>
    <xdr:sp macro="" textlink="">
      <xdr:nvSpPr>
        <xdr:cNvPr id="3" name="Text Box 43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7134225" y="207645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391697</xdr:colOff>
      <xdr:row>26</xdr:row>
      <xdr:rowOff>52497</xdr:rowOff>
    </xdr:from>
    <xdr:to>
      <xdr:col>7</xdr:col>
      <xdr:colOff>712616</xdr:colOff>
      <xdr:row>26</xdr:row>
      <xdr:rowOff>52497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201947" y="443399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28</xdr:row>
      <xdr:rowOff>157490</xdr:rowOff>
    </xdr:from>
    <xdr:to>
      <xdr:col>7</xdr:col>
      <xdr:colOff>734011</xdr:colOff>
      <xdr:row>28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6204292" y="49199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28</xdr:row>
      <xdr:rowOff>157490</xdr:rowOff>
    </xdr:from>
    <xdr:to>
      <xdr:col>7</xdr:col>
      <xdr:colOff>734011</xdr:colOff>
      <xdr:row>28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204292" y="49199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381000</xdr:colOff>
      <xdr:row>25</xdr:row>
      <xdr:rowOff>64785</xdr:rowOff>
    </xdr:from>
    <xdr:to>
      <xdr:col>8</xdr:col>
      <xdr:colOff>120308</xdr:colOff>
      <xdr:row>26</xdr:row>
      <xdr:rowOff>117282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6200775" y="4255785"/>
          <a:ext cx="1203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391697</xdr:colOff>
      <xdr:row>25</xdr:row>
      <xdr:rowOff>52497</xdr:rowOff>
    </xdr:from>
    <xdr:to>
      <xdr:col>7</xdr:col>
      <xdr:colOff>712616</xdr:colOff>
      <xdr:row>25</xdr:row>
      <xdr:rowOff>52497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201947" y="424349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27</xdr:row>
      <xdr:rowOff>157490</xdr:rowOff>
    </xdr:from>
    <xdr:to>
      <xdr:col>7</xdr:col>
      <xdr:colOff>734011</xdr:colOff>
      <xdr:row>27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6204292" y="4729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27</xdr:row>
      <xdr:rowOff>157490</xdr:rowOff>
    </xdr:from>
    <xdr:to>
      <xdr:col>7</xdr:col>
      <xdr:colOff>734011</xdr:colOff>
      <xdr:row>27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6204292" y="4729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28</xdr:row>
      <xdr:rowOff>157490</xdr:rowOff>
    </xdr:from>
    <xdr:to>
      <xdr:col>7</xdr:col>
      <xdr:colOff>734011</xdr:colOff>
      <xdr:row>28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204292" y="49199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28</xdr:row>
      <xdr:rowOff>157490</xdr:rowOff>
    </xdr:from>
    <xdr:to>
      <xdr:col>7</xdr:col>
      <xdr:colOff>734011</xdr:colOff>
      <xdr:row>28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6204292" y="49199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381000</xdr:colOff>
      <xdr:row>26</xdr:row>
      <xdr:rowOff>64785</xdr:rowOff>
    </xdr:from>
    <xdr:to>
      <xdr:col>8</xdr:col>
      <xdr:colOff>120308</xdr:colOff>
      <xdr:row>27</xdr:row>
      <xdr:rowOff>117282</xdr:rowOff>
    </xdr:to>
    <xdr:sp macro="" textlink="">
      <xdr:nvSpPr>
        <xdr:cNvPr id="17" name="Text Box 4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200775" y="4446285"/>
          <a:ext cx="1203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381000</xdr:colOff>
      <xdr:row>27</xdr:row>
      <xdr:rowOff>64785</xdr:rowOff>
    </xdr:from>
    <xdr:to>
      <xdr:col>8</xdr:col>
      <xdr:colOff>120308</xdr:colOff>
      <xdr:row>28</xdr:row>
      <xdr:rowOff>117282</xdr:rowOff>
    </xdr:to>
    <xdr:sp macro="" textlink="">
      <xdr:nvSpPr>
        <xdr:cNvPr id="18" name="Text Box 4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6200775" y="4636785"/>
          <a:ext cx="1203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381000</xdr:colOff>
      <xdr:row>28</xdr:row>
      <xdr:rowOff>64785</xdr:rowOff>
    </xdr:from>
    <xdr:to>
      <xdr:col>8</xdr:col>
      <xdr:colOff>120308</xdr:colOff>
      <xdr:row>29</xdr:row>
      <xdr:rowOff>0</xdr:rowOff>
    </xdr:to>
    <xdr:sp macro="" textlink="">
      <xdr:nvSpPr>
        <xdr:cNvPr id="19" name="Text Box 4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6200775" y="4827285"/>
          <a:ext cx="120308" cy="1257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391697</xdr:colOff>
      <xdr:row>25</xdr:row>
      <xdr:rowOff>52497</xdr:rowOff>
    </xdr:from>
    <xdr:to>
      <xdr:col>7</xdr:col>
      <xdr:colOff>712616</xdr:colOff>
      <xdr:row>25</xdr:row>
      <xdr:rowOff>52497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6201947" y="424349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27</xdr:row>
      <xdr:rowOff>157490</xdr:rowOff>
    </xdr:from>
    <xdr:to>
      <xdr:col>7</xdr:col>
      <xdr:colOff>734011</xdr:colOff>
      <xdr:row>27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6204292" y="4729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27</xdr:row>
      <xdr:rowOff>157490</xdr:rowOff>
    </xdr:from>
    <xdr:to>
      <xdr:col>7</xdr:col>
      <xdr:colOff>734011</xdr:colOff>
      <xdr:row>27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6204292" y="4729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28</xdr:row>
      <xdr:rowOff>157490</xdr:rowOff>
    </xdr:from>
    <xdr:to>
      <xdr:col>7</xdr:col>
      <xdr:colOff>734011</xdr:colOff>
      <xdr:row>28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6204292" y="49199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7</xdr:col>
      <xdr:colOff>413092</xdr:colOff>
      <xdr:row>28</xdr:row>
      <xdr:rowOff>157490</xdr:rowOff>
    </xdr:from>
    <xdr:to>
      <xdr:col>7</xdr:col>
      <xdr:colOff>734011</xdr:colOff>
      <xdr:row>28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>
          <a:spLocks noChangeArrowheads="1"/>
        </xdr:cNvSpPr>
      </xdr:nvSpPr>
      <xdr:spPr bwMode="auto">
        <a:xfrm>
          <a:off x="6204292" y="49199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-1-9-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asuk%20ke%20traxel/DEFIB%203.10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TIFIKAT"/>
      <sheetName val="Riwayat Revisi"/>
      <sheetName val="LK"/>
      <sheetName val="ID"/>
      <sheetName val="UB"/>
      <sheetName val="PENYELIA"/>
      <sheetName val="LH"/>
      <sheetName val="DB ESA"/>
      <sheetName val="DB Thermohygro"/>
      <sheetName val="DB ECG"/>
      <sheetName val="SERT RESISTOR"/>
      <sheetName val="Sert Stopwatch"/>
      <sheetName val="Ktps"/>
      <sheetName val="ESA"/>
      <sheetName val="LH hanya Lampu"/>
      <sheetName val=" LH Laragon"/>
      <sheetName val="kata-kata"/>
    </sheetNames>
    <sheetDataSet>
      <sheetData sheetId="0"/>
      <sheetData sheetId="1"/>
      <sheetData sheetId="2"/>
      <sheetData sheetId="3">
        <row r="1">
          <cell r="A1" t="str">
            <v>INPUT DATA KALIBRASI HEART RATE MONITOR</v>
          </cell>
        </row>
        <row r="2">
          <cell r="I2" t="str">
            <v>1 / VIII - 22 / E - 008.27 DL</v>
          </cell>
        </row>
        <row r="11">
          <cell r="E11" t="str">
            <v>-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 Stopwatch (2)"/>
      <sheetName val="DB Thermohygro"/>
      <sheetName val="DB Listrik"/>
      <sheetName val="SERTIFIKAT"/>
      <sheetName val="Riwayat Revisi"/>
      <sheetName val="LK"/>
      <sheetName val="Input"/>
      <sheetName val="Budget"/>
      <sheetName val="kata-kata"/>
      <sheetName val="Penyelia"/>
      <sheetName val="Input Data Sertifikat Defib"/>
      <sheetName val=" LHK "/>
      <sheetName val="Input Data Sertifikat Stopwatch"/>
    </sheetNames>
    <sheetDataSet>
      <sheetData sheetId="0"/>
      <sheetData sheetId="1"/>
      <sheetData sheetId="2"/>
      <sheetData sheetId="3"/>
      <sheetData sheetId="4"/>
      <sheetData sheetId="5">
        <row r="11">
          <cell r="E11" t="str">
            <v>MK.087-19</v>
          </cell>
        </row>
      </sheetData>
      <sheetData sheetId="6">
        <row r="4">
          <cell r="F4" t="str">
            <v>Philips</v>
          </cell>
        </row>
        <row r="5">
          <cell r="F5" t="str">
            <v>xxx</v>
          </cell>
        </row>
        <row r="6">
          <cell r="F6">
            <v>123456</v>
          </cell>
        </row>
        <row r="7">
          <cell r="F7">
            <v>21</v>
          </cell>
        </row>
        <row r="8">
          <cell r="F8" t="str">
            <v>x1</v>
          </cell>
        </row>
        <row r="9">
          <cell r="F9" t="str">
            <v>x2</v>
          </cell>
        </row>
        <row r="10">
          <cell r="F10" t="str">
            <v>x3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4883-17FB-4A42-894E-37555026523D}">
  <sheetPr>
    <tabColor theme="6" tint="0.39997558519241921"/>
  </sheetPr>
  <dimension ref="A1:AF250"/>
  <sheetViews>
    <sheetView view="pageBreakPreview" topLeftCell="A378" zoomScale="90" zoomScaleNormal="100" zoomScaleSheetLayoutView="90" workbookViewId="0">
      <selection activeCell="O394" sqref="O394"/>
    </sheetView>
  </sheetViews>
  <sheetFormatPr defaultColWidth="9.1796875" defaultRowHeight="12.5"/>
  <cols>
    <col min="1" max="1" width="11.7265625" style="287" customWidth="1"/>
    <col min="2" max="2" width="9.26953125" style="287" customWidth="1"/>
    <col min="3" max="3" width="9.1796875" style="287"/>
    <col min="4" max="4" width="11" style="287" customWidth="1"/>
    <col min="5" max="5" width="10.26953125" style="287" customWidth="1"/>
    <col min="6" max="6" width="9.1796875" style="287" customWidth="1"/>
    <col min="7" max="7" width="10.26953125" style="287" customWidth="1"/>
    <col min="8" max="8" width="11.26953125" style="287" customWidth="1"/>
    <col min="9" max="9" width="9.26953125" style="287" customWidth="1"/>
    <col min="10" max="10" width="9.1796875" style="287"/>
    <col min="11" max="11" width="10.54296875" style="287" customWidth="1"/>
    <col min="12" max="13" width="10.1796875" style="287" customWidth="1"/>
    <col min="14" max="14" width="10.54296875" style="287" customWidth="1"/>
    <col min="15" max="15" width="12.26953125" style="287" customWidth="1"/>
    <col min="16" max="16" width="9.26953125" style="287" customWidth="1"/>
    <col min="17" max="16384" width="9.1796875" style="287"/>
  </cols>
  <sheetData>
    <row r="1" spans="1:32" ht="15">
      <c r="A1" s="1135" t="s">
        <v>274</v>
      </c>
      <c r="B1" s="1136"/>
      <c r="C1" s="1136"/>
      <c r="D1" s="1136"/>
      <c r="E1" s="1136"/>
      <c r="F1" s="1136"/>
      <c r="G1" s="1136"/>
      <c r="H1" s="1136"/>
      <c r="I1" s="1136"/>
      <c r="J1" s="1136"/>
      <c r="K1" s="1136"/>
      <c r="L1" s="1136"/>
      <c r="M1" s="1136"/>
      <c r="N1" s="1136"/>
      <c r="O1" s="1136"/>
      <c r="P1" s="1136"/>
      <c r="Q1" s="1136"/>
      <c r="R1" s="1136"/>
      <c r="S1" s="1136"/>
      <c r="T1" s="1137"/>
      <c r="U1" s="285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</row>
    <row r="2" spans="1:32" ht="15.75" customHeight="1">
      <c r="A2" s="1138" t="s">
        <v>275</v>
      </c>
      <c r="B2" s="1139"/>
      <c r="C2" s="1140"/>
      <c r="D2" s="1140"/>
      <c r="E2" s="1141" t="s">
        <v>92</v>
      </c>
      <c r="F2" s="1142" t="s">
        <v>276</v>
      </c>
      <c r="G2" s="288"/>
      <c r="H2" s="1140" t="s">
        <v>277</v>
      </c>
      <c r="I2" s="1140"/>
      <c r="J2" s="1140"/>
      <c r="K2" s="1140"/>
      <c r="L2" s="1141" t="s">
        <v>92</v>
      </c>
      <c r="M2" s="1142" t="str">
        <f>F2</f>
        <v>U95 STD</v>
      </c>
      <c r="N2" s="289"/>
      <c r="O2" s="1140" t="s">
        <v>380</v>
      </c>
      <c r="P2" s="1140"/>
      <c r="Q2" s="1140"/>
      <c r="R2" s="1140"/>
      <c r="S2" s="1141" t="s">
        <v>92</v>
      </c>
      <c r="T2" s="1143" t="str">
        <f>M2</f>
        <v>U95 STD</v>
      </c>
      <c r="V2" s="290"/>
      <c r="W2" s="290"/>
      <c r="X2" s="290"/>
      <c r="Y2" s="291"/>
      <c r="Z2" s="292"/>
      <c r="AA2" s="293"/>
      <c r="AB2" s="294"/>
      <c r="AC2" s="294"/>
      <c r="AD2" s="294"/>
      <c r="AE2" s="291"/>
      <c r="AF2" s="292"/>
    </row>
    <row r="3" spans="1:32" ht="12.75" customHeight="1">
      <c r="A3" s="295" t="s">
        <v>278</v>
      </c>
      <c r="B3" s="1124" t="s">
        <v>93</v>
      </c>
      <c r="C3" s="1125"/>
      <c r="D3" s="1126"/>
      <c r="E3" s="1141"/>
      <c r="F3" s="1142"/>
      <c r="G3" s="296"/>
      <c r="H3" s="297" t="str">
        <f>A3</f>
        <v>Timer</v>
      </c>
      <c r="I3" s="1124" t="s">
        <v>93</v>
      </c>
      <c r="J3" s="1125"/>
      <c r="K3" s="1126"/>
      <c r="L3" s="1141"/>
      <c r="M3" s="1142"/>
      <c r="N3" s="289"/>
      <c r="O3" s="297" t="str">
        <f>H3</f>
        <v>Timer</v>
      </c>
      <c r="P3" s="1124" t="s">
        <v>93</v>
      </c>
      <c r="Q3" s="1125"/>
      <c r="R3" s="1126"/>
      <c r="S3" s="1141"/>
      <c r="T3" s="1143"/>
      <c r="V3" s="298"/>
      <c r="W3" s="291"/>
      <c r="X3" s="291"/>
      <c r="Y3" s="291"/>
      <c r="Z3" s="292"/>
      <c r="AA3" s="293"/>
      <c r="AB3" s="298"/>
      <c r="AC3" s="291"/>
      <c r="AD3" s="291"/>
      <c r="AE3" s="291"/>
      <c r="AF3" s="292"/>
    </row>
    <row r="4" spans="1:32" ht="12.75" customHeight="1">
      <c r="A4" s="299" t="s">
        <v>95</v>
      </c>
      <c r="B4" s="300">
        <v>2023</v>
      </c>
      <c r="C4" s="300">
        <v>2022</v>
      </c>
      <c r="D4" s="301">
        <v>2021</v>
      </c>
      <c r="E4" s="1141"/>
      <c r="F4" s="1142"/>
      <c r="G4" s="302" t="s">
        <v>102</v>
      </c>
      <c r="H4" s="303" t="str">
        <f>A4</f>
        <v>s</v>
      </c>
      <c r="I4" s="300">
        <v>2023</v>
      </c>
      <c r="J4" s="300">
        <v>2022</v>
      </c>
      <c r="K4" s="301">
        <v>2021</v>
      </c>
      <c r="L4" s="1141"/>
      <c r="M4" s="1142"/>
      <c r="N4" s="302" t="s">
        <v>102</v>
      </c>
      <c r="O4" s="303" t="str">
        <f>H4</f>
        <v>s</v>
      </c>
      <c r="P4" s="300">
        <v>2023</v>
      </c>
      <c r="Q4" s="300">
        <v>2022</v>
      </c>
      <c r="R4" s="301">
        <v>2019</v>
      </c>
      <c r="S4" s="1141"/>
      <c r="T4" s="1143"/>
      <c r="V4" s="304"/>
      <c r="W4" s="298"/>
      <c r="X4" s="305"/>
      <c r="Y4" s="291"/>
      <c r="Z4" s="292"/>
      <c r="AA4" s="293"/>
      <c r="AB4" s="304"/>
      <c r="AC4" s="298"/>
      <c r="AD4" s="298"/>
      <c r="AE4" s="291"/>
      <c r="AF4" s="292"/>
    </row>
    <row r="5" spans="1:32" ht="13.5" customHeight="1">
      <c r="A5" s="306">
        <v>0</v>
      </c>
      <c r="B5" s="307">
        <v>0</v>
      </c>
      <c r="C5" s="307">
        <v>0</v>
      </c>
      <c r="D5" s="308">
        <v>9.9999999999999995E-7</v>
      </c>
      <c r="E5" s="309">
        <f>IFERROR(IF(OR(C5="-",D5="-"),1/3*F5,0.5*(MAX(C5:D5)-MIN(C5:D5))),0)</f>
        <v>4.9999999999999998E-7</v>
      </c>
      <c r="F5" s="310">
        <v>0.12</v>
      </c>
      <c r="G5" s="302">
        <v>1</v>
      </c>
      <c r="H5" s="306">
        <v>0</v>
      </c>
      <c r="I5" s="311">
        <v>0</v>
      </c>
      <c r="J5" s="311">
        <v>0</v>
      </c>
      <c r="K5" s="312">
        <v>9.9999999999999995E-7</v>
      </c>
      <c r="L5" s="309">
        <f>IFERROR(IF(OR(J5="-",K5="-"),1/3*M5,0.5*(MAX(J5:K5)-MIN(J5:K5))),0)</f>
        <v>4.9999999999999998E-7</v>
      </c>
      <c r="M5" s="310">
        <v>0.121</v>
      </c>
      <c r="N5" s="302">
        <v>1</v>
      </c>
      <c r="O5" s="313">
        <v>0</v>
      </c>
      <c r="P5" s="311">
        <v>0</v>
      </c>
      <c r="Q5" s="311">
        <v>0</v>
      </c>
      <c r="R5" s="311">
        <v>0</v>
      </c>
      <c r="S5" s="309">
        <f>IFERROR(IF(OR(Q5="-",R5="-"),1/3*T5,0.5*(MAX(Q5:R5)-MIN(Q5:R5))),0)</f>
        <v>0</v>
      </c>
      <c r="T5" s="314">
        <v>0</v>
      </c>
      <c r="V5" s="315"/>
      <c r="W5" s="315"/>
      <c r="X5" s="316"/>
      <c r="Y5" s="317"/>
      <c r="Z5" s="318"/>
      <c r="AA5" s="293"/>
      <c r="AB5" s="315"/>
      <c r="AC5" s="315"/>
      <c r="AD5" s="318"/>
      <c r="AE5" s="317"/>
      <c r="AF5" s="318"/>
    </row>
    <row r="6" spans="1:32" ht="13.5" customHeight="1">
      <c r="A6" s="306">
        <v>10</v>
      </c>
      <c r="B6" s="307">
        <v>0.04</v>
      </c>
      <c r="C6" s="307">
        <v>0.01</v>
      </c>
      <c r="D6" s="308">
        <v>-1E-3</v>
      </c>
      <c r="E6" s="309">
        <f t="shared" ref="E6:E14" si="0">IFERROR(IF(OR(C6="-",D6="-"),1/3*F6,0.5*(MAX(C6:D6)-MIN(C6:D6))),0)</f>
        <v>5.4999999999999997E-3</v>
      </c>
      <c r="F6" s="310">
        <v>0.12</v>
      </c>
      <c r="G6" s="302">
        <v>2</v>
      </c>
      <c r="H6" s="306">
        <v>10</v>
      </c>
      <c r="I6" s="311">
        <v>2E-3</v>
      </c>
      <c r="J6" s="311">
        <v>0</v>
      </c>
      <c r="K6" s="319">
        <v>1E-3</v>
      </c>
      <c r="L6" s="309">
        <f t="shared" ref="L6:L15" si="1">IFERROR(IF(OR(J6="-",K6="-"),1/3*M6,0.5*(MAX(J6:K6)-MIN(J6:K6))),0)</f>
        <v>5.0000000000000001E-4</v>
      </c>
      <c r="M6" s="310">
        <v>0.121</v>
      </c>
      <c r="N6" s="302">
        <v>2</v>
      </c>
      <c r="O6" s="306">
        <v>10</v>
      </c>
      <c r="P6" s="311">
        <v>-2E-3</v>
      </c>
      <c r="Q6" s="311">
        <v>0</v>
      </c>
      <c r="R6" s="311" t="s">
        <v>66</v>
      </c>
      <c r="S6" s="309">
        <f t="shared" ref="S6:S15" si="2">IFERROR(IF(OR(Q6="-",R6="-"),1/3*T6,0.5*(MAX(Q6:R6)-MIN(Q6:R6))),0)</f>
        <v>3.9999999999999994E-2</v>
      </c>
      <c r="T6" s="314">
        <v>0.12</v>
      </c>
      <c r="V6" s="315"/>
      <c r="W6" s="315"/>
      <c r="X6" s="316"/>
      <c r="Y6" s="317"/>
      <c r="Z6" s="318"/>
      <c r="AA6" s="293"/>
      <c r="AB6" s="315"/>
      <c r="AC6" s="315"/>
      <c r="AD6" s="318"/>
      <c r="AE6" s="317"/>
      <c r="AF6" s="318"/>
    </row>
    <row r="7" spans="1:32" ht="13.5" customHeight="1">
      <c r="A7" s="306">
        <v>20</v>
      </c>
      <c r="B7" s="307" t="s">
        <v>66</v>
      </c>
      <c r="C7" s="307" t="s">
        <v>66</v>
      </c>
      <c r="D7" s="308">
        <v>-1E-3</v>
      </c>
      <c r="E7" s="309">
        <f t="shared" si="0"/>
        <v>3.9999999999999994E-2</v>
      </c>
      <c r="F7" s="310">
        <v>0.12</v>
      </c>
      <c r="G7" s="302">
        <v>3</v>
      </c>
      <c r="H7" s="306">
        <v>20</v>
      </c>
      <c r="I7" s="311" t="s">
        <v>66</v>
      </c>
      <c r="J7" s="311" t="s">
        <v>66</v>
      </c>
      <c r="K7" s="319">
        <v>1E-3</v>
      </c>
      <c r="L7" s="309">
        <f>IFERROR(IF(OR(J7="-",K7="-"),1/3*M7,0.5*(MAX(J7:K7)-MIN(J7:K7))),0)</f>
        <v>4.0333333333333332E-2</v>
      </c>
      <c r="M7" s="310">
        <v>0.121</v>
      </c>
      <c r="N7" s="302">
        <v>3</v>
      </c>
      <c r="O7" s="306">
        <v>20</v>
      </c>
      <c r="P7" s="311" t="s">
        <v>66</v>
      </c>
      <c r="Q7" s="311" t="s">
        <v>66</v>
      </c>
      <c r="R7" s="311" t="s">
        <v>66</v>
      </c>
      <c r="S7" s="309">
        <f t="shared" si="2"/>
        <v>3.9999999999999994E-2</v>
      </c>
      <c r="T7" s="314">
        <v>0.12</v>
      </c>
      <c r="V7" s="315"/>
      <c r="W7" s="315"/>
      <c r="X7" s="316"/>
      <c r="Y7" s="317"/>
      <c r="Z7" s="318"/>
      <c r="AA7" s="293"/>
      <c r="AB7" s="315"/>
      <c r="AC7" s="315"/>
      <c r="AD7" s="318"/>
      <c r="AE7" s="317"/>
      <c r="AF7" s="318"/>
    </row>
    <row r="8" spans="1:32" ht="13.5" customHeight="1">
      <c r="A8" s="306">
        <v>30</v>
      </c>
      <c r="B8" s="307">
        <v>0.03</v>
      </c>
      <c r="C8" s="307">
        <v>0</v>
      </c>
      <c r="D8" s="308">
        <v>-1E-3</v>
      </c>
      <c r="E8" s="309">
        <f t="shared" si="0"/>
        <v>5.0000000000000001E-4</v>
      </c>
      <c r="F8" s="310">
        <v>0.12</v>
      </c>
      <c r="G8" s="302">
        <v>4</v>
      </c>
      <c r="H8" s="306">
        <v>30</v>
      </c>
      <c r="I8" s="311">
        <v>2E-3</v>
      </c>
      <c r="J8" s="311">
        <v>0</v>
      </c>
      <c r="K8" s="319">
        <v>1E-3</v>
      </c>
      <c r="L8" s="309">
        <f t="shared" si="1"/>
        <v>5.0000000000000001E-4</v>
      </c>
      <c r="M8" s="310">
        <v>0.121</v>
      </c>
      <c r="N8" s="302">
        <v>4</v>
      </c>
      <c r="O8" s="306">
        <v>30</v>
      </c>
      <c r="P8" s="311">
        <v>-3.0000000000000001E-3</v>
      </c>
      <c r="Q8" s="311">
        <v>1E-3</v>
      </c>
      <c r="R8" s="311">
        <v>-5.0000000000000001E-3</v>
      </c>
      <c r="S8" s="309">
        <f>IFERROR(IF(OR(Q8="-",R8="-"),1/3*T8,0.5*(MAX(Q8:R8)-MIN(Q8:R8))),0)</f>
        <v>3.0000000000000001E-3</v>
      </c>
      <c r="T8" s="314">
        <v>0.12</v>
      </c>
      <c r="V8" s="315"/>
      <c r="W8" s="315"/>
      <c r="X8" s="316"/>
      <c r="Y8" s="317"/>
      <c r="Z8" s="318"/>
      <c r="AA8" s="293"/>
      <c r="AB8" s="315"/>
      <c r="AC8" s="315"/>
      <c r="AD8" s="318"/>
      <c r="AE8" s="317"/>
      <c r="AF8" s="318"/>
    </row>
    <row r="9" spans="1:32" ht="13.5" customHeight="1">
      <c r="A9" s="306">
        <v>40</v>
      </c>
      <c r="B9" s="307" t="s">
        <v>66</v>
      </c>
      <c r="C9" s="307" t="s">
        <v>66</v>
      </c>
      <c r="D9" s="308">
        <v>-1E-3</v>
      </c>
      <c r="E9" s="309">
        <f t="shared" si="0"/>
        <v>3.9999999999999994E-2</v>
      </c>
      <c r="F9" s="310">
        <v>0.12</v>
      </c>
      <c r="G9" s="302">
        <v>5</v>
      </c>
      <c r="H9" s="306">
        <v>40</v>
      </c>
      <c r="I9" s="311" t="s">
        <v>66</v>
      </c>
      <c r="J9" s="311" t="s">
        <v>66</v>
      </c>
      <c r="K9" s="319">
        <v>1E-3</v>
      </c>
      <c r="L9" s="309">
        <f t="shared" si="1"/>
        <v>4.0333333333333332E-2</v>
      </c>
      <c r="M9" s="310">
        <v>0.121</v>
      </c>
      <c r="N9" s="302">
        <v>5</v>
      </c>
      <c r="O9" s="306">
        <v>40</v>
      </c>
      <c r="P9" s="311" t="s">
        <v>66</v>
      </c>
      <c r="Q9" s="311" t="s">
        <v>66</v>
      </c>
      <c r="R9" s="311" t="s">
        <v>66</v>
      </c>
      <c r="S9" s="309">
        <f t="shared" si="2"/>
        <v>3.9999999999999994E-2</v>
      </c>
      <c r="T9" s="314">
        <v>0.12</v>
      </c>
      <c r="V9" s="315"/>
      <c r="W9" s="315"/>
      <c r="X9" s="316"/>
      <c r="Y9" s="317"/>
      <c r="Z9" s="318"/>
      <c r="AA9" s="293"/>
      <c r="AB9" s="315"/>
      <c r="AC9" s="315"/>
      <c r="AD9" s="318"/>
      <c r="AE9" s="317"/>
      <c r="AF9" s="318"/>
    </row>
    <row r="10" spans="1:32" ht="13.5" customHeight="1">
      <c r="A10" s="306">
        <v>50</v>
      </c>
      <c r="B10" s="307" t="s">
        <v>66</v>
      </c>
      <c r="C10" s="307" t="s">
        <v>66</v>
      </c>
      <c r="D10" s="308">
        <v>-1E-3</v>
      </c>
      <c r="E10" s="309">
        <f t="shared" si="0"/>
        <v>3.9999999999999994E-2</v>
      </c>
      <c r="F10" s="310">
        <v>0.12</v>
      </c>
      <c r="G10" s="302">
        <v>6</v>
      </c>
      <c r="H10" s="306">
        <v>50</v>
      </c>
      <c r="I10" s="311" t="s">
        <v>66</v>
      </c>
      <c r="J10" s="311" t="s">
        <v>66</v>
      </c>
      <c r="K10" s="319">
        <v>1E-3</v>
      </c>
      <c r="L10" s="309">
        <f t="shared" si="1"/>
        <v>4.0333333333333332E-2</v>
      </c>
      <c r="M10" s="310">
        <v>0.121</v>
      </c>
      <c r="N10" s="302">
        <v>6</v>
      </c>
      <c r="O10" s="306">
        <v>50</v>
      </c>
      <c r="P10" s="311" t="s">
        <v>66</v>
      </c>
      <c r="Q10" s="311" t="s">
        <v>66</v>
      </c>
      <c r="R10" s="311" t="s">
        <v>66</v>
      </c>
      <c r="S10" s="309">
        <f t="shared" si="2"/>
        <v>3.9999999999999994E-2</v>
      </c>
      <c r="T10" s="314">
        <v>0.12</v>
      </c>
      <c r="V10" s="315"/>
      <c r="W10" s="315"/>
      <c r="X10" s="316"/>
      <c r="Y10" s="317"/>
      <c r="Z10" s="318"/>
      <c r="AA10" s="293"/>
      <c r="AB10" s="315"/>
      <c r="AC10" s="315"/>
      <c r="AD10" s="318"/>
      <c r="AE10" s="317"/>
      <c r="AF10" s="318"/>
    </row>
    <row r="11" spans="1:32" ht="12.75" customHeight="1">
      <c r="A11" s="306">
        <v>60</v>
      </c>
      <c r="B11" s="307">
        <v>0.02</v>
      </c>
      <c r="C11" s="307">
        <v>0.01</v>
      </c>
      <c r="D11" s="313">
        <v>-6.0000000000000001E-3</v>
      </c>
      <c r="E11" s="309">
        <f>IFERROR(IF(OR(C11="-",D11="-"),1/3*F11,0.5*(MAX(C11:D11)-MIN(C11:D11))),0)</f>
        <v>8.0000000000000002E-3</v>
      </c>
      <c r="F11" s="310">
        <v>0.12</v>
      </c>
      <c r="G11" s="302">
        <v>7</v>
      </c>
      <c r="H11" s="306">
        <v>60</v>
      </c>
      <c r="I11" s="311">
        <v>0</v>
      </c>
      <c r="J11" s="311">
        <v>0</v>
      </c>
      <c r="K11" s="319">
        <v>3.0000000000000001E-3</v>
      </c>
      <c r="L11" s="309">
        <f t="shared" si="1"/>
        <v>1.5E-3</v>
      </c>
      <c r="M11" s="310">
        <v>0.121</v>
      </c>
      <c r="N11" s="302">
        <v>7</v>
      </c>
      <c r="O11" s="313">
        <v>60</v>
      </c>
      <c r="P11" s="311">
        <v>-2E-3</v>
      </c>
      <c r="Q11" s="311">
        <v>1E-3</v>
      </c>
      <c r="R11" s="311">
        <v>-2E-3</v>
      </c>
      <c r="S11" s="309">
        <f t="shared" si="2"/>
        <v>1.5E-3</v>
      </c>
      <c r="T11" s="314">
        <v>0.12</v>
      </c>
      <c r="V11" s="315"/>
      <c r="W11" s="315"/>
      <c r="X11" s="318"/>
      <c r="Y11" s="317"/>
      <c r="Z11" s="318"/>
      <c r="AA11" s="293"/>
      <c r="AB11" s="315"/>
      <c r="AC11" s="315"/>
      <c r="AD11" s="318"/>
      <c r="AE11" s="317"/>
      <c r="AF11" s="318"/>
    </row>
    <row r="12" spans="1:32" ht="12.75" customHeight="1">
      <c r="A12" s="306">
        <v>300</v>
      </c>
      <c r="B12" s="307">
        <v>0.02</v>
      </c>
      <c r="C12" s="307">
        <v>0.01</v>
      </c>
      <c r="D12" s="313">
        <v>-2E-3</v>
      </c>
      <c r="E12" s="309">
        <f t="shared" si="0"/>
        <v>6.0000000000000001E-3</v>
      </c>
      <c r="F12" s="310">
        <v>0.12</v>
      </c>
      <c r="G12" s="302">
        <v>8</v>
      </c>
      <c r="H12" s="306">
        <v>300</v>
      </c>
      <c r="I12" s="311">
        <v>4.0000000000000001E-3</v>
      </c>
      <c r="J12" s="311">
        <v>1E-3</v>
      </c>
      <c r="K12" s="319">
        <v>3.0000000000000001E-3</v>
      </c>
      <c r="L12" s="309">
        <f t="shared" si="1"/>
        <v>1E-3</v>
      </c>
      <c r="M12" s="310">
        <v>0.121</v>
      </c>
      <c r="N12" s="302">
        <v>8</v>
      </c>
      <c r="O12" s="313">
        <v>300</v>
      </c>
      <c r="P12" s="311">
        <v>-1E-3</v>
      </c>
      <c r="Q12" s="311">
        <v>1E-3</v>
      </c>
      <c r="R12" s="311">
        <v>1E-3</v>
      </c>
      <c r="S12" s="309">
        <f t="shared" si="2"/>
        <v>0</v>
      </c>
      <c r="T12" s="314">
        <v>0.12</v>
      </c>
      <c r="V12" s="315"/>
      <c r="W12" s="315"/>
      <c r="X12" s="318"/>
      <c r="Y12" s="317"/>
      <c r="Z12" s="318"/>
      <c r="AA12" s="293"/>
      <c r="AB12" s="315"/>
      <c r="AC12" s="315"/>
      <c r="AD12" s="318"/>
      <c r="AE12" s="317"/>
      <c r="AF12" s="318"/>
    </row>
    <row r="13" spans="1:32" ht="12.75" customHeight="1">
      <c r="A13" s="306">
        <v>600</v>
      </c>
      <c r="B13" s="307">
        <v>0.03</v>
      </c>
      <c r="C13" s="307">
        <v>0.01</v>
      </c>
      <c r="D13" s="308">
        <v>-8.0000000000000002E-3</v>
      </c>
      <c r="E13" s="309">
        <f t="shared" si="0"/>
        <v>9.0000000000000011E-3</v>
      </c>
      <c r="F13" s="310">
        <v>0.12</v>
      </c>
      <c r="G13" s="302">
        <v>9</v>
      </c>
      <c r="H13" s="306">
        <v>600</v>
      </c>
      <c r="I13" s="311">
        <v>2E-3</v>
      </c>
      <c r="J13" s="311">
        <v>1E-3</v>
      </c>
      <c r="K13" s="312">
        <v>4.0000000000000001E-3</v>
      </c>
      <c r="L13" s="309">
        <f t="shared" si="1"/>
        <v>1.5E-3</v>
      </c>
      <c r="M13" s="310">
        <v>0.121</v>
      </c>
      <c r="N13" s="302">
        <v>9</v>
      </c>
      <c r="O13" s="313">
        <v>600</v>
      </c>
      <c r="P13" s="311">
        <v>-1E-3</v>
      </c>
      <c r="Q13" s="311">
        <v>1E-3</v>
      </c>
      <c r="R13" s="311">
        <v>0</v>
      </c>
      <c r="S13" s="309">
        <f t="shared" si="2"/>
        <v>5.0000000000000001E-4</v>
      </c>
      <c r="T13" s="314">
        <v>0.12</v>
      </c>
      <c r="V13" s="315"/>
      <c r="W13" s="315"/>
      <c r="X13" s="316"/>
      <c r="Y13" s="317"/>
      <c r="Z13" s="318"/>
      <c r="AA13" s="293"/>
      <c r="AB13" s="315"/>
      <c r="AC13" s="315"/>
      <c r="AD13" s="316"/>
      <c r="AE13" s="317"/>
      <c r="AF13" s="318"/>
    </row>
    <row r="14" spans="1:32" ht="12.75" customHeight="1">
      <c r="A14" s="306">
        <v>900</v>
      </c>
      <c r="B14" s="307">
        <v>0.02</v>
      </c>
      <c r="C14" s="307">
        <v>0.01</v>
      </c>
      <c r="D14" s="308">
        <v>-8.0000000000000002E-3</v>
      </c>
      <c r="E14" s="309">
        <f t="shared" si="0"/>
        <v>9.0000000000000011E-3</v>
      </c>
      <c r="F14" s="310">
        <v>0.12</v>
      </c>
      <c r="G14" s="302">
        <v>10</v>
      </c>
      <c r="H14" s="306">
        <v>900</v>
      </c>
      <c r="I14" s="311">
        <v>1E-3</v>
      </c>
      <c r="J14" s="311">
        <v>0</v>
      </c>
      <c r="K14" s="319">
        <v>2E-3</v>
      </c>
      <c r="L14" s="309">
        <f t="shared" si="1"/>
        <v>1E-3</v>
      </c>
      <c r="M14" s="310">
        <v>0.121</v>
      </c>
      <c r="N14" s="302">
        <v>10</v>
      </c>
      <c r="O14" s="313">
        <v>900</v>
      </c>
      <c r="P14" s="311">
        <v>0</v>
      </c>
      <c r="Q14" s="311">
        <v>2E-3</v>
      </c>
      <c r="R14" s="311">
        <v>3.0000000000000001E-3</v>
      </c>
      <c r="S14" s="309">
        <f t="shared" si="2"/>
        <v>5.0000000000000001E-4</v>
      </c>
      <c r="T14" s="314">
        <v>0.12</v>
      </c>
      <c r="V14" s="315"/>
      <c r="W14" s="315"/>
      <c r="X14" s="316"/>
      <c r="Y14" s="317"/>
      <c r="Z14" s="318"/>
      <c r="AA14" s="293"/>
      <c r="AB14" s="315"/>
      <c r="AC14" s="315"/>
      <c r="AD14" s="316"/>
      <c r="AE14" s="317"/>
      <c r="AF14" s="318"/>
    </row>
    <row r="15" spans="1:32" ht="12.75" customHeight="1">
      <c r="A15" s="306">
        <v>1200</v>
      </c>
      <c r="B15" s="307" t="s">
        <v>66</v>
      </c>
      <c r="C15" s="307" t="s">
        <v>66</v>
      </c>
      <c r="D15" s="308">
        <v>-1.2999999999999999E-2</v>
      </c>
      <c r="E15" s="309">
        <f>IFERROR(IF(OR(C15="-",D15="-"),1/3*F15,0.5*(MAX(C15:D15)-MIN(C15:D15))),0)</f>
        <v>3.9999999999999994E-2</v>
      </c>
      <c r="F15" s="310">
        <v>0.12</v>
      </c>
      <c r="G15" s="302">
        <v>11</v>
      </c>
      <c r="H15" s="306">
        <v>1200</v>
      </c>
      <c r="I15" s="311" t="s">
        <v>66</v>
      </c>
      <c r="J15" s="311" t="s">
        <v>66</v>
      </c>
      <c r="K15" s="312">
        <v>9.9999999999999995E-7</v>
      </c>
      <c r="L15" s="309">
        <f t="shared" si="1"/>
        <v>4.0333333333333332E-2</v>
      </c>
      <c r="M15" s="310">
        <v>0.121</v>
      </c>
      <c r="N15" s="302">
        <v>11</v>
      </c>
      <c r="O15" s="313">
        <v>1200</v>
      </c>
      <c r="P15" s="311" t="s">
        <v>66</v>
      </c>
      <c r="Q15" s="311" t="s">
        <v>66</v>
      </c>
      <c r="R15" s="311">
        <v>4.0000000000000001E-3</v>
      </c>
      <c r="S15" s="309">
        <f t="shared" si="2"/>
        <v>3.9999999999999994E-2</v>
      </c>
      <c r="T15" s="314">
        <v>0.12</v>
      </c>
      <c r="V15" s="315"/>
      <c r="W15" s="315"/>
      <c r="X15" s="316"/>
      <c r="Y15" s="317"/>
      <c r="Z15" s="318"/>
      <c r="AA15" s="293"/>
      <c r="AB15" s="315"/>
      <c r="AC15" s="315"/>
      <c r="AD15" s="316"/>
      <c r="AE15" s="317"/>
      <c r="AF15" s="318"/>
    </row>
    <row r="16" spans="1:32" ht="12.75" customHeight="1">
      <c r="A16" s="1127"/>
      <c r="B16" s="1128"/>
      <c r="C16" s="1128"/>
      <c r="D16" s="1128"/>
      <c r="E16" s="1128"/>
      <c r="F16" s="1129"/>
      <c r="G16" s="296"/>
      <c r="H16" s="1130"/>
      <c r="I16" s="1131"/>
      <c r="J16" s="1131"/>
      <c r="K16" s="1131"/>
      <c r="L16" s="1131"/>
      <c r="M16" s="1132"/>
      <c r="N16" s="320"/>
      <c r="O16" s="1133"/>
      <c r="P16" s="1128"/>
      <c r="Q16" s="1128"/>
      <c r="R16" s="1128"/>
      <c r="S16" s="1128"/>
      <c r="T16" s="1134"/>
      <c r="V16" s="289"/>
      <c r="W16" s="289"/>
      <c r="X16" s="289"/>
      <c r="Y16" s="289"/>
      <c r="Z16" s="289"/>
      <c r="AA16" s="293"/>
      <c r="AB16" s="320"/>
      <c r="AC16" s="320"/>
      <c r="AD16" s="320"/>
      <c r="AE16" s="320"/>
      <c r="AF16" s="320"/>
    </row>
    <row r="17" spans="1:32" ht="15.75" customHeight="1">
      <c r="A17" s="1147" t="s">
        <v>279</v>
      </c>
      <c r="B17" s="1148"/>
      <c r="C17" s="1149"/>
      <c r="D17" s="1149"/>
      <c r="E17" s="1141" t="s">
        <v>92</v>
      </c>
      <c r="F17" s="1142" t="str">
        <f>F2</f>
        <v>U95 STD</v>
      </c>
      <c r="G17" s="296"/>
      <c r="H17" s="1144" t="s">
        <v>340</v>
      </c>
      <c r="I17" s="1145"/>
      <c r="J17" s="1145"/>
      <c r="K17" s="1146"/>
      <c r="L17" s="1141" t="s">
        <v>92</v>
      </c>
      <c r="M17" s="1142" t="str">
        <f>F17</f>
        <v>U95 STD</v>
      </c>
      <c r="N17" s="320"/>
      <c r="O17" s="1144" t="s">
        <v>341</v>
      </c>
      <c r="P17" s="1145"/>
      <c r="Q17" s="1145"/>
      <c r="R17" s="1146"/>
      <c r="S17" s="1141" t="s">
        <v>92</v>
      </c>
      <c r="T17" s="1143" t="str">
        <f>M17</f>
        <v>U95 STD</v>
      </c>
      <c r="V17" s="290"/>
      <c r="W17" s="290"/>
      <c r="X17" s="290"/>
      <c r="Y17" s="291"/>
      <c r="Z17" s="292"/>
      <c r="AA17" s="293"/>
      <c r="AB17" s="290"/>
      <c r="AC17" s="290"/>
      <c r="AD17" s="290"/>
      <c r="AE17" s="291"/>
      <c r="AF17" s="292"/>
    </row>
    <row r="18" spans="1:32" ht="12.75" customHeight="1">
      <c r="A18" s="295" t="str">
        <f>A3</f>
        <v>Timer</v>
      </c>
      <c r="B18" s="1124" t="s">
        <v>93</v>
      </c>
      <c r="C18" s="1125"/>
      <c r="D18" s="1126"/>
      <c r="E18" s="1141"/>
      <c r="F18" s="1142"/>
      <c r="G18" s="296"/>
      <c r="H18" s="297" t="str">
        <f>A18</f>
        <v>Timer</v>
      </c>
      <c r="I18" s="1124" t="s">
        <v>93</v>
      </c>
      <c r="J18" s="1125"/>
      <c r="K18" s="1126"/>
      <c r="L18" s="1141"/>
      <c r="M18" s="1142"/>
      <c r="N18" s="320"/>
      <c r="O18" s="297" t="str">
        <f>H18</f>
        <v>Timer</v>
      </c>
      <c r="P18" s="1124" t="s">
        <v>93</v>
      </c>
      <c r="Q18" s="1125"/>
      <c r="R18" s="1126"/>
      <c r="S18" s="1141"/>
      <c r="T18" s="1143"/>
      <c r="V18" s="298"/>
      <c r="W18" s="291"/>
      <c r="X18" s="291"/>
      <c r="Y18" s="291"/>
      <c r="Z18" s="292"/>
      <c r="AA18" s="293"/>
      <c r="AB18" s="298"/>
      <c r="AC18" s="291"/>
      <c r="AD18" s="291"/>
      <c r="AE18" s="291"/>
      <c r="AF18" s="292"/>
    </row>
    <row r="19" spans="1:32" ht="15" customHeight="1">
      <c r="A19" s="299" t="str">
        <f>A4</f>
        <v>s</v>
      </c>
      <c r="B19" s="300">
        <v>2022</v>
      </c>
      <c r="C19" s="301">
        <v>2021</v>
      </c>
      <c r="D19" s="301">
        <v>2019</v>
      </c>
      <c r="E19" s="1141"/>
      <c r="F19" s="1142"/>
      <c r="G19" s="302" t="s">
        <v>102</v>
      </c>
      <c r="H19" s="303" t="str">
        <f>A19</f>
        <v>s</v>
      </c>
      <c r="I19" s="300">
        <v>2023</v>
      </c>
      <c r="J19" s="300">
        <v>2022</v>
      </c>
      <c r="K19" s="301">
        <v>2021</v>
      </c>
      <c r="L19" s="1141"/>
      <c r="M19" s="1142"/>
      <c r="N19" s="302" t="s">
        <v>102</v>
      </c>
      <c r="O19" s="303" t="str">
        <f>H19</f>
        <v>s</v>
      </c>
      <c r="P19" s="300">
        <v>2023</v>
      </c>
      <c r="Q19" s="300">
        <v>2022</v>
      </c>
      <c r="R19" s="301">
        <v>2021</v>
      </c>
      <c r="S19" s="1141"/>
      <c r="T19" s="1143"/>
      <c r="V19" s="304"/>
      <c r="W19" s="298"/>
      <c r="X19" s="298"/>
      <c r="Y19" s="291"/>
      <c r="Z19" s="292"/>
      <c r="AA19" s="293"/>
      <c r="AB19" s="304"/>
      <c r="AC19" s="298"/>
      <c r="AD19" s="298"/>
      <c r="AE19" s="291"/>
      <c r="AF19" s="292"/>
    </row>
    <row r="20" spans="1:32" ht="12.75" customHeight="1">
      <c r="A20" s="306">
        <v>0</v>
      </c>
      <c r="B20" s="307" t="s">
        <v>66</v>
      </c>
      <c r="C20" s="308">
        <v>9.9999999999999995E-7</v>
      </c>
      <c r="D20" s="308">
        <v>9.9999999999999995E-7</v>
      </c>
      <c r="E20" s="309">
        <f>IFERROR(IF(OR(C20="-",D20="-"),1/3*F20,0.5*(MAX(C20:D20)-MIN(C20:D20))),0)</f>
        <v>0</v>
      </c>
      <c r="F20" s="310">
        <v>0.12</v>
      </c>
      <c r="G20" s="302">
        <v>1</v>
      </c>
      <c r="H20" s="306">
        <v>0</v>
      </c>
      <c r="I20" s="307">
        <v>0</v>
      </c>
      <c r="J20" s="307">
        <v>0</v>
      </c>
      <c r="K20" s="308">
        <v>9.9999999999999995E-7</v>
      </c>
      <c r="L20" s="309">
        <f>IFERROR(IF(OR(J20="-",K20="-"),1/3*M20,0.5*(MAX(J20:K20)-MIN(J20:K20))),0)</f>
        <v>4.9999999999999998E-7</v>
      </c>
      <c r="M20" s="310">
        <v>0</v>
      </c>
      <c r="N20" s="302">
        <v>1</v>
      </c>
      <c r="O20" s="306">
        <v>0</v>
      </c>
      <c r="P20" s="307">
        <v>0</v>
      </c>
      <c r="Q20" s="307">
        <v>0</v>
      </c>
      <c r="R20" s="308">
        <v>9.9999999999999995E-7</v>
      </c>
      <c r="S20" s="310">
        <f>IFERROR(IF(OR(Q20="-",R20="-"),1/3*T20,0.5*(MAX(Q20:R20)-MIN(Q20:R20))),0)</f>
        <v>4.9999999999999998E-7</v>
      </c>
      <c r="T20" s="314">
        <v>0</v>
      </c>
      <c r="V20" s="315"/>
      <c r="W20" s="315"/>
      <c r="X20" s="318"/>
      <c r="Y20" s="317"/>
      <c r="Z20" s="318"/>
      <c r="AA20" s="293"/>
      <c r="AB20" s="315"/>
      <c r="AC20" s="315"/>
      <c r="AD20" s="318"/>
      <c r="AE20" s="317"/>
      <c r="AF20" s="318"/>
    </row>
    <row r="21" spans="1:32" ht="12.75" customHeight="1">
      <c r="A21" s="306">
        <v>60</v>
      </c>
      <c r="B21" s="307" t="s">
        <v>66</v>
      </c>
      <c r="C21" s="313">
        <v>-0.01</v>
      </c>
      <c r="D21" s="313">
        <v>2E-3</v>
      </c>
      <c r="E21" s="309">
        <f t="shared" ref="E21:E29" si="3">IFERROR(IF(OR(C21="-",D21="-"),1/3*F21,0.5*(MAX(C21:D21)-MIN(C21:D21))),0)</f>
        <v>6.0000000000000001E-3</v>
      </c>
      <c r="F21" s="310">
        <v>0.12</v>
      </c>
      <c r="G21" s="302">
        <v>2</v>
      </c>
      <c r="H21" s="313">
        <v>10</v>
      </c>
      <c r="I21" s="307">
        <v>0</v>
      </c>
      <c r="J21" s="307">
        <v>0.01</v>
      </c>
      <c r="K21" s="313">
        <v>-0.02</v>
      </c>
      <c r="L21" s="309">
        <f t="shared" ref="L21:L29" si="4">IFERROR(IF(OR(J21="-",K21="-"),1/3*M21,0.5*(MAX(J21:K21)-MIN(J21:K21))),0)</f>
        <v>1.4999999999999999E-2</v>
      </c>
      <c r="M21" s="310">
        <v>0.12</v>
      </c>
      <c r="N21" s="302">
        <v>2</v>
      </c>
      <c r="O21" s="313">
        <v>10</v>
      </c>
      <c r="P21" s="307">
        <v>-0.01</v>
      </c>
      <c r="Q21" s="307">
        <v>0</v>
      </c>
      <c r="R21" s="313" t="s">
        <v>66</v>
      </c>
      <c r="S21" s="310">
        <f t="shared" ref="S21:S30" si="5">IFERROR(IF(OR(Q21="-",R21="-"),1/3*T21,0.5*(MAX(Q21:R21)-MIN(Q21:R21))),0)</f>
        <v>3.9999999999999994E-2</v>
      </c>
      <c r="T21" s="310">
        <v>0.12</v>
      </c>
      <c r="V21" s="315"/>
      <c r="W21" s="315"/>
      <c r="X21" s="318"/>
      <c r="Y21" s="317"/>
      <c r="Z21" s="318"/>
      <c r="AA21" s="293"/>
      <c r="AB21" s="315"/>
      <c r="AC21" s="315"/>
      <c r="AD21" s="318"/>
      <c r="AE21" s="317"/>
      <c r="AF21" s="318"/>
    </row>
    <row r="22" spans="1:32" ht="12.75" customHeight="1">
      <c r="A22" s="306">
        <v>60</v>
      </c>
      <c r="B22" s="307" t="s">
        <v>66</v>
      </c>
      <c r="C22" s="313">
        <v>-0.01</v>
      </c>
      <c r="D22" s="313">
        <v>2E-3</v>
      </c>
      <c r="E22" s="309">
        <f t="shared" si="3"/>
        <v>6.0000000000000001E-3</v>
      </c>
      <c r="F22" s="310">
        <v>0.12</v>
      </c>
      <c r="G22" s="302">
        <v>3</v>
      </c>
      <c r="H22" s="313">
        <v>20</v>
      </c>
      <c r="I22" s="307" t="s">
        <v>66</v>
      </c>
      <c r="J22" s="307" t="s">
        <v>66</v>
      </c>
      <c r="K22" s="313">
        <v>-0.02</v>
      </c>
      <c r="L22" s="309">
        <f t="shared" si="4"/>
        <v>3.9999999999999994E-2</v>
      </c>
      <c r="M22" s="310">
        <v>0.12</v>
      </c>
      <c r="N22" s="302">
        <v>3</v>
      </c>
      <c r="O22" s="313">
        <v>30</v>
      </c>
      <c r="P22" s="307">
        <v>0</v>
      </c>
      <c r="Q22" s="307">
        <v>0</v>
      </c>
      <c r="R22" s="313" t="s">
        <v>66</v>
      </c>
      <c r="S22" s="310">
        <f t="shared" si="5"/>
        <v>3.9999999999999994E-2</v>
      </c>
      <c r="T22" s="310">
        <v>0.12</v>
      </c>
      <c r="V22" s="315"/>
      <c r="W22" s="315"/>
      <c r="X22" s="318"/>
      <c r="Y22" s="317"/>
      <c r="Z22" s="318"/>
      <c r="AA22" s="293"/>
      <c r="AB22" s="315"/>
      <c r="AC22" s="315"/>
      <c r="AD22" s="318"/>
      <c r="AE22" s="317"/>
      <c r="AF22" s="318"/>
    </row>
    <row r="23" spans="1:32" ht="12.75" customHeight="1">
      <c r="A23" s="306">
        <v>60</v>
      </c>
      <c r="B23" s="307" t="s">
        <v>66</v>
      </c>
      <c r="C23" s="313">
        <v>-0.01</v>
      </c>
      <c r="D23" s="313">
        <v>2E-3</v>
      </c>
      <c r="E23" s="309">
        <f t="shared" si="3"/>
        <v>6.0000000000000001E-3</v>
      </c>
      <c r="F23" s="310">
        <v>0.12</v>
      </c>
      <c r="G23" s="302">
        <v>4</v>
      </c>
      <c r="H23" s="313">
        <v>30</v>
      </c>
      <c r="I23" s="307">
        <v>-0.01</v>
      </c>
      <c r="J23" s="307">
        <v>0.01</v>
      </c>
      <c r="K23" s="313">
        <v>-0.02</v>
      </c>
      <c r="L23" s="309">
        <f t="shared" si="4"/>
        <v>1.4999999999999999E-2</v>
      </c>
      <c r="M23" s="310">
        <v>0.12</v>
      </c>
      <c r="N23" s="302">
        <v>4</v>
      </c>
      <c r="O23" s="313">
        <v>60</v>
      </c>
      <c r="P23" s="307">
        <v>-0.01</v>
      </c>
      <c r="Q23" s="307">
        <v>0</v>
      </c>
      <c r="R23" s="313">
        <v>0.01</v>
      </c>
      <c r="S23" s="310">
        <f t="shared" si="5"/>
        <v>5.0000000000000001E-3</v>
      </c>
      <c r="T23" s="310">
        <v>0.12</v>
      </c>
      <c r="V23" s="315"/>
      <c r="W23" s="315"/>
      <c r="X23" s="316"/>
      <c r="Y23" s="317"/>
      <c r="Z23" s="318"/>
      <c r="AA23" s="293"/>
      <c r="AB23" s="315"/>
      <c r="AC23" s="315"/>
      <c r="AD23" s="316"/>
      <c r="AE23" s="317"/>
      <c r="AF23" s="318"/>
    </row>
    <row r="24" spans="1:32" ht="12.75" customHeight="1">
      <c r="A24" s="306">
        <v>60</v>
      </c>
      <c r="B24" s="307" t="s">
        <v>66</v>
      </c>
      <c r="C24" s="313">
        <v>-0.01</v>
      </c>
      <c r="D24" s="313">
        <v>2E-3</v>
      </c>
      <c r="E24" s="309">
        <f t="shared" si="3"/>
        <v>6.0000000000000001E-3</v>
      </c>
      <c r="F24" s="310">
        <v>0.12</v>
      </c>
      <c r="G24" s="302">
        <v>5</v>
      </c>
      <c r="H24" s="313">
        <v>40</v>
      </c>
      <c r="I24" s="307" t="s">
        <v>66</v>
      </c>
      <c r="J24" s="307" t="s">
        <v>66</v>
      </c>
      <c r="K24" s="313">
        <v>-0.02</v>
      </c>
      <c r="L24" s="309">
        <f t="shared" si="4"/>
        <v>3.9999999999999994E-2</v>
      </c>
      <c r="M24" s="310">
        <v>0.12</v>
      </c>
      <c r="N24" s="302">
        <v>5</v>
      </c>
      <c r="O24" s="313">
        <v>60</v>
      </c>
      <c r="P24" s="307">
        <v>-0.01</v>
      </c>
      <c r="Q24" s="307">
        <v>0</v>
      </c>
      <c r="R24" s="313">
        <v>0.01</v>
      </c>
      <c r="S24" s="310">
        <f t="shared" si="5"/>
        <v>5.0000000000000001E-3</v>
      </c>
      <c r="T24" s="310">
        <v>0.12</v>
      </c>
      <c r="V24" s="315"/>
      <c r="W24" s="315"/>
      <c r="X24" s="316"/>
      <c r="Y24" s="317"/>
      <c r="Z24" s="318"/>
      <c r="AA24" s="293"/>
      <c r="AB24" s="315"/>
      <c r="AC24" s="315"/>
      <c r="AD24" s="316"/>
      <c r="AE24" s="317"/>
      <c r="AF24" s="318"/>
    </row>
    <row r="25" spans="1:32" ht="12.75" customHeight="1">
      <c r="A25" s="306">
        <v>60</v>
      </c>
      <c r="B25" s="307" t="s">
        <v>66</v>
      </c>
      <c r="C25" s="313">
        <v>-0.01</v>
      </c>
      <c r="D25" s="313">
        <v>2E-3</v>
      </c>
      <c r="E25" s="309">
        <f t="shared" si="3"/>
        <v>6.0000000000000001E-3</v>
      </c>
      <c r="F25" s="310">
        <v>0.12</v>
      </c>
      <c r="G25" s="302">
        <v>6</v>
      </c>
      <c r="H25" s="313">
        <v>50</v>
      </c>
      <c r="I25" s="307" t="s">
        <v>66</v>
      </c>
      <c r="J25" s="307" t="s">
        <v>66</v>
      </c>
      <c r="K25" s="313">
        <v>-0.02</v>
      </c>
      <c r="L25" s="309">
        <f t="shared" si="4"/>
        <v>3.9999999999999994E-2</v>
      </c>
      <c r="M25" s="310">
        <v>0.12</v>
      </c>
      <c r="N25" s="302">
        <v>6</v>
      </c>
      <c r="O25" s="313">
        <v>60</v>
      </c>
      <c r="P25" s="307">
        <v>-0.01</v>
      </c>
      <c r="Q25" s="307">
        <v>0</v>
      </c>
      <c r="R25" s="313">
        <v>0.01</v>
      </c>
      <c r="S25" s="310">
        <f t="shared" si="5"/>
        <v>5.0000000000000001E-3</v>
      </c>
      <c r="T25" s="310">
        <v>0.12</v>
      </c>
      <c r="V25" s="315"/>
      <c r="W25" s="315"/>
      <c r="X25" s="316"/>
      <c r="Y25" s="317"/>
      <c r="Z25" s="318"/>
      <c r="AA25" s="293"/>
      <c r="AB25" s="315"/>
      <c r="AC25" s="315"/>
      <c r="AD25" s="316"/>
      <c r="AE25" s="317"/>
      <c r="AF25" s="318"/>
    </row>
    <row r="26" spans="1:32" ht="12.75" customHeight="1">
      <c r="A26" s="306">
        <v>60</v>
      </c>
      <c r="B26" s="307" t="s">
        <v>66</v>
      </c>
      <c r="C26" s="313">
        <v>-0.01</v>
      </c>
      <c r="D26" s="313">
        <v>2E-3</v>
      </c>
      <c r="E26" s="309">
        <f t="shared" si="3"/>
        <v>6.0000000000000001E-3</v>
      </c>
      <c r="F26" s="310">
        <v>0.12</v>
      </c>
      <c r="G26" s="302">
        <v>7</v>
      </c>
      <c r="H26" s="313">
        <v>60</v>
      </c>
      <c r="I26" s="307">
        <v>-0.01</v>
      </c>
      <c r="J26" s="307">
        <v>0.01</v>
      </c>
      <c r="K26" s="313">
        <v>-0.03</v>
      </c>
      <c r="L26" s="309">
        <f t="shared" si="4"/>
        <v>0.02</v>
      </c>
      <c r="M26" s="310">
        <v>0.12</v>
      </c>
      <c r="N26" s="302">
        <v>7</v>
      </c>
      <c r="O26" s="313">
        <v>60</v>
      </c>
      <c r="P26" s="307">
        <v>-0.01</v>
      </c>
      <c r="Q26" s="307">
        <v>0</v>
      </c>
      <c r="R26" s="313">
        <v>0.01</v>
      </c>
      <c r="S26" s="310">
        <f t="shared" si="5"/>
        <v>5.0000000000000001E-3</v>
      </c>
      <c r="T26" s="310">
        <v>0.12</v>
      </c>
      <c r="V26" s="315"/>
      <c r="W26" s="315"/>
      <c r="X26" s="316"/>
      <c r="Y26" s="317"/>
      <c r="Z26" s="318"/>
      <c r="AA26" s="293"/>
      <c r="AB26" s="315"/>
      <c r="AC26" s="315"/>
      <c r="AD26" s="316"/>
      <c r="AE26" s="317"/>
      <c r="AF26" s="318"/>
    </row>
    <row r="27" spans="1:32" ht="12.75" customHeight="1">
      <c r="A27" s="306">
        <v>300</v>
      </c>
      <c r="B27" s="307" t="s">
        <v>66</v>
      </c>
      <c r="C27" s="313">
        <v>-0.01</v>
      </c>
      <c r="D27" s="313">
        <v>1E-3</v>
      </c>
      <c r="E27" s="309">
        <f t="shared" si="3"/>
        <v>5.4999999999999997E-3</v>
      </c>
      <c r="F27" s="310">
        <v>0.12</v>
      </c>
      <c r="G27" s="302">
        <v>8</v>
      </c>
      <c r="H27" s="313">
        <v>300</v>
      </c>
      <c r="I27" s="307">
        <v>0</v>
      </c>
      <c r="J27" s="307">
        <v>0.01</v>
      </c>
      <c r="K27" s="313">
        <v>-0.02</v>
      </c>
      <c r="L27" s="309">
        <f>IFERROR(IF(OR(J27="-",K27="-"),1/3*M27,0.5*(MAX(J27:K27)-MIN(J27:K27))),0)</f>
        <v>1.4999999999999999E-2</v>
      </c>
      <c r="M27" s="310">
        <v>0.12</v>
      </c>
      <c r="N27" s="302">
        <v>8</v>
      </c>
      <c r="O27" s="313">
        <v>300</v>
      </c>
      <c r="P27" s="307">
        <v>-0.01</v>
      </c>
      <c r="Q27" s="307">
        <v>0</v>
      </c>
      <c r="R27" s="313">
        <v>0.01</v>
      </c>
      <c r="S27" s="310">
        <f t="shared" si="5"/>
        <v>5.0000000000000001E-3</v>
      </c>
      <c r="T27" s="310">
        <v>0.12</v>
      </c>
      <c r="V27" s="315"/>
      <c r="W27" s="315"/>
      <c r="X27" s="316"/>
      <c r="Y27" s="315"/>
      <c r="Z27" s="315"/>
      <c r="AA27" s="293"/>
      <c r="AB27" s="315"/>
      <c r="AC27" s="315"/>
      <c r="AD27" s="316"/>
      <c r="AE27" s="315"/>
      <c r="AF27" s="315"/>
    </row>
    <row r="28" spans="1:32" ht="12.75" customHeight="1">
      <c r="A28" s="306">
        <v>600</v>
      </c>
      <c r="B28" s="307" t="s">
        <v>66</v>
      </c>
      <c r="C28" s="313">
        <v>0.03</v>
      </c>
      <c r="D28" s="313">
        <v>6.0000000000000001E-3</v>
      </c>
      <c r="E28" s="309">
        <f t="shared" si="3"/>
        <v>1.2E-2</v>
      </c>
      <c r="F28" s="310">
        <v>0.12</v>
      </c>
      <c r="G28" s="302">
        <v>9</v>
      </c>
      <c r="H28" s="313">
        <v>600</v>
      </c>
      <c r="I28" s="307">
        <v>-0.01</v>
      </c>
      <c r="J28" s="307">
        <v>0.01</v>
      </c>
      <c r="K28" s="313">
        <v>-0.03</v>
      </c>
      <c r="L28" s="309">
        <f t="shared" si="4"/>
        <v>0.02</v>
      </c>
      <c r="M28" s="310">
        <v>0.12</v>
      </c>
      <c r="N28" s="302">
        <v>9</v>
      </c>
      <c r="O28" s="313">
        <v>600</v>
      </c>
      <c r="P28" s="307">
        <v>0</v>
      </c>
      <c r="Q28" s="307">
        <v>0</v>
      </c>
      <c r="R28" s="313">
        <v>0.01</v>
      </c>
      <c r="S28" s="310">
        <f t="shared" si="5"/>
        <v>5.0000000000000001E-3</v>
      </c>
      <c r="T28" s="310">
        <v>0.12</v>
      </c>
      <c r="V28" s="315"/>
      <c r="W28" s="315"/>
      <c r="X28" s="316"/>
      <c r="Y28" s="315"/>
      <c r="Z28" s="315"/>
      <c r="AA28" s="321"/>
      <c r="AB28" s="315"/>
      <c r="AC28" s="315"/>
      <c r="AD28" s="316"/>
      <c r="AE28" s="315"/>
      <c r="AF28" s="315"/>
    </row>
    <row r="29" spans="1:32" ht="12.75" customHeight="1">
      <c r="A29" s="306">
        <v>900</v>
      </c>
      <c r="B29" s="307" t="s">
        <v>66</v>
      </c>
      <c r="C29" s="313">
        <v>0.03</v>
      </c>
      <c r="D29" s="313">
        <v>6.0000000000000001E-3</v>
      </c>
      <c r="E29" s="309">
        <f t="shared" si="3"/>
        <v>1.2E-2</v>
      </c>
      <c r="F29" s="310">
        <v>0.12</v>
      </c>
      <c r="G29" s="302">
        <v>10</v>
      </c>
      <c r="H29" s="313">
        <v>900</v>
      </c>
      <c r="I29" s="307">
        <v>0</v>
      </c>
      <c r="J29" s="307">
        <v>-0.02</v>
      </c>
      <c r="K29" s="313" t="s">
        <v>66</v>
      </c>
      <c r="L29" s="309">
        <f t="shared" si="4"/>
        <v>3.9999999999999994E-2</v>
      </c>
      <c r="M29" s="310">
        <v>0.12</v>
      </c>
      <c r="N29" s="302">
        <v>10</v>
      </c>
      <c r="O29" s="313">
        <v>900</v>
      </c>
      <c r="P29" s="307">
        <v>0</v>
      </c>
      <c r="Q29" s="307">
        <v>0</v>
      </c>
      <c r="R29" s="308">
        <v>0.02</v>
      </c>
      <c r="S29" s="310">
        <f t="shared" si="5"/>
        <v>0.01</v>
      </c>
      <c r="T29" s="310">
        <v>0.12</v>
      </c>
      <c r="V29" s="315"/>
      <c r="W29" s="315"/>
      <c r="X29" s="316"/>
      <c r="Y29" s="315"/>
      <c r="Z29" s="315"/>
      <c r="AA29" s="321"/>
      <c r="AB29" s="315"/>
      <c r="AC29" s="315"/>
      <c r="AD29" s="316"/>
      <c r="AE29" s="315"/>
      <c r="AF29" s="315"/>
    </row>
    <row r="30" spans="1:32" ht="12.75" customHeight="1">
      <c r="A30" s="306">
        <v>1200</v>
      </c>
      <c r="B30" s="307" t="s">
        <v>66</v>
      </c>
      <c r="C30" s="313">
        <v>0.05</v>
      </c>
      <c r="D30" s="313" t="s">
        <v>66</v>
      </c>
      <c r="E30" s="309">
        <f>IFERROR(IF(OR(C30="-",D30="-"),1/3*F30,0.5*(MAX(C30:D30)-MIN(C30:D30))),0)</f>
        <v>3.9999999999999994E-2</v>
      </c>
      <c r="F30" s="310">
        <v>0.12</v>
      </c>
      <c r="G30" s="302">
        <v>11</v>
      </c>
      <c r="H30" s="313">
        <v>1200</v>
      </c>
      <c r="I30" s="307" t="s">
        <v>66</v>
      </c>
      <c r="J30" s="307" t="s">
        <v>66</v>
      </c>
      <c r="K30" s="313" t="s">
        <v>66</v>
      </c>
      <c r="L30" s="309">
        <f>IFERROR(IF(OR(J30="-",K30="-"),1/3*M30,0.5*(MAX(J30:K30)-MIN(J30:K30))),0)</f>
        <v>3.9999999999999994E-2</v>
      </c>
      <c r="M30" s="310">
        <v>0.12</v>
      </c>
      <c r="N30" s="302">
        <v>11</v>
      </c>
      <c r="O30" s="313">
        <v>1200</v>
      </c>
      <c r="P30" s="307" t="s">
        <v>66</v>
      </c>
      <c r="Q30" s="307" t="s">
        <v>66</v>
      </c>
      <c r="R30" s="308">
        <v>0.02</v>
      </c>
      <c r="S30" s="310">
        <f t="shared" si="5"/>
        <v>3.9999999999999994E-2</v>
      </c>
      <c r="T30" s="310">
        <v>0.12</v>
      </c>
      <c r="V30" s="315"/>
      <c r="W30" s="315"/>
      <c r="X30" s="316"/>
      <c r="Y30" s="315"/>
      <c r="Z30" s="315"/>
      <c r="AA30" s="321"/>
      <c r="AB30" s="315"/>
      <c r="AC30" s="315"/>
      <c r="AD30" s="316"/>
      <c r="AE30" s="315"/>
      <c r="AF30" s="315"/>
    </row>
    <row r="31" spans="1:32" ht="12.75" customHeight="1">
      <c r="A31" s="322"/>
      <c r="B31" s="315"/>
      <c r="C31" s="315"/>
      <c r="D31" s="315"/>
      <c r="E31" s="315"/>
      <c r="F31" s="315"/>
      <c r="G31" s="315"/>
      <c r="H31" s="315"/>
      <c r="I31" s="315"/>
      <c r="J31" s="315"/>
      <c r="K31" s="315"/>
      <c r="L31" s="315"/>
      <c r="M31" s="315"/>
      <c r="N31" s="323"/>
      <c r="O31" s="324"/>
      <c r="P31" s="289"/>
      <c r="Q31" s="289"/>
      <c r="R31" s="289"/>
      <c r="S31" s="289"/>
      <c r="T31" s="325"/>
      <c r="V31" s="315"/>
      <c r="W31" s="315"/>
      <c r="X31" s="315"/>
      <c r="Y31" s="315"/>
      <c r="Z31" s="315"/>
      <c r="AA31" s="315"/>
      <c r="AB31" s="315"/>
      <c r="AC31" s="315"/>
      <c r="AD31" s="315"/>
      <c r="AE31" s="315"/>
      <c r="AF31" s="315"/>
    </row>
    <row r="32" spans="1:32" ht="13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27"/>
      <c r="R32" s="327"/>
      <c r="S32" s="327"/>
      <c r="T32" s="328"/>
      <c r="V32" s="289"/>
      <c r="W32" s="289"/>
      <c r="X32" s="289"/>
      <c r="Y32" s="289"/>
      <c r="Z32" s="289"/>
      <c r="AA32" s="289"/>
      <c r="AB32" s="289"/>
      <c r="AC32" s="289"/>
      <c r="AD32" s="289"/>
      <c r="AE32" s="289"/>
      <c r="AF32" s="289"/>
    </row>
    <row r="33" spans="1:32" ht="15.75" customHeight="1">
      <c r="A33" s="1150" t="s">
        <v>342</v>
      </c>
      <c r="B33" s="1145"/>
      <c r="C33" s="1145"/>
      <c r="D33" s="1146"/>
      <c r="E33" s="1141" t="s">
        <v>92</v>
      </c>
      <c r="F33" s="1142" t="str">
        <f>F17</f>
        <v>U95 STD</v>
      </c>
      <c r="G33" s="288"/>
      <c r="H33" s="1144" t="s">
        <v>343</v>
      </c>
      <c r="I33" s="1145"/>
      <c r="J33" s="1145"/>
      <c r="K33" s="1146"/>
      <c r="L33" s="1141" t="s">
        <v>92</v>
      </c>
      <c r="M33" s="1142" t="str">
        <f>F33</f>
        <v>U95 STD</v>
      </c>
      <c r="N33" s="327"/>
      <c r="O33" s="1150" t="s">
        <v>344</v>
      </c>
      <c r="P33" s="1145"/>
      <c r="Q33" s="1145"/>
      <c r="R33" s="1146"/>
      <c r="S33" s="1141" t="s">
        <v>92</v>
      </c>
      <c r="T33" s="1142" t="str">
        <f>F33</f>
        <v>U95 STD</v>
      </c>
      <c r="V33" s="290"/>
      <c r="W33" s="290"/>
      <c r="X33" s="290"/>
      <c r="Y33" s="291"/>
      <c r="Z33" s="292"/>
      <c r="AA33" s="293"/>
      <c r="AB33" s="294"/>
      <c r="AC33" s="294"/>
      <c r="AD33" s="294"/>
      <c r="AE33" s="291"/>
      <c r="AF33" s="292"/>
    </row>
    <row r="34" spans="1:32" ht="12.75" customHeight="1">
      <c r="A34" s="295" t="str">
        <f>A18</f>
        <v>Timer</v>
      </c>
      <c r="B34" s="1124" t="s">
        <v>93</v>
      </c>
      <c r="C34" s="1125"/>
      <c r="D34" s="1126"/>
      <c r="E34" s="1141"/>
      <c r="F34" s="1142"/>
      <c r="G34" s="296"/>
      <c r="H34" s="297" t="str">
        <f>A34</f>
        <v>Timer</v>
      </c>
      <c r="I34" s="1124" t="s">
        <v>93</v>
      </c>
      <c r="J34" s="1125"/>
      <c r="K34" s="1126"/>
      <c r="L34" s="1141"/>
      <c r="M34" s="1142"/>
      <c r="N34" s="327"/>
      <c r="O34" s="295" t="str">
        <f>A34</f>
        <v>Timer</v>
      </c>
      <c r="P34" s="1124" t="s">
        <v>93</v>
      </c>
      <c r="Q34" s="1125"/>
      <c r="R34" s="1126"/>
      <c r="S34" s="1141"/>
      <c r="T34" s="1142"/>
      <c r="V34" s="298"/>
      <c r="W34" s="291"/>
      <c r="X34" s="291"/>
      <c r="Y34" s="291"/>
      <c r="Z34" s="292"/>
      <c r="AA34" s="293"/>
      <c r="AB34" s="298"/>
      <c r="AC34" s="291"/>
      <c r="AD34" s="291"/>
      <c r="AE34" s="291"/>
      <c r="AF34" s="292"/>
    </row>
    <row r="35" spans="1:32" ht="15" customHeight="1">
      <c r="A35" s="299" t="str">
        <f>A19</f>
        <v>s</v>
      </c>
      <c r="B35" s="300">
        <v>2023</v>
      </c>
      <c r="C35" s="300">
        <v>2022</v>
      </c>
      <c r="D35" s="301">
        <v>2021</v>
      </c>
      <c r="E35" s="1141"/>
      <c r="F35" s="1142"/>
      <c r="G35" s="302" t="s">
        <v>102</v>
      </c>
      <c r="H35" s="303" t="str">
        <f>A35</f>
        <v>s</v>
      </c>
      <c r="I35" s="300">
        <v>2023</v>
      </c>
      <c r="J35" s="300">
        <v>2022</v>
      </c>
      <c r="K35" s="301">
        <v>2020</v>
      </c>
      <c r="L35" s="1141"/>
      <c r="M35" s="1142"/>
      <c r="N35" s="302" t="s">
        <v>102</v>
      </c>
      <c r="O35" s="299" t="str">
        <f>A35</f>
        <v>s</v>
      </c>
      <c r="P35" s="300">
        <v>2022</v>
      </c>
      <c r="Q35" s="301">
        <v>2021</v>
      </c>
      <c r="R35" s="301">
        <v>2020</v>
      </c>
      <c r="S35" s="1141"/>
      <c r="T35" s="1142"/>
      <c r="V35" s="304"/>
      <c r="W35" s="298"/>
      <c r="X35" s="305"/>
      <c r="Y35" s="291"/>
      <c r="Z35" s="292"/>
      <c r="AA35" s="293"/>
      <c r="AB35" s="304"/>
      <c r="AC35" s="298"/>
      <c r="AD35" s="298"/>
      <c r="AE35" s="291"/>
      <c r="AF35" s="292"/>
    </row>
    <row r="36" spans="1:32" ht="12.75" customHeight="1">
      <c r="A36" s="306">
        <v>0</v>
      </c>
      <c r="B36" s="307">
        <v>0</v>
      </c>
      <c r="C36" s="307">
        <v>0</v>
      </c>
      <c r="D36" s="308">
        <v>9.9999999999999995E-7</v>
      </c>
      <c r="E36" s="309">
        <f>IFERROR(IF(OR(C36="-",D36="-"),1/3*F36,0.5*(MAX(C36:D36)-MIN(C36:D36))),0)</f>
        <v>4.9999999999999998E-7</v>
      </c>
      <c r="F36" s="310">
        <v>0</v>
      </c>
      <c r="G36" s="302">
        <v>1</v>
      </c>
      <c r="H36" s="306">
        <v>0</v>
      </c>
      <c r="I36" s="307">
        <v>0</v>
      </c>
      <c r="J36" s="307">
        <v>0</v>
      </c>
      <c r="K36" s="308">
        <v>9.9999999999999995E-7</v>
      </c>
      <c r="L36" s="309">
        <f>IFERROR(IF(OR(J36="-",K36="-"),1/3*M36,0.5*(MAX(J36:K36)-MIN(J36:K36))),0)</f>
        <v>4.9999999999999998E-7</v>
      </c>
      <c r="M36" s="310">
        <v>0</v>
      </c>
      <c r="N36" s="302">
        <v>1</v>
      </c>
      <c r="O36" s="306">
        <v>0</v>
      </c>
      <c r="P36" s="307">
        <v>0</v>
      </c>
      <c r="Q36" s="308">
        <v>9.9999999999999995E-7</v>
      </c>
      <c r="R36" s="308">
        <v>9.9999999999999995E-7</v>
      </c>
      <c r="S36" s="309">
        <f>IFERROR(IF(OR(Q36="-",R36="-"),1/3*T36,0.5*(MAX(Q36:R36)-MIN(Q36:R36))),0)</f>
        <v>0</v>
      </c>
      <c r="T36" s="310">
        <v>0</v>
      </c>
      <c r="V36" s="315"/>
      <c r="W36" s="315"/>
      <c r="X36" s="316"/>
      <c r="Y36" s="317"/>
      <c r="Z36" s="318"/>
      <c r="AA36" s="293"/>
      <c r="AB36" s="315"/>
      <c r="AC36" s="315"/>
      <c r="AD36" s="318"/>
      <c r="AE36" s="317"/>
      <c r="AF36" s="318"/>
    </row>
    <row r="37" spans="1:32" ht="12.75" customHeight="1">
      <c r="A37" s="313">
        <v>10</v>
      </c>
      <c r="B37" s="307">
        <v>-0.05</v>
      </c>
      <c r="C37" s="307">
        <v>-0.01</v>
      </c>
      <c r="D37" s="313" t="s">
        <v>66</v>
      </c>
      <c r="E37" s="309">
        <f>IFERROR(IF(OR(C37="-",D37="-"),1/3*F37,0.5*(MAX(C37:D37)-MIN(C37:D37))),0)</f>
        <v>3.9999999999999994E-2</v>
      </c>
      <c r="F37" s="310">
        <v>0.12</v>
      </c>
      <c r="G37" s="302">
        <v>2</v>
      </c>
      <c r="H37" s="313">
        <v>10</v>
      </c>
      <c r="I37" s="307">
        <v>-0.01</v>
      </c>
      <c r="J37" s="307">
        <v>0.01</v>
      </c>
      <c r="K37" s="313" t="s">
        <v>66</v>
      </c>
      <c r="L37" s="309">
        <f t="shared" ref="L37:L45" si="6">IFERROR(IF(OR(J37="-",K37="-"),1/3*M37,0.5*(MAX(J37:K37)-MIN(J37:K37))),0)</f>
        <v>3.9999999999999994E-2</v>
      </c>
      <c r="M37" s="310">
        <v>0.12</v>
      </c>
      <c r="N37" s="302">
        <v>2</v>
      </c>
      <c r="O37" s="313">
        <v>10</v>
      </c>
      <c r="P37" s="307">
        <v>0</v>
      </c>
      <c r="Q37" s="313" t="s">
        <v>66</v>
      </c>
      <c r="R37" s="313" t="s">
        <v>66</v>
      </c>
      <c r="S37" s="309">
        <f t="shared" ref="S37:S45" si="7">IFERROR(IF(OR(Q37="-",R37="-"),1/3*T37,0.5*(MAX(Q37:R37)-MIN(Q37:R37))),0)</f>
        <v>3.9999999999999994E-2</v>
      </c>
      <c r="T37" s="310">
        <v>0.12</v>
      </c>
      <c r="V37" s="315"/>
      <c r="W37" s="315"/>
      <c r="X37" s="318"/>
      <c r="Y37" s="317"/>
      <c r="Z37" s="318"/>
      <c r="AA37" s="293"/>
      <c r="AB37" s="315"/>
      <c r="AC37" s="315"/>
      <c r="AD37" s="318"/>
      <c r="AE37" s="317"/>
      <c r="AF37" s="318"/>
    </row>
    <row r="38" spans="1:32" ht="12.75" customHeight="1">
      <c r="A38" s="313">
        <v>30</v>
      </c>
      <c r="B38" s="307">
        <v>-0.04</v>
      </c>
      <c r="C38" s="307">
        <v>0.01</v>
      </c>
      <c r="D38" s="313" t="s">
        <v>66</v>
      </c>
      <c r="E38" s="309">
        <f t="shared" ref="E38:E45" si="8">IFERROR(IF(OR(C38="-",D38="-"),1/3*F38,0.5*(MAX(C38:D38)-MIN(C38:D38))),0)</f>
        <v>3.9999999999999994E-2</v>
      </c>
      <c r="F38" s="310">
        <v>0.12</v>
      </c>
      <c r="G38" s="302">
        <v>3</v>
      </c>
      <c r="H38" s="313">
        <v>30</v>
      </c>
      <c r="I38" s="307">
        <v>0</v>
      </c>
      <c r="J38" s="307">
        <v>0.01</v>
      </c>
      <c r="K38" s="313" t="s">
        <v>66</v>
      </c>
      <c r="L38" s="309">
        <f t="shared" si="6"/>
        <v>3.9999999999999994E-2</v>
      </c>
      <c r="M38" s="310">
        <v>0.12</v>
      </c>
      <c r="N38" s="302">
        <v>3</v>
      </c>
      <c r="O38" s="313">
        <v>30</v>
      </c>
      <c r="P38" s="307">
        <v>0.01</v>
      </c>
      <c r="Q38" s="313" t="s">
        <v>66</v>
      </c>
      <c r="R38" s="313" t="s">
        <v>66</v>
      </c>
      <c r="S38" s="309">
        <f t="shared" si="7"/>
        <v>3.9999999999999994E-2</v>
      </c>
      <c r="T38" s="310">
        <v>0.12</v>
      </c>
      <c r="V38" s="315"/>
      <c r="W38" s="315"/>
      <c r="X38" s="318"/>
      <c r="Y38" s="317"/>
      <c r="Z38" s="318"/>
      <c r="AA38" s="293"/>
      <c r="AB38" s="315"/>
      <c r="AC38" s="315"/>
      <c r="AD38" s="318"/>
      <c r="AE38" s="317"/>
      <c r="AF38" s="318"/>
    </row>
    <row r="39" spans="1:32" ht="12.75" customHeight="1">
      <c r="A39" s="313">
        <v>60</v>
      </c>
      <c r="B39" s="307">
        <v>-0.05</v>
      </c>
      <c r="C39" s="307">
        <v>-0.02</v>
      </c>
      <c r="D39" s="329">
        <v>0.03</v>
      </c>
      <c r="E39" s="309">
        <f t="shared" si="8"/>
        <v>2.5000000000000001E-2</v>
      </c>
      <c r="F39" s="310">
        <v>0.12</v>
      </c>
      <c r="G39" s="302">
        <v>4</v>
      </c>
      <c r="H39" s="313">
        <v>60</v>
      </c>
      <c r="I39" s="307">
        <v>-0.02</v>
      </c>
      <c r="J39" s="307">
        <v>0</v>
      </c>
      <c r="K39" s="329">
        <v>0.01</v>
      </c>
      <c r="L39" s="309">
        <f t="shared" si="6"/>
        <v>5.0000000000000001E-3</v>
      </c>
      <c r="M39" s="310">
        <v>0.12</v>
      </c>
      <c r="N39" s="302">
        <v>4</v>
      </c>
      <c r="O39" s="313">
        <v>60</v>
      </c>
      <c r="P39" s="307">
        <v>0.01</v>
      </c>
      <c r="Q39" s="329">
        <v>0.02</v>
      </c>
      <c r="R39" s="329">
        <v>-0.01</v>
      </c>
      <c r="S39" s="309">
        <f t="shared" si="7"/>
        <v>1.4999999999999999E-2</v>
      </c>
      <c r="T39" s="310">
        <v>0.12</v>
      </c>
      <c r="V39" s="315"/>
      <c r="W39" s="315"/>
      <c r="X39" s="316"/>
      <c r="Y39" s="317"/>
      <c r="Z39" s="318"/>
      <c r="AA39" s="293"/>
      <c r="AB39" s="315"/>
      <c r="AC39" s="315"/>
      <c r="AD39" s="316"/>
      <c r="AE39" s="317"/>
      <c r="AF39" s="318"/>
    </row>
    <row r="40" spans="1:32" ht="12.75" customHeight="1">
      <c r="A40" s="313">
        <v>60</v>
      </c>
      <c r="B40" s="307">
        <v>-0.05</v>
      </c>
      <c r="C40" s="307">
        <v>-0.02</v>
      </c>
      <c r="D40" s="329">
        <v>0.03</v>
      </c>
      <c r="E40" s="309">
        <f t="shared" si="8"/>
        <v>2.5000000000000001E-2</v>
      </c>
      <c r="F40" s="310">
        <v>0.12</v>
      </c>
      <c r="G40" s="302">
        <v>5</v>
      </c>
      <c r="H40" s="313">
        <v>60</v>
      </c>
      <c r="I40" s="307">
        <v>-0.02</v>
      </c>
      <c r="J40" s="307">
        <v>0</v>
      </c>
      <c r="K40" s="329">
        <v>0.01</v>
      </c>
      <c r="L40" s="309">
        <f t="shared" si="6"/>
        <v>5.0000000000000001E-3</v>
      </c>
      <c r="M40" s="310">
        <v>0.12</v>
      </c>
      <c r="N40" s="302">
        <v>5</v>
      </c>
      <c r="O40" s="313">
        <v>60</v>
      </c>
      <c r="P40" s="307">
        <v>0.01</v>
      </c>
      <c r="Q40" s="329">
        <v>0.02</v>
      </c>
      <c r="R40" s="329">
        <v>-0.01</v>
      </c>
      <c r="S40" s="309">
        <f t="shared" si="7"/>
        <v>1.4999999999999999E-2</v>
      </c>
      <c r="T40" s="310">
        <v>0.12</v>
      </c>
      <c r="V40" s="315"/>
      <c r="W40" s="315"/>
      <c r="X40" s="316"/>
      <c r="Y40" s="317"/>
      <c r="Z40" s="318"/>
      <c r="AA40" s="293"/>
      <c r="AB40" s="315"/>
      <c r="AC40" s="315"/>
      <c r="AD40" s="316"/>
      <c r="AE40" s="317"/>
      <c r="AF40" s="318"/>
    </row>
    <row r="41" spans="1:32" ht="12.75" customHeight="1">
      <c r="A41" s="313">
        <v>60</v>
      </c>
      <c r="B41" s="307">
        <v>-0.05</v>
      </c>
      <c r="C41" s="307">
        <v>-0.02</v>
      </c>
      <c r="D41" s="329">
        <v>0.03</v>
      </c>
      <c r="E41" s="309">
        <f t="shared" si="8"/>
        <v>2.5000000000000001E-2</v>
      </c>
      <c r="F41" s="310">
        <v>0.12</v>
      </c>
      <c r="G41" s="302">
        <v>6</v>
      </c>
      <c r="H41" s="313">
        <v>60</v>
      </c>
      <c r="I41" s="307">
        <v>-0.02</v>
      </c>
      <c r="J41" s="307">
        <v>0</v>
      </c>
      <c r="K41" s="329">
        <v>0.01</v>
      </c>
      <c r="L41" s="309">
        <f t="shared" si="6"/>
        <v>5.0000000000000001E-3</v>
      </c>
      <c r="M41" s="310">
        <v>0.12</v>
      </c>
      <c r="N41" s="302">
        <v>6</v>
      </c>
      <c r="O41" s="313">
        <v>60</v>
      </c>
      <c r="P41" s="307">
        <v>0.01</v>
      </c>
      <c r="Q41" s="329">
        <v>0.02</v>
      </c>
      <c r="R41" s="329">
        <v>-0.01</v>
      </c>
      <c r="S41" s="309">
        <f t="shared" si="7"/>
        <v>1.4999999999999999E-2</v>
      </c>
      <c r="T41" s="310">
        <v>0.12</v>
      </c>
      <c r="V41" s="315"/>
      <c r="W41" s="315"/>
      <c r="X41" s="316"/>
      <c r="Y41" s="317"/>
      <c r="Z41" s="318"/>
      <c r="AA41" s="293"/>
      <c r="AB41" s="315"/>
      <c r="AC41" s="315"/>
      <c r="AD41" s="316"/>
      <c r="AE41" s="317"/>
      <c r="AF41" s="318"/>
    </row>
    <row r="42" spans="1:32" ht="12.75" customHeight="1">
      <c r="A42" s="313">
        <v>60</v>
      </c>
      <c r="B42" s="307">
        <v>-0.05</v>
      </c>
      <c r="C42" s="307">
        <v>-0.02</v>
      </c>
      <c r="D42" s="329">
        <v>0.03</v>
      </c>
      <c r="E42" s="309">
        <f t="shared" si="8"/>
        <v>2.5000000000000001E-2</v>
      </c>
      <c r="F42" s="310">
        <v>0.12</v>
      </c>
      <c r="G42" s="302">
        <v>7</v>
      </c>
      <c r="H42" s="313">
        <v>60</v>
      </c>
      <c r="I42" s="307">
        <v>-0.02</v>
      </c>
      <c r="J42" s="307">
        <v>0</v>
      </c>
      <c r="K42" s="329">
        <v>0.01</v>
      </c>
      <c r="L42" s="309">
        <f t="shared" si="6"/>
        <v>5.0000000000000001E-3</v>
      </c>
      <c r="M42" s="310">
        <v>0.12</v>
      </c>
      <c r="N42" s="302">
        <v>7</v>
      </c>
      <c r="O42" s="313">
        <v>60</v>
      </c>
      <c r="P42" s="307">
        <v>0.01</v>
      </c>
      <c r="Q42" s="329">
        <v>0.02</v>
      </c>
      <c r="R42" s="329">
        <v>-0.01</v>
      </c>
      <c r="S42" s="309">
        <f t="shared" si="7"/>
        <v>1.4999999999999999E-2</v>
      </c>
      <c r="T42" s="310">
        <v>0.12</v>
      </c>
      <c r="V42" s="315"/>
      <c r="W42" s="315"/>
      <c r="X42" s="316"/>
      <c r="Y42" s="317"/>
      <c r="Z42" s="318"/>
      <c r="AA42" s="293"/>
      <c r="AB42" s="315"/>
      <c r="AC42" s="315"/>
      <c r="AD42" s="316"/>
      <c r="AE42" s="317"/>
      <c r="AF42" s="318"/>
    </row>
    <row r="43" spans="1:32" ht="13.5" customHeight="1">
      <c r="A43" s="313">
        <v>300</v>
      </c>
      <c r="B43" s="307">
        <v>-0.06</v>
      </c>
      <c r="C43" s="307">
        <v>-0.01</v>
      </c>
      <c r="D43" s="329">
        <v>0.02</v>
      </c>
      <c r="E43" s="309">
        <f t="shared" si="8"/>
        <v>1.4999999999999999E-2</v>
      </c>
      <c r="F43" s="310">
        <v>0.12</v>
      </c>
      <c r="G43" s="302">
        <v>8</v>
      </c>
      <c r="H43" s="313">
        <v>300</v>
      </c>
      <c r="I43" s="307">
        <v>-0.02</v>
      </c>
      <c r="J43" s="307">
        <v>0.01</v>
      </c>
      <c r="K43" s="329">
        <v>0.02</v>
      </c>
      <c r="L43" s="309">
        <f t="shared" si="6"/>
        <v>5.0000000000000001E-3</v>
      </c>
      <c r="M43" s="310">
        <v>0.12</v>
      </c>
      <c r="N43" s="302">
        <v>8</v>
      </c>
      <c r="O43" s="313">
        <v>300</v>
      </c>
      <c r="P43" s="307">
        <v>0.01</v>
      </c>
      <c r="Q43" s="329">
        <v>0.01</v>
      </c>
      <c r="R43" s="329">
        <v>-0.02</v>
      </c>
      <c r="S43" s="309">
        <f t="shared" si="7"/>
        <v>1.4999999999999999E-2</v>
      </c>
      <c r="T43" s="310">
        <v>0.12</v>
      </c>
      <c r="V43" s="315"/>
      <c r="W43" s="315"/>
      <c r="X43" s="316"/>
      <c r="Y43" s="317"/>
      <c r="Z43" s="318"/>
      <c r="AA43" s="293"/>
      <c r="AB43" s="315"/>
      <c r="AC43" s="315"/>
      <c r="AD43" s="316"/>
      <c r="AE43" s="317"/>
      <c r="AF43" s="318"/>
    </row>
    <row r="44" spans="1:32" ht="13.5" customHeight="1">
      <c r="A44" s="313">
        <v>600</v>
      </c>
      <c r="B44" s="307">
        <v>-0.05</v>
      </c>
      <c r="C44" s="307">
        <v>-0.03</v>
      </c>
      <c r="D44" s="329">
        <v>0.04</v>
      </c>
      <c r="E44" s="309">
        <f t="shared" si="8"/>
        <v>3.5000000000000003E-2</v>
      </c>
      <c r="F44" s="310">
        <v>0.12</v>
      </c>
      <c r="G44" s="302">
        <v>9</v>
      </c>
      <c r="H44" s="313">
        <v>600</v>
      </c>
      <c r="I44" s="307">
        <v>-0.02</v>
      </c>
      <c r="J44" s="307">
        <v>0.01</v>
      </c>
      <c r="K44" s="329">
        <v>0.02</v>
      </c>
      <c r="L44" s="309">
        <f t="shared" si="6"/>
        <v>5.0000000000000001E-3</v>
      </c>
      <c r="M44" s="310">
        <v>0.12</v>
      </c>
      <c r="N44" s="302">
        <v>9</v>
      </c>
      <c r="O44" s="313">
        <v>600</v>
      </c>
      <c r="P44" s="307">
        <v>0.01</v>
      </c>
      <c r="Q44" s="329">
        <v>0.01</v>
      </c>
      <c r="R44" s="329">
        <v>-0.02</v>
      </c>
      <c r="S44" s="309">
        <f t="shared" si="7"/>
        <v>1.4999999999999999E-2</v>
      </c>
      <c r="T44" s="310">
        <v>0.12</v>
      </c>
      <c r="V44" s="315"/>
      <c r="W44" s="315"/>
      <c r="X44" s="316"/>
      <c r="Y44" s="317"/>
      <c r="Z44" s="318"/>
      <c r="AA44" s="293"/>
      <c r="AB44" s="315"/>
      <c r="AC44" s="315"/>
      <c r="AD44" s="316"/>
      <c r="AE44" s="317"/>
      <c r="AF44" s="318"/>
    </row>
    <row r="45" spans="1:32" ht="13.5" customHeight="1">
      <c r="A45" s="313">
        <v>900</v>
      </c>
      <c r="B45" s="307">
        <v>-0.05</v>
      </c>
      <c r="C45" s="307">
        <v>-0.02</v>
      </c>
      <c r="D45" s="329">
        <v>0.02</v>
      </c>
      <c r="E45" s="309">
        <f t="shared" si="8"/>
        <v>0.02</v>
      </c>
      <c r="F45" s="310">
        <v>0.12</v>
      </c>
      <c r="G45" s="302">
        <v>10</v>
      </c>
      <c r="H45" s="313">
        <v>900</v>
      </c>
      <c r="I45" s="307">
        <v>-0.02</v>
      </c>
      <c r="J45" s="307">
        <v>-0.01</v>
      </c>
      <c r="K45" s="329">
        <v>0.02</v>
      </c>
      <c r="L45" s="309">
        <f t="shared" si="6"/>
        <v>1.4999999999999999E-2</v>
      </c>
      <c r="M45" s="310">
        <v>0.12</v>
      </c>
      <c r="N45" s="302">
        <v>10</v>
      </c>
      <c r="O45" s="313">
        <v>900</v>
      </c>
      <c r="P45" s="307">
        <v>0.01</v>
      </c>
      <c r="Q45" s="329">
        <v>0.02</v>
      </c>
      <c r="R45" s="329">
        <v>-0.02</v>
      </c>
      <c r="S45" s="309">
        <f t="shared" si="7"/>
        <v>0.02</v>
      </c>
      <c r="T45" s="310">
        <v>0.12</v>
      </c>
      <c r="V45" s="315"/>
      <c r="W45" s="315"/>
      <c r="X45" s="316"/>
      <c r="Y45" s="317"/>
      <c r="Z45" s="318"/>
      <c r="AA45" s="293"/>
      <c r="AB45" s="315"/>
      <c r="AC45" s="315"/>
      <c r="AD45" s="316"/>
      <c r="AE45" s="317"/>
      <c r="AF45" s="318"/>
    </row>
    <row r="46" spans="1:32" ht="13.5" customHeight="1">
      <c r="A46" s="313">
        <v>1200</v>
      </c>
      <c r="B46" s="307" t="s">
        <v>66</v>
      </c>
      <c r="C46" s="307" t="s">
        <v>66</v>
      </c>
      <c r="D46" s="329">
        <v>0.03</v>
      </c>
      <c r="E46" s="309">
        <f>IFERROR(IF(OR(C46="-",D46="-"),1/3*F46,0.5*(MAX(C46:D46)-MIN(C46:D46))),0)</f>
        <v>3.9999999999999994E-2</v>
      </c>
      <c r="F46" s="310">
        <v>0.12</v>
      </c>
      <c r="G46" s="302">
        <v>11</v>
      </c>
      <c r="H46" s="313">
        <v>1200</v>
      </c>
      <c r="I46" s="307" t="s">
        <v>66</v>
      </c>
      <c r="J46" s="307" t="s">
        <v>66</v>
      </c>
      <c r="K46" s="329">
        <v>0.02</v>
      </c>
      <c r="L46" s="309">
        <f>IFERROR(IF(OR(J46="-",K46="-"),1/3*M46,0.5*(MAX(J46:K46)-MIN(J46:K46))),0)</f>
        <v>3.9999999999999994E-2</v>
      </c>
      <c r="M46" s="310">
        <v>0.12</v>
      </c>
      <c r="N46" s="302">
        <v>11</v>
      </c>
      <c r="O46" s="313">
        <v>1200</v>
      </c>
      <c r="P46" s="307" t="s">
        <v>66</v>
      </c>
      <c r="Q46" s="329">
        <v>0.02</v>
      </c>
      <c r="R46" s="329">
        <v>-0.03</v>
      </c>
      <c r="S46" s="309">
        <f>IFERROR(IF(OR(Q46="-",R46="-"),1/3*T46,0.5*(MAX(Q46:R46)-MIN(Q46:R46))),0)</f>
        <v>2.5000000000000001E-2</v>
      </c>
      <c r="T46" s="310">
        <v>0.12</v>
      </c>
      <c r="V46" s="315"/>
      <c r="W46" s="315"/>
      <c r="X46" s="316"/>
      <c r="Y46" s="317"/>
      <c r="Z46" s="318"/>
      <c r="AA46" s="293"/>
      <c r="AB46" s="315"/>
      <c r="AC46" s="315"/>
      <c r="AD46" s="316"/>
      <c r="AE46" s="317"/>
      <c r="AF46" s="318"/>
    </row>
    <row r="47" spans="1:32" ht="13.5" customHeight="1">
      <c r="A47" s="1151"/>
      <c r="B47" s="1152"/>
      <c r="C47" s="1152"/>
      <c r="D47" s="1152"/>
      <c r="E47" s="1152"/>
      <c r="F47" s="1153"/>
      <c r="G47" s="296"/>
      <c r="H47" s="1154"/>
      <c r="I47" s="1155"/>
      <c r="J47" s="1155"/>
      <c r="K47" s="1155"/>
      <c r="L47" s="1155"/>
      <c r="M47" s="1156"/>
      <c r="N47" s="327"/>
      <c r="T47" s="330"/>
      <c r="V47" s="289"/>
      <c r="W47" s="289"/>
      <c r="X47" s="289"/>
      <c r="Y47" s="289"/>
      <c r="Z47" s="289"/>
      <c r="AA47" s="293"/>
      <c r="AB47" s="320"/>
      <c r="AC47" s="320"/>
      <c r="AD47" s="320"/>
      <c r="AE47" s="320"/>
      <c r="AF47" s="320"/>
    </row>
    <row r="48" spans="1:32" ht="15.75" customHeight="1">
      <c r="A48" s="1150" t="s">
        <v>345</v>
      </c>
      <c r="B48" s="1145"/>
      <c r="C48" s="1145"/>
      <c r="D48" s="1146"/>
      <c r="E48" s="1141" t="s">
        <v>92</v>
      </c>
      <c r="F48" s="1142" t="str">
        <f>F33</f>
        <v>U95 STD</v>
      </c>
      <c r="G48" s="296"/>
      <c r="H48" s="1144" t="s">
        <v>346</v>
      </c>
      <c r="I48" s="1145"/>
      <c r="J48" s="1145"/>
      <c r="K48" s="1146"/>
      <c r="L48" s="1141" t="s">
        <v>92</v>
      </c>
      <c r="M48" s="1142" t="str">
        <f>M33</f>
        <v>U95 STD</v>
      </c>
      <c r="N48" s="327"/>
      <c r="O48" s="1144" t="s">
        <v>347</v>
      </c>
      <c r="P48" s="1145"/>
      <c r="Q48" s="1145"/>
      <c r="R48" s="1146"/>
      <c r="S48" s="1141" t="s">
        <v>92</v>
      </c>
      <c r="T48" s="1142" t="str">
        <f>T33</f>
        <v>U95 STD</v>
      </c>
      <c r="V48" s="290"/>
      <c r="W48" s="290"/>
      <c r="X48" s="290"/>
      <c r="Y48" s="291"/>
      <c r="Z48" s="292"/>
      <c r="AA48" s="293"/>
      <c r="AB48" s="290"/>
      <c r="AC48" s="290"/>
      <c r="AD48" s="290"/>
      <c r="AE48" s="291"/>
      <c r="AF48" s="292"/>
    </row>
    <row r="49" spans="1:32" ht="12.75" customHeight="1">
      <c r="A49" s="295" t="str">
        <f>A34</f>
        <v>Timer</v>
      </c>
      <c r="B49" s="1124" t="s">
        <v>93</v>
      </c>
      <c r="C49" s="1125"/>
      <c r="D49" s="1126"/>
      <c r="E49" s="1141"/>
      <c r="F49" s="1142"/>
      <c r="G49" s="296"/>
      <c r="H49" s="297" t="str">
        <f>H34</f>
        <v>Timer</v>
      </c>
      <c r="I49" s="1124" t="s">
        <v>93</v>
      </c>
      <c r="J49" s="1125"/>
      <c r="K49" s="1126"/>
      <c r="L49" s="1141"/>
      <c r="M49" s="1142"/>
      <c r="N49" s="327"/>
      <c r="O49" s="297" t="str">
        <f>O34</f>
        <v>Timer</v>
      </c>
      <c r="P49" s="1124" t="s">
        <v>93</v>
      </c>
      <c r="Q49" s="1125"/>
      <c r="R49" s="1126"/>
      <c r="S49" s="1141"/>
      <c r="T49" s="1142"/>
      <c r="V49" s="298"/>
      <c r="W49" s="291"/>
      <c r="X49" s="291"/>
      <c r="Y49" s="291"/>
      <c r="Z49" s="292"/>
      <c r="AA49" s="293"/>
      <c r="AB49" s="298"/>
      <c r="AC49" s="291"/>
      <c r="AD49" s="291"/>
      <c r="AE49" s="291"/>
      <c r="AF49" s="292"/>
    </row>
    <row r="50" spans="1:32" ht="15" customHeight="1">
      <c r="A50" s="299" t="str">
        <f>A35</f>
        <v>s</v>
      </c>
      <c r="B50" s="300">
        <v>2023</v>
      </c>
      <c r="C50" s="300">
        <v>2022</v>
      </c>
      <c r="D50" s="301">
        <v>2021</v>
      </c>
      <c r="E50" s="1141"/>
      <c r="F50" s="1142"/>
      <c r="G50" s="302" t="s">
        <v>102</v>
      </c>
      <c r="H50" s="303" t="str">
        <f>H35</f>
        <v>s</v>
      </c>
      <c r="I50" s="300">
        <v>2023</v>
      </c>
      <c r="J50" s="300">
        <v>2022</v>
      </c>
      <c r="K50" s="301">
        <v>2021</v>
      </c>
      <c r="L50" s="1141"/>
      <c r="M50" s="1142"/>
      <c r="N50" s="302" t="s">
        <v>102</v>
      </c>
      <c r="O50" s="303" t="str">
        <f>O35</f>
        <v>s</v>
      </c>
      <c r="P50" s="300">
        <v>2023</v>
      </c>
      <c r="Q50" s="300">
        <v>2022</v>
      </c>
      <c r="R50" s="301">
        <v>2021</v>
      </c>
      <c r="S50" s="1141"/>
      <c r="T50" s="1142"/>
      <c r="V50" s="304"/>
      <c r="W50" s="298"/>
      <c r="X50" s="298"/>
      <c r="Y50" s="291"/>
      <c r="Z50" s="292"/>
      <c r="AA50" s="293"/>
      <c r="AB50" s="304"/>
      <c r="AC50" s="298"/>
      <c r="AD50" s="298"/>
      <c r="AE50" s="291"/>
      <c r="AF50" s="292"/>
    </row>
    <row r="51" spans="1:32" ht="12.75" customHeight="1">
      <c r="A51" s="306">
        <v>0</v>
      </c>
      <c r="B51" s="307">
        <v>0</v>
      </c>
      <c r="C51" s="307">
        <v>0</v>
      </c>
      <c r="D51" s="308">
        <v>9.9999999999999995E-7</v>
      </c>
      <c r="E51" s="309">
        <f>IFERROR(IF(OR(C51="-",D51="-"),1/3*F51,0.5*(MAX(C51:D51)-MIN(C51:D51))),0)</f>
        <v>4.9999999999999998E-7</v>
      </c>
      <c r="F51" s="310">
        <v>0</v>
      </c>
      <c r="G51" s="302">
        <v>1</v>
      </c>
      <c r="H51" s="306">
        <v>0</v>
      </c>
      <c r="I51" s="307">
        <v>0</v>
      </c>
      <c r="J51" s="307">
        <v>0</v>
      </c>
      <c r="K51" s="308">
        <v>9.9999999999999995E-7</v>
      </c>
      <c r="L51" s="309">
        <f>IFERROR(IF(OR(J51="-",K51="-"),1/3*M51,0.5*(MAX(J51:K51)-MIN(J51:K51))),0)</f>
        <v>4.9999999999999998E-7</v>
      </c>
      <c r="M51" s="310">
        <v>0</v>
      </c>
      <c r="N51" s="302">
        <v>1</v>
      </c>
      <c r="O51" s="306">
        <v>0</v>
      </c>
      <c r="P51" s="307">
        <v>0</v>
      </c>
      <c r="Q51" s="307">
        <v>0</v>
      </c>
      <c r="R51" s="308">
        <v>9.9999999999999995E-7</v>
      </c>
      <c r="S51" s="309">
        <f>IFERROR(IF(OR(Q51="-",R51="-"),1/3*T51,0.5*(MAX(Q51:R51)-MIN(Q51:R51))),0)</f>
        <v>4.9999999999999998E-7</v>
      </c>
      <c r="T51" s="310">
        <v>0</v>
      </c>
      <c r="V51" s="315"/>
      <c r="W51" s="315"/>
      <c r="X51" s="318"/>
      <c r="Y51" s="317"/>
      <c r="Z51" s="318"/>
      <c r="AA51" s="293"/>
      <c r="AB51" s="315"/>
      <c r="AC51" s="315"/>
      <c r="AD51" s="318"/>
      <c r="AE51" s="317"/>
      <c r="AF51" s="318"/>
    </row>
    <row r="52" spans="1:32" ht="12.75" customHeight="1">
      <c r="A52" s="313">
        <v>10</v>
      </c>
      <c r="B52" s="307">
        <v>-0.03</v>
      </c>
      <c r="C52" s="307">
        <v>0.01</v>
      </c>
      <c r="D52" s="329">
        <v>-7.0000000000000007E-2</v>
      </c>
      <c r="E52" s="309">
        <f t="shared" ref="E52:E60" si="9">IFERROR(IF(OR(C52="-",D52="-"),1/3*F52,0.5*(MAX(C52:D52)-MIN(C52:D52))),0)</f>
        <v>0.04</v>
      </c>
      <c r="F52" s="310">
        <v>0.12</v>
      </c>
      <c r="G52" s="302">
        <v>2</v>
      </c>
      <c r="H52" s="313">
        <v>10</v>
      </c>
      <c r="I52" s="307">
        <v>-0.03</v>
      </c>
      <c r="J52" s="307">
        <v>0</v>
      </c>
      <c r="K52" s="329">
        <v>-0.03</v>
      </c>
      <c r="L52" s="309">
        <f t="shared" ref="L52:L60" si="10">IFERROR(IF(OR(J52="-",K52="-"),1/3*M52,0.5*(MAX(J52:K52)-MIN(J52:K52))),0)</f>
        <v>1.4999999999999999E-2</v>
      </c>
      <c r="M52" s="310">
        <v>0.12</v>
      </c>
      <c r="N52" s="302">
        <v>2</v>
      </c>
      <c r="O52" s="313">
        <v>10</v>
      </c>
      <c r="P52" s="307">
        <v>0.03</v>
      </c>
      <c r="Q52" s="307">
        <v>0.01</v>
      </c>
      <c r="R52" s="329">
        <v>0.02</v>
      </c>
      <c r="S52" s="309">
        <f t="shared" ref="S52:S60" si="11">IFERROR(IF(OR(Q52="-",R52="-"),1/3*T52,0.5*(MAX(Q52:R52)-MIN(Q52:R52))),0)</f>
        <v>5.0000000000000001E-3</v>
      </c>
      <c r="T52" s="310">
        <v>0.12</v>
      </c>
      <c r="V52" s="315"/>
      <c r="W52" s="315"/>
      <c r="X52" s="318"/>
      <c r="Y52" s="317"/>
      <c r="Z52" s="318"/>
      <c r="AA52" s="293"/>
      <c r="AB52" s="315"/>
      <c r="AC52" s="315"/>
      <c r="AD52" s="318"/>
      <c r="AE52" s="317"/>
      <c r="AF52" s="318"/>
    </row>
    <row r="53" spans="1:32" ht="12.75" customHeight="1">
      <c r="A53" s="313">
        <v>30</v>
      </c>
      <c r="B53" s="307">
        <v>-0.03</v>
      </c>
      <c r="C53" s="307">
        <v>0.01</v>
      </c>
      <c r="D53" s="329">
        <v>-0.06</v>
      </c>
      <c r="E53" s="309">
        <f t="shared" si="9"/>
        <v>3.4999999999999996E-2</v>
      </c>
      <c r="F53" s="310">
        <v>0.12</v>
      </c>
      <c r="G53" s="302">
        <v>3</v>
      </c>
      <c r="H53" s="313">
        <v>30</v>
      </c>
      <c r="I53" s="307">
        <v>-0.03</v>
      </c>
      <c r="J53" s="307">
        <v>0</v>
      </c>
      <c r="K53" s="329">
        <v>-0.04</v>
      </c>
      <c r="L53" s="309">
        <f t="shared" si="10"/>
        <v>0.02</v>
      </c>
      <c r="M53" s="310">
        <v>0.12</v>
      </c>
      <c r="N53" s="302">
        <v>3</v>
      </c>
      <c r="O53" s="313">
        <v>20</v>
      </c>
      <c r="P53" s="307" t="s">
        <v>66</v>
      </c>
      <c r="Q53" s="307" t="s">
        <v>66</v>
      </c>
      <c r="R53" s="329">
        <v>0.01</v>
      </c>
      <c r="S53" s="309">
        <f t="shared" si="11"/>
        <v>3.9999999999999994E-2</v>
      </c>
      <c r="T53" s="310">
        <v>0.12</v>
      </c>
      <c r="V53" s="315"/>
      <c r="W53" s="315"/>
      <c r="X53" s="318"/>
      <c r="Y53" s="317"/>
      <c r="Z53" s="318"/>
      <c r="AA53" s="293"/>
      <c r="AB53" s="315"/>
      <c r="AC53" s="315"/>
      <c r="AD53" s="318"/>
      <c r="AE53" s="317"/>
      <c r="AF53" s="318"/>
    </row>
    <row r="54" spans="1:32" ht="12.75" customHeight="1">
      <c r="A54" s="313">
        <v>60</v>
      </c>
      <c r="B54" s="307">
        <v>-0.03</v>
      </c>
      <c r="C54" s="307">
        <v>0</v>
      </c>
      <c r="D54" s="329">
        <v>-0.06</v>
      </c>
      <c r="E54" s="309">
        <f t="shared" si="9"/>
        <v>0.03</v>
      </c>
      <c r="F54" s="310">
        <v>0.12</v>
      </c>
      <c r="G54" s="302">
        <v>4</v>
      </c>
      <c r="H54" s="313">
        <v>60</v>
      </c>
      <c r="I54" s="307">
        <v>-0.04</v>
      </c>
      <c r="J54" s="307">
        <v>0</v>
      </c>
      <c r="K54" s="329">
        <v>-0.03</v>
      </c>
      <c r="L54" s="309">
        <f t="shared" si="10"/>
        <v>1.4999999999999999E-2</v>
      </c>
      <c r="M54" s="310">
        <v>0.12</v>
      </c>
      <c r="N54" s="302">
        <v>4</v>
      </c>
      <c r="O54" s="313">
        <v>30</v>
      </c>
      <c r="P54" s="307">
        <v>0.02</v>
      </c>
      <c r="Q54" s="307">
        <v>0</v>
      </c>
      <c r="R54" s="329">
        <v>0.01</v>
      </c>
      <c r="S54" s="309">
        <f t="shared" si="11"/>
        <v>5.0000000000000001E-3</v>
      </c>
      <c r="T54" s="310">
        <v>0.12</v>
      </c>
      <c r="V54" s="315"/>
      <c r="W54" s="315"/>
      <c r="X54" s="316"/>
      <c r="Y54" s="317"/>
      <c r="Z54" s="318"/>
      <c r="AA54" s="293"/>
      <c r="AB54" s="315"/>
      <c r="AC54" s="315"/>
      <c r="AD54" s="316"/>
      <c r="AE54" s="317"/>
      <c r="AF54" s="318"/>
    </row>
    <row r="55" spans="1:32" ht="12.75" customHeight="1">
      <c r="A55" s="313">
        <v>60</v>
      </c>
      <c r="B55" s="307">
        <v>-0.03</v>
      </c>
      <c r="C55" s="307">
        <v>0</v>
      </c>
      <c r="D55" s="329">
        <v>-0.06</v>
      </c>
      <c r="E55" s="309">
        <f t="shared" si="9"/>
        <v>0.03</v>
      </c>
      <c r="F55" s="310">
        <v>0.12</v>
      </c>
      <c r="G55" s="302">
        <v>5</v>
      </c>
      <c r="H55" s="313">
        <v>60</v>
      </c>
      <c r="I55" s="307">
        <v>-0.04</v>
      </c>
      <c r="J55" s="307">
        <v>0</v>
      </c>
      <c r="K55" s="329">
        <v>-0.03</v>
      </c>
      <c r="L55" s="309">
        <f t="shared" si="10"/>
        <v>1.4999999999999999E-2</v>
      </c>
      <c r="M55" s="310">
        <v>0.12</v>
      </c>
      <c r="N55" s="302">
        <v>5</v>
      </c>
      <c r="O55" s="313">
        <v>40</v>
      </c>
      <c r="P55" s="307" t="s">
        <v>66</v>
      </c>
      <c r="Q55" s="307" t="s">
        <v>66</v>
      </c>
      <c r="R55" s="329">
        <v>0.02</v>
      </c>
      <c r="S55" s="309">
        <f t="shared" si="11"/>
        <v>3.9999999999999994E-2</v>
      </c>
      <c r="T55" s="310">
        <v>0.12</v>
      </c>
      <c r="V55" s="315"/>
      <c r="W55" s="315"/>
      <c r="X55" s="316"/>
      <c r="Y55" s="317"/>
      <c r="Z55" s="318"/>
      <c r="AA55" s="293"/>
      <c r="AB55" s="315"/>
      <c r="AC55" s="315"/>
      <c r="AD55" s="316"/>
      <c r="AE55" s="317"/>
      <c r="AF55" s="318"/>
    </row>
    <row r="56" spans="1:32" ht="12.75" customHeight="1">
      <c r="A56" s="313">
        <v>60</v>
      </c>
      <c r="B56" s="307">
        <v>-0.03</v>
      </c>
      <c r="C56" s="307">
        <v>0</v>
      </c>
      <c r="D56" s="329">
        <v>-0.06</v>
      </c>
      <c r="E56" s="309">
        <f t="shared" si="9"/>
        <v>0.03</v>
      </c>
      <c r="F56" s="310">
        <v>0.12</v>
      </c>
      <c r="G56" s="302">
        <v>6</v>
      </c>
      <c r="H56" s="313">
        <v>60</v>
      </c>
      <c r="I56" s="307">
        <v>-0.04</v>
      </c>
      <c r="J56" s="307">
        <v>0</v>
      </c>
      <c r="K56" s="329">
        <v>-0.03</v>
      </c>
      <c r="L56" s="309">
        <f t="shared" si="10"/>
        <v>1.4999999999999999E-2</v>
      </c>
      <c r="M56" s="310">
        <v>0.12</v>
      </c>
      <c r="N56" s="302">
        <v>6</v>
      </c>
      <c r="O56" s="313">
        <v>50</v>
      </c>
      <c r="P56" s="307" t="s">
        <v>66</v>
      </c>
      <c r="Q56" s="307" t="s">
        <v>66</v>
      </c>
      <c r="R56" s="329">
        <v>0.02</v>
      </c>
      <c r="S56" s="309">
        <f t="shared" si="11"/>
        <v>3.9999999999999994E-2</v>
      </c>
      <c r="T56" s="310">
        <v>0.12</v>
      </c>
      <c r="V56" s="315"/>
      <c r="W56" s="315"/>
      <c r="X56" s="316"/>
      <c r="Y56" s="317"/>
      <c r="Z56" s="318"/>
      <c r="AA56" s="293"/>
      <c r="AB56" s="315"/>
      <c r="AC56" s="315"/>
      <c r="AD56" s="316"/>
      <c r="AE56" s="317"/>
      <c r="AF56" s="318"/>
    </row>
    <row r="57" spans="1:32" ht="12.75" customHeight="1">
      <c r="A57" s="313">
        <v>60</v>
      </c>
      <c r="B57" s="307">
        <v>-0.03</v>
      </c>
      <c r="C57" s="307">
        <v>0</v>
      </c>
      <c r="D57" s="329">
        <v>-0.06</v>
      </c>
      <c r="E57" s="309">
        <f t="shared" si="9"/>
        <v>0.03</v>
      </c>
      <c r="F57" s="310">
        <v>0.12</v>
      </c>
      <c r="G57" s="302">
        <v>7</v>
      </c>
      <c r="H57" s="313">
        <v>60</v>
      </c>
      <c r="I57" s="307">
        <v>-0.04</v>
      </c>
      <c r="J57" s="307">
        <v>0</v>
      </c>
      <c r="K57" s="329">
        <v>-0.03</v>
      </c>
      <c r="L57" s="309">
        <f t="shared" si="10"/>
        <v>1.4999999999999999E-2</v>
      </c>
      <c r="M57" s="310">
        <v>0.12</v>
      </c>
      <c r="N57" s="302">
        <v>7</v>
      </c>
      <c r="O57" s="313">
        <v>60</v>
      </c>
      <c r="P57" s="307">
        <v>0.03</v>
      </c>
      <c r="Q57" s="307">
        <v>0.01</v>
      </c>
      <c r="R57" s="329">
        <v>0.02</v>
      </c>
      <c r="S57" s="309">
        <f t="shared" si="11"/>
        <v>5.0000000000000001E-3</v>
      </c>
      <c r="T57" s="310">
        <v>0.12</v>
      </c>
      <c r="V57" s="315"/>
      <c r="W57" s="315"/>
      <c r="X57" s="316"/>
      <c r="Y57" s="317"/>
      <c r="Z57" s="318"/>
      <c r="AA57" s="293"/>
      <c r="AB57" s="315"/>
      <c r="AC57" s="315"/>
      <c r="AD57" s="316"/>
      <c r="AE57" s="317"/>
      <c r="AF57" s="318"/>
    </row>
    <row r="58" spans="1:32" ht="12.75" customHeight="1">
      <c r="A58" s="313">
        <v>300</v>
      </c>
      <c r="B58" s="307">
        <v>-0.03</v>
      </c>
      <c r="C58" s="307">
        <v>0.01</v>
      </c>
      <c r="D58" s="329">
        <v>-0.05</v>
      </c>
      <c r="E58" s="309">
        <f t="shared" si="9"/>
        <v>3.0000000000000002E-2</v>
      </c>
      <c r="F58" s="310">
        <v>0.12</v>
      </c>
      <c r="G58" s="302">
        <v>8</v>
      </c>
      <c r="H58" s="313">
        <v>300</v>
      </c>
      <c r="I58" s="307">
        <v>-0.03</v>
      </c>
      <c r="J58" s="307">
        <v>0</v>
      </c>
      <c r="K58" s="329">
        <v>-0.03</v>
      </c>
      <c r="L58" s="309">
        <f t="shared" si="10"/>
        <v>1.4999999999999999E-2</v>
      </c>
      <c r="M58" s="310">
        <v>0.12</v>
      </c>
      <c r="N58" s="302">
        <v>8</v>
      </c>
      <c r="O58" s="313">
        <v>300</v>
      </c>
      <c r="P58" s="307">
        <v>0.03</v>
      </c>
      <c r="Q58" s="307">
        <v>-0.01</v>
      </c>
      <c r="R58" s="329">
        <v>0.02</v>
      </c>
      <c r="S58" s="309">
        <f t="shared" si="11"/>
        <v>1.4999999999999999E-2</v>
      </c>
      <c r="T58" s="310">
        <v>0.12</v>
      </c>
      <c r="V58" s="315"/>
      <c r="W58" s="315"/>
      <c r="X58" s="316"/>
      <c r="Y58" s="317"/>
      <c r="Z58" s="318"/>
      <c r="AA58" s="293"/>
      <c r="AB58" s="315"/>
      <c r="AC58" s="315"/>
      <c r="AD58" s="316"/>
      <c r="AE58" s="317"/>
      <c r="AF58" s="318"/>
    </row>
    <row r="59" spans="1:32" ht="12.75" customHeight="1">
      <c r="A59" s="313">
        <v>600</v>
      </c>
      <c r="B59" s="307">
        <v>-0.03</v>
      </c>
      <c r="C59" s="307">
        <v>0.01</v>
      </c>
      <c r="D59" s="329">
        <v>-0.06</v>
      </c>
      <c r="E59" s="309">
        <f>IFERROR(IF(OR(C59="-",D59="-"),1/3*F59,0.5*(MAX(C59:D59)-MIN(C59:D59))),0)</f>
        <v>3.4999999999999996E-2</v>
      </c>
      <c r="F59" s="310">
        <v>0.12</v>
      </c>
      <c r="G59" s="302">
        <v>9</v>
      </c>
      <c r="H59" s="313">
        <v>600</v>
      </c>
      <c r="I59" s="307">
        <v>-0.04</v>
      </c>
      <c r="J59" s="307">
        <v>0.01</v>
      </c>
      <c r="K59" s="329">
        <v>-0.04</v>
      </c>
      <c r="L59" s="309">
        <f>IFERROR(IF(OR(J59="-",K59="-"),1/3*M59,0.5*(MAX(J59:K59)-MIN(J59:K59))),0)</f>
        <v>2.5000000000000001E-2</v>
      </c>
      <c r="M59" s="310">
        <v>0.12</v>
      </c>
      <c r="N59" s="302">
        <v>9</v>
      </c>
      <c r="O59" s="313">
        <v>600</v>
      </c>
      <c r="P59" s="307">
        <v>0.03</v>
      </c>
      <c r="Q59" s="307">
        <v>-0.01</v>
      </c>
      <c r="R59" s="329">
        <v>0.01</v>
      </c>
      <c r="S59" s="309">
        <f t="shared" si="11"/>
        <v>0.01</v>
      </c>
      <c r="T59" s="310">
        <v>0.12</v>
      </c>
      <c r="V59" s="315"/>
      <c r="W59" s="315"/>
      <c r="X59" s="316"/>
      <c r="Y59" s="317"/>
      <c r="Z59" s="318"/>
      <c r="AA59" s="293"/>
      <c r="AB59" s="315"/>
      <c r="AC59" s="315"/>
      <c r="AD59" s="316"/>
      <c r="AE59" s="317"/>
      <c r="AF59" s="318"/>
    </row>
    <row r="60" spans="1:32" ht="13.5" customHeight="1">
      <c r="A60" s="313">
        <v>900</v>
      </c>
      <c r="B60" s="307">
        <v>-0.02</v>
      </c>
      <c r="C60" s="307">
        <v>0.01</v>
      </c>
      <c r="D60" s="329">
        <v>-0.06</v>
      </c>
      <c r="E60" s="309">
        <f t="shared" si="9"/>
        <v>3.4999999999999996E-2</v>
      </c>
      <c r="F60" s="310">
        <v>0.12</v>
      </c>
      <c r="G60" s="302">
        <v>10</v>
      </c>
      <c r="H60" s="313">
        <v>900</v>
      </c>
      <c r="I60" s="307">
        <v>-0.04</v>
      </c>
      <c r="J60" s="307">
        <v>0.01</v>
      </c>
      <c r="K60" s="329">
        <v>-0.03</v>
      </c>
      <c r="L60" s="309">
        <f t="shared" si="10"/>
        <v>0.02</v>
      </c>
      <c r="M60" s="310">
        <v>0.12</v>
      </c>
      <c r="N60" s="302">
        <v>10</v>
      </c>
      <c r="O60" s="313">
        <v>900</v>
      </c>
      <c r="P60" s="307">
        <v>0.02</v>
      </c>
      <c r="Q60" s="307">
        <v>0</v>
      </c>
      <c r="R60" s="313" t="s">
        <v>66</v>
      </c>
      <c r="S60" s="309">
        <f t="shared" si="11"/>
        <v>3.9999999999999994E-2</v>
      </c>
      <c r="T60" s="310">
        <v>0.12</v>
      </c>
      <c r="V60" s="315"/>
      <c r="W60" s="315"/>
      <c r="X60" s="316"/>
      <c r="Y60" s="317"/>
      <c r="Z60" s="318"/>
      <c r="AA60" s="293"/>
      <c r="AB60" s="315"/>
      <c r="AC60" s="315"/>
      <c r="AD60" s="316"/>
      <c r="AE60" s="317"/>
      <c r="AF60" s="318"/>
    </row>
    <row r="61" spans="1:32" ht="13.5" customHeight="1">
      <c r="A61" s="313">
        <v>1200</v>
      </c>
      <c r="B61" s="307" t="s">
        <v>66</v>
      </c>
      <c r="C61" s="307" t="s">
        <v>66</v>
      </c>
      <c r="D61" s="329">
        <v>-0.05</v>
      </c>
      <c r="E61" s="309">
        <f>IFERROR(IF(OR(C61="-",D61="-"),1/3*F61,0.5*(MAX(C61:D61)-MIN(C61:D61))),0)</f>
        <v>3.9999999999999994E-2</v>
      </c>
      <c r="F61" s="310">
        <v>0.12</v>
      </c>
      <c r="G61" s="302">
        <v>11</v>
      </c>
      <c r="H61" s="313">
        <v>1200</v>
      </c>
      <c r="I61" s="307" t="s">
        <v>66</v>
      </c>
      <c r="J61" s="307" t="s">
        <v>66</v>
      </c>
      <c r="K61" s="329">
        <v>-0.02</v>
      </c>
      <c r="L61" s="309">
        <f>IFERROR(IF(OR(J61="-",K61="-"),1/3*M61,0.5*(MAX(J61:K61)-MIN(J61:K61))),0)</f>
        <v>3.9999999999999994E-2</v>
      </c>
      <c r="M61" s="310">
        <v>0.12</v>
      </c>
      <c r="N61" s="302">
        <v>11</v>
      </c>
      <c r="O61" s="313">
        <v>1200</v>
      </c>
      <c r="P61" s="307" t="s">
        <v>66</v>
      </c>
      <c r="Q61" s="307" t="s">
        <v>66</v>
      </c>
      <c r="R61" s="313" t="s">
        <v>66</v>
      </c>
      <c r="S61" s="309">
        <f>IFERROR(IF(OR(Q61="-",R61="-"),1/3*T61,0.5*(MAX(Q61:R61)-MIN(Q61:R61))),0)</f>
        <v>3.9999999999999994E-2</v>
      </c>
      <c r="T61" s="310">
        <v>0.12</v>
      </c>
      <c r="V61" s="315"/>
      <c r="W61" s="315"/>
      <c r="X61" s="316"/>
      <c r="Y61" s="317"/>
      <c r="Z61" s="318"/>
      <c r="AA61" s="321"/>
      <c r="AB61" s="315"/>
      <c r="AC61" s="315"/>
      <c r="AD61" s="316"/>
      <c r="AE61" s="317"/>
      <c r="AF61" s="318"/>
    </row>
    <row r="62" spans="1:32" ht="13.5" customHeight="1">
      <c r="A62" s="331"/>
      <c r="B62" s="332"/>
      <c r="C62" s="333"/>
      <c r="D62" s="334"/>
      <c r="E62" s="317"/>
      <c r="F62" s="318"/>
      <c r="G62" s="321"/>
      <c r="H62" s="332"/>
      <c r="I62" s="332"/>
      <c r="J62" s="333"/>
      <c r="K62" s="334"/>
      <c r="L62" s="317"/>
      <c r="M62" s="318"/>
      <c r="N62" s="327"/>
      <c r="O62" s="332"/>
      <c r="P62" s="332"/>
      <c r="Q62" s="333"/>
      <c r="R62" s="334"/>
      <c r="S62" s="317"/>
      <c r="T62" s="318"/>
      <c r="V62" s="315"/>
      <c r="W62" s="315"/>
      <c r="X62" s="316"/>
      <c r="Y62" s="317"/>
      <c r="Z62" s="318"/>
      <c r="AA62" s="321"/>
      <c r="AB62" s="315"/>
      <c r="AC62" s="315"/>
      <c r="AD62" s="316"/>
      <c r="AE62" s="317"/>
      <c r="AF62" s="318"/>
    </row>
    <row r="63" spans="1:32" ht="13.5" customHeight="1">
      <c r="A63" s="1150" t="s">
        <v>348</v>
      </c>
      <c r="B63" s="1145"/>
      <c r="C63" s="1145"/>
      <c r="D63" s="1146"/>
      <c r="E63" s="1141" t="s">
        <v>92</v>
      </c>
      <c r="F63" s="1142" t="str">
        <f>F48</f>
        <v>U95 STD</v>
      </c>
      <c r="G63" s="321"/>
      <c r="H63" s="1150" t="s">
        <v>349</v>
      </c>
      <c r="I63" s="1145"/>
      <c r="J63" s="1145"/>
      <c r="K63" s="1146"/>
      <c r="L63" s="1141" t="s">
        <v>92</v>
      </c>
      <c r="M63" s="1142" t="str">
        <f>M48</f>
        <v>U95 STD</v>
      </c>
      <c r="N63" s="327"/>
      <c r="O63" s="1150" t="s">
        <v>350</v>
      </c>
      <c r="P63" s="1145"/>
      <c r="Q63" s="1145"/>
      <c r="R63" s="1146"/>
      <c r="S63" s="1141" t="s">
        <v>92</v>
      </c>
      <c r="T63" s="1142" t="str">
        <f>T48</f>
        <v>U95 STD</v>
      </c>
      <c r="V63" s="315"/>
      <c r="W63" s="315"/>
      <c r="X63" s="316"/>
      <c r="Y63" s="317"/>
      <c r="Z63" s="318"/>
      <c r="AA63" s="321"/>
      <c r="AB63" s="315"/>
      <c r="AC63" s="315"/>
      <c r="AD63" s="316"/>
      <c r="AE63" s="317"/>
      <c r="AF63" s="318"/>
    </row>
    <row r="64" spans="1:32" ht="13.5" customHeight="1">
      <c r="A64" s="295" t="str">
        <f>A49</f>
        <v>Timer</v>
      </c>
      <c r="B64" s="1124" t="s">
        <v>93</v>
      </c>
      <c r="C64" s="1125"/>
      <c r="D64" s="1126"/>
      <c r="E64" s="1141"/>
      <c r="F64" s="1142"/>
      <c r="G64" s="321"/>
      <c r="H64" s="295" t="str">
        <f>H49</f>
        <v>Timer</v>
      </c>
      <c r="I64" s="1124" t="s">
        <v>93</v>
      </c>
      <c r="J64" s="1125"/>
      <c r="K64" s="1126"/>
      <c r="L64" s="1141"/>
      <c r="M64" s="1142"/>
      <c r="N64" s="327"/>
      <c r="O64" s="295" t="str">
        <f>O49</f>
        <v>Timer</v>
      </c>
      <c r="P64" s="1124" t="s">
        <v>93</v>
      </c>
      <c r="Q64" s="1125"/>
      <c r="R64" s="1126"/>
      <c r="S64" s="1141"/>
      <c r="T64" s="1142"/>
      <c r="V64" s="315"/>
      <c r="W64" s="315"/>
      <c r="X64" s="316"/>
      <c r="Y64" s="317"/>
      <c r="Z64" s="318"/>
      <c r="AA64" s="321"/>
      <c r="AB64" s="315"/>
      <c r="AC64" s="315"/>
      <c r="AD64" s="316"/>
      <c r="AE64" s="317"/>
      <c r="AF64" s="318"/>
    </row>
    <row r="65" spans="1:32" ht="13.5" customHeight="1">
      <c r="A65" s="299" t="str">
        <f>A50</f>
        <v>s</v>
      </c>
      <c r="B65" s="300">
        <v>2023</v>
      </c>
      <c r="C65" s="300">
        <v>2022</v>
      </c>
      <c r="D65" s="301">
        <v>2021</v>
      </c>
      <c r="E65" s="1141"/>
      <c r="F65" s="1142"/>
      <c r="G65" s="302" t="s">
        <v>102</v>
      </c>
      <c r="H65" s="299" t="str">
        <f>H50</f>
        <v>s</v>
      </c>
      <c r="I65" s="300">
        <v>2023</v>
      </c>
      <c r="J65" s="300">
        <v>2022</v>
      </c>
      <c r="K65" s="301">
        <v>2021</v>
      </c>
      <c r="L65" s="1141"/>
      <c r="M65" s="1142"/>
      <c r="N65" s="302" t="s">
        <v>102</v>
      </c>
      <c r="O65" s="299" t="str">
        <f>O50</f>
        <v>s</v>
      </c>
      <c r="P65" s="300">
        <v>2022</v>
      </c>
      <c r="Q65" s="301">
        <v>2021</v>
      </c>
      <c r="R65" s="335">
        <v>2020</v>
      </c>
      <c r="S65" s="1141"/>
      <c r="T65" s="1142"/>
      <c r="V65" s="315"/>
      <c r="W65" s="315"/>
      <c r="X65" s="316"/>
      <c r="Y65" s="317"/>
      <c r="Z65" s="318"/>
      <c r="AA65" s="321"/>
      <c r="AB65" s="315"/>
      <c r="AC65" s="315"/>
      <c r="AD65" s="316"/>
      <c r="AE65" s="317"/>
      <c r="AF65" s="318"/>
    </row>
    <row r="66" spans="1:32" ht="13.5" customHeight="1">
      <c r="A66" s="306">
        <v>0</v>
      </c>
      <c r="B66" s="307">
        <v>0</v>
      </c>
      <c r="C66" s="307">
        <v>0</v>
      </c>
      <c r="D66" s="308">
        <v>9.9999999999999995E-7</v>
      </c>
      <c r="E66" s="309">
        <f>IFERROR(IF(OR(C66="-",D66="-"),1/3*F66,0.5*(MAX(C66:D66)-MIN(C66:D66))),0)</f>
        <v>4.9999999999999998E-7</v>
      </c>
      <c r="F66" s="310">
        <v>0</v>
      </c>
      <c r="G66" s="302">
        <v>1</v>
      </c>
      <c r="H66" s="306">
        <v>0</v>
      </c>
      <c r="I66" s="307">
        <v>0</v>
      </c>
      <c r="J66" s="307">
        <v>0</v>
      </c>
      <c r="K66" s="308">
        <v>9.9999999999999995E-7</v>
      </c>
      <c r="L66" s="309">
        <f>IFERROR(IF(OR(J66="-",K66="-"),1/3*M66,0.5*(MAX(J66:K66)-MIN(J66:K66))),0)</f>
        <v>4.9999999999999998E-7</v>
      </c>
      <c r="M66" s="310">
        <v>0</v>
      </c>
      <c r="N66" s="302">
        <v>1</v>
      </c>
      <c r="O66" s="306">
        <v>0</v>
      </c>
      <c r="P66" s="307">
        <v>0</v>
      </c>
      <c r="Q66" s="308">
        <v>9.9999999999999995E-7</v>
      </c>
      <c r="R66" s="308">
        <v>9.9999999999999995E-7</v>
      </c>
      <c r="S66" s="309">
        <f>IFERROR(IF(OR(Q66="-",R66="-"),1/3*T66,0.5*(MAX(Q66:R66)-MIN(Q66:R66))),0)</f>
        <v>0</v>
      </c>
      <c r="T66" s="310">
        <v>0</v>
      </c>
      <c r="V66" s="315"/>
      <c r="W66" s="315"/>
      <c r="X66" s="316"/>
      <c r="Y66" s="317"/>
      <c r="Z66" s="318"/>
      <c r="AA66" s="321"/>
      <c r="AB66" s="315"/>
      <c r="AC66" s="315"/>
      <c r="AD66" s="316"/>
      <c r="AE66" s="317"/>
      <c r="AF66" s="318"/>
    </row>
    <row r="67" spans="1:32" ht="13.5" customHeight="1">
      <c r="A67" s="313">
        <v>10</v>
      </c>
      <c r="B67" s="307">
        <v>-0.01</v>
      </c>
      <c r="C67" s="307">
        <v>0</v>
      </c>
      <c r="D67" s="329">
        <v>0.02</v>
      </c>
      <c r="E67" s="309">
        <f t="shared" ref="E67:E75" si="12">IFERROR(IF(OR(C67="-",D67="-"),1/3*F67,0.5*(MAX(C67:D67)-MIN(C67:D67))),0)</f>
        <v>0.01</v>
      </c>
      <c r="F67" s="310">
        <v>0.12</v>
      </c>
      <c r="G67" s="302">
        <v>2</v>
      </c>
      <c r="H67" s="313">
        <v>10</v>
      </c>
      <c r="I67" s="307">
        <v>-0.04</v>
      </c>
      <c r="J67" s="307">
        <v>0</v>
      </c>
      <c r="K67" s="329">
        <v>0.02</v>
      </c>
      <c r="L67" s="309">
        <f t="shared" ref="L67:L75" si="13">IFERROR(IF(OR(J67="-",K67="-"),1/3*M67,0.5*(MAX(J67:K67)-MIN(J67:K67))),0)</f>
        <v>0.01</v>
      </c>
      <c r="M67" s="310">
        <v>0.12</v>
      </c>
      <c r="N67" s="302">
        <v>2</v>
      </c>
      <c r="O67" s="313">
        <v>10</v>
      </c>
      <c r="P67" s="307">
        <v>0.01</v>
      </c>
      <c r="Q67" s="329">
        <v>0.03</v>
      </c>
      <c r="R67" s="313" t="s">
        <v>66</v>
      </c>
      <c r="S67" s="309">
        <f t="shared" ref="S67:S75" si="14">IFERROR(IF(OR(Q67="-",R67="-"),1/3*T67,0.5*(MAX(Q67:R67)-MIN(Q67:R67))),0)</f>
        <v>3.9999999999999994E-2</v>
      </c>
      <c r="T67" s="310">
        <v>0.12</v>
      </c>
      <c r="V67" s="315"/>
      <c r="W67" s="315"/>
      <c r="X67" s="316"/>
      <c r="Y67" s="317"/>
      <c r="Z67" s="318"/>
      <c r="AA67" s="321"/>
      <c r="AB67" s="315"/>
      <c r="AC67" s="315"/>
      <c r="AD67" s="316"/>
      <c r="AE67" s="317"/>
      <c r="AF67" s="318"/>
    </row>
    <row r="68" spans="1:32" ht="13.5" customHeight="1">
      <c r="A68" s="313">
        <v>20</v>
      </c>
      <c r="B68" s="307" t="s">
        <v>66</v>
      </c>
      <c r="C68" s="307" t="s">
        <v>66</v>
      </c>
      <c r="D68" s="329">
        <v>0.03</v>
      </c>
      <c r="E68" s="309">
        <f t="shared" si="12"/>
        <v>3.9999999999999994E-2</v>
      </c>
      <c r="F68" s="310">
        <v>0.12</v>
      </c>
      <c r="G68" s="302">
        <v>3</v>
      </c>
      <c r="H68" s="313">
        <v>20</v>
      </c>
      <c r="I68" s="307" t="s">
        <v>66</v>
      </c>
      <c r="J68" s="307" t="s">
        <v>66</v>
      </c>
      <c r="K68" s="329">
        <v>0.02</v>
      </c>
      <c r="L68" s="309">
        <f t="shared" si="13"/>
        <v>3.9999999999999994E-2</v>
      </c>
      <c r="M68" s="310">
        <v>0.12</v>
      </c>
      <c r="N68" s="302">
        <v>3</v>
      </c>
      <c r="O68" s="313">
        <v>30</v>
      </c>
      <c r="P68" s="307">
        <v>0.01</v>
      </c>
      <c r="Q68" s="329">
        <v>0.03</v>
      </c>
      <c r="R68" s="313" t="s">
        <v>66</v>
      </c>
      <c r="S68" s="309">
        <f t="shared" si="14"/>
        <v>3.9999999999999994E-2</v>
      </c>
      <c r="T68" s="310">
        <v>0.12</v>
      </c>
      <c r="V68" s="315"/>
      <c r="W68" s="315"/>
      <c r="X68" s="316"/>
      <c r="Y68" s="317"/>
      <c r="Z68" s="318"/>
      <c r="AA68" s="321"/>
      <c r="AB68" s="315"/>
      <c r="AC68" s="315"/>
      <c r="AD68" s="316"/>
      <c r="AE68" s="317"/>
      <c r="AF68" s="318"/>
    </row>
    <row r="69" spans="1:32" ht="13.5" customHeight="1">
      <c r="A69" s="313">
        <v>30</v>
      </c>
      <c r="B69" s="307">
        <v>-0.02</v>
      </c>
      <c r="C69" s="307">
        <v>0.01</v>
      </c>
      <c r="D69" s="329">
        <v>0.02</v>
      </c>
      <c r="E69" s="309">
        <f t="shared" si="12"/>
        <v>5.0000000000000001E-3</v>
      </c>
      <c r="F69" s="310">
        <v>0.12</v>
      </c>
      <c r="G69" s="302">
        <v>4</v>
      </c>
      <c r="H69" s="313">
        <v>30</v>
      </c>
      <c r="I69" s="307">
        <v>-0.05</v>
      </c>
      <c r="J69" s="307">
        <v>0.01</v>
      </c>
      <c r="K69" s="329">
        <v>0.02</v>
      </c>
      <c r="L69" s="309">
        <f t="shared" si="13"/>
        <v>5.0000000000000001E-3</v>
      </c>
      <c r="M69" s="310">
        <v>0.12</v>
      </c>
      <c r="N69" s="302">
        <v>4</v>
      </c>
      <c r="O69" s="313">
        <v>60</v>
      </c>
      <c r="P69" s="307">
        <v>0.01</v>
      </c>
      <c r="Q69" s="329">
        <v>0.04</v>
      </c>
      <c r="R69" s="308">
        <v>9.9999999999999995E-7</v>
      </c>
      <c r="S69" s="309">
        <f t="shared" si="14"/>
        <v>1.99995E-2</v>
      </c>
      <c r="T69" s="310">
        <v>0.12</v>
      </c>
      <c r="V69" s="315"/>
      <c r="W69" s="315"/>
      <c r="X69" s="316"/>
      <c r="Y69" s="317"/>
      <c r="Z69" s="318"/>
      <c r="AA69" s="321"/>
      <c r="AB69" s="315"/>
      <c r="AC69" s="315"/>
      <c r="AD69" s="316"/>
      <c r="AE69" s="317"/>
      <c r="AF69" s="318"/>
    </row>
    <row r="70" spans="1:32" ht="13.5" customHeight="1">
      <c r="A70" s="313">
        <v>40</v>
      </c>
      <c r="B70" s="307" t="s">
        <v>66</v>
      </c>
      <c r="C70" s="307" t="s">
        <v>66</v>
      </c>
      <c r="D70" s="329">
        <v>0.01</v>
      </c>
      <c r="E70" s="309">
        <f t="shared" si="12"/>
        <v>3.9999999999999994E-2</v>
      </c>
      <c r="F70" s="310">
        <v>0.12</v>
      </c>
      <c r="G70" s="302">
        <v>5</v>
      </c>
      <c r="H70" s="313">
        <v>40</v>
      </c>
      <c r="I70" s="307" t="s">
        <v>66</v>
      </c>
      <c r="J70" s="307" t="s">
        <v>66</v>
      </c>
      <c r="K70" s="329">
        <v>0.03</v>
      </c>
      <c r="L70" s="309">
        <f t="shared" si="13"/>
        <v>3.9999999999999994E-2</v>
      </c>
      <c r="M70" s="310">
        <v>0.12</v>
      </c>
      <c r="N70" s="302">
        <v>5</v>
      </c>
      <c r="O70" s="313">
        <v>60</v>
      </c>
      <c r="P70" s="307">
        <v>0.01</v>
      </c>
      <c r="Q70" s="329">
        <v>0.04</v>
      </c>
      <c r="R70" s="308">
        <v>9.9999999999999995E-7</v>
      </c>
      <c r="S70" s="309">
        <f t="shared" si="14"/>
        <v>1.99995E-2</v>
      </c>
      <c r="T70" s="310">
        <v>0.12</v>
      </c>
      <c r="V70" s="315"/>
      <c r="W70" s="315"/>
      <c r="X70" s="316"/>
      <c r="Y70" s="317"/>
      <c r="Z70" s="318"/>
      <c r="AA70" s="321"/>
      <c r="AB70" s="315"/>
      <c r="AC70" s="315"/>
      <c r="AD70" s="316"/>
      <c r="AE70" s="317"/>
      <c r="AF70" s="318"/>
    </row>
    <row r="71" spans="1:32" ht="13.5" customHeight="1">
      <c r="A71" s="313">
        <v>50</v>
      </c>
      <c r="B71" s="307" t="s">
        <v>66</v>
      </c>
      <c r="C71" s="307" t="s">
        <v>66</v>
      </c>
      <c r="D71" s="329">
        <v>0.02</v>
      </c>
      <c r="E71" s="309">
        <f t="shared" si="12"/>
        <v>3.9999999999999994E-2</v>
      </c>
      <c r="F71" s="310">
        <v>0.12</v>
      </c>
      <c r="G71" s="302">
        <v>6</v>
      </c>
      <c r="H71" s="313">
        <v>50</v>
      </c>
      <c r="I71" s="307" t="s">
        <v>66</v>
      </c>
      <c r="J71" s="307" t="s">
        <v>66</v>
      </c>
      <c r="K71" s="329">
        <v>0.03</v>
      </c>
      <c r="L71" s="309">
        <f t="shared" si="13"/>
        <v>3.9999999999999994E-2</v>
      </c>
      <c r="M71" s="310">
        <v>0.12</v>
      </c>
      <c r="N71" s="302">
        <v>6</v>
      </c>
      <c r="O71" s="313">
        <v>60</v>
      </c>
      <c r="P71" s="307">
        <v>0.01</v>
      </c>
      <c r="Q71" s="329">
        <v>0.04</v>
      </c>
      <c r="R71" s="308">
        <v>9.9999999999999995E-7</v>
      </c>
      <c r="S71" s="309">
        <f t="shared" si="14"/>
        <v>1.99995E-2</v>
      </c>
      <c r="T71" s="310">
        <v>0.12</v>
      </c>
      <c r="V71" s="315"/>
      <c r="W71" s="315"/>
      <c r="X71" s="316"/>
      <c r="Y71" s="317"/>
      <c r="Z71" s="318"/>
      <c r="AA71" s="321"/>
      <c r="AB71" s="315"/>
      <c r="AC71" s="315"/>
      <c r="AD71" s="316"/>
      <c r="AE71" s="317"/>
      <c r="AF71" s="318"/>
    </row>
    <row r="72" spans="1:32" ht="13.5" customHeight="1">
      <c r="A72" s="313">
        <v>60</v>
      </c>
      <c r="B72" s="307">
        <v>-0.01</v>
      </c>
      <c r="C72" s="307">
        <v>0</v>
      </c>
      <c r="D72" s="329">
        <v>0.02</v>
      </c>
      <c r="E72" s="309">
        <f t="shared" si="12"/>
        <v>0.01</v>
      </c>
      <c r="F72" s="310">
        <v>0.12</v>
      </c>
      <c r="G72" s="302">
        <v>7</v>
      </c>
      <c r="H72" s="313">
        <v>60</v>
      </c>
      <c r="I72" s="307">
        <v>-0.05</v>
      </c>
      <c r="J72" s="307">
        <v>0.01</v>
      </c>
      <c r="K72" s="329">
        <v>0.03</v>
      </c>
      <c r="L72" s="309">
        <f t="shared" si="13"/>
        <v>9.9999999999999985E-3</v>
      </c>
      <c r="M72" s="310">
        <v>0.12</v>
      </c>
      <c r="N72" s="302">
        <v>7</v>
      </c>
      <c r="O72" s="313">
        <v>60</v>
      </c>
      <c r="P72" s="307">
        <v>0.01</v>
      </c>
      <c r="Q72" s="329">
        <v>0.04</v>
      </c>
      <c r="R72" s="308">
        <v>9.9999999999999995E-7</v>
      </c>
      <c r="S72" s="309">
        <f t="shared" si="14"/>
        <v>1.99995E-2</v>
      </c>
      <c r="T72" s="310">
        <v>0.12</v>
      </c>
      <c r="V72" s="315"/>
      <c r="W72" s="315"/>
      <c r="X72" s="316"/>
      <c r="Y72" s="317"/>
      <c r="Z72" s="318"/>
      <c r="AA72" s="321"/>
      <c r="AB72" s="315"/>
      <c r="AC72" s="315"/>
      <c r="AD72" s="316"/>
      <c r="AE72" s="317"/>
      <c r="AF72" s="318"/>
    </row>
    <row r="73" spans="1:32" ht="13.5" customHeight="1">
      <c r="A73" s="313">
        <v>300</v>
      </c>
      <c r="B73" s="307">
        <v>-0.01</v>
      </c>
      <c r="C73" s="307">
        <v>0</v>
      </c>
      <c r="D73" s="329">
        <v>0.01</v>
      </c>
      <c r="E73" s="309">
        <f t="shared" si="12"/>
        <v>5.0000000000000001E-3</v>
      </c>
      <c r="F73" s="310">
        <v>0.12</v>
      </c>
      <c r="G73" s="302">
        <v>8</v>
      </c>
      <c r="H73" s="313">
        <v>300</v>
      </c>
      <c r="I73" s="307">
        <v>-0.04</v>
      </c>
      <c r="J73" s="307">
        <v>0.01</v>
      </c>
      <c r="K73" s="329">
        <v>0.03</v>
      </c>
      <c r="L73" s="309">
        <f t="shared" si="13"/>
        <v>9.9999999999999985E-3</v>
      </c>
      <c r="M73" s="310">
        <v>0.12</v>
      </c>
      <c r="N73" s="302">
        <v>8</v>
      </c>
      <c r="O73" s="313">
        <v>300</v>
      </c>
      <c r="P73" s="307">
        <v>0.01</v>
      </c>
      <c r="Q73" s="329">
        <v>0.04</v>
      </c>
      <c r="R73" s="329">
        <v>-0.01</v>
      </c>
      <c r="S73" s="309">
        <f t="shared" si="14"/>
        <v>2.5000000000000001E-2</v>
      </c>
      <c r="T73" s="310">
        <v>0.12</v>
      </c>
      <c r="V73" s="315"/>
      <c r="W73" s="315"/>
      <c r="X73" s="316"/>
      <c r="Y73" s="317"/>
      <c r="Z73" s="318"/>
      <c r="AA73" s="321"/>
      <c r="AB73" s="315"/>
      <c r="AC73" s="315"/>
      <c r="AD73" s="316"/>
      <c r="AE73" s="317"/>
      <c r="AF73" s="318"/>
    </row>
    <row r="74" spans="1:32" ht="13.5" customHeight="1">
      <c r="A74" s="313">
        <v>600</v>
      </c>
      <c r="B74" s="307">
        <v>-0.02</v>
      </c>
      <c r="C74" s="307">
        <v>-0.01</v>
      </c>
      <c r="D74" s="329">
        <v>0.01</v>
      </c>
      <c r="E74" s="309">
        <f t="shared" si="12"/>
        <v>0.01</v>
      </c>
      <c r="F74" s="310">
        <v>0.12</v>
      </c>
      <c r="G74" s="302">
        <v>9</v>
      </c>
      <c r="H74" s="313">
        <v>600</v>
      </c>
      <c r="I74" s="307">
        <v>-0.04</v>
      </c>
      <c r="J74" s="307">
        <v>0.01</v>
      </c>
      <c r="K74" s="329">
        <v>0.04</v>
      </c>
      <c r="L74" s="309">
        <f t="shared" si="13"/>
        <v>1.4999999999999999E-2</v>
      </c>
      <c r="M74" s="310">
        <v>0.12</v>
      </c>
      <c r="N74" s="302">
        <v>9</v>
      </c>
      <c r="O74" s="313">
        <v>600</v>
      </c>
      <c r="P74" s="307">
        <v>0.02</v>
      </c>
      <c r="Q74" s="329">
        <v>0.04</v>
      </c>
      <c r="R74" s="329">
        <v>-0.02</v>
      </c>
      <c r="S74" s="309">
        <f t="shared" si="14"/>
        <v>0.03</v>
      </c>
      <c r="T74" s="310">
        <v>0.12</v>
      </c>
      <c r="V74" s="315"/>
      <c r="W74" s="315"/>
      <c r="X74" s="316"/>
      <c r="Y74" s="317"/>
      <c r="Z74" s="318"/>
      <c r="AA74" s="321"/>
      <c r="AB74" s="315"/>
      <c r="AC74" s="315"/>
      <c r="AD74" s="316"/>
      <c r="AE74" s="317"/>
      <c r="AF74" s="318"/>
    </row>
    <row r="75" spans="1:32" ht="13.5" customHeight="1">
      <c r="A75" s="313">
        <v>900</v>
      </c>
      <c r="B75" s="307">
        <v>-0.03</v>
      </c>
      <c r="C75" s="307">
        <v>-0.05</v>
      </c>
      <c r="D75" s="313" t="s">
        <v>66</v>
      </c>
      <c r="E75" s="309">
        <f t="shared" si="12"/>
        <v>3.9999999999999994E-2</v>
      </c>
      <c r="F75" s="310">
        <v>0.12</v>
      </c>
      <c r="G75" s="302">
        <v>10</v>
      </c>
      <c r="H75" s="313">
        <v>900</v>
      </c>
      <c r="I75" s="307">
        <v>-0.04</v>
      </c>
      <c r="J75" s="307">
        <v>0.01</v>
      </c>
      <c r="K75" s="313" t="s">
        <v>66</v>
      </c>
      <c r="L75" s="309">
        <f t="shared" si="13"/>
        <v>3.9999999999999994E-2</v>
      </c>
      <c r="M75" s="310">
        <v>0.12</v>
      </c>
      <c r="N75" s="302">
        <v>10</v>
      </c>
      <c r="O75" s="313">
        <v>900</v>
      </c>
      <c r="P75" s="307">
        <v>0.01</v>
      </c>
      <c r="Q75" s="329">
        <v>0.04</v>
      </c>
      <c r="R75" s="329">
        <v>-0.03</v>
      </c>
      <c r="S75" s="309">
        <f t="shared" si="14"/>
        <v>3.5000000000000003E-2</v>
      </c>
      <c r="T75" s="310">
        <v>0.12</v>
      </c>
      <c r="V75" s="315"/>
      <c r="W75" s="315"/>
      <c r="X75" s="316"/>
      <c r="Y75" s="317"/>
      <c r="Z75" s="318"/>
      <c r="AA75" s="321"/>
      <c r="AB75" s="315"/>
      <c r="AC75" s="315"/>
      <c r="AD75" s="316"/>
      <c r="AE75" s="317"/>
      <c r="AF75" s="318"/>
    </row>
    <row r="76" spans="1:32" ht="13.5" customHeight="1">
      <c r="A76" s="313">
        <v>1200</v>
      </c>
      <c r="B76" s="336"/>
      <c r="C76" s="336" t="s">
        <v>66</v>
      </c>
      <c r="D76" s="313" t="s">
        <v>66</v>
      </c>
      <c r="E76" s="309">
        <f>IFERROR(IF(OR(C76="-",D76="-"),1/3*F76,0.5*(MAX(C76:D76)-MIN(C76:D76))),0)</f>
        <v>3.9999999999999994E-2</v>
      </c>
      <c r="F76" s="310">
        <v>0.12</v>
      </c>
      <c r="G76" s="302">
        <v>11</v>
      </c>
      <c r="H76" s="313">
        <v>1200</v>
      </c>
      <c r="I76" s="336" t="s">
        <v>66</v>
      </c>
      <c r="J76" s="336" t="s">
        <v>66</v>
      </c>
      <c r="K76" s="313" t="s">
        <v>66</v>
      </c>
      <c r="L76" s="309">
        <f>IFERROR(IF(OR(J76="-",K76="-"),1/3*M76,0.5*(MAX(J76:K76)-MIN(J76:K76))),0)</f>
        <v>3.9999999999999994E-2</v>
      </c>
      <c r="M76" s="310">
        <v>0.12</v>
      </c>
      <c r="N76" s="302">
        <v>11</v>
      </c>
      <c r="O76" s="313">
        <v>1200</v>
      </c>
      <c r="P76" s="307" t="s">
        <v>66</v>
      </c>
      <c r="Q76" s="329">
        <v>0.04</v>
      </c>
      <c r="R76" s="329">
        <v>-0.04</v>
      </c>
      <c r="S76" s="309">
        <f>IFERROR(IF(OR(Q76="-",R76="-"),1/3*T76,0.5*(MAX(Q76:R76)-MIN(Q76:R76))),0)</f>
        <v>0.04</v>
      </c>
      <c r="T76" s="310">
        <v>0.12</v>
      </c>
      <c r="V76" s="315"/>
      <c r="W76" s="315"/>
      <c r="X76" s="316"/>
      <c r="Y76" s="317"/>
      <c r="Z76" s="318"/>
      <c r="AA76" s="321"/>
      <c r="AB76" s="315"/>
      <c r="AC76" s="315"/>
      <c r="AD76" s="316"/>
      <c r="AE76" s="317"/>
      <c r="AF76" s="318"/>
    </row>
    <row r="77" spans="1:32" ht="13.5" customHeight="1">
      <c r="A77" s="331"/>
      <c r="B77" s="332"/>
      <c r="C77" s="333"/>
      <c r="D77" s="334"/>
      <c r="E77" s="317"/>
      <c r="F77" s="318"/>
      <c r="G77" s="321"/>
      <c r="H77" s="332"/>
      <c r="I77" s="332"/>
      <c r="J77" s="333"/>
      <c r="K77" s="334"/>
      <c r="L77" s="317"/>
      <c r="M77" s="318"/>
      <c r="N77" s="327"/>
      <c r="O77" s="332"/>
      <c r="P77" s="332"/>
      <c r="Q77" s="333"/>
      <c r="R77" s="334"/>
      <c r="S77" s="317"/>
      <c r="T77" s="318"/>
      <c r="V77" s="315"/>
      <c r="W77" s="315"/>
      <c r="X77" s="316"/>
      <c r="Y77" s="317"/>
      <c r="Z77" s="318"/>
      <c r="AA77" s="321"/>
      <c r="AB77" s="315"/>
      <c r="AC77" s="315"/>
      <c r="AD77" s="316"/>
      <c r="AE77" s="317"/>
      <c r="AF77" s="318"/>
    </row>
    <row r="78" spans="1:32" ht="13.5" customHeight="1">
      <c r="A78" s="1150" t="s">
        <v>351</v>
      </c>
      <c r="B78" s="1145"/>
      <c r="C78" s="1145"/>
      <c r="D78" s="1146"/>
      <c r="E78" s="1141" t="s">
        <v>92</v>
      </c>
      <c r="F78" s="1142" t="str">
        <f>F63</f>
        <v>U95 STD</v>
      </c>
      <c r="G78" s="321"/>
      <c r="H78" s="1150" t="s">
        <v>381</v>
      </c>
      <c r="I78" s="1145"/>
      <c r="J78" s="1145"/>
      <c r="K78" s="1146"/>
      <c r="L78" s="1141" t="s">
        <v>92</v>
      </c>
      <c r="M78" s="1142" t="str">
        <f>M63</f>
        <v>U95 STD</v>
      </c>
      <c r="N78" s="327"/>
      <c r="O78" s="332"/>
      <c r="P78" s="332"/>
      <c r="Q78" s="333"/>
      <c r="R78" s="334"/>
      <c r="S78" s="317"/>
      <c r="T78" s="318"/>
      <c r="V78" s="315"/>
      <c r="W78" s="315"/>
      <c r="X78" s="316"/>
      <c r="Y78" s="317"/>
      <c r="Z78" s="318"/>
      <c r="AA78" s="321"/>
      <c r="AB78" s="315"/>
      <c r="AC78" s="315"/>
      <c r="AD78" s="316"/>
      <c r="AE78" s="317"/>
      <c r="AF78" s="318"/>
    </row>
    <row r="79" spans="1:32" ht="13.5" customHeight="1">
      <c r="A79" s="295" t="str">
        <f>A64</f>
        <v>Timer</v>
      </c>
      <c r="B79" s="1124" t="s">
        <v>93</v>
      </c>
      <c r="C79" s="1125"/>
      <c r="D79" s="1126"/>
      <c r="E79" s="1141"/>
      <c r="F79" s="1142"/>
      <c r="G79" s="321"/>
      <c r="H79" s="295" t="str">
        <f>H64</f>
        <v>Timer</v>
      </c>
      <c r="I79" s="1124" t="s">
        <v>93</v>
      </c>
      <c r="J79" s="1125"/>
      <c r="K79" s="1126"/>
      <c r="L79" s="1141"/>
      <c r="M79" s="1142"/>
      <c r="N79" s="327"/>
      <c r="O79" s="332"/>
      <c r="P79" s="332"/>
      <c r="Q79" s="333"/>
      <c r="R79" s="334"/>
      <c r="S79" s="317"/>
      <c r="T79" s="318"/>
      <c r="V79" s="315"/>
      <c r="W79" s="315"/>
      <c r="X79" s="316"/>
      <c r="Y79" s="317"/>
      <c r="Z79" s="318"/>
      <c r="AA79" s="321"/>
      <c r="AB79" s="315"/>
      <c r="AC79" s="315"/>
      <c r="AD79" s="316"/>
      <c r="AE79" s="317"/>
      <c r="AF79" s="318"/>
    </row>
    <row r="80" spans="1:32" ht="13.5" customHeight="1">
      <c r="A80" s="299" t="str">
        <f>A65</f>
        <v>s</v>
      </c>
      <c r="B80" s="300">
        <v>2023</v>
      </c>
      <c r="C80" s="300">
        <v>2022</v>
      </c>
      <c r="D80" s="301">
        <v>2021</v>
      </c>
      <c r="E80" s="1141"/>
      <c r="F80" s="1142"/>
      <c r="G80" s="302" t="s">
        <v>102</v>
      </c>
      <c r="H80" s="299" t="str">
        <f>H65</f>
        <v>s</v>
      </c>
      <c r="I80" s="300">
        <v>2018</v>
      </c>
      <c r="J80" s="301">
        <v>2017</v>
      </c>
      <c r="K80" s="301" t="s">
        <v>66</v>
      </c>
      <c r="L80" s="1141"/>
      <c r="M80" s="1142"/>
      <c r="N80" s="327"/>
      <c r="O80" s="332"/>
      <c r="P80" s="332"/>
      <c r="Q80" s="333"/>
      <c r="R80" s="334"/>
      <c r="S80" s="317"/>
      <c r="T80" s="318"/>
      <c r="V80" s="315"/>
      <c r="W80" s="315"/>
      <c r="X80" s="316"/>
      <c r="Y80" s="317"/>
      <c r="Z80" s="318"/>
      <c r="AA80" s="321"/>
      <c r="AB80" s="315"/>
      <c r="AC80" s="315"/>
      <c r="AD80" s="316"/>
      <c r="AE80" s="317"/>
      <c r="AF80" s="318"/>
    </row>
    <row r="81" spans="1:32" ht="13.5" customHeight="1">
      <c r="A81" s="306">
        <v>0</v>
      </c>
      <c r="B81" s="307">
        <v>0</v>
      </c>
      <c r="C81" s="307">
        <v>0</v>
      </c>
      <c r="D81" s="308">
        <v>9.9999999999999995E-7</v>
      </c>
      <c r="E81" s="309">
        <f>IFERROR(IF(OR(C81="-",D81="-"),1/3*F81,0.5*(MAX(C81:D81)-MIN(C81:D81))),0)</f>
        <v>4.9999999999999998E-7</v>
      </c>
      <c r="F81" s="310">
        <v>0</v>
      </c>
      <c r="G81" s="302">
        <v>1</v>
      </c>
      <c r="H81" s="306">
        <v>0</v>
      </c>
      <c r="I81" s="307">
        <v>0</v>
      </c>
      <c r="J81" s="308">
        <v>0</v>
      </c>
      <c r="K81" s="308" t="s">
        <v>66</v>
      </c>
      <c r="L81" s="309">
        <f>IFERROR(IF(OR(J81="-",K81="-"),1/3*M81,0.5*(MAX(J81:K81)-MIN(J81:K81))),0)</f>
        <v>0</v>
      </c>
      <c r="M81" s="310">
        <v>0</v>
      </c>
      <c r="N81" s="327"/>
      <c r="O81" s="332"/>
      <c r="P81" s="332"/>
      <c r="Q81" s="333"/>
      <c r="R81" s="334"/>
      <c r="S81" s="317"/>
      <c r="T81" s="318"/>
      <c r="V81" s="315"/>
      <c r="W81" s="315"/>
      <c r="X81" s="316"/>
      <c r="Y81" s="317"/>
      <c r="Z81" s="318"/>
      <c r="AA81" s="321"/>
      <c r="AB81" s="315"/>
      <c r="AC81" s="315"/>
      <c r="AD81" s="316"/>
      <c r="AE81" s="317"/>
      <c r="AF81" s="318"/>
    </row>
    <row r="82" spans="1:32" ht="13.5" customHeight="1">
      <c r="A82" s="313">
        <v>10</v>
      </c>
      <c r="B82" s="307">
        <v>0</v>
      </c>
      <c r="C82" s="307">
        <v>0</v>
      </c>
      <c r="D82" s="313" t="s">
        <v>66</v>
      </c>
      <c r="E82" s="309">
        <f t="shared" ref="E82:E90" si="15">IFERROR(IF(OR(C82="-",D82="-"),1/3*F82,0.5*(MAX(C82:D82)-MIN(C82:D82))),0)</f>
        <v>3.9999999999999994E-2</v>
      </c>
      <c r="F82" s="310">
        <v>0.12</v>
      </c>
      <c r="G82" s="302">
        <v>2</v>
      </c>
      <c r="H82" s="313">
        <v>10</v>
      </c>
      <c r="I82" s="307">
        <v>0</v>
      </c>
      <c r="J82" s="313" t="s">
        <v>66</v>
      </c>
      <c r="K82" s="308" t="s">
        <v>66</v>
      </c>
      <c r="L82" s="309">
        <f t="shared" ref="L82:L90" si="16">IFERROR(IF(OR(J82="-",K82="-"),1/3*M82,0.5*(MAX(J82:K82)-MIN(J82:K82))),0)</f>
        <v>3.9999999999999994E-2</v>
      </c>
      <c r="M82" s="310">
        <v>0.12</v>
      </c>
      <c r="N82" s="327"/>
      <c r="O82" s="332"/>
      <c r="P82" s="332"/>
      <c r="Q82" s="333"/>
      <c r="R82" s="334"/>
      <c r="S82" s="317"/>
      <c r="T82" s="318"/>
      <c r="V82" s="315"/>
      <c r="W82" s="315"/>
      <c r="X82" s="316"/>
      <c r="Y82" s="317"/>
      <c r="Z82" s="318"/>
      <c r="AA82" s="321"/>
      <c r="AB82" s="315"/>
      <c r="AC82" s="315"/>
      <c r="AD82" s="316"/>
      <c r="AE82" s="317"/>
      <c r="AF82" s="318"/>
    </row>
    <row r="83" spans="1:32" ht="13.5" customHeight="1">
      <c r="A83" s="313">
        <v>30</v>
      </c>
      <c r="B83" s="307">
        <v>0</v>
      </c>
      <c r="C83" s="307">
        <v>0.01</v>
      </c>
      <c r="D83" s="313" t="s">
        <v>66</v>
      </c>
      <c r="E83" s="309">
        <f t="shared" si="15"/>
        <v>3.9999999999999994E-2</v>
      </c>
      <c r="F83" s="310">
        <v>0.12</v>
      </c>
      <c r="G83" s="302">
        <v>3</v>
      </c>
      <c r="H83" s="313">
        <v>20</v>
      </c>
      <c r="I83" s="307">
        <v>0</v>
      </c>
      <c r="J83" s="313" t="s">
        <v>66</v>
      </c>
      <c r="K83" s="308" t="s">
        <v>66</v>
      </c>
      <c r="L83" s="309">
        <f t="shared" si="16"/>
        <v>3.9999999999999994E-2</v>
      </c>
      <c r="M83" s="310">
        <v>0.12</v>
      </c>
      <c r="N83" s="327"/>
      <c r="O83" s="332"/>
      <c r="P83" s="332"/>
      <c r="Q83" s="333"/>
      <c r="R83" s="334"/>
      <c r="S83" s="317"/>
      <c r="T83" s="318"/>
      <c r="V83" s="315"/>
      <c r="W83" s="315"/>
      <c r="X83" s="316"/>
      <c r="Y83" s="317"/>
      <c r="Z83" s="318"/>
      <c r="AA83" s="321"/>
      <c r="AB83" s="315"/>
      <c r="AC83" s="315"/>
      <c r="AD83" s="316"/>
      <c r="AE83" s="317"/>
      <c r="AF83" s="318"/>
    </row>
    <row r="84" spans="1:32" ht="13.5" customHeight="1">
      <c r="A84" s="313">
        <v>60</v>
      </c>
      <c r="B84" s="307">
        <v>0</v>
      </c>
      <c r="C84" s="307">
        <v>0</v>
      </c>
      <c r="D84" s="329">
        <v>-0.01</v>
      </c>
      <c r="E84" s="309">
        <f t="shared" si="15"/>
        <v>5.0000000000000001E-3</v>
      </c>
      <c r="F84" s="310">
        <v>0.12</v>
      </c>
      <c r="G84" s="302">
        <v>4</v>
      </c>
      <c r="H84" s="313">
        <v>30</v>
      </c>
      <c r="I84" s="307">
        <v>0</v>
      </c>
      <c r="J84" s="329" t="s">
        <v>66</v>
      </c>
      <c r="K84" s="308" t="s">
        <v>66</v>
      </c>
      <c r="L84" s="309">
        <f t="shared" si="16"/>
        <v>3.9999999999999994E-2</v>
      </c>
      <c r="M84" s="310">
        <v>0.12</v>
      </c>
      <c r="N84" s="327"/>
      <c r="O84" s="332"/>
      <c r="P84" s="332"/>
      <c r="Q84" s="333"/>
      <c r="R84" s="334"/>
      <c r="S84" s="317"/>
      <c r="T84" s="318"/>
      <c r="V84" s="315"/>
      <c r="W84" s="315"/>
      <c r="X84" s="316"/>
      <c r="Y84" s="317"/>
      <c r="Z84" s="318"/>
      <c r="AA84" s="321"/>
      <c r="AB84" s="315"/>
      <c r="AC84" s="315"/>
      <c r="AD84" s="316"/>
      <c r="AE84" s="317"/>
      <c r="AF84" s="318"/>
    </row>
    <row r="85" spans="1:32" ht="13.5" customHeight="1">
      <c r="A85" s="313">
        <v>60</v>
      </c>
      <c r="B85" s="307">
        <v>0</v>
      </c>
      <c r="C85" s="307">
        <v>0</v>
      </c>
      <c r="D85" s="329">
        <v>-0.01</v>
      </c>
      <c r="E85" s="309">
        <f t="shared" si="15"/>
        <v>5.0000000000000001E-3</v>
      </c>
      <c r="F85" s="310">
        <v>0.12</v>
      </c>
      <c r="G85" s="302">
        <v>5</v>
      </c>
      <c r="H85" s="313">
        <v>40</v>
      </c>
      <c r="I85" s="307">
        <v>0</v>
      </c>
      <c r="J85" s="329" t="s">
        <v>66</v>
      </c>
      <c r="K85" s="308" t="s">
        <v>66</v>
      </c>
      <c r="L85" s="309">
        <f t="shared" si="16"/>
        <v>3.9999999999999994E-2</v>
      </c>
      <c r="M85" s="310">
        <v>0.12</v>
      </c>
      <c r="N85" s="327"/>
      <c r="O85" s="332"/>
      <c r="P85" s="332"/>
      <c r="Q85" s="333"/>
      <c r="R85" s="334"/>
      <c r="S85" s="317"/>
      <c r="T85" s="318"/>
      <c r="V85" s="315"/>
      <c r="W85" s="315"/>
      <c r="X85" s="316"/>
      <c r="Y85" s="317"/>
      <c r="Z85" s="318"/>
      <c r="AA85" s="321"/>
      <c r="AB85" s="315"/>
      <c r="AC85" s="315"/>
      <c r="AD85" s="316"/>
      <c r="AE85" s="317"/>
      <c r="AF85" s="318"/>
    </row>
    <row r="86" spans="1:32" ht="13.5" customHeight="1">
      <c r="A86" s="313">
        <v>60</v>
      </c>
      <c r="B86" s="307">
        <v>0</v>
      </c>
      <c r="C86" s="307">
        <v>0</v>
      </c>
      <c r="D86" s="329">
        <v>-0.01</v>
      </c>
      <c r="E86" s="309">
        <f t="shared" si="15"/>
        <v>5.0000000000000001E-3</v>
      </c>
      <c r="F86" s="310">
        <v>0.12</v>
      </c>
      <c r="G86" s="302">
        <v>6</v>
      </c>
      <c r="H86" s="313">
        <v>50</v>
      </c>
      <c r="I86" s="307">
        <v>0</v>
      </c>
      <c r="J86" s="329" t="s">
        <v>66</v>
      </c>
      <c r="K86" s="308" t="s">
        <v>66</v>
      </c>
      <c r="L86" s="309">
        <f t="shared" si="16"/>
        <v>3.9999999999999994E-2</v>
      </c>
      <c r="M86" s="310">
        <v>0.12</v>
      </c>
      <c r="N86" s="327"/>
      <c r="O86" s="332"/>
      <c r="P86" s="332"/>
      <c r="Q86" s="333"/>
      <c r="R86" s="334"/>
      <c r="S86" s="317"/>
      <c r="T86" s="318"/>
      <c r="V86" s="315"/>
      <c r="W86" s="315"/>
      <c r="X86" s="316"/>
      <c r="Y86" s="317"/>
      <c r="Z86" s="318"/>
      <c r="AA86" s="321"/>
      <c r="AB86" s="315"/>
      <c r="AC86" s="315"/>
      <c r="AD86" s="316"/>
      <c r="AE86" s="317"/>
      <c r="AF86" s="318"/>
    </row>
    <row r="87" spans="1:32" ht="13.5" customHeight="1">
      <c r="A87" s="313">
        <v>60</v>
      </c>
      <c r="B87" s="307">
        <v>0</v>
      </c>
      <c r="C87" s="307">
        <v>0</v>
      </c>
      <c r="D87" s="329">
        <v>-0.01</v>
      </c>
      <c r="E87" s="309">
        <f t="shared" si="15"/>
        <v>5.0000000000000001E-3</v>
      </c>
      <c r="F87" s="310">
        <v>0.12</v>
      </c>
      <c r="G87" s="302">
        <v>7</v>
      </c>
      <c r="H87" s="313">
        <v>60</v>
      </c>
      <c r="I87" s="307">
        <v>0.01</v>
      </c>
      <c r="J87" s="329">
        <v>0</v>
      </c>
      <c r="K87" s="308" t="s">
        <v>66</v>
      </c>
      <c r="L87" s="309">
        <f t="shared" si="16"/>
        <v>3.9999999999999994E-2</v>
      </c>
      <c r="M87" s="310">
        <v>0.12</v>
      </c>
      <c r="N87" s="327"/>
      <c r="O87" s="332"/>
      <c r="P87" s="332"/>
      <c r="Q87" s="333"/>
      <c r="R87" s="334"/>
      <c r="S87" s="317"/>
      <c r="T87" s="318"/>
      <c r="V87" s="315"/>
      <c r="W87" s="315"/>
      <c r="X87" s="316"/>
      <c r="Y87" s="317"/>
      <c r="Z87" s="318"/>
      <c r="AA87" s="321"/>
      <c r="AB87" s="315"/>
      <c r="AC87" s="315"/>
      <c r="AD87" s="316"/>
      <c r="AE87" s="317"/>
      <c r="AF87" s="318"/>
    </row>
    <row r="88" spans="1:32" ht="13.5" customHeight="1">
      <c r="A88" s="313">
        <v>300</v>
      </c>
      <c r="B88" s="307">
        <v>0</v>
      </c>
      <c r="C88" s="307">
        <v>0</v>
      </c>
      <c r="D88" s="329">
        <v>-0.01</v>
      </c>
      <c r="E88" s="309">
        <f t="shared" si="15"/>
        <v>5.0000000000000001E-3</v>
      </c>
      <c r="F88" s="310">
        <v>0.12</v>
      </c>
      <c r="G88" s="302">
        <v>8</v>
      </c>
      <c r="H88" s="313">
        <v>300</v>
      </c>
      <c r="I88" s="307">
        <v>0.01</v>
      </c>
      <c r="J88" s="329">
        <v>-2E-3</v>
      </c>
      <c r="K88" s="308" t="s">
        <v>66</v>
      </c>
      <c r="L88" s="309">
        <f t="shared" si="16"/>
        <v>3.9999999999999994E-2</v>
      </c>
      <c r="M88" s="310">
        <v>0.12</v>
      </c>
      <c r="N88" s="327"/>
      <c r="O88" s="332"/>
      <c r="P88" s="332"/>
      <c r="Q88" s="333"/>
      <c r="R88" s="334"/>
      <c r="S88" s="317"/>
      <c r="T88" s="318"/>
      <c r="V88" s="315"/>
      <c r="W88" s="315"/>
      <c r="X88" s="316"/>
      <c r="Y88" s="317"/>
      <c r="Z88" s="318"/>
      <c r="AA88" s="321"/>
      <c r="AB88" s="315"/>
      <c r="AC88" s="315"/>
      <c r="AD88" s="316"/>
      <c r="AE88" s="317"/>
      <c r="AF88" s="318"/>
    </row>
    <row r="89" spans="1:32" ht="13.5" customHeight="1">
      <c r="A89" s="313">
        <v>600</v>
      </c>
      <c r="B89" s="307">
        <v>0</v>
      </c>
      <c r="C89" s="307">
        <v>0</v>
      </c>
      <c r="D89" s="329">
        <v>-0.01</v>
      </c>
      <c r="E89" s="309">
        <f t="shared" si="15"/>
        <v>5.0000000000000001E-3</v>
      </c>
      <c r="F89" s="310">
        <v>0.12</v>
      </c>
      <c r="G89" s="302">
        <v>9</v>
      </c>
      <c r="H89" s="313">
        <v>600</v>
      </c>
      <c r="I89" s="307">
        <v>0.02</v>
      </c>
      <c r="J89" s="329">
        <v>-3.0000000000000001E-3</v>
      </c>
      <c r="K89" s="308" t="s">
        <v>66</v>
      </c>
      <c r="L89" s="309">
        <f t="shared" si="16"/>
        <v>3.9999999999999994E-2</v>
      </c>
      <c r="M89" s="310">
        <v>0.12</v>
      </c>
      <c r="N89" s="327"/>
      <c r="O89" s="332"/>
      <c r="P89" s="332"/>
      <c r="Q89" s="333"/>
      <c r="R89" s="334"/>
      <c r="S89" s="317"/>
      <c r="T89" s="318"/>
      <c r="V89" s="315"/>
      <c r="W89" s="315"/>
      <c r="X89" s="316"/>
      <c r="Y89" s="317"/>
      <c r="Z89" s="318"/>
      <c r="AA89" s="321"/>
      <c r="AB89" s="315"/>
      <c r="AC89" s="315"/>
      <c r="AD89" s="316"/>
      <c r="AE89" s="317"/>
      <c r="AF89" s="318"/>
    </row>
    <row r="90" spans="1:32" ht="13.5" customHeight="1">
      <c r="A90" s="313">
        <v>900</v>
      </c>
      <c r="B90" s="307">
        <v>0</v>
      </c>
      <c r="C90" s="307">
        <v>0</v>
      </c>
      <c r="D90" s="329">
        <v>-0.01</v>
      </c>
      <c r="E90" s="309">
        <f t="shared" si="15"/>
        <v>5.0000000000000001E-3</v>
      </c>
      <c r="F90" s="310">
        <v>0.12</v>
      </c>
      <c r="G90" s="302">
        <v>10</v>
      </c>
      <c r="H90" s="313">
        <v>900</v>
      </c>
      <c r="I90" s="307" t="s">
        <v>66</v>
      </c>
      <c r="J90" s="329" t="s">
        <v>66</v>
      </c>
      <c r="K90" s="308" t="s">
        <v>66</v>
      </c>
      <c r="L90" s="309">
        <f t="shared" si="16"/>
        <v>3.9999999999999994E-2</v>
      </c>
      <c r="M90" s="310">
        <v>0.12</v>
      </c>
      <c r="N90" s="327"/>
      <c r="O90" s="332"/>
      <c r="P90" s="332"/>
      <c r="Q90" s="333"/>
      <c r="R90" s="334"/>
      <c r="S90" s="317"/>
      <c r="T90" s="318"/>
      <c r="V90" s="315"/>
      <c r="W90" s="315"/>
      <c r="X90" s="316"/>
      <c r="Y90" s="317"/>
      <c r="Z90" s="318"/>
      <c r="AA90" s="321"/>
      <c r="AB90" s="315"/>
      <c r="AC90" s="315"/>
      <c r="AD90" s="316"/>
      <c r="AE90" s="317"/>
      <c r="AF90" s="318"/>
    </row>
    <row r="91" spans="1:32" ht="13.5" customHeight="1">
      <c r="A91" s="313">
        <v>1200</v>
      </c>
      <c r="B91" s="307" t="s">
        <v>66</v>
      </c>
      <c r="C91" s="307" t="s">
        <v>66</v>
      </c>
      <c r="D91" s="329">
        <v>0.02</v>
      </c>
      <c r="E91" s="309">
        <f>IFERROR(IF(OR(C91="-",D91="-"),1/3*F91,0.5*(MAX(C91:D91)-MIN(C91:D91))),0)</f>
        <v>3.9999999999999994E-2</v>
      </c>
      <c r="F91" s="310">
        <v>0.12</v>
      </c>
      <c r="G91" s="302">
        <v>11</v>
      </c>
      <c r="H91" s="313">
        <v>1200</v>
      </c>
      <c r="I91" s="307" t="s">
        <v>66</v>
      </c>
      <c r="J91" s="329" t="s">
        <v>66</v>
      </c>
      <c r="K91" s="308" t="s">
        <v>66</v>
      </c>
      <c r="L91" s="309">
        <f>IFERROR(IF(OR(J91="-",K91="-"),1/3*M91,0.5*(MAX(J91:K91)-MIN(J91:K91))),0)</f>
        <v>3.9999999999999994E-2</v>
      </c>
      <c r="M91" s="310">
        <v>0.12</v>
      </c>
      <c r="N91" s="327"/>
      <c r="O91" s="332"/>
      <c r="P91" s="332"/>
      <c r="Q91" s="333"/>
      <c r="R91" s="334"/>
      <c r="S91" s="317"/>
      <c r="T91" s="318"/>
      <c r="V91" s="315"/>
      <c r="W91" s="315"/>
      <c r="X91" s="316"/>
      <c r="Y91" s="317"/>
      <c r="Z91" s="318"/>
      <c r="AA91" s="321"/>
      <c r="AB91" s="315"/>
      <c r="AC91" s="315"/>
      <c r="AD91" s="316"/>
      <c r="AE91" s="317"/>
      <c r="AF91" s="318"/>
    </row>
    <row r="92" spans="1:32" ht="13.5" customHeight="1">
      <c r="A92" s="331"/>
      <c r="B92" s="332"/>
      <c r="C92" s="333"/>
      <c r="D92" s="334"/>
      <c r="E92" s="317"/>
      <c r="F92" s="318"/>
      <c r="G92" s="321"/>
      <c r="H92" s="332"/>
      <c r="I92" s="332"/>
      <c r="J92" s="333"/>
      <c r="K92" s="334"/>
      <c r="L92" s="317"/>
      <c r="M92" s="318"/>
      <c r="N92" s="327"/>
      <c r="O92" s="332"/>
      <c r="P92" s="332"/>
      <c r="Q92" s="333"/>
      <c r="R92" s="334"/>
      <c r="S92" s="317"/>
      <c r="T92" s="318"/>
      <c r="V92" s="315"/>
      <c r="W92" s="315"/>
      <c r="X92" s="316"/>
      <c r="Y92" s="317"/>
      <c r="Z92" s="318"/>
      <c r="AA92" s="321"/>
      <c r="AB92" s="315"/>
      <c r="AC92" s="315"/>
      <c r="AD92" s="316"/>
      <c r="AE92" s="317"/>
      <c r="AF92" s="318"/>
    </row>
    <row r="93" spans="1:32" ht="13.5" customHeight="1">
      <c r="A93" s="331"/>
      <c r="B93" s="332"/>
      <c r="C93" s="333"/>
      <c r="D93" s="334"/>
      <c r="E93" s="317"/>
      <c r="F93" s="318"/>
      <c r="G93" s="321"/>
      <c r="H93" s="332"/>
      <c r="I93" s="332"/>
      <c r="J93" s="333"/>
      <c r="K93" s="334"/>
      <c r="L93" s="317"/>
      <c r="M93" s="318"/>
      <c r="N93" s="327"/>
      <c r="O93" s="332"/>
      <c r="P93" s="332"/>
      <c r="Q93" s="333"/>
      <c r="R93" s="334"/>
      <c r="S93" s="317"/>
      <c r="T93" s="318"/>
      <c r="V93" s="315"/>
      <c r="W93" s="315"/>
      <c r="X93" s="316"/>
      <c r="Y93" s="317"/>
      <c r="Z93" s="318"/>
      <c r="AA93" s="321"/>
      <c r="AB93" s="315"/>
      <c r="AC93" s="315"/>
      <c r="AD93" s="316"/>
      <c r="AE93" s="317"/>
      <c r="AF93" s="318"/>
    </row>
    <row r="94" spans="1:32" ht="13.5" customHeight="1">
      <c r="A94" s="331"/>
      <c r="B94" s="332"/>
      <c r="C94" s="333"/>
      <c r="D94" s="334"/>
      <c r="E94" s="317"/>
      <c r="F94" s="318"/>
      <c r="G94" s="321"/>
      <c r="H94" s="332"/>
      <c r="I94" s="332"/>
      <c r="J94" s="333"/>
      <c r="K94" s="334"/>
      <c r="L94" s="317"/>
      <c r="M94" s="318"/>
      <c r="N94" s="327"/>
      <c r="O94" s="332"/>
      <c r="P94" s="332"/>
      <c r="Q94" s="333"/>
      <c r="R94" s="334"/>
      <c r="S94" s="317"/>
      <c r="T94" s="318"/>
      <c r="V94" s="315"/>
      <c r="W94" s="315"/>
      <c r="X94" s="316"/>
      <c r="Y94" s="317"/>
      <c r="Z94" s="318"/>
      <c r="AA94" s="321"/>
      <c r="AB94" s="315"/>
      <c r="AC94" s="315"/>
      <c r="AD94" s="316"/>
      <c r="AE94" s="317"/>
      <c r="AF94" s="318"/>
    </row>
    <row r="95" spans="1:32" ht="13" thickBot="1">
      <c r="A95" s="1162"/>
      <c r="B95" s="1163"/>
      <c r="C95" s="1163"/>
      <c r="D95" s="1163"/>
      <c r="E95" s="1163"/>
      <c r="F95" s="1163"/>
      <c r="G95" s="1163"/>
      <c r="H95" s="1163"/>
      <c r="I95" s="1163"/>
      <c r="J95" s="1163"/>
      <c r="K95" s="1163"/>
      <c r="L95" s="1163"/>
      <c r="M95" s="1163"/>
      <c r="N95" s="1163"/>
      <c r="O95" s="1163"/>
      <c r="P95" s="1163"/>
      <c r="Q95" s="1163"/>
      <c r="R95" s="1163"/>
      <c r="S95" s="1163"/>
      <c r="T95" s="1164"/>
      <c r="V95" s="323"/>
      <c r="W95" s="323"/>
      <c r="X95" s="323"/>
      <c r="Y95" s="323"/>
      <c r="Z95" s="323"/>
      <c r="AA95" s="323"/>
      <c r="AB95" s="323"/>
      <c r="AC95" s="323"/>
      <c r="AD95" s="323"/>
      <c r="AE95" s="323"/>
      <c r="AF95" s="323"/>
    </row>
    <row r="96" spans="1:32" ht="12.75" customHeight="1">
      <c r="A96" s="322"/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27"/>
      <c r="O96" s="337"/>
      <c r="P96" s="337"/>
      <c r="Q96" s="337"/>
      <c r="R96" s="337"/>
      <c r="S96" s="337"/>
      <c r="T96" s="337"/>
      <c r="V96" s="315"/>
      <c r="W96" s="315"/>
      <c r="X96" s="315"/>
      <c r="Y96" s="315"/>
      <c r="Z96" s="315"/>
      <c r="AA96" s="315"/>
      <c r="AB96" s="315"/>
      <c r="AC96" s="315"/>
      <c r="AD96" s="315"/>
      <c r="AE96" s="315"/>
      <c r="AF96" s="315"/>
    </row>
    <row r="97" spans="1:20" ht="13.5" thickBot="1">
      <c r="A97" s="326"/>
      <c r="B97" s="327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27"/>
      <c r="P97" s="327"/>
      <c r="Q97" s="327"/>
      <c r="R97" s="327"/>
      <c r="S97" s="327"/>
      <c r="T97" s="327"/>
    </row>
    <row r="98" spans="1:20" ht="12.75" customHeight="1">
      <c r="A98" s="1165" t="s">
        <v>280</v>
      </c>
      <c r="B98" s="1168"/>
      <c r="C98" s="1171" t="s">
        <v>382</v>
      </c>
      <c r="D98" s="1173" t="s">
        <v>93</v>
      </c>
      <c r="E98" s="1173"/>
      <c r="F98" s="1173"/>
      <c r="G98" s="1175" t="s">
        <v>92</v>
      </c>
      <c r="H98" s="1171" t="s">
        <v>281</v>
      </c>
      <c r="I98" s="338"/>
      <c r="J98" s="285"/>
      <c r="K98" s="1165" t="str">
        <f>A98</f>
        <v>No Urut Titik Ukur</v>
      </c>
      <c r="L98" s="1179"/>
      <c r="M98" s="1171" t="s">
        <v>382</v>
      </c>
      <c r="N98" s="1173" t="s">
        <v>93</v>
      </c>
      <c r="O98" s="1173"/>
      <c r="P98" s="1173"/>
      <c r="Q98" s="1175" t="s">
        <v>92</v>
      </c>
      <c r="R98" s="1171" t="s">
        <v>281</v>
      </c>
      <c r="S98" s="1157"/>
    </row>
    <row r="99" spans="1:20" ht="12.75" customHeight="1">
      <c r="A99" s="1166"/>
      <c r="B99" s="1169"/>
      <c r="C99" s="1172"/>
      <c r="D99" s="1174"/>
      <c r="E99" s="1174"/>
      <c r="F99" s="1174"/>
      <c r="G99" s="1176"/>
      <c r="H99" s="1172"/>
      <c r="I99" s="339"/>
      <c r="K99" s="1166"/>
      <c r="L99" s="1180"/>
      <c r="M99" s="1172"/>
      <c r="N99" s="1174"/>
      <c r="O99" s="1174"/>
      <c r="P99" s="1174"/>
      <c r="Q99" s="1176"/>
      <c r="R99" s="1172"/>
      <c r="S99" s="1158"/>
    </row>
    <row r="100" spans="1:20" ht="14.5" thickBot="1">
      <c r="A100" s="1167"/>
      <c r="B100" s="1170"/>
      <c r="C100" s="340" t="s">
        <v>95</v>
      </c>
      <c r="E100" s="341"/>
      <c r="F100" s="341"/>
      <c r="G100" s="1177"/>
      <c r="H100" s="1178"/>
      <c r="I100" s="342"/>
      <c r="K100" s="1166"/>
      <c r="L100" s="1180"/>
      <c r="M100" s="343" t="s">
        <v>95</v>
      </c>
      <c r="N100" s="344"/>
      <c r="O100" s="344"/>
      <c r="P100" s="344"/>
      <c r="Q100" s="1188"/>
      <c r="R100" s="1172"/>
      <c r="S100" s="1158"/>
    </row>
    <row r="101" spans="1:20" ht="13">
      <c r="A101" s="1159" t="s">
        <v>5</v>
      </c>
      <c r="B101" s="345">
        <v>1</v>
      </c>
      <c r="C101" s="346">
        <f t="shared" ref="C101:H101" si="17">A5</f>
        <v>0</v>
      </c>
      <c r="D101" s="346">
        <f t="shared" si="17"/>
        <v>0</v>
      </c>
      <c r="E101" s="346">
        <f t="shared" si="17"/>
        <v>0</v>
      </c>
      <c r="F101" s="346">
        <f t="shared" si="17"/>
        <v>9.9999999999999995E-7</v>
      </c>
      <c r="G101" s="346">
        <f t="shared" si="17"/>
        <v>4.9999999999999998E-7</v>
      </c>
      <c r="H101" s="346">
        <f t="shared" si="17"/>
        <v>0.12</v>
      </c>
      <c r="I101" s="347"/>
      <c r="K101" s="1161" t="s">
        <v>282</v>
      </c>
      <c r="L101" s="345">
        <v>1</v>
      </c>
      <c r="M101" s="348">
        <f t="shared" ref="M101:R101" si="18">A$11</f>
        <v>60</v>
      </c>
      <c r="N101" s="348">
        <f t="shared" si="18"/>
        <v>0.02</v>
      </c>
      <c r="O101" s="348">
        <f t="shared" si="18"/>
        <v>0.01</v>
      </c>
      <c r="P101" s="348">
        <f t="shared" si="18"/>
        <v>-6.0000000000000001E-3</v>
      </c>
      <c r="Q101" s="348">
        <f t="shared" si="18"/>
        <v>8.0000000000000002E-3</v>
      </c>
      <c r="R101" s="348">
        <f t="shared" si="18"/>
        <v>0.12</v>
      </c>
      <c r="S101" s="349"/>
    </row>
    <row r="102" spans="1:20" ht="13">
      <c r="A102" s="1160"/>
      <c r="B102" s="350">
        <v>2</v>
      </c>
      <c r="C102" s="351">
        <f t="shared" ref="C102:H102" si="19">H5</f>
        <v>0</v>
      </c>
      <c r="D102" s="351">
        <f t="shared" si="19"/>
        <v>0</v>
      </c>
      <c r="E102" s="351">
        <f t="shared" si="19"/>
        <v>0</v>
      </c>
      <c r="F102" s="351">
        <f t="shared" si="19"/>
        <v>9.9999999999999995E-7</v>
      </c>
      <c r="G102" s="351">
        <f t="shared" si="19"/>
        <v>4.9999999999999998E-7</v>
      </c>
      <c r="H102" s="351">
        <f t="shared" si="19"/>
        <v>0.121</v>
      </c>
      <c r="I102" s="352"/>
      <c r="K102" s="1161"/>
      <c r="L102" s="350">
        <v>2</v>
      </c>
      <c r="M102" s="351">
        <f t="shared" ref="M102:R102" si="20">H$11</f>
        <v>60</v>
      </c>
      <c r="N102" s="351">
        <f t="shared" si="20"/>
        <v>0</v>
      </c>
      <c r="O102" s="351">
        <f t="shared" si="20"/>
        <v>0</v>
      </c>
      <c r="P102" s="351">
        <f t="shared" si="20"/>
        <v>3.0000000000000001E-3</v>
      </c>
      <c r="Q102" s="351">
        <f t="shared" si="20"/>
        <v>1.5E-3</v>
      </c>
      <c r="R102" s="351">
        <f t="shared" si="20"/>
        <v>0.121</v>
      </c>
      <c r="S102" s="353"/>
    </row>
    <row r="103" spans="1:20" ht="13">
      <c r="A103" s="1160"/>
      <c r="B103" s="350">
        <v>3</v>
      </c>
      <c r="C103" s="351">
        <f t="shared" ref="C103:H103" si="21">O5</f>
        <v>0</v>
      </c>
      <c r="D103" s="351">
        <f t="shared" si="21"/>
        <v>0</v>
      </c>
      <c r="E103" s="351">
        <f t="shared" si="21"/>
        <v>0</v>
      </c>
      <c r="F103" s="351">
        <f t="shared" si="21"/>
        <v>0</v>
      </c>
      <c r="G103" s="351">
        <f t="shared" si="21"/>
        <v>0</v>
      </c>
      <c r="H103" s="351">
        <f t="shared" si="21"/>
        <v>0</v>
      </c>
      <c r="I103" s="352"/>
      <c r="K103" s="1161"/>
      <c r="L103" s="350">
        <v>3</v>
      </c>
      <c r="M103" s="351">
        <f t="shared" ref="M103:R103" si="22">O$11</f>
        <v>60</v>
      </c>
      <c r="N103" s="351">
        <f t="shared" si="22"/>
        <v>-2E-3</v>
      </c>
      <c r="O103" s="351">
        <f t="shared" si="22"/>
        <v>1E-3</v>
      </c>
      <c r="P103" s="351">
        <f t="shared" si="22"/>
        <v>-2E-3</v>
      </c>
      <c r="Q103" s="351">
        <f t="shared" si="22"/>
        <v>1.5E-3</v>
      </c>
      <c r="R103" s="351">
        <f t="shared" si="22"/>
        <v>0.12</v>
      </c>
      <c r="S103" s="353"/>
    </row>
    <row r="104" spans="1:20" ht="13">
      <c r="A104" s="1160"/>
      <c r="B104" s="350">
        <v>4</v>
      </c>
      <c r="C104" s="351">
        <f t="shared" ref="C104:H104" si="23">A20</f>
        <v>0</v>
      </c>
      <c r="D104" s="351" t="str">
        <f t="shared" si="23"/>
        <v>-</v>
      </c>
      <c r="E104" s="351">
        <f t="shared" si="23"/>
        <v>9.9999999999999995E-7</v>
      </c>
      <c r="F104" s="351">
        <f t="shared" si="23"/>
        <v>9.9999999999999995E-7</v>
      </c>
      <c r="G104" s="351">
        <f t="shared" si="23"/>
        <v>0</v>
      </c>
      <c r="H104" s="351">
        <f t="shared" si="23"/>
        <v>0.12</v>
      </c>
      <c r="I104" s="352"/>
      <c r="K104" s="1161"/>
      <c r="L104" s="350">
        <v>4</v>
      </c>
      <c r="M104" s="351">
        <f t="shared" ref="M104:R104" si="24">A$26</f>
        <v>60</v>
      </c>
      <c r="N104" s="351" t="str">
        <f t="shared" si="24"/>
        <v>-</v>
      </c>
      <c r="O104" s="351">
        <f t="shared" si="24"/>
        <v>-0.01</v>
      </c>
      <c r="P104" s="351">
        <f t="shared" si="24"/>
        <v>2E-3</v>
      </c>
      <c r="Q104" s="351">
        <f t="shared" si="24"/>
        <v>6.0000000000000001E-3</v>
      </c>
      <c r="R104" s="351">
        <f t="shared" si="24"/>
        <v>0.12</v>
      </c>
      <c r="S104" s="353"/>
    </row>
    <row r="105" spans="1:20" ht="13">
      <c r="A105" s="1160"/>
      <c r="B105" s="350">
        <v>5</v>
      </c>
      <c r="C105" s="351">
        <f t="shared" ref="C105:H105" si="25">H20</f>
        <v>0</v>
      </c>
      <c r="D105" s="351">
        <f t="shared" si="25"/>
        <v>0</v>
      </c>
      <c r="E105" s="351">
        <f t="shared" si="25"/>
        <v>0</v>
      </c>
      <c r="F105" s="351">
        <f t="shared" si="25"/>
        <v>9.9999999999999995E-7</v>
      </c>
      <c r="G105" s="351">
        <f t="shared" si="25"/>
        <v>4.9999999999999998E-7</v>
      </c>
      <c r="H105" s="351">
        <f t="shared" si="25"/>
        <v>0</v>
      </c>
      <c r="I105" s="352"/>
      <c r="K105" s="1161"/>
      <c r="L105" s="350">
        <v>5</v>
      </c>
      <c r="M105" s="351">
        <f t="shared" ref="M105:R105" si="26">H$26</f>
        <v>60</v>
      </c>
      <c r="N105" s="351">
        <f t="shared" si="26"/>
        <v>-0.01</v>
      </c>
      <c r="O105" s="351">
        <f t="shared" si="26"/>
        <v>0.01</v>
      </c>
      <c r="P105" s="351">
        <f t="shared" si="26"/>
        <v>-0.03</v>
      </c>
      <c r="Q105" s="351">
        <f t="shared" si="26"/>
        <v>0.02</v>
      </c>
      <c r="R105" s="351">
        <f t="shared" si="26"/>
        <v>0.12</v>
      </c>
      <c r="S105" s="354"/>
    </row>
    <row r="106" spans="1:20" ht="13">
      <c r="A106" s="1160"/>
      <c r="B106" s="350">
        <v>6</v>
      </c>
      <c r="C106" s="351">
        <f t="shared" ref="C106:H106" si="27">O20</f>
        <v>0</v>
      </c>
      <c r="D106" s="351">
        <f t="shared" si="27"/>
        <v>0</v>
      </c>
      <c r="E106" s="351">
        <f t="shared" si="27"/>
        <v>0</v>
      </c>
      <c r="F106" s="351">
        <f t="shared" si="27"/>
        <v>9.9999999999999995E-7</v>
      </c>
      <c r="G106" s="351">
        <f t="shared" si="27"/>
        <v>4.9999999999999998E-7</v>
      </c>
      <c r="H106" s="351">
        <f t="shared" si="27"/>
        <v>0</v>
      </c>
      <c r="I106" s="352"/>
      <c r="K106" s="1161"/>
      <c r="L106" s="350">
        <v>6</v>
      </c>
      <c r="M106" s="351">
        <f t="shared" ref="M106:R106" si="28">O$26</f>
        <v>60</v>
      </c>
      <c r="N106" s="351">
        <f t="shared" si="28"/>
        <v>-0.01</v>
      </c>
      <c r="O106" s="351">
        <f t="shared" si="28"/>
        <v>0</v>
      </c>
      <c r="P106" s="351">
        <f t="shared" si="28"/>
        <v>0.01</v>
      </c>
      <c r="Q106" s="351">
        <f t="shared" si="28"/>
        <v>5.0000000000000001E-3</v>
      </c>
      <c r="R106" s="351">
        <f t="shared" si="28"/>
        <v>0.12</v>
      </c>
      <c r="S106" s="353"/>
    </row>
    <row r="107" spans="1:20" ht="13">
      <c r="A107" s="1160"/>
      <c r="B107" s="350">
        <v>7</v>
      </c>
      <c r="C107" s="351">
        <f t="shared" ref="C107:H107" si="29">A36</f>
        <v>0</v>
      </c>
      <c r="D107" s="351">
        <f t="shared" si="29"/>
        <v>0</v>
      </c>
      <c r="E107" s="351">
        <f t="shared" si="29"/>
        <v>0</v>
      </c>
      <c r="F107" s="351">
        <f t="shared" si="29"/>
        <v>9.9999999999999995E-7</v>
      </c>
      <c r="G107" s="351">
        <f t="shared" si="29"/>
        <v>4.9999999999999998E-7</v>
      </c>
      <c r="H107" s="351">
        <f t="shared" si="29"/>
        <v>0</v>
      </c>
      <c r="I107" s="352"/>
      <c r="K107" s="1161"/>
      <c r="L107" s="350">
        <v>7</v>
      </c>
      <c r="M107" s="351">
        <f t="shared" ref="M107:R107" si="30">A$42</f>
        <v>60</v>
      </c>
      <c r="N107" s="351">
        <f t="shared" si="30"/>
        <v>-0.05</v>
      </c>
      <c r="O107" s="351">
        <f t="shared" si="30"/>
        <v>-0.02</v>
      </c>
      <c r="P107" s="351">
        <f t="shared" si="30"/>
        <v>0.03</v>
      </c>
      <c r="Q107" s="351">
        <f t="shared" si="30"/>
        <v>2.5000000000000001E-2</v>
      </c>
      <c r="R107" s="351">
        <f t="shared" si="30"/>
        <v>0.12</v>
      </c>
      <c r="S107" s="353"/>
    </row>
    <row r="108" spans="1:20" ht="13">
      <c r="A108" s="1160"/>
      <c r="B108" s="350">
        <v>8</v>
      </c>
      <c r="C108" s="351">
        <f t="shared" ref="C108:H108" si="31">H36</f>
        <v>0</v>
      </c>
      <c r="D108" s="351">
        <f t="shared" si="31"/>
        <v>0</v>
      </c>
      <c r="E108" s="351">
        <f t="shared" si="31"/>
        <v>0</v>
      </c>
      <c r="F108" s="351">
        <f t="shared" si="31"/>
        <v>9.9999999999999995E-7</v>
      </c>
      <c r="G108" s="351">
        <f t="shared" si="31"/>
        <v>4.9999999999999998E-7</v>
      </c>
      <c r="H108" s="351">
        <f t="shared" si="31"/>
        <v>0</v>
      </c>
      <c r="I108" s="352"/>
      <c r="K108" s="1161"/>
      <c r="L108" s="350">
        <v>8</v>
      </c>
      <c r="M108" s="351">
        <f t="shared" ref="M108:R108" si="32">H$42</f>
        <v>60</v>
      </c>
      <c r="N108" s="351">
        <f t="shared" si="32"/>
        <v>-0.02</v>
      </c>
      <c r="O108" s="351">
        <f t="shared" si="32"/>
        <v>0</v>
      </c>
      <c r="P108" s="351">
        <f t="shared" si="32"/>
        <v>0.01</v>
      </c>
      <c r="Q108" s="351">
        <f t="shared" si="32"/>
        <v>5.0000000000000001E-3</v>
      </c>
      <c r="R108" s="351">
        <f t="shared" si="32"/>
        <v>0.12</v>
      </c>
      <c r="S108" s="353"/>
    </row>
    <row r="109" spans="1:20" ht="13">
      <c r="A109" s="1160"/>
      <c r="B109" s="350">
        <v>9</v>
      </c>
      <c r="C109" s="351">
        <f t="shared" ref="C109:H109" si="33">O36</f>
        <v>0</v>
      </c>
      <c r="D109" s="351">
        <f t="shared" si="33"/>
        <v>0</v>
      </c>
      <c r="E109" s="351">
        <f t="shared" si="33"/>
        <v>9.9999999999999995E-7</v>
      </c>
      <c r="F109" s="351">
        <f t="shared" si="33"/>
        <v>9.9999999999999995E-7</v>
      </c>
      <c r="G109" s="351">
        <f t="shared" si="33"/>
        <v>0</v>
      </c>
      <c r="H109" s="351">
        <f t="shared" si="33"/>
        <v>0</v>
      </c>
      <c r="I109" s="352"/>
      <c r="K109" s="1161"/>
      <c r="L109" s="350">
        <v>9</v>
      </c>
      <c r="M109" s="351">
        <f t="shared" ref="M109:R109" si="34">O$42</f>
        <v>60</v>
      </c>
      <c r="N109" s="351">
        <f t="shared" si="34"/>
        <v>0.01</v>
      </c>
      <c r="O109" s="351">
        <f t="shared" si="34"/>
        <v>0.02</v>
      </c>
      <c r="P109" s="351">
        <f t="shared" si="34"/>
        <v>-0.01</v>
      </c>
      <c r="Q109" s="351">
        <f t="shared" si="34"/>
        <v>1.4999999999999999E-2</v>
      </c>
      <c r="R109" s="351">
        <f t="shared" si="34"/>
        <v>0.12</v>
      </c>
      <c r="S109" s="353"/>
    </row>
    <row r="110" spans="1:20" ht="13">
      <c r="A110" s="1160"/>
      <c r="B110" s="350">
        <v>10</v>
      </c>
      <c r="C110" s="351">
        <f t="shared" ref="C110:H110" si="35">A51</f>
        <v>0</v>
      </c>
      <c r="D110" s="351">
        <f t="shared" si="35"/>
        <v>0</v>
      </c>
      <c r="E110" s="351">
        <f t="shared" si="35"/>
        <v>0</v>
      </c>
      <c r="F110" s="351">
        <f t="shared" si="35"/>
        <v>9.9999999999999995E-7</v>
      </c>
      <c r="G110" s="351">
        <f t="shared" si="35"/>
        <v>4.9999999999999998E-7</v>
      </c>
      <c r="H110" s="351">
        <f t="shared" si="35"/>
        <v>0</v>
      </c>
      <c r="I110" s="352"/>
      <c r="K110" s="1161"/>
      <c r="L110" s="350">
        <v>10</v>
      </c>
      <c r="M110" s="351">
        <f t="shared" ref="M110:R110" si="36">A$57</f>
        <v>60</v>
      </c>
      <c r="N110" s="351">
        <f t="shared" si="36"/>
        <v>-0.03</v>
      </c>
      <c r="O110" s="351">
        <f t="shared" si="36"/>
        <v>0</v>
      </c>
      <c r="P110" s="351">
        <f t="shared" si="36"/>
        <v>-0.06</v>
      </c>
      <c r="Q110" s="351">
        <f t="shared" si="36"/>
        <v>0.03</v>
      </c>
      <c r="R110" s="351">
        <f t="shared" si="36"/>
        <v>0.12</v>
      </c>
      <c r="S110" s="353"/>
    </row>
    <row r="111" spans="1:20" ht="13">
      <c r="A111" s="1160"/>
      <c r="B111" s="350">
        <v>11</v>
      </c>
      <c r="C111" s="348">
        <f t="shared" ref="C111:H111" si="37">H51</f>
        <v>0</v>
      </c>
      <c r="D111" s="348">
        <f t="shared" si="37"/>
        <v>0</v>
      </c>
      <c r="E111" s="348">
        <f t="shared" si="37"/>
        <v>0</v>
      </c>
      <c r="F111" s="348">
        <f t="shared" si="37"/>
        <v>9.9999999999999995E-7</v>
      </c>
      <c r="G111" s="348">
        <f t="shared" si="37"/>
        <v>4.9999999999999998E-7</v>
      </c>
      <c r="H111" s="348">
        <f t="shared" si="37"/>
        <v>0</v>
      </c>
      <c r="I111" s="355"/>
      <c r="K111" s="356"/>
      <c r="L111" s="357">
        <v>11</v>
      </c>
      <c r="M111" s="348">
        <f t="shared" ref="M111:R111" si="38">H$57</f>
        <v>60</v>
      </c>
      <c r="N111" s="348">
        <f t="shared" si="38"/>
        <v>-0.04</v>
      </c>
      <c r="O111" s="348">
        <f t="shared" si="38"/>
        <v>0</v>
      </c>
      <c r="P111" s="348">
        <f t="shared" si="38"/>
        <v>-0.03</v>
      </c>
      <c r="Q111" s="348">
        <f t="shared" si="38"/>
        <v>1.4999999999999999E-2</v>
      </c>
      <c r="R111" s="348">
        <f t="shared" si="38"/>
        <v>0.12</v>
      </c>
      <c r="S111" s="349"/>
    </row>
    <row r="112" spans="1:20" ht="13">
      <c r="A112" s="1160"/>
      <c r="B112" s="350">
        <v>12</v>
      </c>
      <c r="C112" s="348">
        <f>O51</f>
        <v>0</v>
      </c>
      <c r="D112" s="348">
        <f t="shared" ref="D112:H112" si="39">P51</f>
        <v>0</v>
      </c>
      <c r="E112" s="348">
        <f t="shared" si="39"/>
        <v>0</v>
      </c>
      <c r="F112" s="348">
        <f t="shared" si="39"/>
        <v>9.9999999999999995E-7</v>
      </c>
      <c r="G112" s="348">
        <f t="shared" si="39"/>
        <v>4.9999999999999998E-7</v>
      </c>
      <c r="H112" s="348">
        <f t="shared" si="39"/>
        <v>0</v>
      </c>
      <c r="I112" s="355"/>
      <c r="K112" s="356"/>
      <c r="L112" s="350">
        <v>12</v>
      </c>
      <c r="M112" s="348">
        <f t="shared" ref="M112:R112" si="40">O$57</f>
        <v>60</v>
      </c>
      <c r="N112" s="348">
        <f t="shared" si="40"/>
        <v>0.03</v>
      </c>
      <c r="O112" s="348">
        <f t="shared" si="40"/>
        <v>0.01</v>
      </c>
      <c r="P112" s="348">
        <f t="shared" si="40"/>
        <v>0.02</v>
      </c>
      <c r="Q112" s="348">
        <f t="shared" si="40"/>
        <v>5.0000000000000001E-3</v>
      </c>
      <c r="R112" s="348">
        <f t="shared" si="40"/>
        <v>0.12</v>
      </c>
      <c r="S112" s="349"/>
    </row>
    <row r="113" spans="1:19" ht="13">
      <c r="A113" s="1160"/>
      <c r="B113" s="350">
        <v>13</v>
      </c>
      <c r="C113" s="348">
        <f>A66</f>
        <v>0</v>
      </c>
      <c r="D113" s="348">
        <f t="shared" ref="D113:H113" si="41">B66</f>
        <v>0</v>
      </c>
      <c r="E113" s="348">
        <f t="shared" si="41"/>
        <v>0</v>
      </c>
      <c r="F113" s="348">
        <f t="shared" si="41"/>
        <v>9.9999999999999995E-7</v>
      </c>
      <c r="G113" s="348">
        <f t="shared" si="41"/>
        <v>4.9999999999999998E-7</v>
      </c>
      <c r="H113" s="348">
        <f t="shared" si="41"/>
        <v>0</v>
      </c>
      <c r="I113" s="355"/>
      <c r="K113" s="356"/>
      <c r="L113" s="350">
        <v>13</v>
      </c>
      <c r="M113" s="348">
        <f t="shared" ref="M113:R113" si="42">A$72</f>
        <v>60</v>
      </c>
      <c r="N113" s="348">
        <f t="shared" si="42"/>
        <v>-0.01</v>
      </c>
      <c r="O113" s="348">
        <f t="shared" si="42"/>
        <v>0</v>
      </c>
      <c r="P113" s="348">
        <f t="shared" si="42"/>
        <v>0.02</v>
      </c>
      <c r="Q113" s="348">
        <f t="shared" si="42"/>
        <v>0.01</v>
      </c>
      <c r="R113" s="348">
        <f t="shared" si="42"/>
        <v>0.12</v>
      </c>
      <c r="S113" s="349"/>
    </row>
    <row r="114" spans="1:19" ht="13">
      <c r="A114" s="1160"/>
      <c r="B114" s="350">
        <v>14</v>
      </c>
      <c r="C114" s="348">
        <f t="shared" ref="C114:H114" si="43">H66</f>
        <v>0</v>
      </c>
      <c r="D114" s="348">
        <f t="shared" si="43"/>
        <v>0</v>
      </c>
      <c r="E114" s="348">
        <f t="shared" si="43"/>
        <v>0</v>
      </c>
      <c r="F114" s="348">
        <f t="shared" si="43"/>
        <v>9.9999999999999995E-7</v>
      </c>
      <c r="G114" s="348">
        <f t="shared" si="43"/>
        <v>4.9999999999999998E-7</v>
      </c>
      <c r="H114" s="348">
        <f t="shared" si="43"/>
        <v>0</v>
      </c>
      <c r="I114" s="355"/>
      <c r="K114" s="356"/>
      <c r="L114" s="350">
        <v>14</v>
      </c>
      <c r="M114" s="348">
        <f t="shared" ref="M114:R114" si="44">H$72</f>
        <v>60</v>
      </c>
      <c r="N114" s="348">
        <f t="shared" si="44"/>
        <v>-0.05</v>
      </c>
      <c r="O114" s="348">
        <f t="shared" si="44"/>
        <v>0.01</v>
      </c>
      <c r="P114" s="348">
        <f t="shared" si="44"/>
        <v>0.03</v>
      </c>
      <c r="Q114" s="348">
        <f t="shared" si="44"/>
        <v>9.9999999999999985E-3</v>
      </c>
      <c r="R114" s="348">
        <f t="shared" si="44"/>
        <v>0.12</v>
      </c>
      <c r="S114" s="349"/>
    </row>
    <row r="115" spans="1:19" ht="13">
      <c r="A115" s="1160"/>
      <c r="B115" s="350">
        <v>15</v>
      </c>
      <c r="C115" s="348">
        <f t="shared" ref="C115:H115" si="45">O66</f>
        <v>0</v>
      </c>
      <c r="D115" s="348">
        <f t="shared" si="45"/>
        <v>0</v>
      </c>
      <c r="E115" s="348">
        <f t="shared" si="45"/>
        <v>9.9999999999999995E-7</v>
      </c>
      <c r="F115" s="348">
        <f t="shared" si="45"/>
        <v>9.9999999999999995E-7</v>
      </c>
      <c r="G115" s="348">
        <f t="shared" si="45"/>
        <v>0</v>
      </c>
      <c r="H115" s="348">
        <f t="shared" si="45"/>
        <v>0</v>
      </c>
      <c r="I115" s="355"/>
      <c r="K115" s="356"/>
      <c r="L115" s="350">
        <v>15</v>
      </c>
      <c r="M115" s="348">
        <f t="shared" ref="M115:R115" si="46">O$72</f>
        <v>60</v>
      </c>
      <c r="N115" s="348">
        <f t="shared" si="46"/>
        <v>0.01</v>
      </c>
      <c r="O115" s="348">
        <f t="shared" si="46"/>
        <v>0.04</v>
      </c>
      <c r="P115" s="348">
        <f t="shared" si="46"/>
        <v>9.9999999999999995E-7</v>
      </c>
      <c r="Q115" s="348">
        <f t="shared" si="46"/>
        <v>1.99995E-2</v>
      </c>
      <c r="R115" s="348">
        <f t="shared" si="46"/>
        <v>0.12</v>
      </c>
      <c r="S115" s="349"/>
    </row>
    <row r="116" spans="1:19" ht="13.5" thickBot="1">
      <c r="A116" s="1160"/>
      <c r="B116" s="350">
        <v>16</v>
      </c>
      <c r="C116" s="358">
        <f>A81</f>
        <v>0</v>
      </c>
      <c r="D116" s="358">
        <f t="shared" ref="D116:H116" si="47">B81</f>
        <v>0</v>
      </c>
      <c r="E116" s="358">
        <f>C81</f>
        <v>0</v>
      </c>
      <c r="F116" s="358">
        <f t="shared" si="47"/>
        <v>9.9999999999999995E-7</v>
      </c>
      <c r="G116" s="358">
        <f t="shared" si="47"/>
        <v>4.9999999999999998E-7</v>
      </c>
      <c r="H116" s="358">
        <f t="shared" si="47"/>
        <v>0</v>
      </c>
      <c r="I116" s="359"/>
      <c r="K116" s="356"/>
      <c r="L116" s="360">
        <v>16</v>
      </c>
      <c r="M116" s="348">
        <f t="shared" ref="M116:R116" si="48">A$87</f>
        <v>60</v>
      </c>
      <c r="N116" s="348">
        <f t="shared" si="48"/>
        <v>0</v>
      </c>
      <c r="O116" s="348">
        <f t="shared" si="48"/>
        <v>0</v>
      </c>
      <c r="P116" s="348">
        <f t="shared" si="48"/>
        <v>-0.01</v>
      </c>
      <c r="Q116" s="348">
        <f t="shared" si="48"/>
        <v>5.0000000000000001E-3</v>
      </c>
      <c r="R116" s="348">
        <f t="shared" si="48"/>
        <v>0.12</v>
      </c>
      <c r="S116" s="349"/>
    </row>
    <row r="117" spans="1:19" ht="13.5" thickBot="1">
      <c r="A117" s="361"/>
      <c r="B117" s="357">
        <v>17</v>
      </c>
      <c r="C117" s="362">
        <f>H81</f>
        <v>0</v>
      </c>
      <c r="D117" s="362">
        <f t="shared" ref="D117:H117" si="49">I81</f>
        <v>0</v>
      </c>
      <c r="E117" s="362">
        <f t="shared" si="49"/>
        <v>0</v>
      </c>
      <c r="F117" s="362" t="str">
        <f t="shared" si="49"/>
        <v>-</v>
      </c>
      <c r="G117" s="362">
        <f t="shared" si="49"/>
        <v>0</v>
      </c>
      <c r="H117" s="362">
        <f t="shared" si="49"/>
        <v>0</v>
      </c>
      <c r="I117" s="363"/>
      <c r="K117" s="356"/>
      <c r="L117" s="350">
        <v>17</v>
      </c>
      <c r="M117" s="348">
        <f>H87</f>
        <v>60</v>
      </c>
      <c r="N117" s="348">
        <f t="shared" ref="N117:R117" si="50">I87</f>
        <v>0.01</v>
      </c>
      <c r="O117" s="348">
        <f t="shared" si="50"/>
        <v>0</v>
      </c>
      <c r="P117" s="348" t="str">
        <f t="shared" si="50"/>
        <v>-</v>
      </c>
      <c r="Q117" s="348">
        <f t="shared" si="50"/>
        <v>3.9999999999999994E-2</v>
      </c>
      <c r="R117" s="348">
        <f t="shared" si="50"/>
        <v>0.12</v>
      </c>
      <c r="S117" s="349"/>
    </row>
    <row r="118" spans="1:19" ht="13">
      <c r="A118" s="1159" t="s">
        <v>6</v>
      </c>
      <c r="B118" s="345">
        <v>1</v>
      </c>
      <c r="C118" s="346">
        <f>A$6</f>
        <v>10</v>
      </c>
      <c r="D118" s="346">
        <f t="shared" ref="D118:H118" si="51">B$6</f>
        <v>0.04</v>
      </c>
      <c r="E118" s="346">
        <f t="shared" si="51"/>
        <v>0.01</v>
      </c>
      <c r="F118" s="346">
        <f t="shared" si="51"/>
        <v>-1E-3</v>
      </c>
      <c r="G118" s="346">
        <f t="shared" si="51"/>
        <v>5.4999999999999997E-3</v>
      </c>
      <c r="H118" s="346">
        <f t="shared" si="51"/>
        <v>0.12</v>
      </c>
      <c r="I118" s="347"/>
      <c r="K118" s="1181" t="s">
        <v>283</v>
      </c>
      <c r="L118" s="345">
        <v>1</v>
      </c>
      <c r="M118" s="346">
        <f t="shared" ref="M118:R118" si="52">A$12</f>
        <v>300</v>
      </c>
      <c r="N118" s="346">
        <f t="shared" si="52"/>
        <v>0.02</v>
      </c>
      <c r="O118" s="346">
        <f t="shared" si="52"/>
        <v>0.01</v>
      </c>
      <c r="P118" s="346">
        <f t="shared" si="52"/>
        <v>-2E-3</v>
      </c>
      <c r="Q118" s="346">
        <f t="shared" si="52"/>
        <v>6.0000000000000001E-3</v>
      </c>
      <c r="R118" s="346">
        <f t="shared" si="52"/>
        <v>0.12</v>
      </c>
      <c r="S118" s="364"/>
    </row>
    <row r="119" spans="1:19" ht="13">
      <c r="A119" s="1160"/>
      <c r="B119" s="350">
        <v>2</v>
      </c>
      <c r="C119" s="351">
        <f>H$6</f>
        <v>10</v>
      </c>
      <c r="D119" s="351">
        <f t="shared" ref="D119:H119" si="53">I$6</f>
        <v>2E-3</v>
      </c>
      <c r="E119" s="351">
        <f t="shared" si="53"/>
        <v>0</v>
      </c>
      <c r="F119" s="351">
        <f t="shared" si="53"/>
        <v>1E-3</v>
      </c>
      <c r="G119" s="351">
        <f t="shared" si="53"/>
        <v>5.0000000000000001E-4</v>
      </c>
      <c r="H119" s="351">
        <f t="shared" si="53"/>
        <v>0.121</v>
      </c>
      <c r="I119" s="352"/>
      <c r="K119" s="1161"/>
      <c r="L119" s="350">
        <v>2</v>
      </c>
      <c r="M119" s="351">
        <f t="shared" ref="M119:R119" si="54">H$12</f>
        <v>300</v>
      </c>
      <c r="N119" s="351">
        <f t="shared" si="54"/>
        <v>4.0000000000000001E-3</v>
      </c>
      <c r="O119" s="351">
        <f t="shared" si="54"/>
        <v>1E-3</v>
      </c>
      <c r="P119" s="351">
        <f t="shared" si="54"/>
        <v>3.0000000000000001E-3</v>
      </c>
      <c r="Q119" s="351">
        <f t="shared" si="54"/>
        <v>1E-3</v>
      </c>
      <c r="R119" s="351">
        <f t="shared" si="54"/>
        <v>0.121</v>
      </c>
      <c r="S119" s="365"/>
    </row>
    <row r="120" spans="1:19" ht="13">
      <c r="A120" s="1160"/>
      <c r="B120" s="350">
        <v>3</v>
      </c>
      <c r="C120" s="351">
        <f>O$6</f>
        <v>10</v>
      </c>
      <c r="D120" s="351">
        <f t="shared" ref="D120:H120" si="55">P$6</f>
        <v>-2E-3</v>
      </c>
      <c r="E120" s="351">
        <f t="shared" si="55"/>
        <v>0</v>
      </c>
      <c r="F120" s="351" t="str">
        <f t="shared" si="55"/>
        <v>-</v>
      </c>
      <c r="G120" s="351">
        <f t="shared" si="55"/>
        <v>3.9999999999999994E-2</v>
      </c>
      <c r="H120" s="351">
        <f t="shared" si="55"/>
        <v>0.12</v>
      </c>
      <c r="I120" s="352"/>
      <c r="K120" s="1161"/>
      <c r="L120" s="350">
        <v>3</v>
      </c>
      <c r="M120" s="351">
        <f t="shared" ref="M120:R120" si="56">O$12</f>
        <v>300</v>
      </c>
      <c r="N120" s="351">
        <f t="shared" si="56"/>
        <v>-1E-3</v>
      </c>
      <c r="O120" s="351">
        <f t="shared" si="56"/>
        <v>1E-3</v>
      </c>
      <c r="P120" s="351">
        <f t="shared" si="56"/>
        <v>1E-3</v>
      </c>
      <c r="Q120" s="351">
        <f t="shared" si="56"/>
        <v>0</v>
      </c>
      <c r="R120" s="351">
        <f t="shared" si="56"/>
        <v>0.12</v>
      </c>
      <c r="S120" s="365"/>
    </row>
    <row r="121" spans="1:19" ht="13">
      <c r="A121" s="1160"/>
      <c r="B121" s="350">
        <v>4</v>
      </c>
      <c r="C121" s="351">
        <f>A$21</f>
        <v>60</v>
      </c>
      <c r="D121" s="351" t="str">
        <f t="shared" ref="D121:H121" si="57">B$21</f>
        <v>-</v>
      </c>
      <c r="E121" s="351">
        <f t="shared" si="57"/>
        <v>-0.01</v>
      </c>
      <c r="F121" s="351">
        <f t="shared" si="57"/>
        <v>2E-3</v>
      </c>
      <c r="G121" s="351">
        <f t="shared" si="57"/>
        <v>6.0000000000000001E-3</v>
      </c>
      <c r="H121" s="351">
        <f t="shared" si="57"/>
        <v>0.12</v>
      </c>
      <c r="I121" s="352"/>
      <c r="K121" s="1161"/>
      <c r="L121" s="350">
        <v>4</v>
      </c>
      <c r="M121" s="351">
        <f t="shared" ref="M121:R121" si="58">A$27</f>
        <v>300</v>
      </c>
      <c r="N121" s="351" t="str">
        <f t="shared" si="58"/>
        <v>-</v>
      </c>
      <c r="O121" s="351">
        <f t="shared" si="58"/>
        <v>-0.01</v>
      </c>
      <c r="P121" s="351">
        <f t="shared" si="58"/>
        <v>1E-3</v>
      </c>
      <c r="Q121" s="351">
        <f t="shared" si="58"/>
        <v>5.4999999999999997E-3</v>
      </c>
      <c r="R121" s="351">
        <f t="shared" si="58"/>
        <v>0.12</v>
      </c>
      <c r="S121" s="365"/>
    </row>
    <row r="122" spans="1:19" ht="13">
      <c r="A122" s="1160"/>
      <c r="B122" s="350">
        <v>5</v>
      </c>
      <c r="C122" s="351">
        <f>H$21</f>
        <v>10</v>
      </c>
      <c r="D122" s="351">
        <f t="shared" ref="D122:H122" si="59">I$21</f>
        <v>0</v>
      </c>
      <c r="E122" s="351">
        <f t="shared" si="59"/>
        <v>0.01</v>
      </c>
      <c r="F122" s="351">
        <f t="shared" si="59"/>
        <v>-0.02</v>
      </c>
      <c r="G122" s="351">
        <f t="shared" si="59"/>
        <v>1.4999999999999999E-2</v>
      </c>
      <c r="H122" s="351">
        <f t="shared" si="59"/>
        <v>0.12</v>
      </c>
      <c r="I122" s="352"/>
      <c r="K122" s="1161"/>
      <c r="L122" s="350">
        <v>5</v>
      </c>
      <c r="M122" s="351">
        <f t="shared" ref="M122:R122" si="60">H$27</f>
        <v>300</v>
      </c>
      <c r="N122" s="351">
        <f t="shared" si="60"/>
        <v>0</v>
      </c>
      <c r="O122" s="351">
        <f t="shared" si="60"/>
        <v>0.01</v>
      </c>
      <c r="P122" s="351">
        <f t="shared" si="60"/>
        <v>-0.02</v>
      </c>
      <c r="Q122" s="351">
        <f t="shared" si="60"/>
        <v>1.4999999999999999E-2</v>
      </c>
      <c r="R122" s="351">
        <f t="shared" si="60"/>
        <v>0.12</v>
      </c>
      <c r="S122" s="354"/>
    </row>
    <row r="123" spans="1:19" ht="13">
      <c r="A123" s="1160"/>
      <c r="B123" s="350">
        <v>6</v>
      </c>
      <c r="C123" s="351">
        <f>O$21</f>
        <v>10</v>
      </c>
      <c r="D123" s="351">
        <f t="shared" ref="D123:H123" si="61">P$21</f>
        <v>-0.01</v>
      </c>
      <c r="E123" s="351">
        <f t="shared" si="61"/>
        <v>0</v>
      </c>
      <c r="F123" s="351" t="str">
        <f t="shared" si="61"/>
        <v>-</v>
      </c>
      <c r="G123" s="351">
        <f t="shared" si="61"/>
        <v>3.9999999999999994E-2</v>
      </c>
      <c r="H123" s="351">
        <f t="shared" si="61"/>
        <v>0.12</v>
      </c>
      <c r="I123" s="352"/>
      <c r="K123" s="1161"/>
      <c r="L123" s="350">
        <v>6</v>
      </c>
      <c r="M123" s="351">
        <f t="shared" ref="M123:R123" si="62">O$27</f>
        <v>300</v>
      </c>
      <c r="N123" s="351">
        <f t="shared" si="62"/>
        <v>-0.01</v>
      </c>
      <c r="O123" s="351">
        <f t="shared" si="62"/>
        <v>0</v>
      </c>
      <c r="P123" s="351">
        <f t="shared" si="62"/>
        <v>0.01</v>
      </c>
      <c r="Q123" s="351">
        <f t="shared" si="62"/>
        <v>5.0000000000000001E-3</v>
      </c>
      <c r="R123" s="351">
        <f t="shared" si="62"/>
        <v>0.12</v>
      </c>
      <c r="S123" s="365"/>
    </row>
    <row r="124" spans="1:19" ht="13">
      <c r="A124" s="1160"/>
      <c r="B124" s="350">
        <v>7</v>
      </c>
      <c r="C124" s="351">
        <f>A$37</f>
        <v>10</v>
      </c>
      <c r="D124" s="351">
        <f t="shared" ref="D124:H124" si="63">B$37</f>
        <v>-0.05</v>
      </c>
      <c r="E124" s="351">
        <f t="shared" si="63"/>
        <v>-0.01</v>
      </c>
      <c r="F124" s="351" t="str">
        <f t="shared" si="63"/>
        <v>-</v>
      </c>
      <c r="G124" s="351">
        <f t="shared" si="63"/>
        <v>3.9999999999999994E-2</v>
      </c>
      <c r="H124" s="351">
        <f t="shared" si="63"/>
        <v>0.12</v>
      </c>
      <c r="I124" s="352"/>
      <c r="K124" s="1161"/>
      <c r="L124" s="350">
        <v>7</v>
      </c>
      <c r="M124" s="351">
        <f t="shared" ref="M124:R124" si="64">A$43</f>
        <v>300</v>
      </c>
      <c r="N124" s="351">
        <f t="shared" si="64"/>
        <v>-0.06</v>
      </c>
      <c r="O124" s="351">
        <f t="shared" si="64"/>
        <v>-0.01</v>
      </c>
      <c r="P124" s="351">
        <f t="shared" si="64"/>
        <v>0.02</v>
      </c>
      <c r="Q124" s="351">
        <f t="shared" si="64"/>
        <v>1.4999999999999999E-2</v>
      </c>
      <c r="R124" s="351">
        <f t="shared" si="64"/>
        <v>0.12</v>
      </c>
      <c r="S124" s="365"/>
    </row>
    <row r="125" spans="1:19" ht="13">
      <c r="A125" s="1160"/>
      <c r="B125" s="350">
        <v>8</v>
      </c>
      <c r="C125" s="351">
        <f>H$37</f>
        <v>10</v>
      </c>
      <c r="D125" s="351">
        <f t="shared" ref="D125:H125" si="65">I$37</f>
        <v>-0.01</v>
      </c>
      <c r="E125" s="351">
        <f t="shared" si="65"/>
        <v>0.01</v>
      </c>
      <c r="F125" s="351" t="str">
        <f t="shared" si="65"/>
        <v>-</v>
      </c>
      <c r="G125" s="351">
        <f t="shared" si="65"/>
        <v>3.9999999999999994E-2</v>
      </c>
      <c r="H125" s="351">
        <f t="shared" si="65"/>
        <v>0.12</v>
      </c>
      <c r="I125" s="352"/>
      <c r="K125" s="1161"/>
      <c r="L125" s="350">
        <v>8</v>
      </c>
      <c r="M125" s="351">
        <f t="shared" ref="M125:R125" si="66">H$43</f>
        <v>300</v>
      </c>
      <c r="N125" s="351">
        <f t="shared" si="66"/>
        <v>-0.02</v>
      </c>
      <c r="O125" s="351">
        <f t="shared" si="66"/>
        <v>0.01</v>
      </c>
      <c r="P125" s="351">
        <f t="shared" si="66"/>
        <v>0.02</v>
      </c>
      <c r="Q125" s="351">
        <f t="shared" si="66"/>
        <v>5.0000000000000001E-3</v>
      </c>
      <c r="R125" s="351">
        <f t="shared" si="66"/>
        <v>0.12</v>
      </c>
      <c r="S125" s="365"/>
    </row>
    <row r="126" spans="1:19" ht="13">
      <c r="A126" s="1160"/>
      <c r="B126" s="350">
        <v>9</v>
      </c>
      <c r="C126" s="351">
        <f>O$37</f>
        <v>10</v>
      </c>
      <c r="D126" s="351">
        <f t="shared" ref="D126:H126" si="67">P$37</f>
        <v>0</v>
      </c>
      <c r="E126" s="351" t="str">
        <f t="shared" si="67"/>
        <v>-</v>
      </c>
      <c r="F126" s="351" t="str">
        <f t="shared" si="67"/>
        <v>-</v>
      </c>
      <c r="G126" s="351">
        <f t="shared" si="67"/>
        <v>3.9999999999999994E-2</v>
      </c>
      <c r="H126" s="351">
        <f t="shared" si="67"/>
        <v>0.12</v>
      </c>
      <c r="I126" s="352"/>
      <c r="K126" s="1161"/>
      <c r="L126" s="350">
        <v>9</v>
      </c>
      <c r="M126" s="351">
        <f t="shared" ref="M126:R126" si="68">O$43</f>
        <v>300</v>
      </c>
      <c r="N126" s="351">
        <f t="shared" si="68"/>
        <v>0.01</v>
      </c>
      <c r="O126" s="351">
        <f t="shared" si="68"/>
        <v>0.01</v>
      </c>
      <c r="P126" s="351">
        <f t="shared" si="68"/>
        <v>-0.02</v>
      </c>
      <c r="Q126" s="351">
        <f t="shared" si="68"/>
        <v>1.4999999999999999E-2</v>
      </c>
      <c r="R126" s="351">
        <f t="shared" si="68"/>
        <v>0.12</v>
      </c>
      <c r="S126" s="365"/>
    </row>
    <row r="127" spans="1:19" ht="13">
      <c r="A127" s="1160"/>
      <c r="B127" s="350">
        <v>10</v>
      </c>
      <c r="C127" s="351">
        <f>A$52</f>
        <v>10</v>
      </c>
      <c r="D127" s="351">
        <f t="shared" ref="D127:H127" si="69">B$52</f>
        <v>-0.03</v>
      </c>
      <c r="E127" s="351">
        <f t="shared" si="69"/>
        <v>0.01</v>
      </c>
      <c r="F127" s="351">
        <f t="shared" si="69"/>
        <v>-7.0000000000000007E-2</v>
      </c>
      <c r="G127" s="351">
        <f t="shared" si="69"/>
        <v>0.04</v>
      </c>
      <c r="H127" s="351">
        <f t="shared" si="69"/>
        <v>0.12</v>
      </c>
      <c r="I127" s="352"/>
      <c r="K127" s="1161"/>
      <c r="L127" s="350">
        <v>10</v>
      </c>
      <c r="M127" s="351">
        <f t="shared" ref="M127:R127" si="70">A$58</f>
        <v>300</v>
      </c>
      <c r="N127" s="351">
        <f t="shared" si="70"/>
        <v>-0.03</v>
      </c>
      <c r="O127" s="351">
        <f t="shared" si="70"/>
        <v>0.01</v>
      </c>
      <c r="P127" s="351">
        <f t="shared" si="70"/>
        <v>-0.05</v>
      </c>
      <c r="Q127" s="351">
        <f t="shared" si="70"/>
        <v>3.0000000000000002E-2</v>
      </c>
      <c r="R127" s="351">
        <f t="shared" si="70"/>
        <v>0.12</v>
      </c>
      <c r="S127" s="353"/>
    </row>
    <row r="128" spans="1:19" ht="13">
      <c r="A128" s="1160"/>
      <c r="B128" s="350">
        <v>11</v>
      </c>
      <c r="C128" s="348">
        <f>H$52</f>
        <v>10</v>
      </c>
      <c r="D128" s="348">
        <f t="shared" ref="D128:H128" si="71">I$52</f>
        <v>-0.03</v>
      </c>
      <c r="E128" s="348">
        <f t="shared" si="71"/>
        <v>0</v>
      </c>
      <c r="F128" s="348">
        <f t="shared" si="71"/>
        <v>-0.03</v>
      </c>
      <c r="G128" s="348">
        <f t="shared" si="71"/>
        <v>1.4999999999999999E-2</v>
      </c>
      <c r="H128" s="348">
        <f t="shared" si="71"/>
        <v>0.12</v>
      </c>
      <c r="I128" s="355"/>
      <c r="K128" s="1161"/>
      <c r="L128" s="357">
        <v>11</v>
      </c>
      <c r="M128" s="348">
        <f t="shared" ref="M128:R128" si="72">H$58</f>
        <v>300</v>
      </c>
      <c r="N128" s="348">
        <f t="shared" si="72"/>
        <v>-0.03</v>
      </c>
      <c r="O128" s="348">
        <f t="shared" si="72"/>
        <v>0</v>
      </c>
      <c r="P128" s="348">
        <f t="shared" si="72"/>
        <v>-0.03</v>
      </c>
      <c r="Q128" s="348">
        <f t="shared" si="72"/>
        <v>1.4999999999999999E-2</v>
      </c>
      <c r="R128" s="348">
        <f t="shared" si="72"/>
        <v>0.12</v>
      </c>
      <c r="S128" s="349"/>
    </row>
    <row r="129" spans="1:19" ht="13">
      <c r="A129" s="1160"/>
      <c r="B129" s="350">
        <v>12</v>
      </c>
      <c r="C129" s="348">
        <f>O$52</f>
        <v>10</v>
      </c>
      <c r="D129" s="348">
        <f t="shared" ref="D129:H129" si="73">P$52</f>
        <v>0.03</v>
      </c>
      <c r="E129" s="348">
        <f t="shared" si="73"/>
        <v>0.01</v>
      </c>
      <c r="F129" s="348">
        <f t="shared" si="73"/>
        <v>0.02</v>
      </c>
      <c r="G129" s="348">
        <f t="shared" si="73"/>
        <v>5.0000000000000001E-3</v>
      </c>
      <c r="H129" s="348">
        <f t="shared" si="73"/>
        <v>0.12</v>
      </c>
      <c r="I129" s="355"/>
      <c r="K129" s="1161"/>
      <c r="L129" s="350">
        <v>12</v>
      </c>
      <c r="M129" s="348">
        <f t="shared" ref="M129:R129" si="74">O$58</f>
        <v>300</v>
      </c>
      <c r="N129" s="348">
        <f t="shared" si="74"/>
        <v>0.03</v>
      </c>
      <c r="O129" s="348">
        <f t="shared" si="74"/>
        <v>-0.01</v>
      </c>
      <c r="P129" s="348">
        <f t="shared" si="74"/>
        <v>0.02</v>
      </c>
      <c r="Q129" s="348">
        <f t="shared" si="74"/>
        <v>1.4999999999999999E-2</v>
      </c>
      <c r="R129" s="348">
        <f t="shared" si="74"/>
        <v>0.12</v>
      </c>
      <c r="S129" s="349"/>
    </row>
    <row r="130" spans="1:19" ht="13">
      <c r="A130" s="1160"/>
      <c r="B130" s="350">
        <v>13</v>
      </c>
      <c r="C130" s="348">
        <f>A$67</f>
        <v>10</v>
      </c>
      <c r="D130" s="348">
        <f t="shared" ref="D130:H130" si="75">B$67</f>
        <v>-0.01</v>
      </c>
      <c r="E130" s="348">
        <f t="shared" si="75"/>
        <v>0</v>
      </c>
      <c r="F130" s="348">
        <f t="shared" si="75"/>
        <v>0.02</v>
      </c>
      <c r="G130" s="348">
        <f t="shared" si="75"/>
        <v>0.01</v>
      </c>
      <c r="H130" s="348">
        <f t="shared" si="75"/>
        <v>0.12</v>
      </c>
      <c r="I130" s="355"/>
      <c r="K130" s="1161"/>
      <c r="L130" s="350">
        <v>13</v>
      </c>
      <c r="M130" s="348">
        <f t="shared" ref="M130:R130" si="76">A$73</f>
        <v>300</v>
      </c>
      <c r="N130" s="348">
        <f t="shared" si="76"/>
        <v>-0.01</v>
      </c>
      <c r="O130" s="348">
        <f t="shared" si="76"/>
        <v>0</v>
      </c>
      <c r="P130" s="348">
        <f t="shared" si="76"/>
        <v>0.01</v>
      </c>
      <c r="Q130" s="348">
        <f t="shared" si="76"/>
        <v>5.0000000000000001E-3</v>
      </c>
      <c r="R130" s="348">
        <f t="shared" si="76"/>
        <v>0.12</v>
      </c>
      <c r="S130" s="349"/>
    </row>
    <row r="131" spans="1:19" ht="13">
      <c r="A131" s="1160"/>
      <c r="B131" s="350">
        <v>14</v>
      </c>
      <c r="C131" s="348">
        <f>H$67</f>
        <v>10</v>
      </c>
      <c r="D131" s="348">
        <f t="shared" ref="D131:H131" si="77">I$67</f>
        <v>-0.04</v>
      </c>
      <c r="E131" s="348">
        <f t="shared" si="77"/>
        <v>0</v>
      </c>
      <c r="F131" s="348">
        <f t="shared" si="77"/>
        <v>0.02</v>
      </c>
      <c r="G131" s="348">
        <f t="shared" si="77"/>
        <v>0.01</v>
      </c>
      <c r="H131" s="348">
        <f t="shared" si="77"/>
        <v>0.12</v>
      </c>
      <c r="I131" s="355"/>
      <c r="K131" s="1161"/>
      <c r="L131" s="350">
        <v>14</v>
      </c>
      <c r="M131" s="348">
        <f t="shared" ref="M131:R131" si="78">H$73</f>
        <v>300</v>
      </c>
      <c r="N131" s="348">
        <f t="shared" si="78"/>
        <v>-0.04</v>
      </c>
      <c r="O131" s="348">
        <f t="shared" si="78"/>
        <v>0.01</v>
      </c>
      <c r="P131" s="348">
        <f t="shared" si="78"/>
        <v>0.03</v>
      </c>
      <c r="Q131" s="348">
        <f t="shared" si="78"/>
        <v>9.9999999999999985E-3</v>
      </c>
      <c r="R131" s="348">
        <f t="shared" si="78"/>
        <v>0.12</v>
      </c>
      <c r="S131" s="349"/>
    </row>
    <row r="132" spans="1:19" ht="13">
      <c r="A132" s="1160"/>
      <c r="B132" s="350">
        <v>15</v>
      </c>
      <c r="C132" s="348">
        <f>O$67</f>
        <v>10</v>
      </c>
      <c r="D132" s="348">
        <f t="shared" ref="D132:H132" si="79">P$67</f>
        <v>0.01</v>
      </c>
      <c r="E132" s="348">
        <f t="shared" si="79"/>
        <v>0.03</v>
      </c>
      <c r="F132" s="348" t="str">
        <f t="shared" si="79"/>
        <v>-</v>
      </c>
      <c r="G132" s="348">
        <f t="shared" si="79"/>
        <v>3.9999999999999994E-2</v>
      </c>
      <c r="H132" s="348">
        <f t="shared" si="79"/>
        <v>0.12</v>
      </c>
      <c r="I132" s="355"/>
      <c r="K132" s="1161"/>
      <c r="L132" s="350">
        <v>15</v>
      </c>
      <c r="M132" s="348">
        <f t="shared" ref="M132:R132" si="80">O$73</f>
        <v>300</v>
      </c>
      <c r="N132" s="348">
        <f t="shared" si="80"/>
        <v>0.01</v>
      </c>
      <c r="O132" s="348">
        <f t="shared" si="80"/>
        <v>0.04</v>
      </c>
      <c r="P132" s="348">
        <f t="shared" si="80"/>
        <v>-0.01</v>
      </c>
      <c r="Q132" s="348">
        <f t="shared" si="80"/>
        <v>2.5000000000000001E-2</v>
      </c>
      <c r="R132" s="348">
        <f t="shared" si="80"/>
        <v>0.12</v>
      </c>
      <c r="S132" s="349"/>
    </row>
    <row r="133" spans="1:19" ht="13.5" thickBot="1">
      <c r="A133" s="1160"/>
      <c r="B133" s="350">
        <v>16</v>
      </c>
      <c r="C133" s="366">
        <f>A$82</f>
        <v>10</v>
      </c>
      <c r="D133" s="366">
        <f t="shared" ref="D133:H133" si="81">B$82</f>
        <v>0</v>
      </c>
      <c r="E133" s="366">
        <f t="shared" si="81"/>
        <v>0</v>
      </c>
      <c r="F133" s="366" t="str">
        <f t="shared" si="81"/>
        <v>-</v>
      </c>
      <c r="G133" s="366">
        <f t="shared" si="81"/>
        <v>3.9999999999999994E-2</v>
      </c>
      <c r="H133" s="366">
        <f t="shared" si="81"/>
        <v>0.12</v>
      </c>
      <c r="I133" s="366"/>
      <c r="K133" s="1161"/>
      <c r="L133" s="360">
        <v>16</v>
      </c>
      <c r="M133" s="367">
        <f t="shared" ref="M133:R133" si="82">A$88</f>
        <v>300</v>
      </c>
      <c r="N133" s="367">
        <f t="shared" si="82"/>
        <v>0</v>
      </c>
      <c r="O133" s="367">
        <f t="shared" si="82"/>
        <v>0</v>
      </c>
      <c r="P133" s="367">
        <f t="shared" si="82"/>
        <v>-0.01</v>
      </c>
      <c r="Q133" s="367">
        <f t="shared" si="82"/>
        <v>5.0000000000000001E-3</v>
      </c>
      <c r="R133" s="367">
        <f t="shared" si="82"/>
        <v>0.12</v>
      </c>
      <c r="S133" s="368"/>
    </row>
    <row r="134" spans="1:19" ht="13.5" thickBot="1">
      <c r="A134" s="361"/>
      <c r="B134" s="350">
        <v>17</v>
      </c>
      <c r="C134" s="369">
        <f>H82</f>
        <v>10</v>
      </c>
      <c r="D134" s="369">
        <f t="shared" ref="D134:H134" si="83">I82</f>
        <v>0</v>
      </c>
      <c r="E134" s="369" t="str">
        <f t="shared" si="83"/>
        <v>-</v>
      </c>
      <c r="F134" s="369" t="str">
        <f t="shared" si="83"/>
        <v>-</v>
      </c>
      <c r="G134" s="369">
        <f t="shared" si="83"/>
        <v>3.9999999999999994E-2</v>
      </c>
      <c r="H134" s="369">
        <f t="shared" si="83"/>
        <v>0.12</v>
      </c>
      <c r="I134" s="370"/>
      <c r="K134" s="356"/>
      <c r="L134" s="350">
        <v>17</v>
      </c>
      <c r="M134" s="367">
        <f>H88</f>
        <v>300</v>
      </c>
      <c r="N134" s="367">
        <f t="shared" ref="N134:R134" si="84">I88</f>
        <v>0.01</v>
      </c>
      <c r="O134" s="367">
        <f t="shared" si="84"/>
        <v>-2E-3</v>
      </c>
      <c r="P134" s="367" t="str">
        <f t="shared" si="84"/>
        <v>-</v>
      </c>
      <c r="Q134" s="367">
        <f t="shared" si="84"/>
        <v>3.9999999999999994E-2</v>
      </c>
      <c r="R134" s="367">
        <f t="shared" si="84"/>
        <v>0.12</v>
      </c>
      <c r="S134" s="368"/>
    </row>
    <row r="135" spans="1:19" ht="13">
      <c r="A135" s="1159" t="s">
        <v>7</v>
      </c>
      <c r="B135" s="345">
        <v>1</v>
      </c>
      <c r="C135" s="346">
        <f>A$7</f>
        <v>20</v>
      </c>
      <c r="D135" s="346" t="str">
        <f>B$7</f>
        <v>-</v>
      </c>
      <c r="E135" s="346" t="str">
        <f t="shared" ref="E135:H135" si="85">C$7</f>
        <v>-</v>
      </c>
      <c r="F135" s="346">
        <f t="shared" si="85"/>
        <v>-1E-3</v>
      </c>
      <c r="G135" s="346">
        <f t="shared" si="85"/>
        <v>3.9999999999999994E-2</v>
      </c>
      <c r="H135" s="346">
        <f t="shared" si="85"/>
        <v>0.12</v>
      </c>
      <c r="I135" s="347"/>
      <c r="K135" s="1182" t="s">
        <v>284</v>
      </c>
      <c r="L135" s="345">
        <v>1</v>
      </c>
      <c r="M135" s="346">
        <f t="shared" ref="M135:R135" si="86">A$13</f>
        <v>600</v>
      </c>
      <c r="N135" s="346">
        <f t="shared" si="86"/>
        <v>0.03</v>
      </c>
      <c r="O135" s="346">
        <f t="shared" si="86"/>
        <v>0.01</v>
      </c>
      <c r="P135" s="346">
        <f t="shared" si="86"/>
        <v>-8.0000000000000002E-3</v>
      </c>
      <c r="Q135" s="346">
        <f t="shared" si="86"/>
        <v>9.0000000000000011E-3</v>
      </c>
      <c r="R135" s="346">
        <f t="shared" si="86"/>
        <v>0.12</v>
      </c>
      <c r="S135" s="364"/>
    </row>
    <row r="136" spans="1:19" ht="13">
      <c r="A136" s="1160"/>
      <c r="B136" s="350">
        <v>2</v>
      </c>
      <c r="C136" s="351">
        <f>H$7</f>
        <v>20</v>
      </c>
      <c r="D136" s="351" t="str">
        <f t="shared" ref="D136:H136" si="87">I$7</f>
        <v>-</v>
      </c>
      <c r="E136" s="351" t="str">
        <f t="shared" si="87"/>
        <v>-</v>
      </c>
      <c r="F136" s="351">
        <f t="shared" si="87"/>
        <v>1E-3</v>
      </c>
      <c r="G136" s="351">
        <f t="shared" si="87"/>
        <v>4.0333333333333332E-2</v>
      </c>
      <c r="H136" s="351">
        <f t="shared" si="87"/>
        <v>0.121</v>
      </c>
      <c r="I136" s="352"/>
      <c r="K136" s="1183"/>
      <c r="L136" s="350">
        <v>2</v>
      </c>
      <c r="M136" s="351">
        <f t="shared" ref="M136:R136" si="88">H$13</f>
        <v>600</v>
      </c>
      <c r="N136" s="351">
        <f t="shared" si="88"/>
        <v>2E-3</v>
      </c>
      <c r="O136" s="351">
        <f t="shared" si="88"/>
        <v>1E-3</v>
      </c>
      <c r="P136" s="351">
        <f t="shared" si="88"/>
        <v>4.0000000000000001E-3</v>
      </c>
      <c r="Q136" s="351">
        <f t="shared" si="88"/>
        <v>1.5E-3</v>
      </c>
      <c r="R136" s="351">
        <f t="shared" si="88"/>
        <v>0.121</v>
      </c>
      <c r="S136" s="365"/>
    </row>
    <row r="137" spans="1:19" ht="13">
      <c r="A137" s="1160"/>
      <c r="B137" s="350">
        <v>3</v>
      </c>
      <c r="C137" s="351">
        <f>O$7</f>
        <v>20</v>
      </c>
      <c r="D137" s="351" t="str">
        <f t="shared" ref="D137:H137" si="89">P$7</f>
        <v>-</v>
      </c>
      <c r="E137" s="351" t="str">
        <f>Q$7</f>
        <v>-</v>
      </c>
      <c r="F137" s="351" t="str">
        <f t="shared" si="89"/>
        <v>-</v>
      </c>
      <c r="G137" s="351">
        <f t="shared" si="89"/>
        <v>3.9999999999999994E-2</v>
      </c>
      <c r="H137" s="351">
        <f t="shared" si="89"/>
        <v>0.12</v>
      </c>
      <c r="I137" s="352"/>
      <c r="K137" s="1183"/>
      <c r="L137" s="350">
        <v>3</v>
      </c>
      <c r="M137" s="351">
        <f t="shared" ref="M137:R137" si="90">O$13</f>
        <v>600</v>
      </c>
      <c r="N137" s="351">
        <f t="shared" si="90"/>
        <v>-1E-3</v>
      </c>
      <c r="O137" s="351">
        <f t="shared" si="90"/>
        <v>1E-3</v>
      </c>
      <c r="P137" s="351">
        <f t="shared" si="90"/>
        <v>0</v>
      </c>
      <c r="Q137" s="351">
        <f t="shared" si="90"/>
        <v>5.0000000000000001E-4</v>
      </c>
      <c r="R137" s="351">
        <f t="shared" si="90"/>
        <v>0.12</v>
      </c>
      <c r="S137" s="365"/>
    </row>
    <row r="138" spans="1:19" ht="13">
      <c r="A138" s="1160"/>
      <c r="B138" s="350">
        <v>4</v>
      </c>
      <c r="C138" s="351">
        <f>A$22</f>
        <v>60</v>
      </c>
      <c r="D138" s="351" t="str">
        <f t="shared" ref="D138:H138" si="91">B$22</f>
        <v>-</v>
      </c>
      <c r="E138" s="351">
        <f t="shared" si="91"/>
        <v>-0.01</v>
      </c>
      <c r="F138" s="351">
        <f t="shared" si="91"/>
        <v>2E-3</v>
      </c>
      <c r="G138" s="351">
        <f t="shared" si="91"/>
        <v>6.0000000000000001E-3</v>
      </c>
      <c r="H138" s="351">
        <f t="shared" si="91"/>
        <v>0.12</v>
      </c>
      <c r="I138" s="352"/>
      <c r="K138" s="1183"/>
      <c r="L138" s="350">
        <v>4</v>
      </c>
      <c r="M138" s="351">
        <f t="shared" ref="M138:R138" si="92">A$28</f>
        <v>600</v>
      </c>
      <c r="N138" s="351" t="str">
        <f t="shared" si="92"/>
        <v>-</v>
      </c>
      <c r="O138" s="351">
        <f t="shared" si="92"/>
        <v>0.03</v>
      </c>
      <c r="P138" s="351">
        <f t="shared" si="92"/>
        <v>6.0000000000000001E-3</v>
      </c>
      <c r="Q138" s="351">
        <f t="shared" si="92"/>
        <v>1.2E-2</v>
      </c>
      <c r="R138" s="351">
        <f t="shared" si="92"/>
        <v>0.12</v>
      </c>
      <c r="S138" s="365"/>
    </row>
    <row r="139" spans="1:19" ht="13">
      <c r="A139" s="1160"/>
      <c r="B139" s="350">
        <v>5</v>
      </c>
      <c r="C139" s="351">
        <f>H$22</f>
        <v>20</v>
      </c>
      <c r="D139" s="351" t="str">
        <f t="shared" ref="D139:H139" si="93">I$22</f>
        <v>-</v>
      </c>
      <c r="E139" s="351" t="str">
        <f t="shared" si="93"/>
        <v>-</v>
      </c>
      <c r="F139" s="351">
        <f t="shared" si="93"/>
        <v>-0.02</v>
      </c>
      <c r="G139" s="351">
        <f t="shared" si="93"/>
        <v>3.9999999999999994E-2</v>
      </c>
      <c r="H139" s="351">
        <f t="shared" si="93"/>
        <v>0.12</v>
      </c>
      <c r="I139" s="352"/>
      <c r="K139" s="1183"/>
      <c r="L139" s="350">
        <v>5</v>
      </c>
      <c r="M139" s="351">
        <f t="shared" ref="M139:R139" si="94">H$28</f>
        <v>600</v>
      </c>
      <c r="N139" s="351">
        <f t="shared" si="94"/>
        <v>-0.01</v>
      </c>
      <c r="O139" s="351">
        <f t="shared" si="94"/>
        <v>0.01</v>
      </c>
      <c r="P139" s="351">
        <f t="shared" si="94"/>
        <v>-0.03</v>
      </c>
      <c r="Q139" s="351">
        <f t="shared" si="94"/>
        <v>0.02</v>
      </c>
      <c r="R139" s="351">
        <f t="shared" si="94"/>
        <v>0.12</v>
      </c>
      <c r="S139" s="354"/>
    </row>
    <row r="140" spans="1:19" ht="13">
      <c r="A140" s="1160"/>
      <c r="B140" s="350">
        <v>6</v>
      </c>
      <c r="C140" s="351">
        <f>O$22</f>
        <v>30</v>
      </c>
      <c r="D140" s="351">
        <f>P$22</f>
        <v>0</v>
      </c>
      <c r="E140" s="351">
        <f t="shared" ref="E140:H140" si="95">Q$22</f>
        <v>0</v>
      </c>
      <c r="F140" s="351" t="str">
        <f t="shared" si="95"/>
        <v>-</v>
      </c>
      <c r="G140" s="351">
        <f t="shared" si="95"/>
        <v>3.9999999999999994E-2</v>
      </c>
      <c r="H140" s="351">
        <f t="shared" si="95"/>
        <v>0.12</v>
      </c>
      <c r="I140" s="352"/>
      <c r="K140" s="1183"/>
      <c r="L140" s="350">
        <v>6</v>
      </c>
      <c r="M140" s="351">
        <f t="shared" ref="M140:R140" si="96">O$28</f>
        <v>600</v>
      </c>
      <c r="N140" s="351">
        <f t="shared" si="96"/>
        <v>0</v>
      </c>
      <c r="O140" s="351">
        <f t="shared" si="96"/>
        <v>0</v>
      </c>
      <c r="P140" s="351">
        <f t="shared" si="96"/>
        <v>0.01</v>
      </c>
      <c r="Q140" s="351">
        <f t="shared" si="96"/>
        <v>5.0000000000000001E-3</v>
      </c>
      <c r="R140" s="351">
        <f t="shared" si="96"/>
        <v>0.12</v>
      </c>
      <c r="S140" s="365"/>
    </row>
    <row r="141" spans="1:19" ht="13">
      <c r="A141" s="1160"/>
      <c r="B141" s="350">
        <v>7</v>
      </c>
      <c r="C141" s="351">
        <f>A$38</f>
        <v>30</v>
      </c>
      <c r="D141" s="351">
        <f t="shared" ref="D141:H141" si="97">B$38</f>
        <v>-0.04</v>
      </c>
      <c r="E141" s="351">
        <f t="shared" si="97"/>
        <v>0.01</v>
      </c>
      <c r="F141" s="351" t="str">
        <f t="shared" si="97"/>
        <v>-</v>
      </c>
      <c r="G141" s="351">
        <f t="shared" si="97"/>
        <v>3.9999999999999994E-2</v>
      </c>
      <c r="H141" s="351">
        <f t="shared" si="97"/>
        <v>0.12</v>
      </c>
      <c r="I141" s="352"/>
      <c r="K141" s="1183"/>
      <c r="L141" s="350">
        <v>7</v>
      </c>
      <c r="M141" s="351">
        <f t="shared" ref="M141:R141" si="98">A$44</f>
        <v>600</v>
      </c>
      <c r="N141" s="351">
        <f t="shared" si="98"/>
        <v>-0.05</v>
      </c>
      <c r="O141" s="351">
        <f t="shared" si="98"/>
        <v>-0.03</v>
      </c>
      <c r="P141" s="351">
        <f t="shared" si="98"/>
        <v>0.04</v>
      </c>
      <c r="Q141" s="351">
        <f t="shared" si="98"/>
        <v>3.5000000000000003E-2</v>
      </c>
      <c r="R141" s="351">
        <f t="shared" si="98"/>
        <v>0.12</v>
      </c>
      <c r="S141" s="365"/>
    </row>
    <row r="142" spans="1:19" ht="13">
      <c r="A142" s="1160"/>
      <c r="B142" s="350">
        <v>8</v>
      </c>
      <c r="C142" s="351">
        <f>H$38</f>
        <v>30</v>
      </c>
      <c r="D142" s="351">
        <f t="shared" ref="D142:H142" si="99">I$38</f>
        <v>0</v>
      </c>
      <c r="E142" s="351">
        <f t="shared" si="99"/>
        <v>0.01</v>
      </c>
      <c r="F142" s="351" t="str">
        <f t="shared" si="99"/>
        <v>-</v>
      </c>
      <c r="G142" s="351">
        <f t="shared" si="99"/>
        <v>3.9999999999999994E-2</v>
      </c>
      <c r="H142" s="351">
        <f t="shared" si="99"/>
        <v>0.12</v>
      </c>
      <c r="I142" s="352"/>
      <c r="K142" s="1183"/>
      <c r="L142" s="350">
        <v>8</v>
      </c>
      <c r="M142" s="351">
        <f t="shared" ref="M142:R142" si="100">H$44</f>
        <v>600</v>
      </c>
      <c r="N142" s="351">
        <f t="shared" si="100"/>
        <v>-0.02</v>
      </c>
      <c r="O142" s="351">
        <f t="shared" si="100"/>
        <v>0.01</v>
      </c>
      <c r="P142" s="351">
        <f t="shared" si="100"/>
        <v>0.02</v>
      </c>
      <c r="Q142" s="351">
        <f t="shared" si="100"/>
        <v>5.0000000000000001E-3</v>
      </c>
      <c r="R142" s="351">
        <f t="shared" si="100"/>
        <v>0.12</v>
      </c>
      <c r="S142" s="365"/>
    </row>
    <row r="143" spans="1:19" ht="13">
      <c r="A143" s="1160"/>
      <c r="B143" s="350">
        <v>9</v>
      </c>
      <c r="C143" s="351">
        <f>O$38</f>
        <v>30</v>
      </c>
      <c r="D143" s="351">
        <f t="shared" ref="D143:H143" si="101">P$38</f>
        <v>0.01</v>
      </c>
      <c r="E143" s="351" t="str">
        <f t="shared" si="101"/>
        <v>-</v>
      </c>
      <c r="F143" s="351" t="str">
        <f t="shared" si="101"/>
        <v>-</v>
      </c>
      <c r="G143" s="351">
        <f t="shared" si="101"/>
        <v>3.9999999999999994E-2</v>
      </c>
      <c r="H143" s="351">
        <f t="shared" si="101"/>
        <v>0.12</v>
      </c>
      <c r="I143" s="352"/>
      <c r="K143" s="1183"/>
      <c r="L143" s="350">
        <v>9</v>
      </c>
      <c r="M143" s="351">
        <f t="shared" ref="M143:R143" si="102">O$44</f>
        <v>600</v>
      </c>
      <c r="N143" s="351">
        <f t="shared" si="102"/>
        <v>0.01</v>
      </c>
      <c r="O143" s="351">
        <f t="shared" si="102"/>
        <v>0.01</v>
      </c>
      <c r="P143" s="351">
        <f t="shared" si="102"/>
        <v>-0.02</v>
      </c>
      <c r="Q143" s="351">
        <f t="shared" si="102"/>
        <v>1.4999999999999999E-2</v>
      </c>
      <c r="R143" s="351">
        <f t="shared" si="102"/>
        <v>0.12</v>
      </c>
      <c r="S143" s="365"/>
    </row>
    <row r="144" spans="1:19" ht="13">
      <c r="A144" s="1160"/>
      <c r="B144" s="350">
        <v>10</v>
      </c>
      <c r="C144" s="351">
        <f>A$53</f>
        <v>30</v>
      </c>
      <c r="D144" s="351">
        <f t="shared" ref="D144:H144" si="103">B$53</f>
        <v>-0.03</v>
      </c>
      <c r="E144" s="351">
        <f t="shared" si="103"/>
        <v>0.01</v>
      </c>
      <c r="F144" s="351">
        <f t="shared" si="103"/>
        <v>-0.06</v>
      </c>
      <c r="G144" s="351">
        <f t="shared" si="103"/>
        <v>3.4999999999999996E-2</v>
      </c>
      <c r="H144" s="351">
        <f t="shared" si="103"/>
        <v>0.12</v>
      </c>
      <c r="I144" s="352"/>
      <c r="K144" s="1183"/>
      <c r="L144" s="350">
        <v>10</v>
      </c>
      <c r="M144" s="351">
        <f t="shared" ref="M144:R144" si="104">A$59</f>
        <v>600</v>
      </c>
      <c r="N144" s="351">
        <f t="shared" si="104"/>
        <v>-0.03</v>
      </c>
      <c r="O144" s="351">
        <f t="shared" si="104"/>
        <v>0.01</v>
      </c>
      <c r="P144" s="351">
        <f t="shared" si="104"/>
        <v>-0.06</v>
      </c>
      <c r="Q144" s="351">
        <f t="shared" si="104"/>
        <v>3.4999999999999996E-2</v>
      </c>
      <c r="R144" s="351">
        <f t="shared" si="104"/>
        <v>0.12</v>
      </c>
      <c r="S144" s="353"/>
    </row>
    <row r="145" spans="1:19" ht="13">
      <c r="A145" s="1160"/>
      <c r="B145" s="357">
        <v>11</v>
      </c>
      <c r="C145" s="348">
        <f>H$53</f>
        <v>30</v>
      </c>
      <c r="D145" s="348">
        <f t="shared" ref="D145:H145" si="105">I$53</f>
        <v>-0.03</v>
      </c>
      <c r="E145" s="348">
        <f t="shared" si="105"/>
        <v>0</v>
      </c>
      <c r="F145" s="348">
        <f t="shared" si="105"/>
        <v>-0.04</v>
      </c>
      <c r="G145" s="348">
        <f t="shared" si="105"/>
        <v>0.02</v>
      </c>
      <c r="H145" s="348">
        <f t="shared" si="105"/>
        <v>0.12</v>
      </c>
      <c r="I145" s="355"/>
      <c r="K145" s="1183"/>
      <c r="L145" s="357">
        <v>11</v>
      </c>
      <c r="M145" s="351">
        <f t="shared" ref="M145:R145" si="106">H$59</f>
        <v>600</v>
      </c>
      <c r="N145" s="351">
        <f t="shared" si="106"/>
        <v>-0.04</v>
      </c>
      <c r="O145" s="351">
        <f t="shared" si="106"/>
        <v>0.01</v>
      </c>
      <c r="P145" s="351">
        <f t="shared" si="106"/>
        <v>-0.04</v>
      </c>
      <c r="Q145" s="351">
        <f t="shared" si="106"/>
        <v>2.5000000000000001E-2</v>
      </c>
      <c r="R145" s="351">
        <f t="shared" si="106"/>
        <v>0.12</v>
      </c>
      <c r="S145" s="353"/>
    </row>
    <row r="146" spans="1:19" ht="13">
      <c r="A146" s="1160"/>
      <c r="B146" s="350">
        <v>12</v>
      </c>
      <c r="C146" s="348">
        <f>O$53</f>
        <v>20</v>
      </c>
      <c r="D146" s="348" t="str">
        <f t="shared" ref="D146:H146" si="107">P$53</f>
        <v>-</v>
      </c>
      <c r="E146" s="348" t="str">
        <f t="shared" si="107"/>
        <v>-</v>
      </c>
      <c r="F146" s="348">
        <f t="shared" si="107"/>
        <v>0.01</v>
      </c>
      <c r="G146" s="348">
        <f t="shared" si="107"/>
        <v>3.9999999999999994E-2</v>
      </c>
      <c r="H146" s="348">
        <f t="shared" si="107"/>
        <v>0.12</v>
      </c>
      <c r="I146" s="355"/>
      <c r="K146" s="1183"/>
      <c r="L146" s="350">
        <v>12</v>
      </c>
      <c r="M146" s="351">
        <f t="shared" ref="M146:R146" si="108">O$59</f>
        <v>600</v>
      </c>
      <c r="N146" s="351">
        <f t="shared" si="108"/>
        <v>0.03</v>
      </c>
      <c r="O146" s="351">
        <f t="shared" si="108"/>
        <v>-0.01</v>
      </c>
      <c r="P146" s="351">
        <f t="shared" si="108"/>
        <v>0.01</v>
      </c>
      <c r="Q146" s="351">
        <f t="shared" si="108"/>
        <v>0.01</v>
      </c>
      <c r="R146" s="351">
        <f t="shared" si="108"/>
        <v>0.12</v>
      </c>
      <c r="S146" s="353"/>
    </row>
    <row r="147" spans="1:19" ht="13">
      <c r="A147" s="1160"/>
      <c r="B147" s="350">
        <v>13</v>
      </c>
      <c r="C147" s="348">
        <f>A$68</f>
        <v>20</v>
      </c>
      <c r="D147" s="348" t="str">
        <f t="shared" ref="D147:H147" si="109">B$68</f>
        <v>-</v>
      </c>
      <c r="E147" s="348" t="str">
        <f t="shared" si="109"/>
        <v>-</v>
      </c>
      <c r="F147" s="348">
        <f t="shared" si="109"/>
        <v>0.03</v>
      </c>
      <c r="G147" s="348">
        <f t="shared" si="109"/>
        <v>3.9999999999999994E-2</v>
      </c>
      <c r="H147" s="348">
        <f t="shared" si="109"/>
        <v>0.12</v>
      </c>
      <c r="I147" s="355"/>
      <c r="K147" s="1183"/>
      <c r="L147" s="350">
        <v>13</v>
      </c>
      <c r="M147" s="351">
        <f t="shared" ref="M147:R147" si="110">A$74</f>
        <v>600</v>
      </c>
      <c r="N147" s="351">
        <f t="shared" si="110"/>
        <v>-0.02</v>
      </c>
      <c r="O147" s="351">
        <f t="shared" si="110"/>
        <v>-0.01</v>
      </c>
      <c r="P147" s="351">
        <f t="shared" si="110"/>
        <v>0.01</v>
      </c>
      <c r="Q147" s="351">
        <f t="shared" si="110"/>
        <v>0.01</v>
      </c>
      <c r="R147" s="351">
        <f t="shared" si="110"/>
        <v>0.12</v>
      </c>
      <c r="S147" s="353"/>
    </row>
    <row r="148" spans="1:19" ht="13">
      <c r="A148" s="1160"/>
      <c r="B148" s="350">
        <v>14</v>
      </c>
      <c r="C148" s="348">
        <f>H$68</f>
        <v>20</v>
      </c>
      <c r="D148" s="348" t="str">
        <f t="shared" ref="D148:H148" si="111">I$68</f>
        <v>-</v>
      </c>
      <c r="E148" s="348" t="str">
        <f t="shared" si="111"/>
        <v>-</v>
      </c>
      <c r="F148" s="348">
        <f t="shared" si="111"/>
        <v>0.02</v>
      </c>
      <c r="G148" s="348">
        <f t="shared" si="111"/>
        <v>3.9999999999999994E-2</v>
      </c>
      <c r="H148" s="348">
        <f t="shared" si="111"/>
        <v>0.12</v>
      </c>
      <c r="I148" s="355"/>
      <c r="K148" s="1183"/>
      <c r="L148" s="350">
        <v>14</v>
      </c>
      <c r="M148" s="351">
        <f t="shared" ref="M148:R148" si="112">H$74</f>
        <v>600</v>
      </c>
      <c r="N148" s="351">
        <f t="shared" si="112"/>
        <v>-0.04</v>
      </c>
      <c r="O148" s="351">
        <f t="shared" si="112"/>
        <v>0.01</v>
      </c>
      <c r="P148" s="351">
        <f t="shared" si="112"/>
        <v>0.04</v>
      </c>
      <c r="Q148" s="351">
        <f t="shared" si="112"/>
        <v>1.4999999999999999E-2</v>
      </c>
      <c r="R148" s="351">
        <f t="shared" si="112"/>
        <v>0.12</v>
      </c>
      <c r="S148" s="353"/>
    </row>
    <row r="149" spans="1:19" ht="13">
      <c r="A149" s="1160"/>
      <c r="B149" s="350">
        <v>15</v>
      </c>
      <c r="C149" s="348">
        <f>O$68</f>
        <v>30</v>
      </c>
      <c r="D149" s="348">
        <f t="shared" ref="D149:H149" si="113">P$68</f>
        <v>0.01</v>
      </c>
      <c r="E149" s="348">
        <f t="shared" si="113"/>
        <v>0.03</v>
      </c>
      <c r="F149" s="348" t="str">
        <f t="shared" si="113"/>
        <v>-</v>
      </c>
      <c r="G149" s="348">
        <f t="shared" si="113"/>
        <v>3.9999999999999994E-2</v>
      </c>
      <c r="H149" s="348">
        <f t="shared" si="113"/>
        <v>0.12</v>
      </c>
      <c r="I149" s="355"/>
      <c r="K149" s="1183"/>
      <c r="L149" s="350">
        <v>15</v>
      </c>
      <c r="M149" s="351">
        <f t="shared" ref="M149:R149" si="114">O$74</f>
        <v>600</v>
      </c>
      <c r="N149" s="351">
        <f t="shared" si="114"/>
        <v>0.02</v>
      </c>
      <c r="O149" s="351">
        <f t="shared" si="114"/>
        <v>0.04</v>
      </c>
      <c r="P149" s="351">
        <f t="shared" si="114"/>
        <v>-0.02</v>
      </c>
      <c r="Q149" s="351">
        <f t="shared" si="114"/>
        <v>0.03</v>
      </c>
      <c r="R149" s="351">
        <f t="shared" si="114"/>
        <v>0.12</v>
      </c>
      <c r="S149" s="353"/>
    </row>
    <row r="150" spans="1:19" ht="13.5" thickBot="1">
      <c r="A150" s="1160"/>
      <c r="B150" s="371">
        <v>16</v>
      </c>
      <c r="C150" s="372">
        <f>A$83</f>
        <v>30</v>
      </c>
      <c r="D150" s="372">
        <f t="shared" ref="D150:H150" si="115">B$83</f>
        <v>0</v>
      </c>
      <c r="E150" s="372">
        <f t="shared" si="115"/>
        <v>0.01</v>
      </c>
      <c r="F150" s="372" t="str">
        <f t="shared" si="115"/>
        <v>-</v>
      </c>
      <c r="G150" s="372">
        <f t="shared" si="115"/>
        <v>3.9999999999999994E-2</v>
      </c>
      <c r="H150" s="372">
        <f t="shared" si="115"/>
        <v>0.12</v>
      </c>
      <c r="I150" s="373"/>
      <c r="K150" s="1184"/>
      <c r="L150" s="360">
        <v>16</v>
      </c>
      <c r="M150" s="374">
        <f t="shared" ref="M150:R150" si="116">A$89</f>
        <v>600</v>
      </c>
      <c r="N150" s="374">
        <f t="shared" si="116"/>
        <v>0</v>
      </c>
      <c r="O150" s="374">
        <f t="shared" si="116"/>
        <v>0</v>
      </c>
      <c r="P150" s="374">
        <f t="shared" si="116"/>
        <v>-0.01</v>
      </c>
      <c r="Q150" s="374">
        <f t="shared" si="116"/>
        <v>5.0000000000000001E-3</v>
      </c>
      <c r="R150" s="374">
        <f t="shared" si="116"/>
        <v>0.12</v>
      </c>
      <c r="S150" s="375"/>
    </row>
    <row r="151" spans="1:19" ht="13.5" thickBot="1">
      <c r="A151" s="376"/>
      <c r="B151" s="350">
        <v>17</v>
      </c>
      <c r="C151" s="369">
        <f>H83</f>
        <v>20</v>
      </c>
      <c r="D151" s="369">
        <f t="shared" ref="D151:H151" si="117">I83</f>
        <v>0</v>
      </c>
      <c r="E151" s="369" t="str">
        <f t="shared" si="117"/>
        <v>-</v>
      </c>
      <c r="F151" s="369" t="str">
        <f t="shared" si="117"/>
        <v>-</v>
      </c>
      <c r="G151" s="369">
        <f t="shared" si="117"/>
        <v>3.9999999999999994E-2</v>
      </c>
      <c r="H151" s="369">
        <f t="shared" si="117"/>
        <v>0.12</v>
      </c>
      <c r="I151" s="370"/>
      <c r="K151" s="356"/>
      <c r="L151" s="350">
        <v>17</v>
      </c>
      <c r="M151" s="367">
        <f>H89</f>
        <v>600</v>
      </c>
      <c r="N151" s="367">
        <f t="shared" ref="N151:R151" si="118">I89</f>
        <v>0.02</v>
      </c>
      <c r="O151" s="367">
        <f t="shared" si="118"/>
        <v>-3.0000000000000001E-3</v>
      </c>
      <c r="P151" s="367" t="str">
        <f t="shared" si="118"/>
        <v>-</v>
      </c>
      <c r="Q151" s="367">
        <f t="shared" si="118"/>
        <v>3.9999999999999994E-2</v>
      </c>
      <c r="R151" s="367">
        <f t="shared" si="118"/>
        <v>0.12</v>
      </c>
      <c r="S151" s="368"/>
    </row>
    <row r="152" spans="1:19" ht="13">
      <c r="A152" s="1181" t="s">
        <v>8</v>
      </c>
      <c r="B152" s="345">
        <v>1</v>
      </c>
      <c r="C152" s="346">
        <f>A$8</f>
        <v>30</v>
      </c>
      <c r="D152" s="346">
        <f t="shared" ref="D152:H152" si="119">B$8</f>
        <v>0.03</v>
      </c>
      <c r="E152" s="346">
        <f t="shared" si="119"/>
        <v>0</v>
      </c>
      <c r="F152" s="346">
        <f t="shared" si="119"/>
        <v>-1E-3</v>
      </c>
      <c r="G152" s="346">
        <f t="shared" si="119"/>
        <v>5.0000000000000001E-4</v>
      </c>
      <c r="H152" s="346">
        <f t="shared" si="119"/>
        <v>0.12</v>
      </c>
      <c r="I152" s="347"/>
      <c r="K152" s="1185" t="s">
        <v>383</v>
      </c>
      <c r="L152" s="345">
        <v>1</v>
      </c>
      <c r="M152" s="377">
        <f t="shared" ref="M152:R152" si="120">A$14</f>
        <v>900</v>
      </c>
      <c r="N152" s="377">
        <f t="shared" si="120"/>
        <v>0.02</v>
      </c>
      <c r="O152" s="377">
        <f t="shared" si="120"/>
        <v>0.01</v>
      </c>
      <c r="P152" s="377">
        <f t="shared" si="120"/>
        <v>-8.0000000000000002E-3</v>
      </c>
      <c r="Q152" s="377">
        <f t="shared" si="120"/>
        <v>9.0000000000000011E-3</v>
      </c>
      <c r="R152" s="377">
        <f t="shared" si="120"/>
        <v>0.12</v>
      </c>
      <c r="S152" s="378"/>
    </row>
    <row r="153" spans="1:19" ht="13">
      <c r="A153" s="1161"/>
      <c r="B153" s="350">
        <v>2</v>
      </c>
      <c r="C153" s="351">
        <f>H$8</f>
        <v>30</v>
      </c>
      <c r="D153" s="351">
        <f t="shared" ref="D153:H153" si="121">I$8</f>
        <v>2E-3</v>
      </c>
      <c r="E153" s="351">
        <f t="shared" si="121"/>
        <v>0</v>
      </c>
      <c r="F153" s="351">
        <f t="shared" si="121"/>
        <v>1E-3</v>
      </c>
      <c r="G153" s="351">
        <f t="shared" si="121"/>
        <v>5.0000000000000001E-4</v>
      </c>
      <c r="H153" s="351">
        <f t="shared" si="121"/>
        <v>0.121</v>
      </c>
      <c r="I153" s="352"/>
      <c r="K153" s="1186"/>
      <c r="L153" s="350">
        <v>2</v>
      </c>
      <c r="M153" s="366">
        <f t="shared" ref="M153:R153" si="122">H$14</f>
        <v>900</v>
      </c>
      <c r="N153" s="366">
        <f t="shared" si="122"/>
        <v>1E-3</v>
      </c>
      <c r="O153" s="366">
        <f t="shared" si="122"/>
        <v>0</v>
      </c>
      <c r="P153" s="366">
        <f t="shared" si="122"/>
        <v>2E-3</v>
      </c>
      <c r="Q153" s="366">
        <f t="shared" si="122"/>
        <v>1E-3</v>
      </c>
      <c r="R153" s="366">
        <f t="shared" si="122"/>
        <v>0.121</v>
      </c>
      <c r="S153" s="379"/>
    </row>
    <row r="154" spans="1:19" ht="13">
      <c r="A154" s="1161"/>
      <c r="B154" s="350">
        <v>3</v>
      </c>
      <c r="C154" s="351">
        <f>O$8</f>
        <v>30</v>
      </c>
      <c r="D154" s="351">
        <f t="shared" ref="D154:H154" si="123">P$8</f>
        <v>-3.0000000000000001E-3</v>
      </c>
      <c r="E154" s="351">
        <f t="shared" si="123"/>
        <v>1E-3</v>
      </c>
      <c r="F154" s="351">
        <f t="shared" si="123"/>
        <v>-5.0000000000000001E-3</v>
      </c>
      <c r="G154" s="351">
        <f t="shared" si="123"/>
        <v>3.0000000000000001E-3</v>
      </c>
      <c r="H154" s="351">
        <f t="shared" si="123"/>
        <v>0.12</v>
      </c>
      <c r="I154" s="352"/>
      <c r="K154" s="1186"/>
      <c r="L154" s="350">
        <v>3</v>
      </c>
      <c r="M154" s="366">
        <f t="shared" ref="M154:R154" si="124">O$14</f>
        <v>900</v>
      </c>
      <c r="N154" s="366">
        <f t="shared" si="124"/>
        <v>0</v>
      </c>
      <c r="O154" s="366">
        <f t="shared" si="124"/>
        <v>2E-3</v>
      </c>
      <c r="P154" s="366">
        <f t="shared" si="124"/>
        <v>3.0000000000000001E-3</v>
      </c>
      <c r="Q154" s="366">
        <f t="shared" si="124"/>
        <v>5.0000000000000001E-4</v>
      </c>
      <c r="R154" s="366">
        <f t="shared" si="124"/>
        <v>0.12</v>
      </c>
      <c r="S154" s="379"/>
    </row>
    <row r="155" spans="1:19" ht="13">
      <c r="A155" s="1161"/>
      <c r="B155" s="350">
        <v>4</v>
      </c>
      <c r="C155" s="351">
        <f>A$23</f>
        <v>60</v>
      </c>
      <c r="D155" s="351" t="str">
        <f t="shared" ref="D155:H155" si="125">B$23</f>
        <v>-</v>
      </c>
      <c r="E155" s="351">
        <f t="shared" si="125"/>
        <v>-0.01</v>
      </c>
      <c r="F155" s="351">
        <f t="shared" si="125"/>
        <v>2E-3</v>
      </c>
      <c r="G155" s="351">
        <f t="shared" si="125"/>
        <v>6.0000000000000001E-3</v>
      </c>
      <c r="H155" s="351">
        <f t="shared" si="125"/>
        <v>0.12</v>
      </c>
      <c r="I155" s="352"/>
      <c r="K155" s="1186"/>
      <c r="L155" s="350">
        <v>4</v>
      </c>
      <c r="M155" s="366">
        <f t="shared" ref="M155:R155" si="126">A$29</f>
        <v>900</v>
      </c>
      <c r="N155" s="366" t="str">
        <f t="shared" si="126"/>
        <v>-</v>
      </c>
      <c r="O155" s="366">
        <f t="shared" si="126"/>
        <v>0.03</v>
      </c>
      <c r="P155" s="366">
        <f t="shared" si="126"/>
        <v>6.0000000000000001E-3</v>
      </c>
      <c r="Q155" s="366">
        <f t="shared" si="126"/>
        <v>1.2E-2</v>
      </c>
      <c r="R155" s="366">
        <f t="shared" si="126"/>
        <v>0.12</v>
      </c>
      <c r="S155" s="379"/>
    </row>
    <row r="156" spans="1:19" ht="13">
      <c r="A156" s="1161"/>
      <c r="B156" s="350">
        <v>5</v>
      </c>
      <c r="C156" s="351">
        <f>H$23</f>
        <v>30</v>
      </c>
      <c r="D156" s="351">
        <f t="shared" ref="D156:H156" si="127">I$23</f>
        <v>-0.01</v>
      </c>
      <c r="E156" s="351">
        <f t="shared" si="127"/>
        <v>0.01</v>
      </c>
      <c r="F156" s="351">
        <f t="shared" si="127"/>
        <v>-0.02</v>
      </c>
      <c r="G156" s="351">
        <f t="shared" si="127"/>
        <v>1.4999999999999999E-2</v>
      </c>
      <c r="H156" s="351">
        <f t="shared" si="127"/>
        <v>0.12</v>
      </c>
      <c r="I156" s="352"/>
      <c r="K156" s="1186"/>
      <c r="L156" s="350">
        <v>5</v>
      </c>
      <c r="M156" s="366">
        <f t="shared" ref="M156:R156" si="128">H$29</f>
        <v>900</v>
      </c>
      <c r="N156" s="366">
        <f t="shared" si="128"/>
        <v>0</v>
      </c>
      <c r="O156" s="366">
        <f t="shared" si="128"/>
        <v>-0.02</v>
      </c>
      <c r="P156" s="366" t="str">
        <f t="shared" si="128"/>
        <v>-</v>
      </c>
      <c r="Q156" s="366">
        <f t="shared" si="128"/>
        <v>3.9999999999999994E-2</v>
      </c>
      <c r="R156" s="366">
        <f t="shared" si="128"/>
        <v>0.12</v>
      </c>
      <c r="S156" s="379"/>
    </row>
    <row r="157" spans="1:19" ht="13">
      <c r="A157" s="1161"/>
      <c r="B157" s="350">
        <v>6</v>
      </c>
      <c r="C157" s="351">
        <f>O$23</f>
        <v>60</v>
      </c>
      <c r="D157" s="351">
        <f t="shared" ref="D157:H157" si="129">P$23</f>
        <v>-0.01</v>
      </c>
      <c r="E157" s="351">
        <f t="shared" si="129"/>
        <v>0</v>
      </c>
      <c r="F157" s="351">
        <f t="shared" si="129"/>
        <v>0.01</v>
      </c>
      <c r="G157" s="351">
        <f t="shared" si="129"/>
        <v>5.0000000000000001E-3</v>
      </c>
      <c r="H157" s="351">
        <f t="shared" si="129"/>
        <v>0.12</v>
      </c>
      <c r="I157" s="352"/>
      <c r="K157" s="1186"/>
      <c r="L157" s="350">
        <v>6</v>
      </c>
      <c r="M157" s="366">
        <f t="shared" ref="M157:R157" si="130">O$29</f>
        <v>900</v>
      </c>
      <c r="N157" s="366">
        <f t="shared" si="130"/>
        <v>0</v>
      </c>
      <c r="O157" s="366">
        <f t="shared" si="130"/>
        <v>0</v>
      </c>
      <c r="P157" s="366">
        <f t="shared" si="130"/>
        <v>0.02</v>
      </c>
      <c r="Q157" s="366">
        <f t="shared" si="130"/>
        <v>0.01</v>
      </c>
      <c r="R157" s="366">
        <f t="shared" si="130"/>
        <v>0.12</v>
      </c>
      <c r="S157" s="379"/>
    </row>
    <row r="158" spans="1:19" ht="13">
      <c r="A158" s="1161"/>
      <c r="B158" s="350">
        <v>7</v>
      </c>
      <c r="C158" s="351">
        <f>A$39</f>
        <v>60</v>
      </c>
      <c r="D158" s="351">
        <f t="shared" ref="D158:H158" si="131">B$39</f>
        <v>-0.05</v>
      </c>
      <c r="E158" s="351">
        <f t="shared" si="131"/>
        <v>-0.02</v>
      </c>
      <c r="F158" s="351">
        <f t="shared" si="131"/>
        <v>0.03</v>
      </c>
      <c r="G158" s="351">
        <f t="shared" si="131"/>
        <v>2.5000000000000001E-2</v>
      </c>
      <c r="H158" s="351">
        <f t="shared" si="131"/>
        <v>0.12</v>
      </c>
      <c r="I158" s="352"/>
      <c r="K158" s="1186"/>
      <c r="L158" s="350">
        <v>7</v>
      </c>
      <c r="M158" s="366">
        <f t="shared" ref="M158:R158" si="132">A$45</f>
        <v>900</v>
      </c>
      <c r="N158" s="366">
        <f t="shared" si="132"/>
        <v>-0.05</v>
      </c>
      <c r="O158" s="366">
        <f t="shared" si="132"/>
        <v>-0.02</v>
      </c>
      <c r="P158" s="366">
        <f t="shared" si="132"/>
        <v>0.02</v>
      </c>
      <c r="Q158" s="366">
        <f t="shared" si="132"/>
        <v>0.02</v>
      </c>
      <c r="R158" s="366">
        <f t="shared" si="132"/>
        <v>0.12</v>
      </c>
      <c r="S158" s="379"/>
    </row>
    <row r="159" spans="1:19" ht="13">
      <c r="A159" s="1161"/>
      <c r="B159" s="350">
        <v>8</v>
      </c>
      <c r="C159" s="351">
        <f>H$39</f>
        <v>60</v>
      </c>
      <c r="D159" s="351">
        <f t="shared" ref="D159:H159" si="133">I$39</f>
        <v>-0.02</v>
      </c>
      <c r="E159" s="351">
        <f t="shared" si="133"/>
        <v>0</v>
      </c>
      <c r="F159" s="351">
        <f t="shared" si="133"/>
        <v>0.01</v>
      </c>
      <c r="G159" s="351">
        <f t="shared" si="133"/>
        <v>5.0000000000000001E-3</v>
      </c>
      <c r="H159" s="351">
        <f t="shared" si="133"/>
        <v>0.12</v>
      </c>
      <c r="I159" s="352"/>
      <c r="K159" s="1186"/>
      <c r="L159" s="350">
        <v>8</v>
      </c>
      <c r="M159" s="366">
        <f t="shared" ref="M159:R159" si="134">H$45</f>
        <v>900</v>
      </c>
      <c r="N159" s="366">
        <f t="shared" si="134"/>
        <v>-0.02</v>
      </c>
      <c r="O159" s="366">
        <f t="shared" si="134"/>
        <v>-0.01</v>
      </c>
      <c r="P159" s="366">
        <f t="shared" si="134"/>
        <v>0.02</v>
      </c>
      <c r="Q159" s="366">
        <f t="shared" si="134"/>
        <v>1.4999999999999999E-2</v>
      </c>
      <c r="R159" s="366">
        <f t="shared" si="134"/>
        <v>0.12</v>
      </c>
      <c r="S159" s="379"/>
    </row>
    <row r="160" spans="1:19" ht="13">
      <c r="A160" s="1161"/>
      <c r="B160" s="350">
        <v>9</v>
      </c>
      <c r="C160" s="351">
        <f>O$39</f>
        <v>60</v>
      </c>
      <c r="D160" s="351">
        <f t="shared" ref="D160:H160" si="135">P$39</f>
        <v>0.01</v>
      </c>
      <c r="E160" s="351">
        <f t="shared" si="135"/>
        <v>0.02</v>
      </c>
      <c r="F160" s="351">
        <f t="shared" si="135"/>
        <v>-0.01</v>
      </c>
      <c r="G160" s="351">
        <f t="shared" si="135"/>
        <v>1.4999999999999999E-2</v>
      </c>
      <c r="H160" s="351">
        <f t="shared" si="135"/>
        <v>0.12</v>
      </c>
      <c r="I160" s="352"/>
      <c r="K160" s="1186"/>
      <c r="L160" s="350">
        <v>9</v>
      </c>
      <c r="M160" s="366">
        <f t="shared" ref="M160:R160" si="136">O$45</f>
        <v>900</v>
      </c>
      <c r="N160" s="366">
        <f t="shared" si="136"/>
        <v>0.01</v>
      </c>
      <c r="O160" s="366">
        <f t="shared" si="136"/>
        <v>0.02</v>
      </c>
      <c r="P160" s="366">
        <f t="shared" si="136"/>
        <v>-0.02</v>
      </c>
      <c r="Q160" s="366">
        <f t="shared" si="136"/>
        <v>0.02</v>
      </c>
      <c r="R160" s="366">
        <f t="shared" si="136"/>
        <v>0.12</v>
      </c>
      <c r="S160" s="379"/>
    </row>
    <row r="161" spans="1:19" ht="13">
      <c r="A161" s="1161"/>
      <c r="B161" s="350">
        <v>10</v>
      </c>
      <c r="C161" s="351">
        <f>A$54</f>
        <v>60</v>
      </c>
      <c r="D161" s="351">
        <f t="shared" ref="D161:H161" si="137">B$54</f>
        <v>-0.03</v>
      </c>
      <c r="E161" s="351">
        <f t="shared" si="137"/>
        <v>0</v>
      </c>
      <c r="F161" s="351">
        <f t="shared" si="137"/>
        <v>-0.06</v>
      </c>
      <c r="G161" s="351">
        <f t="shared" si="137"/>
        <v>0.03</v>
      </c>
      <c r="H161" s="351">
        <f t="shared" si="137"/>
        <v>0.12</v>
      </c>
      <c r="I161" s="352"/>
      <c r="K161" s="1186"/>
      <c r="L161" s="350">
        <v>10</v>
      </c>
      <c r="M161" s="366">
        <f t="shared" ref="M161:R161" si="138">A$60</f>
        <v>900</v>
      </c>
      <c r="N161" s="366">
        <f t="shared" si="138"/>
        <v>-0.02</v>
      </c>
      <c r="O161" s="366">
        <f t="shared" si="138"/>
        <v>0.01</v>
      </c>
      <c r="P161" s="366">
        <f t="shared" si="138"/>
        <v>-0.06</v>
      </c>
      <c r="Q161" s="366">
        <f t="shared" si="138"/>
        <v>3.4999999999999996E-2</v>
      </c>
      <c r="R161" s="366">
        <f t="shared" si="138"/>
        <v>0.12</v>
      </c>
      <c r="S161" s="379"/>
    </row>
    <row r="162" spans="1:19" ht="13">
      <c r="A162" s="1161"/>
      <c r="B162" s="357">
        <v>11</v>
      </c>
      <c r="C162" s="348">
        <f>H$54</f>
        <v>60</v>
      </c>
      <c r="D162" s="348">
        <f t="shared" ref="D162:H162" si="139">I$54</f>
        <v>-0.04</v>
      </c>
      <c r="E162" s="348">
        <f t="shared" si="139"/>
        <v>0</v>
      </c>
      <c r="F162" s="348">
        <f t="shared" si="139"/>
        <v>-0.03</v>
      </c>
      <c r="G162" s="348">
        <f t="shared" si="139"/>
        <v>1.4999999999999999E-2</v>
      </c>
      <c r="H162" s="348">
        <f t="shared" si="139"/>
        <v>0.12</v>
      </c>
      <c r="I162" s="355"/>
      <c r="K162" s="1186"/>
      <c r="L162" s="357">
        <v>11</v>
      </c>
      <c r="M162" s="366">
        <f t="shared" ref="M162:R162" si="140">H$60</f>
        <v>900</v>
      </c>
      <c r="N162" s="366">
        <f t="shared" si="140"/>
        <v>-0.04</v>
      </c>
      <c r="O162" s="366">
        <f t="shared" si="140"/>
        <v>0.01</v>
      </c>
      <c r="P162" s="366">
        <f t="shared" si="140"/>
        <v>-0.03</v>
      </c>
      <c r="Q162" s="366">
        <f t="shared" si="140"/>
        <v>0.02</v>
      </c>
      <c r="R162" s="366">
        <f t="shared" si="140"/>
        <v>0.12</v>
      </c>
      <c r="S162" s="379"/>
    </row>
    <row r="163" spans="1:19" ht="13">
      <c r="A163" s="1161"/>
      <c r="B163" s="350">
        <v>12</v>
      </c>
      <c r="C163" s="348">
        <f>O$54</f>
        <v>30</v>
      </c>
      <c r="D163" s="348">
        <f t="shared" ref="D163:H163" si="141">P$54</f>
        <v>0.02</v>
      </c>
      <c r="E163" s="348">
        <f t="shared" si="141"/>
        <v>0</v>
      </c>
      <c r="F163" s="348">
        <f t="shared" si="141"/>
        <v>0.01</v>
      </c>
      <c r="G163" s="348">
        <f t="shared" si="141"/>
        <v>5.0000000000000001E-3</v>
      </c>
      <c r="H163" s="348">
        <f t="shared" si="141"/>
        <v>0.12</v>
      </c>
      <c r="I163" s="355"/>
      <c r="K163" s="1186"/>
      <c r="L163" s="350">
        <v>12</v>
      </c>
      <c r="M163" s="366">
        <f t="shared" ref="M163:R163" si="142">O$60</f>
        <v>900</v>
      </c>
      <c r="N163" s="366">
        <f t="shared" si="142"/>
        <v>0.02</v>
      </c>
      <c r="O163" s="366">
        <f t="shared" si="142"/>
        <v>0</v>
      </c>
      <c r="P163" s="366" t="str">
        <f t="shared" si="142"/>
        <v>-</v>
      </c>
      <c r="Q163" s="366">
        <f t="shared" si="142"/>
        <v>3.9999999999999994E-2</v>
      </c>
      <c r="R163" s="366">
        <f t="shared" si="142"/>
        <v>0.12</v>
      </c>
      <c r="S163" s="379"/>
    </row>
    <row r="164" spans="1:19" ht="13">
      <c r="A164" s="1161"/>
      <c r="B164" s="350">
        <v>13</v>
      </c>
      <c r="C164" s="348">
        <f>A$69</f>
        <v>30</v>
      </c>
      <c r="D164" s="348">
        <f t="shared" ref="D164:H164" si="143">B$69</f>
        <v>-0.02</v>
      </c>
      <c r="E164" s="348">
        <f t="shared" si="143"/>
        <v>0.01</v>
      </c>
      <c r="F164" s="348">
        <f t="shared" si="143"/>
        <v>0.02</v>
      </c>
      <c r="G164" s="348">
        <f t="shared" si="143"/>
        <v>5.0000000000000001E-3</v>
      </c>
      <c r="H164" s="348">
        <f t="shared" si="143"/>
        <v>0.12</v>
      </c>
      <c r="I164" s="355"/>
      <c r="K164" s="1186"/>
      <c r="L164" s="350">
        <v>13</v>
      </c>
      <c r="M164" s="366">
        <f t="shared" ref="M164:R164" si="144">A$75</f>
        <v>900</v>
      </c>
      <c r="N164" s="366">
        <f t="shared" si="144"/>
        <v>-0.03</v>
      </c>
      <c r="O164" s="366">
        <f t="shared" si="144"/>
        <v>-0.05</v>
      </c>
      <c r="P164" s="366" t="str">
        <f t="shared" si="144"/>
        <v>-</v>
      </c>
      <c r="Q164" s="366">
        <f t="shared" si="144"/>
        <v>3.9999999999999994E-2</v>
      </c>
      <c r="R164" s="366">
        <f t="shared" si="144"/>
        <v>0.12</v>
      </c>
      <c r="S164" s="379"/>
    </row>
    <row r="165" spans="1:19" ht="13">
      <c r="A165" s="1161"/>
      <c r="B165" s="350">
        <v>14</v>
      </c>
      <c r="C165" s="348">
        <f>H$69</f>
        <v>30</v>
      </c>
      <c r="D165" s="348">
        <f t="shared" ref="D165:H165" si="145">I$69</f>
        <v>-0.05</v>
      </c>
      <c r="E165" s="348">
        <f t="shared" si="145"/>
        <v>0.01</v>
      </c>
      <c r="F165" s="348">
        <f t="shared" si="145"/>
        <v>0.02</v>
      </c>
      <c r="G165" s="348">
        <f t="shared" si="145"/>
        <v>5.0000000000000001E-3</v>
      </c>
      <c r="H165" s="348">
        <f t="shared" si="145"/>
        <v>0.12</v>
      </c>
      <c r="I165" s="355"/>
      <c r="K165" s="1186"/>
      <c r="L165" s="350">
        <v>14</v>
      </c>
      <c r="M165" s="366">
        <f t="shared" ref="M165:R165" si="146">H$75</f>
        <v>900</v>
      </c>
      <c r="N165" s="366">
        <f t="shared" si="146"/>
        <v>-0.04</v>
      </c>
      <c r="O165" s="366">
        <f t="shared" si="146"/>
        <v>0.01</v>
      </c>
      <c r="P165" s="366" t="str">
        <f t="shared" si="146"/>
        <v>-</v>
      </c>
      <c r="Q165" s="366">
        <f t="shared" si="146"/>
        <v>3.9999999999999994E-2</v>
      </c>
      <c r="R165" s="366">
        <f t="shared" si="146"/>
        <v>0.12</v>
      </c>
      <c r="S165" s="379"/>
    </row>
    <row r="166" spans="1:19" ht="13.5" thickBot="1">
      <c r="A166" s="1161"/>
      <c r="B166" s="360">
        <v>15</v>
      </c>
      <c r="C166" s="348">
        <f>O$69</f>
        <v>60</v>
      </c>
      <c r="D166" s="348">
        <f t="shared" ref="D166:H166" si="147">P$69</f>
        <v>0.01</v>
      </c>
      <c r="E166" s="348">
        <f t="shared" si="147"/>
        <v>0.04</v>
      </c>
      <c r="F166" s="348">
        <f t="shared" si="147"/>
        <v>9.9999999999999995E-7</v>
      </c>
      <c r="G166" s="348">
        <f t="shared" si="147"/>
        <v>1.99995E-2</v>
      </c>
      <c r="H166" s="348">
        <f t="shared" si="147"/>
        <v>0.12</v>
      </c>
      <c r="I166" s="355"/>
      <c r="K166" s="1186"/>
      <c r="L166" s="350">
        <v>15</v>
      </c>
      <c r="M166" s="366">
        <f t="shared" ref="M166:R166" si="148">O$75</f>
        <v>900</v>
      </c>
      <c r="N166" s="366">
        <f t="shared" si="148"/>
        <v>0.01</v>
      </c>
      <c r="O166" s="366">
        <f t="shared" si="148"/>
        <v>0.04</v>
      </c>
      <c r="P166" s="366">
        <f t="shared" si="148"/>
        <v>-0.03</v>
      </c>
      <c r="Q166" s="366">
        <f t="shared" si="148"/>
        <v>3.5000000000000003E-2</v>
      </c>
      <c r="R166" s="366">
        <f t="shared" si="148"/>
        <v>0.12</v>
      </c>
      <c r="S166" s="379"/>
    </row>
    <row r="167" spans="1:19" ht="13.5" thickBot="1">
      <c r="A167" s="1161"/>
      <c r="B167" s="371">
        <v>16</v>
      </c>
      <c r="C167" s="372">
        <f>A$84</f>
        <v>60</v>
      </c>
      <c r="D167" s="372">
        <f t="shared" ref="D167:H167" si="149">B$84</f>
        <v>0</v>
      </c>
      <c r="E167" s="372">
        <f t="shared" si="149"/>
        <v>0</v>
      </c>
      <c r="F167" s="372">
        <f t="shared" si="149"/>
        <v>-0.01</v>
      </c>
      <c r="G167" s="372">
        <f t="shared" si="149"/>
        <v>5.0000000000000001E-3</v>
      </c>
      <c r="H167" s="372">
        <f t="shared" si="149"/>
        <v>0.12</v>
      </c>
      <c r="I167" s="373"/>
      <c r="K167" s="1187"/>
      <c r="L167" s="360">
        <v>16</v>
      </c>
      <c r="M167" s="380">
        <f t="shared" ref="M167:R167" si="150">A$90</f>
        <v>900</v>
      </c>
      <c r="N167" s="380">
        <f t="shared" si="150"/>
        <v>0</v>
      </c>
      <c r="O167" s="380">
        <f t="shared" si="150"/>
        <v>0</v>
      </c>
      <c r="P167" s="380">
        <f t="shared" si="150"/>
        <v>-0.01</v>
      </c>
      <c r="Q167" s="380">
        <f t="shared" si="150"/>
        <v>5.0000000000000001E-3</v>
      </c>
      <c r="R167" s="380">
        <f t="shared" si="150"/>
        <v>0.12</v>
      </c>
      <c r="S167" s="381"/>
    </row>
    <row r="168" spans="1:19" ht="13.5" thickBot="1">
      <c r="A168" s="382"/>
      <c r="B168" s="350">
        <v>17</v>
      </c>
      <c r="C168" s="369">
        <f>H84</f>
        <v>30</v>
      </c>
      <c r="D168" s="369">
        <f t="shared" ref="D168:H168" si="151">I84</f>
        <v>0</v>
      </c>
      <c r="E168" s="369" t="str">
        <f t="shared" si="151"/>
        <v>-</v>
      </c>
      <c r="F168" s="369" t="str">
        <f t="shared" si="151"/>
        <v>-</v>
      </c>
      <c r="G168" s="369">
        <f t="shared" si="151"/>
        <v>3.9999999999999994E-2</v>
      </c>
      <c r="H168" s="369">
        <f t="shared" si="151"/>
        <v>0.12</v>
      </c>
      <c r="I168" s="370"/>
      <c r="K168" s="383"/>
      <c r="L168" s="350">
        <v>17</v>
      </c>
      <c r="M168" s="384">
        <f>H90</f>
        <v>900</v>
      </c>
      <c r="N168" s="384" t="str">
        <f t="shared" ref="N168:R168" si="152">I90</f>
        <v>-</v>
      </c>
      <c r="O168" s="384" t="str">
        <f t="shared" si="152"/>
        <v>-</v>
      </c>
      <c r="P168" s="384" t="str">
        <f t="shared" si="152"/>
        <v>-</v>
      </c>
      <c r="Q168" s="384">
        <f t="shared" si="152"/>
        <v>3.9999999999999994E-2</v>
      </c>
      <c r="R168" s="384">
        <f t="shared" si="152"/>
        <v>0.12</v>
      </c>
      <c r="S168" s="385"/>
    </row>
    <row r="169" spans="1:19" ht="13">
      <c r="A169" s="1182" t="s">
        <v>9</v>
      </c>
      <c r="B169" s="345">
        <v>1</v>
      </c>
      <c r="C169" s="346">
        <f>A$9</f>
        <v>40</v>
      </c>
      <c r="D169" s="346" t="str">
        <f t="shared" ref="D169:H169" si="153">B$9</f>
        <v>-</v>
      </c>
      <c r="E169" s="346" t="str">
        <f t="shared" si="153"/>
        <v>-</v>
      </c>
      <c r="F169" s="346">
        <f t="shared" si="153"/>
        <v>-1E-3</v>
      </c>
      <c r="G169" s="346">
        <f t="shared" si="153"/>
        <v>3.9999999999999994E-2</v>
      </c>
      <c r="H169" s="346">
        <f t="shared" si="153"/>
        <v>0.12</v>
      </c>
      <c r="I169" s="347"/>
      <c r="K169" s="1203" t="s">
        <v>384</v>
      </c>
      <c r="L169" s="345">
        <v>1</v>
      </c>
      <c r="M169" s="386">
        <f t="shared" ref="M169:R169" si="154">A$15</f>
        <v>1200</v>
      </c>
      <c r="N169" s="386" t="str">
        <f t="shared" si="154"/>
        <v>-</v>
      </c>
      <c r="O169" s="386" t="str">
        <f t="shared" si="154"/>
        <v>-</v>
      </c>
      <c r="P169" s="386">
        <f t="shared" si="154"/>
        <v>-1.2999999999999999E-2</v>
      </c>
      <c r="Q169" s="386">
        <f t="shared" si="154"/>
        <v>3.9999999999999994E-2</v>
      </c>
      <c r="R169" s="386">
        <f t="shared" si="154"/>
        <v>0.12</v>
      </c>
      <c r="S169" s="387"/>
    </row>
    <row r="170" spans="1:19" ht="13">
      <c r="A170" s="1183"/>
      <c r="B170" s="350">
        <v>2</v>
      </c>
      <c r="C170" s="351">
        <f>H$9</f>
        <v>40</v>
      </c>
      <c r="D170" s="351" t="str">
        <f t="shared" ref="D170:H170" si="155">I$9</f>
        <v>-</v>
      </c>
      <c r="E170" s="351" t="str">
        <f t="shared" si="155"/>
        <v>-</v>
      </c>
      <c r="F170" s="351">
        <f t="shared" si="155"/>
        <v>1E-3</v>
      </c>
      <c r="G170" s="351">
        <f t="shared" si="155"/>
        <v>4.0333333333333332E-2</v>
      </c>
      <c r="H170" s="351">
        <f t="shared" si="155"/>
        <v>0.121</v>
      </c>
      <c r="I170" s="352"/>
      <c r="K170" s="1204"/>
      <c r="L170" s="350">
        <v>2</v>
      </c>
      <c r="M170" s="388">
        <f t="shared" ref="M170:R170" si="156">H$15</f>
        <v>1200</v>
      </c>
      <c r="N170" s="388" t="str">
        <f t="shared" si="156"/>
        <v>-</v>
      </c>
      <c r="O170" s="388" t="str">
        <f t="shared" si="156"/>
        <v>-</v>
      </c>
      <c r="P170" s="388">
        <f t="shared" si="156"/>
        <v>9.9999999999999995E-7</v>
      </c>
      <c r="Q170" s="388">
        <f t="shared" si="156"/>
        <v>4.0333333333333332E-2</v>
      </c>
      <c r="R170" s="388">
        <f t="shared" si="156"/>
        <v>0.121</v>
      </c>
      <c r="S170" s="389"/>
    </row>
    <row r="171" spans="1:19" ht="13">
      <c r="A171" s="1183"/>
      <c r="B171" s="350">
        <v>3</v>
      </c>
      <c r="C171" s="351">
        <f>O$9</f>
        <v>40</v>
      </c>
      <c r="D171" s="351" t="str">
        <f t="shared" ref="D171:H171" si="157">P$9</f>
        <v>-</v>
      </c>
      <c r="E171" s="351" t="str">
        <f t="shared" si="157"/>
        <v>-</v>
      </c>
      <c r="F171" s="351" t="str">
        <f t="shared" si="157"/>
        <v>-</v>
      </c>
      <c r="G171" s="351">
        <f t="shared" si="157"/>
        <v>3.9999999999999994E-2</v>
      </c>
      <c r="H171" s="351">
        <f t="shared" si="157"/>
        <v>0.12</v>
      </c>
      <c r="I171" s="352"/>
      <c r="K171" s="1204"/>
      <c r="L171" s="350">
        <v>3</v>
      </c>
      <c r="M171" s="388">
        <f t="shared" ref="M171:R171" si="158">O$15</f>
        <v>1200</v>
      </c>
      <c r="N171" s="388" t="str">
        <f t="shared" si="158"/>
        <v>-</v>
      </c>
      <c r="O171" s="388" t="str">
        <f t="shared" si="158"/>
        <v>-</v>
      </c>
      <c r="P171" s="388">
        <f t="shared" si="158"/>
        <v>4.0000000000000001E-3</v>
      </c>
      <c r="Q171" s="388">
        <f t="shared" si="158"/>
        <v>3.9999999999999994E-2</v>
      </c>
      <c r="R171" s="388">
        <f t="shared" si="158"/>
        <v>0.12</v>
      </c>
      <c r="S171" s="389"/>
    </row>
    <row r="172" spans="1:19" ht="13">
      <c r="A172" s="1183"/>
      <c r="B172" s="350">
        <v>4</v>
      </c>
      <c r="C172" s="351">
        <f>A$24</f>
        <v>60</v>
      </c>
      <c r="D172" s="351" t="str">
        <f t="shared" ref="D172:H172" si="159">B$24</f>
        <v>-</v>
      </c>
      <c r="E172" s="351">
        <f t="shared" si="159"/>
        <v>-0.01</v>
      </c>
      <c r="F172" s="351">
        <f t="shared" si="159"/>
        <v>2E-3</v>
      </c>
      <c r="G172" s="351">
        <f t="shared" si="159"/>
        <v>6.0000000000000001E-3</v>
      </c>
      <c r="H172" s="351">
        <f t="shared" si="159"/>
        <v>0.12</v>
      </c>
      <c r="I172" s="352"/>
      <c r="K172" s="1204"/>
      <c r="L172" s="350">
        <v>4</v>
      </c>
      <c r="M172" s="388">
        <f t="shared" ref="M172:R172" si="160">A$30</f>
        <v>1200</v>
      </c>
      <c r="N172" s="388" t="str">
        <f t="shared" si="160"/>
        <v>-</v>
      </c>
      <c r="O172" s="388">
        <f t="shared" si="160"/>
        <v>0.05</v>
      </c>
      <c r="P172" s="388" t="str">
        <f t="shared" si="160"/>
        <v>-</v>
      </c>
      <c r="Q172" s="388">
        <f t="shared" si="160"/>
        <v>3.9999999999999994E-2</v>
      </c>
      <c r="R172" s="388">
        <f t="shared" si="160"/>
        <v>0.12</v>
      </c>
      <c r="S172" s="389"/>
    </row>
    <row r="173" spans="1:19" ht="13">
      <c r="A173" s="1183"/>
      <c r="B173" s="350">
        <v>5</v>
      </c>
      <c r="C173" s="351">
        <f>H$24</f>
        <v>40</v>
      </c>
      <c r="D173" s="351" t="str">
        <f t="shared" ref="D173:H173" si="161">I$24</f>
        <v>-</v>
      </c>
      <c r="E173" s="351" t="str">
        <f t="shared" si="161"/>
        <v>-</v>
      </c>
      <c r="F173" s="351">
        <f t="shared" si="161"/>
        <v>-0.02</v>
      </c>
      <c r="G173" s="351">
        <f t="shared" si="161"/>
        <v>3.9999999999999994E-2</v>
      </c>
      <c r="H173" s="351">
        <f t="shared" si="161"/>
        <v>0.12</v>
      </c>
      <c r="I173" s="352"/>
      <c r="K173" s="1204"/>
      <c r="L173" s="350">
        <v>5</v>
      </c>
      <c r="M173" s="388">
        <f t="shared" ref="M173:R173" si="162">H$30</f>
        <v>1200</v>
      </c>
      <c r="N173" s="388" t="str">
        <f t="shared" si="162"/>
        <v>-</v>
      </c>
      <c r="O173" s="388" t="str">
        <f t="shared" si="162"/>
        <v>-</v>
      </c>
      <c r="P173" s="388" t="str">
        <f t="shared" si="162"/>
        <v>-</v>
      </c>
      <c r="Q173" s="388">
        <f t="shared" si="162"/>
        <v>3.9999999999999994E-2</v>
      </c>
      <c r="R173" s="388">
        <f t="shared" si="162"/>
        <v>0.12</v>
      </c>
      <c r="S173" s="389"/>
    </row>
    <row r="174" spans="1:19" ht="13">
      <c r="A174" s="1183"/>
      <c r="B174" s="350">
        <v>6</v>
      </c>
      <c r="C174" s="351">
        <f>O$24</f>
        <v>60</v>
      </c>
      <c r="D174" s="351">
        <f t="shared" ref="D174:H174" si="163">P$24</f>
        <v>-0.01</v>
      </c>
      <c r="E174" s="351">
        <f t="shared" si="163"/>
        <v>0</v>
      </c>
      <c r="F174" s="351">
        <f t="shared" si="163"/>
        <v>0.01</v>
      </c>
      <c r="G174" s="351">
        <f t="shared" si="163"/>
        <v>5.0000000000000001E-3</v>
      </c>
      <c r="H174" s="351">
        <f t="shared" si="163"/>
        <v>0.12</v>
      </c>
      <c r="I174" s="352"/>
      <c r="K174" s="1204"/>
      <c r="L174" s="350">
        <v>6</v>
      </c>
      <c r="M174" s="388">
        <f t="shared" ref="M174:R174" si="164">O$30</f>
        <v>1200</v>
      </c>
      <c r="N174" s="388" t="str">
        <f t="shared" si="164"/>
        <v>-</v>
      </c>
      <c r="O174" s="388" t="str">
        <f t="shared" si="164"/>
        <v>-</v>
      </c>
      <c r="P174" s="388">
        <f t="shared" si="164"/>
        <v>0.02</v>
      </c>
      <c r="Q174" s="388">
        <f t="shared" si="164"/>
        <v>3.9999999999999994E-2</v>
      </c>
      <c r="R174" s="388">
        <f t="shared" si="164"/>
        <v>0.12</v>
      </c>
      <c r="S174" s="389"/>
    </row>
    <row r="175" spans="1:19" ht="13">
      <c r="A175" s="1183"/>
      <c r="B175" s="350">
        <v>7</v>
      </c>
      <c r="C175" s="351">
        <f>A$40</f>
        <v>60</v>
      </c>
      <c r="D175" s="351">
        <f t="shared" ref="D175:H175" si="165">B$40</f>
        <v>-0.05</v>
      </c>
      <c r="E175" s="351">
        <f t="shared" si="165"/>
        <v>-0.02</v>
      </c>
      <c r="F175" s="351">
        <f t="shared" si="165"/>
        <v>0.03</v>
      </c>
      <c r="G175" s="351">
        <f t="shared" si="165"/>
        <v>2.5000000000000001E-2</v>
      </c>
      <c r="H175" s="351">
        <f t="shared" si="165"/>
        <v>0.12</v>
      </c>
      <c r="I175" s="352"/>
      <c r="K175" s="1204"/>
      <c r="L175" s="350">
        <v>7</v>
      </c>
      <c r="M175" s="388">
        <f t="shared" ref="M175:R175" si="166">A$46</f>
        <v>1200</v>
      </c>
      <c r="N175" s="388" t="str">
        <f t="shared" si="166"/>
        <v>-</v>
      </c>
      <c r="O175" s="388" t="str">
        <f t="shared" si="166"/>
        <v>-</v>
      </c>
      <c r="P175" s="388">
        <f t="shared" si="166"/>
        <v>0.03</v>
      </c>
      <c r="Q175" s="388">
        <f t="shared" si="166"/>
        <v>3.9999999999999994E-2</v>
      </c>
      <c r="R175" s="388">
        <f t="shared" si="166"/>
        <v>0.12</v>
      </c>
      <c r="S175" s="389"/>
    </row>
    <row r="176" spans="1:19" ht="13">
      <c r="A176" s="1183"/>
      <c r="B176" s="350">
        <v>8</v>
      </c>
      <c r="C176" s="351">
        <f>H$40</f>
        <v>60</v>
      </c>
      <c r="D176" s="351">
        <f t="shared" ref="D176:H176" si="167">I$40</f>
        <v>-0.02</v>
      </c>
      <c r="E176" s="351">
        <f t="shared" si="167"/>
        <v>0</v>
      </c>
      <c r="F176" s="351">
        <f t="shared" si="167"/>
        <v>0.01</v>
      </c>
      <c r="G176" s="351">
        <f t="shared" si="167"/>
        <v>5.0000000000000001E-3</v>
      </c>
      <c r="H176" s="351">
        <f t="shared" si="167"/>
        <v>0.12</v>
      </c>
      <c r="I176" s="352"/>
      <c r="K176" s="1204"/>
      <c r="L176" s="350">
        <v>8</v>
      </c>
      <c r="M176" s="388">
        <f t="shared" ref="M176:R176" si="168">H$46</f>
        <v>1200</v>
      </c>
      <c r="N176" s="388" t="str">
        <f t="shared" si="168"/>
        <v>-</v>
      </c>
      <c r="O176" s="388" t="str">
        <f t="shared" si="168"/>
        <v>-</v>
      </c>
      <c r="P176" s="388">
        <f t="shared" si="168"/>
        <v>0.02</v>
      </c>
      <c r="Q176" s="388">
        <f t="shared" si="168"/>
        <v>3.9999999999999994E-2</v>
      </c>
      <c r="R176" s="388">
        <f t="shared" si="168"/>
        <v>0.12</v>
      </c>
      <c r="S176" s="389"/>
    </row>
    <row r="177" spans="1:19" ht="13">
      <c r="A177" s="1183"/>
      <c r="B177" s="350">
        <v>9</v>
      </c>
      <c r="C177" s="351">
        <f>O$40</f>
        <v>60</v>
      </c>
      <c r="D177" s="351">
        <f t="shared" ref="D177:H177" si="169">P$40</f>
        <v>0.01</v>
      </c>
      <c r="E177" s="351">
        <f t="shared" si="169"/>
        <v>0.02</v>
      </c>
      <c r="F177" s="351">
        <f t="shared" si="169"/>
        <v>-0.01</v>
      </c>
      <c r="G177" s="351">
        <f t="shared" si="169"/>
        <v>1.4999999999999999E-2</v>
      </c>
      <c r="H177" s="351">
        <f t="shared" si="169"/>
        <v>0.12</v>
      </c>
      <c r="I177" s="352"/>
      <c r="K177" s="1204"/>
      <c r="L177" s="350">
        <v>9</v>
      </c>
      <c r="M177" s="388">
        <f t="shared" ref="M177:R177" si="170">O$46</f>
        <v>1200</v>
      </c>
      <c r="N177" s="388" t="str">
        <f t="shared" si="170"/>
        <v>-</v>
      </c>
      <c r="O177" s="388">
        <f t="shared" si="170"/>
        <v>0.02</v>
      </c>
      <c r="P177" s="388">
        <f t="shared" si="170"/>
        <v>-0.03</v>
      </c>
      <c r="Q177" s="388">
        <f t="shared" si="170"/>
        <v>2.5000000000000001E-2</v>
      </c>
      <c r="R177" s="388">
        <f t="shared" si="170"/>
        <v>0.12</v>
      </c>
      <c r="S177" s="389"/>
    </row>
    <row r="178" spans="1:19" ht="13">
      <c r="A178" s="1183"/>
      <c r="B178" s="357">
        <v>10</v>
      </c>
      <c r="C178" s="351">
        <f>A$55</f>
        <v>60</v>
      </c>
      <c r="D178" s="351">
        <f t="shared" ref="D178:H178" si="171">B$55</f>
        <v>-0.03</v>
      </c>
      <c r="E178" s="351">
        <f t="shared" si="171"/>
        <v>0</v>
      </c>
      <c r="F178" s="351">
        <f t="shared" si="171"/>
        <v>-0.06</v>
      </c>
      <c r="G178" s="351">
        <f t="shared" si="171"/>
        <v>0.03</v>
      </c>
      <c r="H178" s="351">
        <f t="shared" si="171"/>
        <v>0.12</v>
      </c>
      <c r="I178" s="352"/>
      <c r="K178" s="1204"/>
      <c r="L178" s="350">
        <v>10</v>
      </c>
      <c r="M178" s="388">
        <f t="shared" ref="M178:R178" si="172">A$61</f>
        <v>1200</v>
      </c>
      <c r="N178" s="388" t="str">
        <f t="shared" si="172"/>
        <v>-</v>
      </c>
      <c r="O178" s="388" t="str">
        <f t="shared" si="172"/>
        <v>-</v>
      </c>
      <c r="P178" s="388">
        <f t="shared" si="172"/>
        <v>-0.05</v>
      </c>
      <c r="Q178" s="388">
        <f t="shared" si="172"/>
        <v>3.9999999999999994E-2</v>
      </c>
      <c r="R178" s="388">
        <f t="shared" si="172"/>
        <v>0.12</v>
      </c>
      <c r="S178" s="389"/>
    </row>
    <row r="179" spans="1:19" ht="13">
      <c r="A179" s="1183"/>
      <c r="B179" s="357">
        <v>11</v>
      </c>
      <c r="C179" s="351">
        <f>H$55</f>
        <v>60</v>
      </c>
      <c r="D179" s="351">
        <f t="shared" ref="D179:H179" si="173">I$55</f>
        <v>-0.04</v>
      </c>
      <c r="E179" s="351">
        <f t="shared" si="173"/>
        <v>0</v>
      </c>
      <c r="F179" s="351">
        <f t="shared" si="173"/>
        <v>-0.03</v>
      </c>
      <c r="G179" s="351">
        <f t="shared" si="173"/>
        <v>1.4999999999999999E-2</v>
      </c>
      <c r="H179" s="351">
        <f t="shared" si="173"/>
        <v>0.12</v>
      </c>
      <c r="I179" s="352"/>
      <c r="K179" s="1204"/>
      <c r="L179" s="357">
        <v>11</v>
      </c>
      <c r="M179" s="388">
        <f t="shared" ref="M179:R179" si="174">H$61</f>
        <v>1200</v>
      </c>
      <c r="N179" s="388" t="str">
        <f t="shared" si="174"/>
        <v>-</v>
      </c>
      <c r="O179" s="388" t="str">
        <f t="shared" si="174"/>
        <v>-</v>
      </c>
      <c r="P179" s="388">
        <f t="shared" si="174"/>
        <v>-0.02</v>
      </c>
      <c r="Q179" s="388">
        <f t="shared" si="174"/>
        <v>3.9999999999999994E-2</v>
      </c>
      <c r="R179" s="388">
        <f t="shared" si="174"/>
        <v>0.12</v>
      </c>
      <c r="S179" s="389"/>
    </row>
    <row r="180" spans="1:19" ht="13">
      <c r="A180" s="1183"/>
      <c r="B180" s="350">
        <v>12</v>
      </c>
      <c r="C180" s="351">
        <f>O$55</f>
        <v>40</v>
      </c>
      <c r="D180" s="351" t="str">
        <f t="shared" ref="D180:H180" si="175">P$55</f>
        <v>-</v>
      </c>
      <c r="E180" s="351" t="str">
        <f t="shared" si="175"/>
        <v>-</v>
      </c>
      <c r="F180" s="351">
        <f t="shared" si="175"/>
        <v>0.02</v>
      </c>
      <c r="G180" s="351">
        <f t="shared" si="175"/>
        <v>3.9999999999999994E-2</v>
      </c>
      <c r="H180" s="351">
        <f t="shared" si="175"/>
        <v>0.12</v>
      </c>
      <c r="I180" s="352"/>
      <c r="K180" s="1204"/>
      <c r="L180" s="350">
        <v>12</v>
      </c>
      <c r="M180" s="388">
        <f t="shared" ref="M180:R180" si="176">O$61</f>
        <v>1200</v>
      </c>
      <c r="N180" s="388" t="str">
        <f t="shared" si="176"/>
        <v>-</v>
      </c>
      <c r="O180" s="388" t="str">
        <f t="shared" si="176"/>
        <v>-</v>
      </c>
      <c r="P180" s="388" t="str">
        <f t="shared" si="176"/>
        <v>-</v>
      </c>
      <c r="Q180" s="388">
        <f t="shared" si="176"/>
        <v>3.9999999999999994E-2</v>
      </c>
      <c r="R180" s="388">
        <f t="shared" si="176"/>
        <v>0.12</v>
      </c>
      <c r="S180" s="389"/>
    </row>
    <row r="181" spans="1:19" ht="13">
      <c r="A181" s="1183"/>
      <c r="B181" s="350">
        <v>13</v>
      </c>
      <c r="C181" s="351">
        <f>A$70</f>
        <v>40</v>
      </c>
      <c r="D181" s="351" t="str">
        <f t="shared" ref="D181:H181" si="177">B$70</f>
        <v>-</v>
      </c>
      <c r="E181" s="351" t="str">
        <f t="shared" si="177"/>
        <v>-</v>
      </c>
      <c r="F181" s="351">
        <f t="shared" si="177"/>
        <v>0.01</v>
      </c>
      <c r="G181" s="351">
        <f t="shared" si="177"/>
        <v>3.9999999999999994E-2</v>
      </c>
      <c r="H181" s="351">
        <f t="shared" si="177"/>
        <v>0.12</v>
      </c>
      <c r="I181" s="352"/>
      <c r="K181" s="1204"/>
      <c r="L181" s="350">
        <v>13</v>
      </c>
      <c r="M181" s="388">
        <f t="shared" ref="M181:R181" si="178">A$76</f>
        <v>1200</v>
      </c>
      <c r="N181" s="388">
        <f t="shared" si="178"/>
        <v>0</v>
      </c>
      <c r="O181" s="388" t="str">
        <f t="shared" si="178"/>
        <v>-</v>
      </c>
      <c r="P181" s="388" t="str">
        <f t="shared" si="178"/>
        <v>-</v>
      </c>
      <c r="Q181" s="388">
        <f t="shared" si="178"/>
        <v>3.9999999999999994E-2</v>
      </c>
      <c r="R181" s="388">
        <f t="shared" si="178"/>
        <v>0.12</v>
      </c>
      <c r="S181" s="389"/>
    </row>
    <row r="182" spans="1:19" ht="13">
      <c r="A182" s="1183"/>
      <c r="B182" s="350">
        <v>14</v>
      </c>
      <c r="C182" s="351">
        <f>H$70</f>
        <v>40</v>
      </c>
      <c r="D182" s="351" t="str">
        <f t="shared" ref="D182:H182" si="179">I$70</f>
        <v>-</v>
      </c>
      <c r="E182" s="351" t="str">
        <f t="shared" si="179"/>
        <v>-</v>
      </c>
      <c r="F182" s="351">
        <f t="shared" si="179"/>
        <v>0.03</v>
      </c>
      <c r="G182" s="351">
        <f t="shared" si="179"/>
        <v>3.9999999999999994E-2</v>
      </c>
      <c r="H182" s="351">
        <f t="shared" si="179"/>
        <v>0.12</v>
      </c>
      <c r="I182" s="352"/>
      <c r="K182" s="1204"/>
      <c r="L182" s="350">
        <v>14</v>
      </c>
      <c r="M182" s="388">
        <f t="shared" ref="M182:R182" si="180">H$76</f>
        <v>1200</v>
      </c>
      <c r="N182" s="388" t="str">
        <f t="shared" si="180"/>
        <v>-</v>
      </c>
      <c r="O182" s="388" t="str">
        <f t="shared" si="180"/>
        <v>-</v>
      </c>
      <c r="P182" s="388" t="str">
        <f t="shared" si="180"/>
        <v>-</v>
      </c>
      <c r="Q182" s="388">
        <f t="shared" si="180"/>
        <v>3.9999999999999994E-2</v>
      </c>
      <c r="R182" s="388">
        <f t="shared" si="180"/>
        <v>0.12</v>
      </c>
      <c r="S182" s="389"/>
    </row>
    <row r="183" spans="1:19" ht="13">
      <c r="A183" s="1183"/>
      <c r="B183" s="350">
        <v>15</v>
      </c>
      <c r="C183" s="366">
        <f>O$70</f>
        <v>60</v>
      </c>
      <c r="D183" s="366">
        <f t="shared" ref="D183:H183" si="181">P$70</f>
        <v>0.01</v>
      </c>
      <c r="E183" s="366">
        <f t="shared" si="181"/>
        <v>0.04</v>
      </c>
      <c r="F183" s="366">
        <f t="shared" si="181"/>
        <v>9.9999999999999995E-7</v>
      </c>
      <c r="G183" s="366">
        <f t="shared" si="181"/>
        <v>1.99995E-2</v>
      </c>
      <c r="H183" s="366">
        <f t="shared" si="181"/>
        <v>0.12</v>
      </c>
      <c r="I183" s="390"/>
      <c r="K183" s="1204"/>
      <c r="L183" s="350">
        <v>15</v>
      </c>
      <c r="M183" s="388">
        <f t="shared" ref="M183:R183" si="182">O$76</f>
        <v>1200</v>
      </c>
      <c r="N183" s="388" t="str">
        <f t="shared" si="182"/>
        <v>-</v>
      </c>
      <c r="O183" s="388">
        <f t="shared" si="182"/>
        <v>0.04</v>
      </c>
      <c r="P183" s="388">
        <f t="shared" si="182"/>
        <v>-0.04</v>
      </c>
      <c r="Q183" s="388">
        <f t="shared" si="182"/>
        <v>0.04</v>
      </c>
      <c r="R183" s="388">
        <f t="shared" si="182"/>
        <v>0.12</v>
      </c>
      <c r="S183" s="389"/>
    </row>
    <row r="184" spans="1:19" ht="13.5" thickBot="1">
      <c r="A184" s="1184"/>
      <c r="B184" s="360">
        <v>16</v>
      </c>
      <c r="C184" s="391">
        <f>A$85</f>
        <v>60</v>
      </c>
      <c r="D184" s="391">
        <f t="shared" ref="D184:H184" si="183">B$85</f>
        <v>0</v>
      </c>
      <c r="E184" s="391">
        <f t="shared" si="183"/>
        <v>0</v>
      </c>
      <c r="F184" s="391">
        <f t="shared" si="183"/>
        <v>-0.01</v>
      </c>
      <c r="G184" s="391">
        <f t="shared" si="183"/>
        <v>5.0000000000000001E-3</v>
      </c>
      <c r="H184" s="391">
        <f t="shared" si="183"/>
        <v>0.12</v>
      </c>
      <c r="I184" s="392"/>
      <c r="K184" s="1205"/>
      <c r="L184" s="360">
        <v>16</v>
      </c>
      <c r="M184" s="393">
        <f t="shared" ref="M184:R184" si="184">A$91</f>
        <v>1200</v>
      </c>
      <c r="N184" s="393" t="str">
        <f t="shared" si="184"/>
        <v>-</v>
      </c>
      <c r="O184" s="393" t="str">
        <f t="shared" si="184"/>
        <v>-</v>
      </c>
      <c r="P184" s="393">
        <f t="shared" si="184"/>
        <v>0.02</v>
      </c>
      <c r="Q184" s="393">
        <f t="shared" si="184"/>
        <v>3.9999999999999994E-2</v>
      </c>
      <c r="R184" s="393">
        <f t="shared" si="184"/>
        <v>0.12</v>
      </c>
      <c r="S184" s="394"/>
    </row>
    <row r="185" spans="1:19" ht="13.5" thickBot="1">
      <c r="A185" s="382"/>
      <c r="B185" s="350">
        <v>17</v>
      </c>
      <c r="C185" s="362">
        <f>H85</f>
        <v>40</v>
      </c>
      <c r="D185" s="362">
        <f t="shared" ref="D185:H185" si="185">I85</f>
        <v>0</v>
      </c>
      <c r="E185" s="362" t="str">
        <f t="shared" si="185"/>
        <v>-</v>
      </c>
      <c r="F185" s="362" t="str">
        <f t="shared" si="185"/>
        <v>-</v>
      </c>
      <c r="G185" s="362">
        <f t="shared" si="185"/>
        <v>3.9999999999999994E-2</v>
      </c>
      <c r="H185" s="362">
        <f t="shared" si="185"/>
        <v>0.12</v>
      </c>
      <c r="I185" s="363"/>
      <c r="K185" s="369"/>
      <c r="L185" s="350">
        <v>17</v>
      </c>
      <c r="M185" s="395">
        <f>H91</f>
        <v>1200</v>
      </c>
      <c r="N185" s="395" t="str">
        <f t="shared" ref="N185:S185" si="186">I91</f>
        <v>-</v>
      </c>
      <c r="O185" s="395" t="str">
        <f t="shared" si="186"/>
        <v>-</v>
      </c>
      <c r="P185" s="395" t="str">
        <f t="shared" si="186"/>
        <v>-</v>
      </c>
      <c r="Q185" s="395">
        <f t="shared" si="186"/>
        <v>3.9999999999999994E-2</v>
      </c>
      <c r="R185" s="395">
        <f t="shared" si="186"/>
        <v>0.12</v>
      </c>
      <c r="S185" s="395">
        <f t="shared" si="186"/>
        <v>0</v>
      </c>
    </row>
    <row r="186" spans="1:19" ht="13">
      <c r="A186" s="1181" t="s">
        <v>257</v>
      </c>
      <c r="B186" s="345">
        <v>1</v>
      </c>
      <c r="C186" s="346">
        <f>A$10</f>
        <v>50</v>
      </c>
      <c r="D186" s="346" t="str">
        <f t="shared" ref="D186:H186" si="187">B$10</f>
        <v>-</v>
      </c>
      <c r="E186" s="346" t="str">
        <f t="shared" si="187"/>
        <v>-</v>
      </c>
      <c r="F186" s="346">
        <f t="shared" si="187"/>
        <v>-1E-3</v>
      </c>
      <c r="G186" s="346">
        <f t="shared" si="187"/>
        <v>3.9999999999999994E-2</v>
      </c>
      <c r="H186" s="346">
        <f t="shared" si="187"/>
        <v>0.12</v>
      </c>
      <c r="I186" s="347"/>
      <c r="K186" s="396"/>
      <c r="L186" s="397"/>
      <c r="M186" s="315"/>
      <c r="N186" s="315"/>
      <c r="O186" s="315"/>
      <c r="P186" s="315"/>
      <c r="Q186" s="315"/>
      <c r="R186" s="315"/>
      <c r="S186" s="398"/>
    </row>
    <row r="187" spans="1:19" ht="13">
      <c r="A187" s="1161"/>
      <c r="B187" s="350">
        <v>2</v>
      </c>
      <c r="C187" s="351">
        <f>H$10</f>
        <v>50</v>
      </c>
      <c r="D187" s="351" t="str">
        <f t="shared" ref="D187:H187" si="188">I$10</f>
        <v>-</v>
      </c>
      <c r="E187" s="351" t="str">
        <f t="shared" si="188"/>
        <v>-</v>
      </c>
      <c r="F187" s="351">
        <f t="shared" si="188"/>
        <v>1E-3</v>
      </c>
      <c r="G187" s="351">
        <f t="shared" si="188"/>
        <v>4.0333333333333332E-2</v>
      </c>
      <c r="H187" s="351">
        <f t="shared" si="188"/>
        <v>0.121</v>
      </c>
      <c r="I187" s="352"/>
      <c r="K187" s="396"/>
      <c r="L187" s="397"/>
      <c r="M187" s="315"/>
      <c r="N187" s="315"/>
      <c r="O187" s="315"/>
      <c r="P187" s="315"/>
      <c r="Q187" s="315"/>
      <c r="R187" s="315"/>
      <c r="S187" s="398"/>
    </row>
    <row r="188" spans="1:19" ht="13">
      <c r="A188" s="1161"/>
      <c r="B188" s="350">
        <v>3</v>
      </c>
      <c r="C188" s="351">
        <f>O$10</f>
        <v>50</v>
      </c>
      <c r="D188" s="351" t="str">
        <f t="shared" ref="D188:H188" si="189">P$10</f>
        <v>-</v>
      </c>
      <c r="E188" s="351" t="str">
        <f t="shared" si="189"/>
        <v>-</v>
      </c>
      <c r="F188" s="351" t="str">
        <f t="shared" si="189"/>
        <v>-</v>
      </c>
      <c r="G188" s="351">
        <f t="shared" si="189"/>
        <v>3.9999999999999994E-2</v>
      </c>
      <c r="H188" s="351">
        <f t="shared" si="189"/>
        <v>0.12</v>
      </c>
      <c r="I188" s="352"/>
      <c r="K188" s="396"/>
      <c r="L188" s="397"/>
      <c r="M188" s="315"/>
      <c r="N188" s="315"/>
      <c r="O188" s="315"/>
      <c r="P188" s="315"/>
      <c r="Q188" s="315"/>
      <c r="R188" s="315"/>
      <c r="S188" s="398"/>
    </row>
    <row r="189" spans="1:19" ht="13">
      <c r="A189" s="1161"/>
      <c r="B189" s="350">
        <v>4</v>
      </c>
      <c r="C189" s="351">
        <f>A$25</f>
        <v>60</v>
      </c>
      <c r="D189" s="351" t="str">
        <f t="shared" ref="D189:H189" si="190">B$25</f>
        <v>-</v>
      </c>
      <c r="E189" s="351">
        <f t="shared" si="190"/>
        <v>-0.01</v>
      </c>
      <c r="F189" s="351">
        <f t="shared" si="190"/>
        <v>2E-3</v>
      </c>
      <c r="G189" s="351">
        <f t="shared" si="190"/>
        <v>6.0000000000000001E-3</v>
      </c>
      <c r="H189" s="351">
        <f t="shared" si="190"/>
        <v>0.12</v>
      </c>
      <c r="I189" s="352"/>
      <c r="K189" s="396"/>
      <c r="L189" s="397"/>
      <c r="M189" s="315"/>
      <c r="N189" s="315"/>
      <c r="O189" s="315"/>
      <c r="P189" s="315"/>
      <c r="Q189" s="315"/>
      <c r="R189" s="315"/>
      <c r="S189" s="398"/>
    </row>
    <row r="190" spans="1:19" ht="13">
      <c r="A190" s="1161"/>
      <c r="B190" s="350">
        <v>5</v>
      </c>
      <c r="C190" s="351">
        <f>H$25</f>
        <v>50</v>
      </c>
      <c r="D190" s="351" t="str">
        <f t="shared" ref="D190:H190" si="191">I$25</f>
        <v>-</v>
      </c>
      <c r="E190" s="351" t="str">
        <f t="shared" si="191"/>
        <v>-</v>
      </c>
      <c r="F190" s="351">
        <f t="shared" si="191"/>
        <v>-0.02</v>
      </c>
      <c r="G190" s="351">
        <f t="shared" si="191"/>
        <v>3.9999999999999994E-2</v>
      </c>
      <c r="H190" s="351">
        <f t="shared" si="191"/>
        <v>0.12</v>
      </c>
      <c r="I190" s="352"/>
      <c r="K190" s="396"/>
      <c r="L190" s="397"/>
      <c r="M190" s="315"/>
      <c r="N190" s="315"/>
      <c r="O190" s="315"/>
      <c r="P190" s="315"/>
      <c r="Q190" s="315"/>
      <c r="R190" s="315"/>
      <c r="S190" s="398"/>
    </row>
    <row r="191" spans="1:19" ht="13">
      <c r="A191" s="1161"/>
      <c r="B191" s="350">
        <v>6</v>
      </c>
      <c r="C191" s="351">
        <f>O$25</f>
        <v>60</v>
      </c>
      <c r="D191" s="351">
        <f t="shared" ref="D191:H191" si="192">P$25</f>
        <v>-0.01</v>
      </c>
      <c r="E191" s="351">
        <f t="shared" si="192"/>
        <v>0</v>
      </c>
      <c r="F191" s="351">
        <f t="shared" si="192"/>
        <v>0.01</v>
      </c>
      <c r="G191" s="351">
        <f t="shared" si="192"/>
        <v>5.0000000000000001E-3</v>
      </c>
      <c r="H191" s="351">
        <f t="shared" si="192"/>
        <v>0.12</v>
      </c>
      <c r="I191" s="352"/>
      <c r="K191" s="396"/>
      <c r="L191" s="397"/>
      <c r="M191" s="315"/>
      <c r="N191" s="315"/>
      <c r="O191" s="315"/>
      <c r="P191" s="315"/>
      <c r="Q191" s="315"/>
      <c r="R191" s="315"/>
      <c r="S191" s="398"/>
    </row>
    <row r="192" spans="1:19" ht="13">
      <c r="A192" s="1161"/>
      <c r="B192" s="350">
        <v>7</v>
      </c>
      <c r="C192" s="351">
        <f>A$41</f>
        <v>60</v>
      </c>
      <c r="D192" s="351">
        <f t="shared" ref="D192:H192" si="193">B$41</f>
        <v>-0.05</v>
      </c>
      <c r="E192" s="351">
        <f t="shared" si="193"/>
        <v>-0.02</v>
      </c>
      <c r="F192" s="351">
        <f t="shared" si="193"/>
        <v>0.03</v>
      </c>
      <c r="G192" s="351">
        <f t="shared" si="193"/>
        <v>2.5000000000000001E-2</v>
      </c>
      <c r="H192" s="351">
        <f t="shared" si="193"/>
        <v>0.12</v>
      </c>
      <c r="I192" s="352"/>
      <c r="K192" s="396"/>
      <c r="L192" s="397"/>
      <c r="M192" s="315"/>
      <c r="N192" s="315"/>
      <c r="O192" s="315"/>
      <c r="P192" s="315"/>
      <c r="Q192" s="315"/>
      <c r="R192" s="315"/>
      <c r="S192" s="398"/>
    </row>
    <row r="193" spans="1:27" ht="13">
      <c r="A193" s="1161"/>
      <c r="B193" s="350">
        <v>8</v>
      </c>
      <c r="C193" s="351">
        <f>H$41</f>
        <v>60</v>
      </c>
      <c r="D193" s="351">
        <f t="shared" ref="D193:H193" si="194">I$41</f>
        <v>-0.02</v>
      </c>
      <c r="E193" s="351">
        <f t="shared" si="194"/>
        <v>0</v>
      </c>
      <c r="F193" s="351">
        <f t="shared" si="194"/>
        <v>0.01</v>
      </c>
      <c r="G193" s="351">
        <f t="shared" si="194"/>
        <v>5.0000000000000001E-3</v>
      </c>
      <c r="H193" s="351">
        <f t="shared" si="194"/>
        <v>0.12</v>
      </c>
      <c r="I193" s="352"/>
      <c r="K193" s="396"/>
      <c r="L193" s="397"/>
      <c r="M193" s="315"/>
      <c r="N193" s="315"/>
      <c r="O193" s="315"/>
      <c r="P193" s="315"/>
      <c r="Q193" s="315"/>
      <c r="R193" s="315"/>
      <c r="S193" s="398"/>
    </row>
    <row r="194" spans="1:27" ht="13">
      <c r="A194" s="1161"/>
      <c r="B194" s="350">
        <v>9</v>
      </c>
      <c r="C194" s="351">
        <f>O$41</f>
        <v>60</v>
      </c>
      <c r="D194" s="351">
        <f t="shared" ref="D194:H194" si="195">P$41</f>
        <v>0.01</v>
      </c>
      <c r="E194" s="351">
        <f t="shared" si="195"/>
        <v>0.02</v>
      </c>
      <c r="F194" s="351">
        <f t="shared" si="195"/>
        <v>-0.01</v>
      </c>
      <c r="G194" s="351">
        <f t="shared" si="195"/>
        <v>1.4999999999999999E-2</v>
      </c>
      <c r="H194" s="351">
        <f t="shared" si="195"/>
        <v>0.12</v>
      </c>
      <c r="I194" s="352"/>
      <c r="K194" s="396"/>
      <c r="L194" s="397"/>
      <c r="M194" s="315"/>
      <c r="N194" s="315"/>
      <c r="O194" s="315"/>
      <c r="P194" s="315"/>
      <c r="Q194" s="315"/>
      <c r="R194" s="315"/>
      <c r="S194" s="398"/>
    </row>
    <row r="195" spans="1:27" ht="13">
      <c r="A195" s="1161"/>
      <c r="B195" s="350">
        <v>10</v>
      </c>
      <c r="C195" s="351">
        <f>A$56</f>
        <v>60</v>
      </c>
      <c r="D195" s="351">
        <f t="shared" ref="D195:H195" si="196">B$56</f>
        <v>-0.03</v>
      </c>
      <c r="E195" s="351">
        <f t="shared" si="196"/>
        <v>0</v>
      </c>
      <c r="F195" s="351">
        <f t="shared" si="196"/>
        <v>-0.06</v>
      </c>
      <c r="G195" s="351">
        <f t="shared" si="196"/>
        <v>0.03</v>
      </c>
      <c r="H195" s="351">
        <f t="shared" si="196"/>
        <v>0.12</v>
      </c>
      <c r="I195" s="352"/>
      <c r="K195" s="396"/>
      <c r="L195" s="397"/>
      <c r="M195" s="315"/>
      <c r="N195" s="315"/>
      <c r="O195" s="315"/>
      <c r="P195" s="315"/>
      <c r="Q195" s="315"/>
      <c r="R195" s="315"/>
      <c r="S195" s="398"/>
    </row>
    <row r="196" spans="1:27" ht="13">
      <c r="A196" s="1161"/>
      <c r="B196" s="357">
        <v>11</v>
      </c>
      <c r="C196" s="348">
        <f>H$56</f>
        <v>60</v>
      </c>
      <c r="D196" s="348">
        <f t="shared" ref="D196:H196" si="197">I$56</f>
        <v>-0.04</v>
      </c>
      <c r="E196" s="348">
        <f t="shared" si="197"/>
        <v>0</v>
      </c>
      <c r="F196" s="348">
        <f t="shared" si="197"/>
        <v>-0.03</v>
      </c>
      <c r="G196" s="348">
        <f t="shared" si="197"/>
        <v>1.4999999999999999E-2</v>
      </c>
      <c r="H196" s="348">
        <f t="shared" si="197"/>
        <v>0.12</v>
      </c>
      <c r="I196" s="355"/>
      <c r="K196" s="396"/>
      <c r="L196" s="397"/>
      <c r="M196" s="315"/>
      <c r="N196" s="315"/>
      <c r="O196" s="315"/>
      <c r="P196" s="315"/>
      <c r="Q196" s="315"/>
      <c r="R196" s="315"/>
      <c r="S196" s="398"/>
    </row>
    <row r="197" spans="1:27" ht="13">
      <c r="A197" s="1161"/>
      <c r="B197" s="350">
        <v>12</v>
      </c>
      <c r="C197" s="348">
        <f>O$56</f>
        <v>50</v>
      </c>
      <c r="D197" s="348" t="str">
        <f t="shared" ref="D197:H197" si="198">P$56</f>
        <v>-</v>
      </c>
      <c r="E197" s="348" t="str">
        <f t="shared" si="198"/>
        <v>-</v>
      </c>
      <c r="F197" s="348">
        <f t="shared" si="198"/>
        <v>0.02</v>
      </c>
      <c r="G197" s="348">
        <f t="shared" si="198"/>
        <v>3.9999999999999994E-2</v>
      </c>
      <c r="H197" s="348">
        <f t="shared" si="198"/>
        <v>0.12</v>
      </c>
      <c r="I197" s="355"/>
      <c r="K197" s="396"/>
      <c r="L197" s="397"/>
      <c r="M197" s="315"/>
      <c r="N197" s="315"/>
      <c r="O197" s="315"/>
      <c r="P197" s="315"/>
      <c r="Q197" s="315"/>
      <c r="R197" s="315"/>
      <c r="S197" s="398"/>
    </row>
    <row r="198" spans="1:27" ht="13">
      <c r="A198" s="1161"/>
      <c r="B198" s="350">
        <v>13</v>
      </c>
      <c r="C198" s="348">
        <f>A$71</f>
        <v>50</v>
      </c>
      <c r="D198" s="348" t="str">
        <f t="shared" ref="D198:H198" si="199">B$71</f>
        <v>-</v>
      </c>
      <c r="E198" s="348" t="str">
        <f t="shared" si="199"/>
        <v>-</v>
      </c>
      <c r="F198" s="348">
        <f t="shared" si="199"/>
        <v>0.02</v>
      </c>
      <c r="G198" s="348">
        <f t="shared" si="199"/>
        <v>3.9999999999999994E-2</v>
      </c>
      <c r="H198" s="348">
        <f t="shared" si="199"/>
        <v>0.12</v>
      </c>
      <c r="I198" s="355"/>
      <c r="K198" s="396"/>
      <c r="L198" s="397"/>
      <c r="M198" s="315"/>
      <c r="N198" s="315"/>
      <c r="O198" s="315"/>
      <c r="P198" s="315"/>
      <c r="Q198" s="315"/>
      <c r="R198" s="315"/>
      <c r="S198" s="398"/>
    </row>
    <row r="199" spans="1:27" ht="13">
      <c r="A199" s="1161"/>
      <c r="B199" s="350">
        <v>14</v>
      </c>
      <c r="C199" s="348">
        <f>H$71</f>
        <v>50</v>
      </c>
      <c r="D199" s="348" t="str">
        <f t="shared" ref="D199:H199" si="200">I$71</f>
        <v>-</v>
      </c>
      <c r="E199" s="348" t="str">
        <f t="shared" si="200"/>
        <v>-</v>
      </c>
      <c r="F199" s="348">
        <f t="shared" si="200"/>
        <v>0.03</v>
      </c>
      <c r="G199" s="348">
        <f t="shared" si="200"/>
        <v>3.9999999999999994E-2</v>
      </c>
      <c r="H199" s="348">
        <f t="shared" si="200"/>
        <v>0.12</v>
      </c>
      <c r="I199" s="355"/>
      <c r="K199" s="396"/>
      <c r="L199" s="397"/>
      <c r="M199" s="315"/>
      <c r="N199" s="315"/>
      <c r="O199" s="315"/>
      <c r="P199" s="315"/>
      <c r="Q199" s="315"/>
      <c r="R199" s="315"/>
      <c r="S199" s="398"/>
    </row>
    <row r="200" spans="1:27" ht="13">
      <c r="A200" s="1161"/>
      <c r="B200" s="350">
        <v>15</v>
      </c>
      <c r="C200" s="348">
        <f>O$71</f>
        <v>60</v>
      </c>
      <c r="D200" s="348">
        <f t="shared" ref="D200:H200" si="201">P$71</f>
        <v>0.01</v>
      </c>
      <c r="E200" s="348">
        <f t="shared" si="201"/>
        <v>0.04</v>
      </c>
      <c r="F200" s="348">
        <f t="shared" si="201"/>
        <v>9.9999999999999995E-7</v>
      </c>
      <c r="G200" s="348">
        <f t="shared" si="201"/>
        <v>1.99995E-2</v>
      </c>
      <c r="H200" s="348">
        <f t="shared" si="201"/>
        <v>0.12</v>
      </c>
      <c r="I200" s="355"/>
      <c r="K200" s="396"/>
      <c r="L200" s="397"/>
      <c r="M200" s="315"/>
      <c r="N200" s="315"/>
      <c r="O200" s="315"/>
      <c r="P200" s="315"/>
      <c r="Q200" s="315"/>
      <c r="R200" s="315"/>
      <c r="S200" s="398"/>
    </row>
    <row r="201" spans="1:27" ht="13.5" thickBot="1">
      <c r="A201" s="1206"/>
      <c r="B201" s="360">
        <v>16</v>
      </c>
      <c r="C201" s="391">
        <f>A$86</f>
        <v>60</v>
      </c>
      <c r="D201" s="391">
        <f t="shared" ref="D201:H201" si="202">B$86</f>
        <v>0</v>
      </c>
      <c r="E201" s="391">
        <f t="shared" si="202"/>
        <v>0</v>
      </c>
      <c r="F201" s="391">
        <f t="shared" si="202"/>
        <v>-0.01</v>
      </c>
      <c r="G201" s="391">
        <f t="shared" si="202"/>
        <v>5.0000000000000001E-3</v>
      </c>
      <c r="H201" s="391">
        <f t="shared" si="202"/>
        <v>0.12</v>
      </c>
      <c r="I201" s="399"/>
      <c r="K201" s="396"/>
      <c r="L201" s="397"/>
      <c r="M201" s="315"/>
      <c r="N201" s="315"/>
      <c r="O201" s="315"/>
      <c r="P201" s="315"/>
      <c r="Q201" s="315"/>
      <c r="R201" s="315"/>
      <c r="S201" s="398"/>
    </row>
    <row r="202" spans="1:27" ht="13">
      <c r="A202" s="400"/>
      <c r="B202" s="350">
        <v>17</v>
      </c>
      <c r="C202" s="369">
        <f>H86</f>
        <v>50</v>
      </c>
      <c r="D202" s="369">
        <f t="shared" ref="D202:H202" si="203">I86</f>
        <v>0</v>
      </c>
      <c r="E202" s="369" t="str">
        <f t="shared" si="203"/>
        <v>-</v>
      </c>
      <c r="F202" s="369" t="str">
        <f t="shared" si="203"/>
        <v>-</v>
      </c>
      <c r="G202" s="369">
        <f t="shared" si="203"/>
        <v>3.9999999999999994E-2</v>
      </c>
      <c r="H202" s="369">
        <f t="shared" si="203"/>
        <v>0.12</v>
      </c>
      <c r="I202" s="369"/>
      <c r="K202" s="396"/>
      <c r="L202" s="397"/>
      <c r="M202" s="315"/>
      <c r="N202" s="315"/>
      <c r="O202" s="315"/>
      <c r="P202" s="315"/>
      <c r="Q202" s="315"/>
      <c r="R202" s="315"/>
      <c r="S202" s="398"/>
    </row>
    <row r="203" spans="1:27" ht="13">
      <c r="A203" s="401"/>
      <c r="B203" s="395"/>
      <c r="C203" s="397"/>
      <c r="D203" s="395"/>
      <c r="E203" s="395"/>
      <c r="F203" s="395"/>
      <c r="G203" s="395"/>
      <c r="H203" s="395"/>
      <c r="I203" s="395"/>
    </row>
    <row r="204" spans="1:27" ht="13">
      <c r="A204" s="326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402"/>
      <c r="M204" s="402"/>
      <c r="N204" s="402"/>
      <c r="O204" s="402"/>
      <c r="P204" s="402"/>
      <c r="Q204" s="320"/>
      <c r="R204" s="402"/>
      <c r="S204" s="402"/>
      <c r="T204" s="402"/>
    </row>
    <row r="205" spans="1:27" ht="28.5" customHeight="1">
      <c r="A205" s="403">
        <f>A248</f>
        <v>4</v>
      </c>
      <c r="B205" s="1207" t="str">
        <f>A230</f>
        <v>Stopwatch, Merek : Casio, Model : HS - 80TW, SN :510Q061R</v>
      </c>
      <c r="C205" s="1208"/>
      <c r="D205" s="1208"/>
      <c r="E205" s="1208"/>
      <c r="F205" s="1209"/>
      <c r="G205" s="404"/>
      <c r="H205" s="405"/>
      <c r="I205" s="405"/>
      <c r="J205" s="1210"/>
      <c r="K205" s="1210"/>
      <c r="L205" s="1210"/>
      <c r="M205" s="1210"/>
      <c r="N205" s="289"/>
      <c r="O205" s="404"/>
      <c r="P205" s="404"/>
      <c r="Q205" s="320"/>
      <c r="R205" s="402"/>
      <c r="S205" s="402"/>
      <c r="T205" s="402"/>
      <c r="AA205" s="406"/>
    </row>
    <row r="206" spans="1:27" ht="13.5">
      <c r="A206" s="407" t="s">
        <v>382</v>
      </c>
      <c r="B206" s="1211" t="s">
        <v>93</v>
      </c>
      <c r="C206" s="1212"/>
      <c r="D206" s="1213"/>
      <c r="E206" s="1214" t="s">
        <v>385</v>
      </c>
      <c r="F206" s="1216" t="s">
        <v>92</v>
      </c>
      <c r="G206" s="1216"/>
      <c r="H206" s="1217" t="s">
        <v>281</v>
      </c>
      <c r="J206" s="1218"/>
      <c r="K206" s="1218"/>
      <c r="L206" s="298"/>
      <c r="M206" s="1189"/>
      <c r="N206" s="289"/>
      <c r="O206" s="289"/>
      <c r="P206" s="289"/>
      <c r="Q206" s="320"/>
      <c r="R206" s="402"/>
      <c r="S206" s="402"/>
      <c r="T206" s="402"/>
    </row>
    <row r="207" spans="1:27" ht="14">
      <c r="A207" s="303" t="s">
        <v>95</v>
      </c>
      <c r="B207" s="303">
        <f>VLOOKUP(B205,A231:M246,10,FALSE)</f>
        <v>2022</v>
      </c>
      <c r="C207" s="407">
        <f>VLOOKUP(B205,A231:M246,11,FALSE)</f>
        <v>2021</v>
      </c>
      <c r="D207" s="407">
        <f>VLOOKUP(B205,A231:M246,12,FALSE)</f>
        <v>2019</v>
      </c>
      <c r="E207" s="1215"/>
      <c r="F207" s="408"/>
      <c r="G207" s="409" t="s">
        <v>386</v>
      </c>
      <c r="H207" s="1217"/>
      <c r="J207" s="298"/>
      <c r="K207" s="298"/>
      <c r="L207" s="298"/>
      <c r="M207" s="1189"/>
      <c r="N207" s="289"/>
      <c r="O207" s="289"/>
      <c r="P207" s="289"/>
      <c r="Q207" s="320"/>
      <c r="R207" s="327"/>
      <c r="S207" s="327"/>
      <c r="T207" s="327"/>
    </row>
    <row r="208" spans="1:27" ht="13">
      <c r="A208" s="388">
        <f>VLOOKUP(A205,B101:H116,2)</f>
        <v>0</v>
      </c>
      <c r="B208" s="388" t="str">
        <f>VLOOKUP($A$205,$B$101:$H$116,3,FALSE)</f>
        <v>-</v>
      </c>
      <c r="C208" s="388">
        <f>VLOOKUP($A$205,$B$101:$H$116,4,FALSE)</f>
        <v>9.9999999999999995E-7</v>
      </c>
      <c r="D208" s="388">
        <f>VLOOKUP($A$205,B101:H116,5,FALSE)</f>
        <v>9.9999999999999995E-7</v>
      </c>
      <c r="E208" s="358">
        <f>IF(AND(B208="-",C208="-"),D208,IF(B208="-",C208,B208))</f>
        <v>9.9999999999999995E-7</v>
      </c>
      <c r="F208" s="410">
        <f>IFERROR(IF(OR(AND(B208="-",C208="-"),AND(B208="-",D208="-")),G208,0.5*(MAX(B208:D208)-MIN(B208:D208))),0)</f>
        <v>0</v>
      </c>
      <c r="G208" s="358">
        <f>1/3*H208</f>
        <v>3.9999999999999994E-2</v>
      </c>
      <c r="H208" s="388">
        <f>VLOOKUP($A$205,B101:H116,7,FALSE)</f>
        <v>0.12</v>
      </c>
      <c r="J208" s="315"/>
      <c r="K208" s="315"/>
      <c r="L208" s="315"/>
      <c r="M208" s="315"/>
      <c r="N208" s="289"/>
      <c r="O208" s="289"/>
      <c r="P208" s="289"/>
      <c r="Q208" s="320"/>
      <c r="R208" s="327"/>
      <c r="S208" s="327"/>
      <c r="T208" s="327"/>
    </row>
    <row r="209" spans="1:20" ht="13">
      <c r="A209" s="388">
        <f>VLOOKUP(A205,B118:H133,2)</f>
        <v>60</v>
      </c>
      <c r="B209" s="388" t="str">
        <f>VLOOKUP($A$205,$B$118:$H$133,3,FALSE)</f>
        <v>-</v>
      </c>
      <c r="C209" s="388">
        <f>VLOOKUP($A$205,$B$118:$H$133,4,FALSE)</f>
        <v>-0.01</v>
      </c>
      <c r="D209" s="388">
        <f>VLOOKUP($A$205,B118:H133,5,FALSE)</f>
        <v>2E-3</v>
      </c>
      <c r="E209" s="358">
        <f t="shared" ref="E209:E218" si="204">IF(AND(B209="-",C209="-"),D209,IF(B209="-",C209,B209))</f>
        <v>-0.01</v>
      </c>
      <c r="F209" s="410">
        <f>IFERROR(IF(OR(AND(B209="-",C209="-"),AND(B209="-",D209="-")),G209,0.5*(MAX(B209:D209)-MIN(B209:D209))),0)</f>
        <v>6.0000000000000001E-3</v>
      </c>
      <c r="G209" s="358">
        <f t="shared" ref="G209:G218" si="205">1/3*H209</f>
        <v>3.9999999999999994E-2</v>
      </c>
      <c r="H209" s="388">
        <f>VLOOKUP($A$205,B118:H133,7,FALSE)</f>
        <v>0.12</v>
      </c>
      <c r="J209" s="315"/>
      <c r="K209" s="315"/>
      <c r="L209" s="315"/>
      <c r="M209" s="315"/>
      <c r="N209" s="289"/>
      <c r="O209" s="289"/>
      <c r="P209" s="289"/>
      <c r="Q209" s="320"/>
      <c r="R209" s="327"/>
      <c r="S209" s="327"/>
      <c r="T209" s="327"/>
    </row>
    <row r="210" spans="1:20" ht="13">
      <c r="A210" s="388">
        <f>VLOOKUP(A205,B135:H150,2)</f>
        <v>60</v>
      </c>
      <c r="B210" s="388" t="str">
        <f>VLOOKUP($A$205,$B$135:$H$150,3,FALSE)</f>
        <v>-</v>
      </c>
      <c r="C210" s="388">
        <f>VLOOKUP($A$205,$B$135:$H$150,4,FALSE)</f>
        <v>-0.01</v>
      </c>
      <c r="D210" s="388">
        <f>VLOOKUP($A$205,B135:H150,5,FALSE)</f>
        <v>2E-3</v>
      </c>
      <c r="E210" s="358">
        <f t="shared" si="204"/>
        <v>-0.01</v>
      </c>
      <c r="F210" s="410">
        <f t="shared" ref="F210:F218" si="206">IFERROR(IF(OR(AND(B210="-",C210="-"),AND(B210="-",D210="-")),G210,0.5*(MAX(B210:D210)-MIN(B210:D210))),0)</f>
        <v>6.0000000000000001E-3</v>
      </c>
      <c r="G210" s="358">
        <f t="shared" si="205"/>
        <v>3.9999999999999994E-2</v>
      </c>
      <c r="H210" s="388">
        <f>VLOOKUP($A$205,B135:H150,7,FALSE)</f>
        <v>0.12</v>
      </c>
      <c r="J210" s="315"/>
      <c r="K210" s="315"/>
      <c r="L210" s="315"/>
      <c r="M210" s="315"/>
      <c r="N210" s="320"/>
      <c r="O210" s="320"/>
      <c r="P210" s="320"/>
      <c r="Q210" s="320"/>
      <c r="R210" s="327"/>
      <c r="S210" s="327"/>
      <c r="T210" s="327"/>
    </row>
    <row r="211" spans="1:20" ht="13">
      <c r="A211" s="388">
        <f>VLOOKUP(A205,B152:H167,2)</f>
        <v>60</v>
      </c>
      <c r="B211" s="388" t="str">
        <f>VLOOKUP($A$205,$B$152:$H$167,3,FALSE)</f>
        <v>-</v>
      </c>
      <c r="C211" s="388">
        <f>VLOOKUP($A$205,$B$152:$H$167,4,FALSE)</f>
        <v>-0.01</v>
      </c>
      <c r="D211" s="388">
        <f>VLOOKUP($A$205,B152:H167,5,FALSE)</f>
        <v>2E-3</v>
      </c>
      <c r="E211" s="358">
        <f t="shared" si="204"/>
        <v>-0.01</v>
      </c>
      <c r="F211" s="410">
        <f t="shared" si="206"/>
        <v>6.0000000000000001E-3</v>
      </c>
      <c r="G211" s="358">
        <f t="shared" si="205"/>
        <v>3.9999999999999994E-2</v>
      </c>
      <c r="H211" s="388">
        <f>VLOOKUP($A$205,B152:H167,7,FALSE)</f>
        <v>0.12</v>
      </c>
      <c r="J211" s="315"/>
      <c r="K211" s="315"/>
      <c r="L211" s="315"/>
      <c r="M211" s="315"/>
      <c r="N211" s="320"/>
      <c r="O211" s="320"/>
      <c r="P211" s="320"/>
      <c r="Q211" s="320"/>
      <c r="R211" s="327"/>
      <c r="S211" s="327"/>
      <c r="T211" s="327"/>
    </row>
    <row r="212" spans="1:20" ht="13">
      <c r="A212" s="388">
        <f>VLOOKUP(A205,B169:H184,2)</f>
        <v>60</v>
      </c>
      <c r="B212" s="388" t="str">
        <f>VLOOKUP($A$205,$B$169:$H$184,3,FALSE)</f>
        <v>-</v>
      </c>
      <c r="C212" s="388">
        <f>VLOOKUP($A$205,$B$169:$H$184,4,FALSE)</f>
        <v>-0.01</v>
      </c>
      <c r="D212" s="388">
        <f>VLOOKUP($A$205,B169:H184,5,FALSE)</f>
        <v>2E-3</v>
      </c>
      <c r="E212" s="358">
        <f>IF(AND(B212="-",C212="-"),D212,IF(B212="-",C212,B212))</f>
        <v>-0.01</v>
      </c>
      <c r="F212" s="410">
        <f t="shared" si="206"/>
        <v>6.0000000000000001E-3</v>
      </c>
      <c r="G212" s="358">
        <f t="shared" si="205"/>
        <v>3.9999999999999994E-2</v>
      </c>
      <c r="H212" s="388">
        <f>VLOOKUP($A$205,B169:H184,7,FALSE)</f>
        <v>0.12</v>
      </c>
      <c r="J212" s="315"/>
      <c r="K212" s="315"/>
      <c r="L212" s="315"/>
      <c r="M212" s="315"/>
      <c r="N212" s="320"/>
      <c r="O212" s="320"/>
      <c r="P212" s="320"/>
      <c r="Q212" s="320"/>
      <c r="R212" s="327"/>
      <c r="S212" s="327"/>
      <c r="T212" s="327"/>
    </row>
    <row r="213" spans="1:20" ht="13">
      <c r="A213" s="388">
        <f>VLOOKUP(A205,B186:H201,2)</f>
        <v>60</v>
      </c>
      <c r="B213" s="388" t="str">
        <f>VLOOKUP($A$205,$B$186:$H$201,3,FALSE)</f>
        <v>-</v>
      </c>
      <c r="C213" s="388">
        <f>VLOOKUP($A$205,$B$186:$H$201,4,FALSE)</f>
        <v>-0.01</v>
      </c>
      <c r="D213" s="388">
        <f>VLOOKUP($A$205,B186:H201,5,FALSE)</f>
        <v>2E-3</v>
      </c>
      <c r="E213" s="358">
        <f t="shared" si="204"/>
        <v>-0.01</v>
      </c>
      <c r="F213" s="410">
        <f t="shared" si="206"/>
        <v>6.0000000000000001E-3</v>
      </c>
      <c r="G213" s="358">
        <f t="shared" si="205"/>
        <v>3.9999999999999994E-2</v>
      </c>
      <c r="H213" s="388">
        <f>VLOOKUP($A$205,B186:H201,7,FALSE)</f>
        <v>0.12</v>
      </c>
      <c r="J213" s="315"/>
      <c r="K213" s="315"/>
      <c r="L213" s="315"/>
      <c r="M213" s="315"/>
      <c r="N213" s="320"/>
      <c r="O213" s="320"/>
      <c r="P213" s="320"/>
      <c r="Q213" s="320"/>
      <c r="R213" s="327"/>
      <c r="S213" s="327"/>
      <c r="T213" s="327"/>
    </row>
    <row r="214" spans="1:20" ht="13">
      <c r="A214" s="388">
        <f>VLOOKUP(A205,L101:R116,2)</f>
        <v>60</v>
      </c>
      <c r="B214" s="388" t="str">
        <f>VLOOKUP($A$205,$L$101:$R$116,3,FALSE)</f>
        <v>-</v>
      </c>
      <c r="C214" s="388">
        <f>VLOOKUP($A$205,$L$101:$R$116,4,FALSE)</f>
        <v>-0.01</v>
      </c>
      <c r="D214" s="388">
        <f>VLOOKUP($A$205,L101:R116,5,FALSE)</f>
        <v>2E-3</v>
      </c>
      <c r="E214" s="358">
        <f t="shared" si="204"/>
        <v>-0.01</v>
      </c>
      <c r="F214" s="410">
        <f t="shared" si="206"/>
        <v>6.0000000000000001E-3</v>
      </c>
      <c r="G214" s="358">
        <f t="shared" si="205"/>
        <v>3.9999999999999994E-2</v>
      </c>
      <c r="H214" s="388">
        <f>VLOOKUP($A$205,L101:R116,7,FALSE)</f>
        <v>0.12</v>
      </c>
      <c r="J214" s="315"/>
      <c r="K214" s="315"/>
      <c r="L214" s="315"/>
      <c r="M214" s="315"/>
      <c r="N214" s="320"/>
      <c r="O214" s="320"/>
      <c r="P214" s="320"/>
      <c r="Q214" s="320"/>
      <c r="R214" s="327"/>
      <c r="S214" s="327"/>
      <c r="T214" s="327"/>
    </row>
    <row r="215" spans="1:20" ht="13">
      <c r="A215" s="388">
        <f>VLOOKUP(A205,L118:R133,2)</f>
        <v>300</v>
      </c>
      <c r="B215" s="388" t="str">
        <f>VLOOKUP($A$205,$L$118:$R$133,3,FALSE)</f>
        <v>-</v>
      </c>
      <c r="C215" s="388">
        <f>VLOOKUP($A$205,$L$118:$R$133,4,FALSE)</f>
        <v>-0.01</v>
      </c>
      <c r="D215" s="388">
        <f>VLOOKUP($A$205,L118:R133,5,FALSE)</f>
        <v>1E-3</v>
      </c>
      <c r="E215" s="358">
        <f t="shared" si="204"/>
        <v>-0.01</v>
      </c>
      <c r="F215" s="410">
        <f t="shared" si="206"/>
        <v>5.4999999999999997E-3</v>
      </c>
      <c r="G215" s="358">
        <f t="shared" si="205"/>
        <v>3.9999999999999994E-2</v>
      </c>
      <c r="H215" s="388">
        <f>VLOOKUP($A$205,L118:R133,7,FALSE)</f>
        <v>0.12</v>
      </c>
      <c r="J215" s="315"/>
      <c r="K215" s="315"/>
      <c r="L215" s="315"/>
      <c r="M215" s="315"/>
      <c r="N215" s="320"/>
      <c r="O215" s="320"/>
      <c r="P215" s="320"/>
      <c r="Q215" s="320"/>
      <c r="R215" s="327"/>
      <c r="S215" s="327"/>
      <c r="T215" s="327"/>
    </row>
    <row r="216" spans="1:20" ht="13">
      <c r="A216" s="388">
        <f>VLOOKUP(A205,L135:R150,2)</f>
        <v>600</v>
      </c>
      <c r="B216" s="388" t="str">
        <f>VLOOKUP($A$205,$L$135:$R$150,3,FALSE)</f>
        <v>-</v>
      </c>
      <c r="C216" s="388">
        <f>VLOOKUP($A$205,$L$135:$R$150,4,FALSE)</f>
        <v>0.03</v>
      </c>
      <c r="D216" s="388">
        <f>VLOOKUP($A$205,L135:R150,5,FALSE)</f>
        <v>6.0000000000000001E-3</v>
      </c>
      <c r="E216" s="358">
        <f t="shared" si="204"/>
        <v>0.03</v>
      </c>
      <c r="F216" s="410">
        <f t="shared" si="206"/>
        <v>1.2E-2</v>
      </c>
      <c r="G216" s="358">
        <f t="shared" si="205"/>
        <v>3.9999999999999994E-2</v>
      </c>
      <c r="H216" s="388">
        <f>VLOOKUP($A$205,L135:R150,7,FALSE)</f>
        <v>0.12</v>
      </c>
      <c r="J216" s="315"/>
      <c r="K216" s="315"/>
      <c r="L216" s="315"/>
      <c r="M216" s="315"/>
      <c r="N216" s="320"/>
      <c r="O216" s="320"/>
      <c r="P216" s="320"/>
      <c r="Q216" s="320"/>
      <c r="R216" s="327"/>
      <c r="S216" s="327"/>
      <c r="T216" s="327"/>
    </row>
    <row r="217" spans="1:20" ht="13">
      <c r="A217" s="388">
        <f>VLOOKUP(A205,L152:R167,2)</f>
        <v>900</v>
      </c>
      <c r="B217" s="388" t="str">
        <f>VLOOKUP($A$205,$L$152:$R$167,3,FALSE)</f>
        <v>-</v>
      </c>
      <c r="C217" s="388">
        <f>VLOOKUP($A$205,$L$152:$R$167,4,FALSE)</f>
        <v>0.03</v>
      </c>
      <c r="D217" s="388">
        <f>VLOOKUP($A$205,L152:R167,5,FALSE)</f>
        <v>6.0000000000000001E-3</v>
      </c>
      <c r="E217" s="358">
        <f t="shared" si="204"/>
        <v>0.03</v>
      </c>
      <c r="F217" s="410">
        <f>IFERROR(IF(OR(AND(B217="-",C217="-"),AND(B217="-",D217="-")),G217,0.5*(MAX(B217:D217)-MIN(B217:D217))),0)</f>
        <v>1.2E-2</v>
      </c>
      <c r="G217" s="358">
        <f t="shared" si="205"/>
        <v>3.9999999999999994E-2</v>
      </c>
      <c r="H217" s="388">
        <f>VLOOKUP($A$205,L152:R167,7,FALSE)</f>
        <v>0.12</v>
      </c>
      <c r="J217" s="315"/>
      <c r="K217" s="315"/>
      <c r="L217" s="315"/>
      <c r="M217" s="315"/>
      <c r="N217" s="320"/>
      <c r="O217" s="320"/>
      <c r="P217" s="320"/>
      <c r="Q217" s="320"/>
      <c r="R217" s="327"/>
      <c r="S217" s="327"/>
      <c r="T217" s="327"/>
    </row>
    <row r="218" spans="1:20" ht="13">
      <c r="A218" s="388">
        <f>VLOOKUP(A205,L169:R184,2)</f>
        <v>1200</v>
      </c>
      <c r="B218" s="388" t="str">
        <f>VLOOKUP($A$205,$L$169:$R$184,3,FALSE)</f>
        <v>-</v>
      </c>
      <c r="C218" s="388">
        <f>VLOOKUP($A$205,$L$169:$R$184,4,FALSE)</f>
        <v>0.05</v>
      </c>
      <c r="D218" s="388">
        <f>VLOOKUP($A$205,L169:R184,4,FALSE)</f>
        <v>0.05</v>
      </c>
      <c r="E218" s="358">
        <f t="shared" si="204"/>
        <v>0.05</v>
      </c>
      <c r="F218" s="410">
        <f t="shared" si="206"/>
        <v>0</v>
      </c>
      <c r="G218" s="358">
        <f t="shared" si="205"/>
        <v>3.9999999999999994E-2</v>
      </c>
      <c r="H218" s="388">
        <f>VLOOKUP($A$205,L169:R184,7,FALSE)</f>
        <v>0.12</v>
      </c>
      <c r="J218" s="315"/>
      <c r="K218" s="315"/>
      <c r="L218" s="315"/>
      <c r="M218" s="315"/>
      <c r="N218" s="320"/>
      <c r="O218" s="320"/>
      <c r="P218" s="320"/>
      <c r="Q218" s="320"/>
      <c r="R218" s="327"/>
      <c r="S218" s="327"/>
      <c r="T218" s="327"/>
    </row>
    <row r="219" spans="1:20" ht="13.5" thickBot="1">
      <c r="A219" s="401"/>
      <c r="B219" s="395"/>
      <c r="C219" s="395"/>
      <c r="D219" s="395"/>
      <c r="E219" s="395"/>
      <c r="F219" s="395"/>
      <c r="G219" s="289"/>
      <c r="H219" s="315"/>
      <c r="I219" s="315"/>
      <c r="J219" s="315"/>
      <c r="K219" s="315"/>
      <c r="L219" s="315"/>
      <c r="M219" s="315"/>
      <c r="N219" s="320"/>
      <c r="O219" s="320"/>
      <c r="P219" s="320"/>
      <c r="Q219" s="320"/>
      <c r="R219" s="327"/>
      <c r="S219" s="327"/>
      <c r="T219" s="327"/>
    </row>
    <row r="220" spans="1:20" ht="15">
      <c r="A220" s="1190"/>
      <c r="B220" s="1191"/>
      <c r="C220" s="1192"/>
      <c r="D220" s="1192"/>
      <c r="E220" s="1193"/>
      <c r="F220" s="411"/>
      <c r="G220" s="1194"/>
      <c r="H220" s="1195"/>
      <c r="I220" s="1195"/>
      <c r="J220" s="1195"/>
      <c r="K220" s="1196"/>
      <c r="L220" s="320"/>
      <c r="M220" s="402"/>
      <c r="N220" s="412"/>
      <c r="O220" s="412"/>
      <c r="P220" s="412"/>
      <c r="Q220" s="412"/>
      <c r="S220" s="327"/>
      <c r="T220" s="327"/>
    </row>
    <row r="221" spans="1:20" ht="13">
      <c r="A221" s="413"/>
      <c r="B221" s="414"/>
      <c r="C221" s="415"/>
      <c r="D221" s="415"/>
      <c r="E221" s="416"/>
      <c r="F221" s="320"/>
      <c r="G221" s="413"/>
      <c r="H221" s="415"/>
      <c r="I221" s="415"/>
      <c r="J221" s="415"/>
      <c r="K221" s="416"/>
      <c r="L221" s="320"/>
      <c r="M221" s="402"/>
      <c r="N221" s="412"/>
      <c r="O221" s="412"/>
      <c r="P221" s="412"/>
    </row>
    <row r="222" spans="1:20" ht="13">
      <c r="A222" s="413"/>
      <c r="B222" s="414"/>
      <c r="C222" s="415"/>
      <c r="D222" s="415"/>
      <c r="E222" s="416"/>
      <c r="F222" s="320"/>
      <c r="G222" s="413"/>
      <c r="H222" s="415"/>
      <c r="I222" s="415"/>
      <c r="J222" s="415"/>
      <c r="K222" s="416"/>
      <c r="L222" s="320"/>
      <c r="M222" s="402"/>
      <c r="N222" s="412"/>
      <c r="O222" s="412"/>
      <c r="P222" s="412"/>
    </row>
    <row r="223" spans="1:20" ht="13.5" thickBot="1">
      <c r="A223" s="417"/>
      <c r="B223" s="418"/>
      <c r="C223" s="419"/>
      <c r="D223" s="419"/>
      <c r="E223" s="420"/>
      <c r="F223" s="320"/>
      <c r="G223" s="417"/>
      <c r="H223" s="419"/>
      <c r="I223" s="419"/>
      <c r="J223" s="419"/>
      <c r="K223" s="420"/>
      <c r="L223" s="320"/>
      <c r="M223" s="402"/>
      <c r="N223" s="412"/>
      <c r="O223" s="412"/>
      <c r="P223" s="412"/>
      <c r="Q223" s="412"/>
      <c r="S223" s="327"/>
      <c r="T223" s="327"/>
    </row>
    <row r="224" spans="1:20" ht="13">
      <c r="A224" s="421"/>
      <c r="B224" s="402"/>
      <c r="C224" s="412"/>
      <c r="D224" s="412"/>
      <c r="E224" s="412"/>
      <c r="F224" s="320"/>
      <c r="G224" s="402"/>
      <c r="H224" s="412"/>
      <c r="I224" s="412"/>
      <c r="J224" s="412"/>
      <c r="K224" s="412"/>
      <c r="L224" s="320"/>
      <c r="M224" s="402"/>
      <c r="N224" s="412"/>
      <c r="O224" s="412"/>
      <c r="P224" s="412"/>
      <c r="Q224" s="412"/>
      <c r="S224" s="327"/>
      <c r="T224" s="327"/>
    </row>
    <row r="225" spans="1:27" ht="13.5" thickBot="1">
      <c r="A225" s="411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S225" s="327"/>
      <c r="T225" s="327"/>
    </row>
    <row r="226" spans="1:27" ht="48.75" customHeight="1" thickBot="1">
      <c r="A226" s="422" t="s">
        <v>140</v>
      </c>
      <c r="B226" s="423" t="s">
        <v>232</v>
      </c>
      <c r="C226" s="424" t="s">
        <v>352</v>
      </c>
      <c r="D226" s="423" t="s">
        <v>233</v>
      </c>
      <c r="E226" s="423" t="s">
        <v>30</v>
      </c>
      <c r="F226" s="423" t="s">
        <v>285</v>
      </c>
      <c r="G226" s="423" t="s">
        <v>286</v>
      </c>
      <c r="H226" s="423" t="s">
        <v>27</v>
      </c>
      <c r="I226" s="425" t="s">
        <v>353</v>
      </c>
      <c r="J226" s="424" t="s">
        <v>354</v>
      </c>
      <c r="K226" s="424" t="s">
        <v>287</v>
      </c>
      <c r="L226" s="426" t="s">
        <v>355</v>
      </c>
    </row>
    <row r="227" spans="1:27" ht="13" thickBot="1">
      <c r="A227" s="427">
        <f>ID!D45</f>
        <v>300</v>
      </c>
      <c r="B227" s="428">
        <f>ID!J45</f>
        <v>350</v>
      </c>
      <c r="C227" s="372">
        <f>FORECAST(B227,$E$208:$E$218,$A$208:$A$218)</f>
        <v>5.9009837837837847E-3</v>
      </c>
      <c r="D227" s="429">
        <f>B227+C227</f>
        <v>350.00590098378376</v>
      </c>
      <c r="E227" s="428">
        <f>ID!L45</f>
        <v>0</v>
      </c>
      <c r="F227" s="429">
        <f>A227-D227</f>
        <v>-50.005900983783761</v>
      </c>
      <c r="G227" s="429">
        <f>(F227/A227)*100</f>
        <v>-16.668633661261254</v>
      </c>
      <c r="H227" s="430">
        <f>D227-A227</f>
        <v>50.005900983783761</v>
      </c>
      <c r="I227" s="431">
        <f>(D227-A227)/A227*100</f>
        <v>16.668633661261254</v>
      </c>
      <c r="J227" s="432">
        <f>FORECAST(D227,$H$208:$H$218,$A$208:$A$218)</f>
        <v>0.12000000000000002</v>
      </c>
      <c r="K227" s="432">
        <f>0.5*0.1</f>
        <v>0.05</v>
      </c>
      <c r="L227" s="433">
        <f>FORECAST(D227,$F$208:$F$218,$A$208:$A$218)</f>
        <v>6.0019206894309533E-3</v>
      </c>
    </row>
    <row r="228" spans="1:27">
      <c r="M228" s="289"/>
      <c r="N228" s="289"/>
      <c r="O228" s="289"/>
      <c r="P228" s="289"/>
      <c r="Q228" s="289"/>
    </row>
    <row r="229" spans="1:27" ht="13" thickBot="1"/>
    <row r="230" spans="1:27" ht="15" thickBot="1">
      <c r="A230" s="1593" t="str">
        <f>ID!B59</f>
        <v>Stopwatch, Merek : Casio, Model : HS - 80TW, SN :510Q061R</v>
      </c>
      <c r="B230" s="434"/>
      <c r="C230" s="434"/>
      <c r="D230" s="434"/>
      <c r="E230" s="434"/>
      <c r="F230" s="434"/>
      <c r="G230" s="434"/>
      <c r="H230" s="434"/>
      <c r="I230" s="434"/>
      <c r="J230" s="1197" t="s">
        <v>288</v>
      </c>
      <c r="K230" s="1198"/>
      <c r="L230" s="1199"/>
      <c r="M230" s="435"/>
      <c r="O230" s="449">
        <f>A248</f>
        <v>4</v>
      </c>
      <c r="P230" s="449"/>
      <c r="Q230" s="449"/>
      <c r="R230" s="449"/>
      <c r="S230" s="449"/>
      <c r="T230" s="449"/>
      <c r="U230" s="449"/>
      <c r="V230" s="449"/>
      <c r="W230" s="449"/>
      <c r="X230" s="449"/>
      <c r="Y230" s="449"/>
      <c r="Z230" s="449"/>
      <c r="AA230" s="449"/>
    </row>
    <row r="231" spans="1:27" ht="14">
      <c r="A231" s="436" t="s">
        <v>387</v>
      </c>
      <c r="B231" s="436"/>
      <c r="C231" s="437"/>
      <c r="D231" s="437"/>
      <c r="E231" s="437"/>
      <c r="F231" s="437"/>
      <c r="G231" s="437"/>
      <c r="H231" s="437"/>
      <c r="I231" s="437"/>
      <c r="J231" s="438">
        <f>B4</f>
        <v>2023</v>
      </c>
      <c r="K231" s="438">
        <f>C4</f>
        <v>2022</v>
      </c>
      <c r="L231" s="438">
        <f>D4</f>
        <v>2021</v>
      </c>
      <c r="M231" s="439">
        <v>1</v>
      </c>
      <c r="O231" s="440">
        <v>1</v>
      </c>
      <c r="P231" s="441"/>
      <c r="Q231" s="442" t="s">
        <v>388</v>
      </c>
      <c r="R231" s="443"/>
      <c r="S231" s="443"/>
      <c r="T231" s="443"/>
      <c r="U231" s="443"/>
      <c r="V231" s="443"/>
      <c r="W231" s="443"/>
      <c r="X231" s="443"/>
      <c r="Y231" s="443"/>
      <c r="Z231" s="443"/>
      <c r="AA231" s="444"/>
    </row>
    <row r="232" spans="1:27" ht="14">
      <c r="A232" s="436" t="s">
        <v>389</v>
      </c>
      <c r="B232" s="436"/>
      <c r="C232" s="445"/>
      <c r="D232" s="445"/>
      <c r="E232" s="445"/>
      <c r="F232" s="445"/>
      <c r="G232" s="445"/>
      <c r="H232" s="445"/>
      <c r="I232" s="445"/>
      <c r="J232" s="446">
        <f>I4</f>
        <v>2023</v>
      </c>
      <c r="K232" s="446">
        <f>J4</f>
        <v>2022</v>
      </c>
      <c r="L232" s="446">
        <f>K4</f>
        <v>2021</v>
      </c>
      <c r="M232" s="447">
        <v>2</v>
      </c>
      <c r="O232" s="440">
        <v>2</v>
      </c>
      <c r="P232" s="441"/>
      <c r="Q232" s="442" t="s">
        <v>388</v>
      </c>
      <c r="R232" s="443"/>
      <c r="S232" s="443"/>
      <c r="T232" s="443"/>
      <c r="U232" s="443"/>
      <c r="V232" s="443"/>
      <c r="W232" s="443"/>
      <c r="X232" s="443"/>
      <c r="Y232" s="443"/>
      <c r="Z232" s="443"/>
      <c r="AA232" s="444"/>
    </row>
    <row r="233" spans="1:27" ht="14">
      <c r="A233" s="436" t="s">
        <v>390</v>
      </c>
      <c r="B233" s="436"/>
      <c r="C233" s="448"/>
      <c r="D233" s="448"/>
      <c r="E233" s="448"/>
      <c r="F233" s="448"/>
      <c r="G233" s="448"/>
      <c r="H233" s="448"/>
      <c r="I233" s="448"/>
      <c r="J233" s="446">
        <f>P4</f>
        <v>2023</v>
      </c>
      <c r="K233" s="446">
        <f>Q4</f>
        <v>2022</v>
      </c>
      <c r="L233" s="446">
        <f>R4</f>
        <v>2019</v>
      </c>
      <c r="M233" s="439">
        <v>3</v>
      </c>
      <c r="O233" s="440">
        <v>3</v>
      </c>
      <c r="P233" s="441"/>
      <c r="Q233" s="442" t="s">
        <v>388</v>
      </c>
      <c r="R233" s="443"/>
      <c r="S233" s="443"/>
      <c r="T233" s="443"/>
      <c r="U233" s="443"/>
      <c r="V233" s="443"/>
      <c r="W233" s="443"/>
      <c r="X233" s="443"/>
      <c r="Y233" s="443"/>
      <c r="Z233" s="443"/>
      <c r="AA233" s="444"/>
    </row>
    <row r="234" spans="1:27" ht="14">
      <c r="A234" s="449" t="s">
        <v>391</v>
      </c>
      <c r="B234" s="449"/>
      <c r="C234" s="448"/>
      <c r="D234" s="448"/>
      <c r="E234" s="448"/>
      <c r="F234" s="448"/>
      <c r="G234" s="448"/>
      <c r="H234" s="448"/>
      <c r="I234" s="448"/>
      <c r="J234" s="446">
        <f>B19</f>
        <v>2022</v>
      </c>
      <c r="K234" s="446">
        <f>C19</f>
        <v>2021</v>
      </c>
      <c r="L234" s="446">
        <f>D19</f>
        <v>2019</v>
      </c>
      <c r="M234" s="447">
        <v>4</v>
      </c>
      <c r="O234" s="440">
        <v>4</v>
      </c>
      <c r="P234" s="441"/>
      <c r="Q234" s="442" t="s">
        <v>388</v>
      </c>
      <c r="R234" s="443"/>
      <c r="S234" s="443"/>
      <c r="T234" s="443"/>
      <c r="U234" s="443"/>
      <c r="V234" s="443"/>
      <c r="W234" s="443"/>
      <c r="X234" s="443"/>
      <c r="Y234" s="443"/>
      <c r="Z234" s="443"/>
      <c r="AA234" s="444"/>
    </row>
    <row r="235" spans="1:27" ht="14">
      <c r="A235" s="449" t="s">
        <v>356</v>
      </c>
      <c r="B235" s="449"/>
      <c r="C235" s="448"/>
      <c r="D235" s="448"/>
      <c r="E235" s="448"/>
      <c r="F235" s="448"/>
      <c r="G235" s="448"/>
      <c r="H235" s="448"/>
      <c r="I235" s="448"/>
      <c r="J235" s="446">
        <f>I19</f>
        <v>2023</v>
      </c>
      <c r="K235" s="446">
        <f>J19</f>
        <v>2022</v>
      </c>
      <c r="L235" s="446">
        <f>K19</f>
        <v>2021</v>
      </c>
      <c r="M235" s="439">
        <v>5</v>
      </c>
      <c r="O235" s="440">
        <v>5</v>
      </c>
      <c r="P235" s="441"/>
      <c r="Q235" s="442" t="s">
        <v>388</v>
      </c>
      <c r="R235" s="443"/>
      <c r="S235" s="443"/>
      <c r="T235" s="443"/>
      <c r="U235" s="443"/>
      <c r="V235" s="443"/>
      <c r="W235" s="443"/>
      <c r="X235" s="443"/>
      <c r="Y235" s="443"/>
      <c r="Z235" s="443"/>
      <c r="AA235" s="444"/>
    </row>
    <row r="236" spans="1:27" ht="14">
      <c r="A236" s="449" t="s">
        <v>357</v>
      </c>
      <c r="B236" s="449"/>
      <c r="C236" s="448"/>
      <c r="D236" s="448"/>
      <c r="E236" s="448"/>
      <c r="F236" s="448"/>
      <c r="G236" s="448"/>
      <c r="H236" s="448"/>
      <c r="I236" s="448"/>
      <c r="J236" s="446">
        <f>P19</f>
        <v>2023</v>
      </c>
      <c r="K236" s="446">
        <f>Q19</f>
        <v>2022</v>
      </c>
      <c r="L236" s="446">
        <f>R19</f>
        <v>2021</v>
      </c>
      <c r="M236" s="447">
        <v>6</v>
      </c>
      <c r="O236" s="440">
        <v>6</v>
      </c>
      <c r="P236" s="441"/>
      <c r="Q236" s="442" t="s">
        <v>388</v>
      </c>
      <c r="R236" s="443"/>
      <c r="S236" s="443"/>
      <c r="T236" s="443"/>
      <c r="U236" s="443"/>
      <c r="V236" s="443"/>
      <c r="W236" s="443"/>
      <c r="X236" s="443"/>
      <c r="Y236" s="443"/>
      <c r="Z236" s="443"/>
      <c r="AA236" s="444"/>
    </row>
    <row r="237" spans="1:27" ht="14">
      <c r="A237" s="449" t="s">
        <v>358</v>
      </c>
      <c r="B237" s="449"/>
      <c r="C237" s="448"/>
      <c r="D237" s="448"/>
      <c r="E237" s="448"/>
      <c r="F237" s="448"/>
      <c r="G237" s="448"/>
      <c r="H237" s="448"/>
      <c r="I237" s="448"/>
      <c r="J237" s="446">
        <f>B35</f>
        <v>2023</v>
      </c>
      <c r="K237" s="446">
        <f>C35</f>
        <v>2022</v>
      </c>
      <c r="L237" s="446">
        <f>D35</f>
        <v>2021</v>
      </c>
      <c r="M237" s="439">
        <v>7</v>
      </c>
      <c r="O237" s="440">
        <v>7</v>
      </c>
      <c r="P237" s="441"/>
      <c r="Q237" s="442" t="s">
        <v>388</v>
      </c>
      <c r="R237" s="443"/>
      <c r="S237" s="443"/>
      <c r="T237" s="443"/>
      <c r="U237" s="443"/>
      <c r="V237" s="443"/>
      <c r="W237" s="443"/>
      <c r="X237" s="443"/>
      <c r="Y237" s="443"/>
      <c r="Z237" s="443"/>
      <c r="AA237" s="444"/>
    </row>
    <row r="238" spans="1:27" ht="14">
      <c r="A238" s="449" t="s">
        <v>359</v>
      </c>
      <c r="B238" s="449"/>
      <c r="C238" s="448"/>
      <c r="D238" s="448"/>
      <c r="E238" s="448"/>
      <c r="F238" s="448"/>
      <c r="G238" s="448"/>
      <c r="H238" s="448"/>
      <c r="I238" s="448"/>
      <c r="J238" s="446">
        <f>I35</f>
        <v>2023</v>
      </c>
      <c r="K238" s="446">
        <f>J35</f>
        <v>2022</v>
      </c>
      <c r="L238" s="446">
        <f>K35</f>
        <v>2020</v>
      </c>
      <c r="M238" s="447">
        <v>8</v>
      </c>
      <c r="O238" s="440">
        <v>8</v>
      </c>
      <c r="P238" s="441"/>
      <c r="Q238" s="442" t="s">
        <v>388</v>
      </c>
      <c r="R238" s="443"/>
      <c r="S238" s="443"/>
      <c r="T238" s="443"/>
      <c r="U238" s="443"/>
      <c r="V238" s="443"/>
      <c r="W238" s="443"/>
      <c r="X238" s="443"/>
      <c r="Y238" s="443"/>
      <c r="Z238" s="443"/>
      <c r="AA238" s="444"/>
    </row>
    <row r="239" spans="1:27" ht="14">
      <c r="A239" s="449" t="s">
        <v>360</v>
      </c>
      <c r="B239" s="449"/>
      <c r="C239" s="448"/>
      <c r="D239" s="448"/>
      <c r="E239" s="448"/>
      <c r="F239" s="448"/>
      <c r="G239" s="448"/>
      <c r="H239" s="448"/>
      <c r="I239" s="448"/>
      <c r="J239" s="446">
        <f>P35</f>
        <v>2022</v>
      </c>
      <c r="K239" s="446">
        <f>Q35</f>
        <v>2021</v>
      </c>
      <c r="L239" s="446">
        <f>R35</f>
        <v>2020</v>
      </c>
      <c r="M239" s="439">
        <v>9</v>
      </c>
      <c r="O239" s="440">
        <v>9</v>
      </c>
      <c r="P239" s="441"/>
      <c r="Q239" s="442" t="s">
        <v>388</v>
      </c>
      <c r="R239" s="443"/>
      <c r="S239" s="443"/>
      <c r="T239" s="443"/>
      <c r="U239" s="443"/>
      <c r="V239" s="443"/>
      <c r="W239" s="443"/>
      <c r="X239" s="443"/>
      <c r="Y239" s="443"/>
      <c r="Z239" s="443"/>
      <c r="AA239" s="444"/>
    </row>
    <row r="240" spans="1:27" ht="14">
      <c r="A240" s="449" t="s">
        <v>361</v>
      </c>
      <c r="B240" s="449"/>
      <c r="C240" s="448"/>
      <c r="D240" s="448"/>
      <c r="E240" s="448"/>
      <c r="F240" s="448"/>
      <c r="G240" s="448"/>
      <c r="H240" s="448"/>
      <c r="I240" s="448"/>
      <c r="J240" s="446">
        <f>B50</f>
        <v>2023</v>
      </c>
      <c r="K240" s="446">
        <f>C50</f>
        <v>2022</v>
      </c>
      <c r="L240" s="446">
        <f>D50</f>
        <v>2021</v>
      </c>
      <c r="M240" s="447">
        <v>10</v>
      </c>
      <c r="O240" s="440">
        <v>10</v>
      </c>
      <c r="P240" s="441"/>
      <c r="Q240" s="442" t="s">
        <v>388</v>
      </c>
      <c r="R240" s="443"/>
      <c r="S240" s="443"/>
      <c r="T240" s="443"/>
      <c r="U240" s="443"/>
      <c r="V240" s="443"/>
      <c r="W240" s="443"/>
      <c r="X240" s="443"/>
      <c r="Y240" s="443"/>
      <c r="Z240" s="443"/>
      <c r="AA240" s="444"/>
    </row>
    <row r="241" spans="1:27" ht="14">
      <c r="A241" s="449" t="s">
        <v>362</v>
      </c>
      <c r="B241" s="449"/>
      <c r="C241" s="448"/>
      <c r="D241" s="448"/>
      <c r="E241" s="448"/>
      <c r="F241" s="448"/>
      <c r="G241" s="448"/>
      <c r="H241" s="448"/>
      <c r="I241" s="448"/>
      <c r="J241" s="446">
        <f>I50</f>
        <v>2023</v>
      </c>
      <c r="K241" s="446">
        <f>J50</f>
        <v>2022</v>
      </c>
      <c r="L241" s="446">
        <f>K50</f>
        <v>2021</v>
      </c>
      <c r="M241" s="439">
        <v>11</v>
      </c>
      <c r="O241" s="440">
        <v>11</v>
      </c>
      <c r="P241" s="441"/>
      <c r="Q241" s="442" t="s">
        <v>388</v>
      </c>
      <c r="R241" s="443"/>
      <c r="S241" s="443"/>
      <c r="T241" s="443"/>
      <c r="U241" s="443"/>
      <c r="V241" s="443"/>
      <c r="W241" s="443"/>
      <c r="X241" s="443"/>
      <c r="Y241" s="443"/>
      <c r="Z241" s="443"/>
      <c r="AA241" s="444"/>
    </row>
    <row r="242" spans="1:27" ht="14">
      <c r="A242" s="449" t="s">
        <v>363</v>
      </c>
      <c r="B242" s="449"/>
      <c r="C242" s="448"/>
      <c r="D242" s="448"/>
      <c r="E242" s="448"/>
      <c r="F242" s="448"/>
      <c r="G242" s="448"/>
      <c r="H242" s="448"/>
      <c r="I242" s="448"/>
      <c r="J242" s="446">
        <f>P50</f>
        <v>2023</v>
      </c>
      <c r="K242" s="446">
        <f>Q50</f>
        <v>2022</v>
      </c>
      <c r="L242" s="446">
        <f>R50</f>
        <v>2021</v>
      </c>
      <c r="M242" s="439">
        <v>12</v>
      </c>
      <c r="O242" s="440">
        <v>12</v>
      </c>
      <c r="P242" s="441"/>
      <c r="Q242" s="442" t="s">
        <v>388</v>
      </c>
      <c r="R242" s="443"/>
      <c r="S242" s="443"/>
      <c r="T242" s="443"/>
      <c r="U242" s="443"/>
      <c r="V242" s="443"/>
      <c r="W242" s="443"/>
      <c r="X242" s="443"/>
      <c r="Y242" s="443"/>
      <c r="Z242" s="443"/>
      <c r="AA242" s="444"/>
    </row>
    <row r="243" spans="1:27" ht="14">
      <c r="A243" s="449" t="s">
        <v>364</v>
      </c>
      <c r="B243" s="449"/>
      <c r="C243" s="448"/>
      <c r="D243" s="448"/>
      <c r="E243" s="448"/>
      <c r="F243" s="448"/>
      <c r="G243" s="448"/>
      <c r="H243" s="448"/>
      <c r="I243" s="448"/>
      <c r="J243" s="446">
        <f>B65</f>
        <v>2023</v>
      </c>
      <c r="K243" s="446">
        <f>C65</f>
        <v>2022</v>
      </c>
      <c r="L243" s="446">
        <f>D65</f>
        <v>2021</v>
      </c>
      <c r="M243" s="439">
        <v>13</v>
      </c>
      <c r="O243" s="440">
        <v>13</v>
      </c>
      <c r="P243" s="441"/>
      <c r="Q243" s="442" t="s">
        <v>388</v>
      </c>
      <c r="R243" s="443"/>
      <c r="S243" s="443"/>
      <c r="T243" s="443"/>
      <c r="U243" s="443"/>
      <c r="V243" s="443"/>
      <c r="W243" s="443"/>
      <c r="X243" s="443"/>
      <c r="Y243" s="443"/>
      <c r="Z243" s="443"/>
      <c r="AA243" s="444"/>
    </row>
    <row r="244" spans="1:27" ht="14">
      <c r="A244" s="449" t="s">
        <v>365</v>
      </c>
      <c r="B244" s="449"/>
      <c r="C244" s="448"/>
      <c r="D244" s="448"/>
      <c r="E244" s="448"/>
      <c r="F244" s="448"/>
      <c r="G244" s="448"/>
      <c r="H244" s="448"/>
      <c r="I244" s="448"/>
      <c r="J244" s="446">
        <f>I65</f>
        <v>2023</v>
      </c>
      <c r="K244" s="446">
        <f>J65</f>
        <v>2022</v>
      </c>
      <c r="L244" s="446">
        <f>K65</f>
        <v>2021</v>
      </c>
      <c r="M244" s="439">
        <v>14</v>
      </c>
      <c r="O244" s="440">
        <v>14</v>
      </c>
      <c r="P244" s="441"/>
      <c r="Q244" s="442" t="s">
        <v>388</v>
      </c>
      <c r="R244" s="443"/>
      <c r="S244" s="443"/>
      <c r="T244" s="443"/>
      <c r="U244" s="443"/>
      <c r="V244" s="443"/>
      <c r="W244" s="443"/>
      <c r="X244" s="443"/>
      <c r="Y244" s="443"/>
      <c r="Z244" s="443"/>
      <c r="AA244" s="444"/>
    </row>
    <row r="245" spans="1:27" ht="14">
      <c r="A245" s="449" t="s">
        <v>366</v>
      </c>
      <c r="B245" s="449"/>
      <c r="C245" s="448"/>
      <c r="D245" s="448"/>
      <c r="E245" s="448"/>
      <c r="F245" s="448"/>
      <c r="G245" s="448"/>
      <c r="H245" s="448"/>
      <c r="I245" s="448"/>
      <c r="J245" s="446">
        <f>P65</f>
        <v>2022</v>
      </c>
      <c r="K245" s="446">
        <f>Q65</f>
        <v>2021</v>
      </c>
      <c r="L245" s="446">
        <f>R65</f>
        <v>2020</v>
      </c>
      <c r="M245" s="439">
        <v>15</v>
      </c>
      <c r="O245" s="440">
        <v>15</v>
      </c>
      <c r="P245" s="441"/>
      <c r="Q245" s="442" t="s">
        <v>388</v>
      </c>
      <c r="Z245" s="443"/>
      <c r="AA245" s="444"/>
    </row>
    <row r="246" spans="1:27" ht="14">
      <c r="A246" s="449" t="s">
        <v>367</v>
      </c>
      <c r="B246" s="449"/>
      <c r="C246" s="448"/>
      <c r="D246" s="448"/>
      <c r="E246" s="448"/>
      <c r="F246" s="448"/>
      <c r="G246" s="448"/>
      <c r="H246" s="448"/>
      <c r="I246" s="448"/>
      <c r="J246" s="446">
        <f>B80</f>
        <v>2023</v>
      </c>
      <c r="K246" s="446">
        <f>C80</f>
        <v>2022</v>
      </c>
      <c r="L246" s="446">
        <f>D80</f>
        <v>2021</v>
      </c>
      <c r="M246" s="447">
        <v>16</v>
      </c>
      <c r="O246" s="440">
        <v>16</v>
      </c>
      <c r="P246" s="441"/>
      <c r="Q246" s="442" t="s">
        <v>388</v>
      </c>
      <c r="R246" s="443"/>
      <c r="S246" s="443"/>
      <c r="T246" s="443"/>
      <c r="U246" s="443"/>
      <c r="V246" s="443"/>
      <c r="W246" s="443"/>
      <c r="X246" s="443"/>
      <c r="Y246" s="443"/>
      <c r="Z246" s="450"/>
      <c r="AA246" s="451"/>
    </row>
    <row r="247" spans="1:27" ht="14">
      <c r="A247" s="436" t="s">
        <v>392</v>
      </c>
      <c r="B247" s="449"/>
      <c r="C247" s="452"/>
      <c r="D247" s="452"/>
      <c r="E247" s="452"/>
      <c r="F247" s="452"/>
      <c r="G247" s="452"/>
      <c r="H247" s="452"/>
      <c r="I247" s="452"/>
      <c r="J247" s="453">
        <f>I80</f>
        <v>2018</v>
      </c>
      <c r="K247" s="453">
        <f t="shared" ref="K247:L247" si="207">J80</f>
        <v>2017</v>
      </c>
      <c r="L247" s="453" t="str">
        <f t="shared" si="207"/>
        <v>-</v>
      </c>
      <c r="M247" s="439">
        <v>17</v>
      </c>
      <c r="O247" s="440">
        <v>17</v>
      </c>
      <c r="P247" s="454"/>
      <c r="Q247" s="442" t="s">
        <v>388</v>
      </c>
      <c r="R247" s="450"/>
      <c r="S247" s="450"/>
      <c r="T247" s="450"/>
      <c r="U247" s="450"/>
      <c r="V247" s="450"/>
      <c r="W247" s="450"/>
      <c r="X247" s="450"/>
      <c r="Y247" s="450"/>
      <c r="Z247" s="450"/>
      <c r="AA247" s="451"/>
    </row>
    <row r="248" spans="1:27" ht="14.5" thickBot="1">
      <c r="A248" s="1594">
        <f>VLOOKUP(A230,A231:M247,13,(TRUE))</f>
        <v>4</v>
      </c>
      <c r="B248" s="436"/>
      <c r="C248" s="436"/>
      <c r="D248" s="436"/>
      <c r="E248" s="436"/>
      <c r="F248" s="436"/>
      <c r="G248" s="436"/>
      <c r="H248" s="436"/>
      <c r="I248" s="436"/>
      <c r="J248" s="436"/>
      <c r="K248" s="436"/>
      <c r="L248" s="436"/>
      <c r="M248" s="436"/>
      <c r="O248" s="1200" t="str">
        <f>Q247</f>
        <v>Hasil pengukuran akurasi waktu tertelusur ke Satuan Internasional ( SI ) melalui PT KALIMAN</v>
      </c>
      <c r="P248" s="1201"/>
      <c r="Q248" s="1201"/>
      <c r="R248" s="1201"/>
      <c r="S248" s="1201"/>
      <c r="T248" s="1201"/>
      <c r="U248" s="1201"/>
      <c r="V248" s="1201"/>
      <c r="W248" s="1201"/>
      <c r="X248" s="1201"/>
      <c r="Y248" s="1201"/>
      <c r="Z248" s="1201"/>
      <c r="AA248" s="1202"/>
    </row>
    <row r="249" spans="1:27" ht="14.5">
      <c r="A249" s="315"/>
      <c r="B249" s="315"/>
      <c r="C249" s="455"/>
      <c r="D249" s="320"/>
      <c r="E249" s="320"/>
      <c r="F249" s="320"/>
      <c r="G249" s="320"/>
      <c r="H249" s="289"/>
      <c r="I249" s="289"/>
      <c r="J249" s="289"/>
      <c r="K249" s="289"/>
      <c r="L249" s="289"/>
      <c r="M249" s="315"/>
      <c r="N249" s="289"/>
    </row>
    <row r="250" spans="1:27" ht="14">
      <c r="A250" s="449"/>
      <c r="B250" s="449"/>
    </row>
  </sheetData>
  <mergeCells count="111">
    <mergeCell ref="M206:M207"/>
    <mergeCell ref="A220:E220"/>
    <mergeCell ref="G220:K220"/>
    <mergeCell ref="J230:L230"/>
    <mergeCell ref="O248:AA248"/>
    <mergeCell ref="A169:A184"/>
    <mergeCell ref="K169:K184"/>
    <mergeCell ref="A186:A201"/>
    <mergeCell ref="B205:F205"/>
    <mergeCell ref="J205:M205"/>
    <mergeCell ref="B206:D206"/>
    <mergeCell ref="E206:E207"/>
    <mergeCell ref="F206:G206"/>
    <mergeCell ref="H206:H207"/>
    <mergeCell ref="J206:K206"/>
    <mergeCell ref="A118:A133"/>
    <mergeCell ref="K118:K133"/>
    <mergeCell ref="A135:A150"/>
    <mergeCell ref="K135:K150"/>
    <mergeCell ref="A152:A167"/>
    <mergeCell ref="K152:K167"/>
    <mergeCell ref="N98:P99"/>
    <mergeCell ref="Q98:Q100"/>
    <mergeCell ref="R98:R100"/>
    <mergeCell ref="S98:S100"/>
    <mergeCell ref="A101:A116"/>
    <mergeCell ref="K101:K110"/>
    <mergeCell ref="A95:T95"/>
    <mergeCell ref="A98:A100"/>
    <mergeCell ref="B98:B100"/>
    <mergeCell ref="C98:C99"/>
    <mergeCell ref="D98:F99"/>
    <mergeCell ref="G98:G100"/>
    <mergeCell ref="H98:H100"/>
    <mergeCell ref="K98:K100"/>
    <mergeCell ref="L98:L100"/>
    <mergeCell ref="M98:M99"/>
    <mergeCell ref="A78:D78"/>
    <mergeCell ref="E78:E80"/>
    <mergeCell ref="F78:F80"/>
    <mergeCell ref="H78:K78"/>
    <mergeCell ref="L78:L80"/>
    <mergeCell ref="M78:M80"/>
    <mergeCell ref="B79:D79"/>
    <mergeCell ref="I79:K79"/>
    <mergeCell ref="O63:R63"/>
    <mergeCell ref="S63:S65"/>
    <mergeCell ref="T63:T65"/>
    <mergeCell ref="B64:D64"/>
    <mergeCell ref="I64:K64"/>
    <mergeCell ref="P64:R64"/>
    <mergeCell ref="A63:D63"/>
    <mergeCell ref="E63:E65"/>
    <mergeCell ref="F63:F65"/>
    <mergeCell ref="H63:K63"/>
    <mergeCell ref="L63:L65"/>
    <mergeCell ref="M63:M65"/>
    <mergeCell ref="O48:R48"/>
    <mergeCell ref="S48:S50"/>
    <mergeCell ref="T48:T50"/>
    <mergeCell ref="B49:D49"/>
    <mergeCell ref="I49:K49"/>
    <mergeCell ref="P49:R49"/>
    <mergeCell ref="A47:F47"/>
    <mergeCell ref="H47:M47"/>
    <mergeCell ref="A48:D48"/>
    <mergeCell ref="E48:E50"/>
    <mergeCell ref="F48:F50"/>
    <mergeCell ref="H48:K48"/>
    <mergeCell ref="L48:L50"/>
    <mergeCell ref="M48:M50"/>
    <mergeCell ref="O33:R33"/>
    <mergeCell ref="S33:S35"/>
    <mergeCell ref="T33:T35"/>
    <mergeCell ref="B34:D34"/>
    <mergeCell ref="I34:K34"/>
    <mergeCell ref="P34:R34"/>
    <mergeCell ref="A33:D33"/>
    <mergeCell ref="E33:E35"/>
    <mergeCell ref="F33:F35"/>
    <mergeCell ref="H33:K33"/>
    <mergeCell ref="L33:L35"/>
    <mergeCell ref="M33:M35"/>
    <mergeCell ref="O17:R17"/>
    <mergeCell ref="S17:S19"/>
    <mergeCell ref="T17:T19"/>
    <mergeCell ref="B18:D18"/>
    <mergeCell ref="I18:K18"/>
    <mergeCell ref="P18:R18"/>
    <mergeCell ref="A17:D17"/>
    <mergeCell ref="E17:E19"/>
    <mergeCell ref="F17:F19"/>
    <mergeCell ref="H17:K17"/>
    <mergeCell ref="L17:L19"/>
    <mergeCell ref="M17:M19"/>
    <mergeCell ref="B3:D3"/>
    <mergeCell ref="I3:K3"/>
    <mergeCell ref="P3:R3"/>
    <mergeCell ref="A16:F16"/>
    <mergeCell ref="H16:M16"/>
    <mergeCell ref="O16:T16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</mergeCells>
  <pageMargins left="0.7" right="0.7" top="0.75" bottom="0.75" header="0.3" footer="0.3"/>
  <pageSetup paperSize="9"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F59BF-0AD4-4C9D-B838-8EF9D1C23EDF}">
  <sheetPr>
    <tabColor rgb="FF00B0F0"/>
  </sheetPr>
  <dimension ref="A1:W413"/>
  <sheetViews>
    <sheetView view="pageBreakPreview" topLeftCell="A372" zoomScale="55" zoomScaleNormal="100" zoomScaleSheetLayoutView="55" workbookViewId="0">
      <selection activeCell="S396" sqref="S396"/>
    </sheetView>
  </sheetViews>
  <sheetFormatPr defaultColWidth="8.7265625" defaultRowHeight="12.5"/>
  <cols>
    <col min="6" max="6" width="11.54296875" customWidth="1"/>
  </cols>
  <sheetData>
    <row r="1" spans="1:21" ht="18" thickBot="1">
      <c r="A1" s="1512" t="s">
        <v>214</v>
      </c>
      <c r="B1" s="1513"/>
      <c r="C1" s="1513"/>
      <c r="D1" s="1513"/>
      <c r="E1" s="1513"/>
      <c r="F1" s="1513"/>
      <c r="G1" s="1513"/>
      <c r="H1" s="1513"/>
      <c r="I1" s="1513"/>
      <c r="J1" s="1513"/>
      <c r="K1" s="1513"/>
      <c r="L1" s="1513"/>
      <c r="M1" s="1513"/>
      <c r="N1" s="1513"/>
      <c r="O1" s="1513"/>
      <c r="P1" s="1513"/>
      <c r="Q1" s="1513"/>
      <c r="R1" s="1513"/>
      <c r="S1" s="1513"/>
      <c r="T1" s="1513"/>
      <c r="U1" s="1513"/>
    </row>
    <row r="2" spans="1:21">
      <c r="A2" s="1514">
        <v>1</v>
      </c>
      <c r="B2" s="1517" t="s">
        <v>215</v>
      </c>
      <c r="C2" s="1518"/>
      <c r="D2" s="1518"/>
      <c r="E2" s="1518"/>
      <c r="F2" s="1519"/>
      <c r="G2" s="94"/>
      <c r="H2" s="1517" t="str">
        <f>B2</f>
        <v>KOREKSI KIMO THERMOHYGROMETER 15062873</v>
      </c>
      <c r="I2" s="1518"/>
      <c r="J2" s="1518"/>
      <c r="K2" s="1518"/>
      <c r="L2" s="1519"/>
      <c r="M2" s="94"/>
      <c r="N2" s="1517" t="str">
        <f>H2</f>
        <v>KOREKSI KIMO THERMOHYGROMETER 15062873</v>
      </c>
      <c r="O2" s="1518"/>
      <c r="P2" s="1518"/>
      <c r="Q2" s="1518"/>
      <c r="R2" s="1519"/>
      <c r="T2" s="1520" t="s">
        <v>99</v>
      </c>
      <c r="U2" s="1521"/>
    </row>
    <row r="3" spans="1:21" ht="13">
      <c r="A3" s="1515"/>
      <c r="B3" s="1508" t="s">
        <v>216</v>
      </c>
      <c r="C3" s="1506"/>
      <c r="D3" s="1506" t="s">
        <v>93</v>
      </c>
      <c r="E3" s="1506"/>
      <c r="F3" s="1507" t="s">
        <v>92</v>
      </c>
      <c r="H3" s="1508" t="s">
        <v>217</v>
      </c>
      <c r="I3" s="1506"/>
      <c r="J3" s="1506" t="s">
        <v>93</v>
      </c>
      <c r="K3" s="1506"/>
      <c r="L3" s="1507" t="s">
        <v>92</v>
      </c>
      <c r="N3" s="1508" t="s">
        <v>402</v>
      </c>
      <c r="O3" s="1506"/>
      <c r="P3" s="1506" t="s">
        <v>93</v>
      </c>
      <c r="Q3" s="1506"/>
      <c r="R3" s="1507" t="s">
        <v>92</v>
      </c>
      <c r="T3" s="565" t="s">
        <v>216</v>
      </c>
      <c r="U3" s="566">
        <v>0.6</v>
      </c>
    </row>
    <row r="4" spans="1:21" ht="14.5">
      <c r="A4" s="1515"/>
      <c r="B4" s="1509" t="s">
        <v>218</v>
      </c>
      <c r="C4" s="1510"/>
      <c r="D4" s="567">
        <v>2020</v>
      </c>
      <c r="E4" s="567">
        <v>2017</v>
      </c>
      <c r="F4" s="1507"/>
      <c r="H4" s="1511" t="s">
        <v>94</v>
      </c>
      <c r="I4" s="1510"/>
      <c r="J4" s="568">
        <f>D4</f>
        <v>2020</v>
      </c>
      <c r="K4" s="568">
        <f>E4</f>
        <v>2017</v>
      </c>
      <c r="L4" s="1507"/>
      <c r="N4" s="1511" t="s">
        <v>403</v>
      </c>
      <c r="O4" s="1510"/>
      <c r="P4" s="568">
        <f>J4</f>
        <v>2020</v>
      </c>
      <c r="Q4" s="568">
        <f>K4</f>
        <v>2017</v>
      </c>
      <c r="R4" s="1507"/>
      <c r="T4" s="565" t="s">
        <v>94</v>
      </c>
      <c r="U4" s="566">
        <v>3.1</v>
      </c>
    </row>
    <row r="5" spans="1:21" ht="13.5" thickBot="1">
      <c r="A5" s="1515"/>
      <c r="B5" s="120">
        <v>1</v>
      </c>
      <c r="C5" s="569">
        <v>15</v>
      </c>
      <c r="D5" s="570">
        <v>-0.5</v>
      </c>
      <c r="E5" s="570">
        <v>0.3</v>
      </c>
      <c r="F5" s="571">
        <f t="shared" ref="F5:F11" si="0">0.5*(MAX(D5:E5)-MIN(D5:E5))</f>
        <v>0.4</v>
      </c>
      <c r="H5" s="120">
        <v>1</v>
      </c>
      <c r="I5" s="569">
        <v>35</v>
      </c>
      <c r="J5" s="570">
        <v>-6</v>
      </c>
      <c r="K5" s="570">
        <v>-9.4</v>
      </c>
      <c r="L5" s="571">
        <f t="shared" ref="L5:L11" si="1">0.5*(MAX(J5:K5)-MIN(J5:K5))</f>
        <v>1.7000000000000002</v>
      </c>
      <c r="N5" s="120">
        <v>1</v>
      </c>
      <c r="O5" s="572">
        <v>750</v>
      </c>
      <c r="P5" s="573" t="s">
        <v>66</v>
      </c>
      <c r="Q5" s="573" t="s">
        <v>66</v>
      </c>
      <c r="R5" s="571">
        <f t="shared" ref="R5:R11" si="2">0.5*(MAX(P5:Q5)-MIN(P5:Q5))</f>
        <v>0</v>
      </c>
      <c r="T5" s="574" t="s">
        <v>403</v>
      </c>
      <c r="U5" s="575">
        <v>0</v>
      </c>
    </row>
    <row r="6" spans="1:21" ht="13">
      <c r="A6" s="1515"/>
      <c r="B6" s="120">
        <v>2</v>
      </c>
      <c r="C6" s="569">
        <v>20</v>
      </c>
      <c r="D6" s="570">
        <v>-0.2</v>
      </c>
      <c r="E6" s="570">
        <v>0.2</v>
      </c>
      <c r="F6" s="571">
        <f>0.5*(MAX(D6:E6)-MIN(D6:E6))</f>
        <v>0.2</v>
      </c>
      <c r="H6" s="120">
        <v>2</v>
      </c>
      <c r="I6" s="569">
        <v>40</v>
      </c>
      <c r="J6" s="570">
        <v>-6</v>
      </c>
      <c r="K6" s="570">
        <v>-8.6</v>
      </c>
      <c r="L6" s="571">
        <f t="shared" si="1"/>
        <v>1.2999999999999998</v>
      </c>
      <c r="N6" s="120">
        <v>2</v>
      </c>
      <c r="O6" s="576">
        <v>800</v>
      </c>
      <c r="P6" s="577" t="s">
        <v>66</v>
      </c>
      <c r="Q6" s="577" t="s">
        <v>66</v>
      </c>
      <c r="R6" s="571">
        <f t="shared" si="2"/>
        <v>0</v>
      </c>
    </row>
    <row r="7" spans="1:21" ht="13">
      <c r="A7" s="1515"/>
      <c r="B7" s="120">
        <v>3</v>
      </c>
      <c r="C7" s="569">
        <v>25</v>
      </c>
      <c r="D7" s="570">
        <v>9.9999999999999995E-7</v>
      </c>
      <c r="E7" s="570">
        <v>0.1</v>
      </c>
      <c r="F7" s="571">
        <f t="shared" si="0"/>
        <v>4.9999500000000002E-2</v>
      </c>
      <c r="H7" s="120">
        <v>3</v>
      </c>
      <c r="I7" s="569">
        <v>50</v>
      </c>
      <c r="J7" s="570">
        <v>-5.8</v>
      </c>
      <c r="K7" s="570">
        <v>-7.2</v>
      </c>
      <c r="L7" s="571">
        <f t="shared" si="1"/>
        <v>0.70000000000000018</v>
      </c>
      <c r="N7" s="120">
        <v>3</v>
      </c>
      <c r="O7" s="576">
        <v>850</v>
      </c>
      <c r="P7" s="577" t="s">
        <v>66</v>
      </c>
      <c r="Q7" s="577" t="s">
        <v>66</v>
      </c>
      <c r="R7" s="571">
        <f t="shared" si="2"/>
        <v>0</v>
      </c>
    </row>
    <row r="8" spans="1:21" ht="13">
      <c r="A8" s="1515"/>
      <c r="B8" s="120">
        <v>4</v>
      </c>
      <c r="C8" s="578">
        <v>30</v>
      </c>
      <c r="D8" s="570">
        <v>9.9999999999999995E-7</v>
      </c>
      <c r="E8" s="579">
        <v>-0.2</v>
      </c>
      <c r="F8" s="571">
        <f t="shared" si="0"/>
        <v>0.10000050000000001</v>
      </c>
      <c r="H8" s="120">
        <v>4</v>
      </c>
      <c r="I8" s="578">
        <v>60</v>
      </c>
      <c r="J8" s="579">
        <v>-5.3</v>
      </c>
      <c r="K8" s="579">
        <v>-5.2</v>
      </c>
      <c r="L8" s="571">
        <f t="shared" si="1"/>
        <v>4.9999999999999822E-2</v>
      </c>
      <c r="N8" s="120">
        <v>4</v>
      </c>
      <c r="O8" s="580">
        <v>900</v>
      </c>
      <c r="P8" s="579" t="s">
        <v>66</v>
      </c>
      <c r="Q8" s="581" t="s">
        <v>66</v>
      </c>
      <c r="R8" s="571">
        <f t="shared" si="2"/>
        <v>0</v>
      </c>
    </row>
    <row r="9" spans="1:21" ht="13">
      <c r="A9" s="1515"/>
      <c r="B9" s="120">
        <v>5</v>
      </c>
      <c r="C9" s="578">
        <v>35</v>
      </c>
      <c r="D9" s="579">
        <v>-0.1</v>
      </c>
      <c r="E9" s="579">
        <v>-0.5</v>
      </c>
      <c r="F9" s="571">
        <f t="shared" si="0"/>
        <v>0.2</v>
      </c>
      <c r="H9" s="120">
        <v>5</v>
      </c>
      <c r="I9" s="578">
        <v>70</v>
      </c>
      <c r="J9" s="579">
        <v>-4.4000000000000004</v>
      </c>
      <c r="K9" s="579">
        <v>-2.6</v>
      </c>
      <c r="L9" s="571">
        <f t="shared" si="1"/>
        <v>0.90000000000000013</v>
      </c>
      <c r="N9" s="120">
        <v>5</v>
      </c>
      <c r="O9" s="580">
        <v>1000</v>
      </c>
      <c r="P9" s="579" t="s">
        <v>66</v>
      </c>
      <c r="Q9" s="581" t="s">
        <v>66</v>
      </c>
      <c r="R9" s="571">
        <f t="shared" si="2"/>
        <v>0</v>
      </c>
    </row>
    <row r="10" spans="1:21" ht="13">
      <c r="A10" s="1515"/>
      <c r="B10" s="120">
        <v>6</v>
      </c>
      <c r="C10" s="578">
        <v>37</v>
      </c>
      <c r="D10" s="579">
        <v>-0.2</v>
      </c>
      <c r="E10" s="579">
        <v>-0.6</v>
      </c>
      <c r="F10" s="571">
        <f t="shared" si="0"/>
        <v>0.19999999999999998</v>
      </c>
      <c r="H10" s="120">
        <v>6</v>
      </c>
      <c r="I10" s="578">
        <v>80</v>
      </c>
      <c r="J10" s="579">
        <v>-3.2</v>
      </c>
      <c r="K10" s="579">
        <v>0.7</v>
      </c>
      <c r="L10" s="571">
        <f t="shared" si="1"/>
        <v>1.9500000000000002</v>
      </c>
      <c r="N10" s="120">
        <v>6</v>
      </c>
      <c r="O10" s="580">
        <v>1005</v>
      </c>
      <c r="P10" s="579" t="s">
        <v>66</v>
      </c>
      <c r="Q10" s="581" t="s">
        <v>66</v>
      </c>
      <c r="R10" s="571">
        <f t="shared" si="2"/>
        <v>0</v>
      </c>
    </row>
    <row r="11" spans="1:21" ht="13.5" thickBot="1">
      <c r="A11" s="1516"/>
      <c r="B11" s="582">
        <v>7</v>
      </c>
      <c r="C11" s="583">
        <v>40</v>
      </c>
      <c r="D11" s="584">
        <v>-0.3</v>
      </c>
      <c r="E11" s="584">
        <v>-0.8</v>
      </c>
      <c r="F11" s="585">
        <f t="shared" si="0"/>
        <v>0.25</v>
      </c>
      <c r="G11" s="71"/>
      <c r="H11" s="582">
        <v>7</v>
      </c>
      <c r="I11" s="583">
        <v>90</v>
      </c>
      <c r="J11" s="584">
        <v>-1.6</v>
      </c>
      <c r="K11" s="584">
        <v>4.5</v>
      </c>
      <c r="L11" s="585">
        <f t="shared" si="1"/>
        <v>3.05</v>
      </c>
      <c r="M11" s="71"/>
      <c r="N11" s="582">
        <v>7</v>
      </c>
      <c r="O11" s="586">
        <v>1020</v>
      </c>
      <c r="P11" s="584" t="s">
        <v>66</v>
      </c>
      <c r="Q11" s="587" t="s">
        <v>66</v>
      </c>
      <c r="R11" s="585">
        <f t="shared" si="2"/>
        <v>0</v>
      </c>
    </row>
    <row r="12" spans="1:21" ht="13.5" thickBot="1">
      <c r="A12" s="33"/>
      <c r="B12" s="33"/>
      <c r="O12" s="588"/>
      <c r="P12" s="589"/>
    </row>
    <row r="13" spans="1:21">
      <c r="A13" s="1514">
        <v>2</v>
      </c>
      <c r="B13" s="1517" t="s">
        <v>219</v>
      </c>
      <c r="C13" s="1518"/>
      <c r="D13" s="1518"/>
      <c r="E13" s="1518"/>
      <c r="F13" s="1519"/>
      <c r="G13" s="94"/>
      <c r="H13" s="1517" t="str">
        <f>B13</f>
        <v>KOREKSI KIMO THERMOHYGROMETER 15062874</v>
      </c>
      <c r="I13" s="1518"/>
      <c r="J13" s="1518"/>
      <c r="K13" s="1518"/>
      <c r="L13" s="1519"/>
      <c r="M13" s="94"/>
      <c r="N13" s="1517" t="str">
        <f>H13</f>
        <v>KOREKSI KIMO THERMOHYGROMETER 15062874</v>
      </c>
      <c r="O13" s="1518"/>
      <c r="P13" s="1518"/>
      <c r="Q13" s="1518"/>
      <c r="R13" s="1519"/>
      <c r="T13" s="1520" t="s">
        <v>99</v>
      </c>
      <c r="U13" s="1521"/>
    </row>
    <row r="14" spans="1:21" ht="13">
      <c r="A14" s="1515"/>
      <c r="B14" s="1508" t="s">
        <v>216</v>
      </c>
      <c r="C14" s="1506"/>
      <c r="D14" s="1506" t="s">
        <v>93</v>
      </c>
      <c r="E14" s="1506"/>
      <c r="F14" s="1507" t="s">
        <v>92</v>
      </c>
      <c r="H14" s="1508" t="s">
        <v>217</v>
      </c>
      <c r="I14" s="1506"/>
      <c r="J14" s="1506" t="s">
        <v>93</v>
      </c>
      <c r="K14" s="1506"/>
      <c r="L14" s="1507" t="s">
        <v>92</v>
      </c>
      <c r="N14" s="1508" t="s">
        <v>402</v>
      </c>
      <c r="O14" s="1506"/>
      <c r="P14" s="1506" t="s">
        <v>93</v>
      </c>
      <c r="Q14" s="1506"/>
      <c r="R14" s="1507" t="s">
        <v>92</v>
      </c>
      <c r="T14" s="565" t="s">
        <v>216</v>
      </c>
      <c r="U14" s="590">
        <v>0.8</v>
      </c>
    </row>
    <row r="15" spans="1:21" ht="14.5">
      <c r="A15" s="1515"/>
      <c r="B15" s="1509" t="s">
        <v>218</v>
      </c>
      <c r="C15" s="1510"/>
      <c r="D15" s="567">
        <v>2021</v>
      </c>
      <c r="E15" s="567">
        <v>2018</v>
      </c>
      <c r="F15" s="1507"/>
      <c r="H15" s="1511" t="s">
        <v>94</v>
      </c>
      <c r="I15" s="1510"/>
      <c r="J15" s="568">
        <f>D15</f>
        <v>2021</v>
      </c>
      <c r="K15" s="568">
        <f>E15</f>
        <v>2018</v>
      </c>
      <c r="L15" s="1507"/>
      <c r="N15" s="1511" t="s">
        <v>403</v>
      </c>
      <c r="O15" s="1510"/>
      <c r="P15" s="568">
        <f>J15</f>
        <v>2021</v>
      </c>
      <c r="Q15" s="568">
        <f>K15</f>
        <v>2018</v>
      </c>
      <c r="R15" s="1507"/>
      <c r="T15" s="565" t="s">
        <v>94</v>
      </c>
      <c r="U15" s="590">
        <v>2.2000000000000002</v>
      </c>
    </row>
    <row r="16" spans="1:21" ht="13.5" thickBot="1">
      <c r="A16" s="1515"/>
      <c r="B16" s="120">
        <v>1</v>
      </c>
      <c r="C16" s="569">
        <v>15</v>
      </c>
      <c r="D16" s="570">
        <v>0.4</v>
      </c>
      <c r="E16" s="570">
        <v>9.9999999999999995E-7</v>
      </c>
      <c r="F16" s="571">
        <f t="shared" ref="F16:F22" si="3">0.5*(MAX(D16:E16)-MIN(D16:E16))</f>
        <v>0.19999950000000002</v>
      </c>
      <c r="H16" s="120">
        <v>1</v>
      </c>
      <c r="I16" s="569">
        <v>35</v>
      </c>
      <c r="J16" s="570">
        <v>-6.9</v>
      </c>
      <c r="K16" s="570">
        <v>-1.6</v>
      </c>
      <c r="L16" s="571">
        <f t="shared" ref="L16:L22" si="4">0.5*(MAX(J16:K16)-MIN(J16:K16))</f>
        <v>2.6500000000000004</v>
      </c>
      <c r="N16" s="120">
        <v>1</v>
      </c>
      <c r="O16" s="572">
        <v>750</v>
      </c>
      <c r="P16" s="573" t="s">
        <v>66</v>
      </c>
      <c r="Q16" s="573" t="s">
        <v>66</v>
      </c>
      <c r="R16" s="571">
        <f t="shared" ref="R16:R22" si="5">0.5*(MAX(P16:Q16)-MIN(P16:Q16))</f>
        <v>0</v>
      </c>
      <c r="T16" s="574" t="s">
        <v>403</v>
      </c>
      <c r="U16" s="575">
        <v>0</v>
      </c>
    </row>
    <row r="17" spans="1:21" ht="13">
      <c r="A17" s="1515"/>
      <c r="B17" s="120">
        <v>2</v>
      </c>
      <c r="C17" s="569">
        <v>20</v>
      </c>
      <c r="D17" s="570">
        <v>0.7</v>
      </c>
      <c r="E17" s="570">
        <v>-0.1</v>
      </c>
      <c r="F17" s="571">
        <f t="shared" si="3"/>
        <v>0.39999999999999997</v>
      </c>
      <c r="H17" s="120">
        <v>2</v>
      </c>
      <c r="I17" s="569">
        <v>40</v>
      </c>
      <c r="J17" s="570">
        <v>-6.2</v>
      </c>
      <c r="K17" s="570">
        <v>-1.6</v>
      </c>
      <c r="L17" s="571">
        <f t="shared" si="4"/>
        <v>2.2999999999999998</v>
      </c>
      <c r="N17" s="120">
        <v>2</v>
      </c>
      <c r="O17" s="576">
        <v>800</v>
      </c>
      <c r="P17" s="577" t="s">
        <v>66</v>
      </c>
      <c r="Q17" s="577" t="s">
        <v>66</v>
      </c>
      <c r="R17" s="571">
        <f t="shared" si="5"/>
        <v>0</v>
      </c>
    </row>
    <row r="18" spans="1:21" ht="13">
      <c r="A18" s="1515"/>
      <c r="B18" s="120">
        <v>3</v>
      </c>
      <c r="C18" s="569">
        <v>25</v>
      </c>
      <c r="D18" s="570">
        <v>0.5</v>
      </c>
      <c r="E18" s="570">
        <v>-0.2</v>
      </c>
      <c r="F18" s="571">
        <f t="shared" si="3"/>
        <v>0.35</v>
      </c>
      <c r="H18" s="120">
        <v>3</v>
      </c>
      <c r="I18" s="569">
        <v>50</v>
      </c>
      <c r="J18" s="570">
        <v>-5.3</v>
      </c>
      <c r="K18" s="570">
        <v>-1.5</v>
      </c>
      <c r="L18" s="571">
        <f t="shared" si="4"/>
        <v>1.9</v>
      </c>
      <c r="N18" s="120">
        <v>3</v>
      </c>
      <c r="O18" s="576">
        <v>850</v>
      </c>
      <c r="P18" s="577" t="s">
        <v>66</v>
      </c>
      <c r="Q18" s="577" t="s">
        <v>66</v>
      </c>
      <c r="R18" s="571">
        <f t="shared" si="5"/>
        <v>0</v>
      </c>
    </row>
    <row r="19" spans="1:21" ht="13">
      <c r="A19" s="1515"/>
      <c r="B19" s="120">
        <v>4</v>
      </c>
      <c r="C19" s="578">
        <v>30</v>
      </c>
      <c r="D19" s="581">
        <v>0.2</v>
      </c>
      <c r="E19" s="581">
        <v>-0.3</v>
      </c>
      <c r="F19" s="571">
        <f t="shared" si="3"/>
        <v>0.25</v>
      </c>
      <c r="H19" s="120">
        <v>4</v>
      </c>
      <c r="I19" s="578">
        <v>60</v>
      </c>
      <c r="J19" s="581">
        <v>-4</v>
      </c>
      <c r="K19" s="581">
        <v>-1.3</v>
      </c>
      <c r="L19" s="571">
        <f t="shared" si="4"/>
        <v>1.35</v>
      </c>
      <c r="N19" s="120">
        <v>4</v>
      </c>
      <c r="O19" s="580">
        <v>900</v>
      </c>
      <c r="P19" s="579" t="s">
        <v>66</v>
      </c>
      <c r="Q19" s="581" t="s">
        <v>66</v>
      </c>
      <c r="R19" s="571">
        <f t="shared" si="5"/>
        <v>0</v>
      </c>
    </row>
    <row r="20" spans="1:21" ht="13">
      <c r="A20" s="1515"/>
      <c r="B20" s="120">
        <v>5</v>
      </c>
      <c r="C20" s="578">
        <v>35</v>
      </c>
      <c r="D20" s="581">
        <v>-0.1</v>
      </c>
      <c r="E20" s="581">
        <v>-0.3</v>
      </c>
      <c r="F20" s="571">
        <f t="shared" si="3"/>
        <v>9.9999999999999992E-2</v>
      </c>
      <c r="H20" s="120">
        <v>5</v>
      </c>
      <c r="I20" s="578">
        <v>70</v>
      </c>
      <c r="J20" s="581">
        <v>-2.4</v>
      </c>
      <c r="K20" s="581">
        <v>-1.1000000000000001</v>
      </c>
      <c r="L20" s="571">
        <f t="shared" si="4"/>
        <v>0.64999999999999991</v>
      </c>
      <c r="N20" s="120">
        <v>5</v>
      </c>
      <c r="O20" s="580">
        <v>1000</v>
      </c>
      <c r="P20" s="579" t="s">
        <v>66</v>
      </c>
      <c r="Q20" s="581" t="s">
        <v>66</v>
      </c>
      <c r="R20" s="571">
        <f t="shared" si="5"/>
        <v>0</v>
      </c>
    </row>
    <row r="21" spans="1:21" ht="13">
      <c r="A21" s="1515"/>
      <c r="B21" s="120">
        <v>6</v>
      </c>
      <c r="C21" s="578">
        <v>37</v>
      </c>
      <c r="D21" s="581">
        <v>-0.2</v>
      </c>
      <c r="E21" s="581">
        <v>-0.3</v>
      </c>
      <c r="F21" s="571">
        <f t="shared" si="3"/>
        <v>4.9999999999999989E-2</v>
      </c>
      <c r="H21" s="120">
        <v>6</v>
      </c>
      <c r="I21" s="578">
        <v>80</v>
      </c>
      <c r="J21" s="581">
        <v>-0.5</v>
      </c>
      <c r="K21" s="581">
        <v>-0.7</v>
      </c>
      <c r="L21" s="571">
        <f t="shared" si="4"/>
        <v>9.9999999999999978E-2</v>
      </c>
      <c r="N21" s="120">
        <v>6</v>
      </c>
      <c r="O21" s="580">
        <v>1005</v>
      </c>
      <c r="P21" s="579" t="s">
        <v>66</v>
      </c>
      <c r="Q21" s="581" t="s">
        <v>66</v>
      </c>
      <c r="R21" s="571">
        <f t="shared" si="5"/>
        <v>0</v>
      </c>
    </row>
    <row r="22" spans="1:21" ht="13.5" thickBot="1">
      <c r="A22" s="1516"/>
      <c r="B22" s="582">
        <v>7</v>
      </c>
      <c r="C22" s="583">
        <v>40</v>
      </c>
      <c r="D22" s="587">
        <v>-0.1</v>
      </c>
      <c r="E22" s="587">
        <v>-0.3</v>
      </c>
      <c r="F22" s="585">
        <f t="shared" si="3"/>
        <v>9.9999999999999992E-2</v>
      </c>
      <c r="G22" s="71"/>
      <c r="H22" s="582">
        <v>7</v>
      </c>
      <c r="I22" s="583">
        <v>90</v>
      </c>
      <c r="J22" s="587">
        <v>1.7</v>
      </c>
      <c r="K22" s="587">
        <v>-0.3</v>
      </c>
      <c r="L22" s="585">
        <f t="shared" si="4"/>
        <v>1</v>
      </c>
      <c r="M22" s="71"/>
      <c r="N22" s="582">
        <v>7</v>
      </c>
      <c r="O22" s="586">
        <v>1020</v>
      </c>
      <c r="P22" s="584" t="s">
        <v>66</v>
      </c>
      <c r="Q22" s="587" t="s">
        <v>66</v>
      </c>
      <c r="R22" s="585">
        <f t="shared" si="5"/>
        <v>0</v>
      </c>
    </row>
    <row r="23" spans="1:21" ht="13.5" thickBot="1">
      <c r="A23" s="33"/>
      <c r="B23" s="33"/>
      <c r="O23" s="588"/>
      <c r="P23" s="589"/>
    </row>
    <row r="24" spans="1:21">
      <c r="A24" s="1514">
        <v>3</v>
      </c>
      <c r="B24" s="1517" t="s">
        <v>220</v>
      </c>
      <c r="C24" s="1518"/>
      <c r="D24" s="1518"/>
      <c r="E24" s="1518"/>
      <c r="F24" s="1519"/>
      <c r="G24" s="94"/>
      <c r="H24" s="1517" t="str">
        <f>B24</f>
        <v>KOREKSI KIMO THERMOHYGROMETER 14082463</v>
      </c>
      <c r="I24" s="1518"/>
      <c r="J24" s="1518"/>
      <c r="K24" s="1518"/>
      <c r="L24" s="1519"/>
      <c r="M24" s="94"/>
      <c r="N24" s="1517" t="str">
        <f>H24</f>
        <v>KOREKSI KIMO THERMOHYGROMETER 14082463</v>
      </c>
      <c r="O24" s="1518"/>
      <c r="P24" s="1518"/>
      <c r="Q24" s="1518"/>
      <c r="R24" s="1519"/>
      <c r="T24" s="1520" t="s">
        <v>99</v>
      </c>
      <c r="U24" s="1521"/>
    </row>
    <row r="25" spans="1:21" ht="13">
      <c r="A25" s="1515"/>
      <c r="B25" s="1508" t="s">
        <v>216</v>
      </c>
      <c r="C25" s="1506"/>
      <c r="D25" s="1506" t="s">
        <v>93</v>
      </c>
      <c r="E25" s="1506"/>
      <c r="F25" s="1507" t="s">
        <v>92</v>
      </c>
      <c r="H25" s="1508" t="s">
        <v>217</v>
      </c>
      <c r="I25" s="1506"/>
      <c r="J25" s="1506" t="s">
        <v>93</v>
      </c>
      <c r="K25" s="1506"/>
      <c r="L25" s="1507" t="s">
        <v>92</v>
      </c>
      <c r="N25" s="1508" t="s">
        <v>402</v>
      </c>
      <c r="O25" s="1506"/>
      <c r="P25" s="1506" t="s">
        <v>93</v>
      </c>
      <c r="Q25" s="1506"/>
      <c r="R25" s="1507" t="s">
        <v>92</v>
      </c>
      <c r="T25" s="565" t="s">
        <v>216</v>
      </c>
      <c r="U25" s="590">
        <v>0.5</v>
      </c>
    </row>
    <row r="26" spans="1:21" ht="14.5">
      <c r="A26" s="1515"/>
      <c r="B26" s="1509" t="s">
        <v>218</v>
      </c>
      <c r="C26" s="1510"/>
      <c r="D26" s="567">
        <v>2021</v>
      </c>
      <c r="E26" s="567">
        <v>2018</v>
      </c>
      <c r="F26" s="1507"/>
      <c r="H26" s="1511" t="s">
        <v>94</v>
      </c>
      <c r="I26" s="1510"/>
      <c r="J26" s="568">
        <f>D26</f>
        <v>2021</v>
      </c>
      <c r="K26" s="568">
        <f>E26</f>
        <v>2018</v>
      </c>
      <c r="L26" s="1507"/>
      <c r="N26" s="1511" t="s">
        <v>403</v>
      </c>
      <c r="O26" s="1510"/>
      <c r="P26" s="568">
        <f>J26</f>
        <v>2021</v>
      </c>
      <c r="Q26" s="568">
        <f>K26</f>
        <v>2018</v>
      </c>
      <c r="R26" s="1507"/>
      <c r="T26" s="565" t="s">
        <v>94</v>
      </c>
      <c r="U26" s="590">
        <v>3.1</v>
      </c>
    </row>
    <row r="27" spans="1:21" ht="13.5" thickBot="1">
      <c r="A27" s="1515"/>
      <c r="B27" s="120">
        <v>1</v>
      </c>
      <c r="C27" s="569">
        <v>15</v>
      </c>
      <c r="D27" s="570">
        <v>0.4</v>
      </c>
      <c r="E27" s="570">
        <v>9.9999999999999995E-7</v>
      </c>
      <c r="F27" s="571">
        <f t="shared" ref="F27:F33" si="6">0.5*(MAX(D27:E27)-MIN(D27:E27))</f>
        <v>0.19999950000000002</v>
      </c>
      <c r="H27" s="120">
        <v>1</v>
      </c>
      <c r="I27" s="569">
        <v>30</v>
      </c>
      <c r="J27" s="570">
        <v>-7.3</v>
      </c>
      <c r="K27" s="570">
        <v>-5.7</v>
      </c>
      <c r="L27" s="571">
        <f t="shared" ref="L27:L33" si="7">0.5*(MAX(J27:K27)-MIN(J27:K27))</f>
        <v>0.79999999999999982</v>
      </c>
      <c r="N27" s="120">
        <v>1</v>
      </c>
      <c r="O27" s="572">
        <v>750</v>
      </c>
      <c r="P27" s="573" t="s">
        <v>66</v>
      </c>
      <c r="Q27" s="573" t="s">
        <v>66</v>
      </c>
      <c r="R27" s="571">
        <f t="shared" ref="R27:R33" si="8">0.5*(MAX(P27:Q27)-MIN(P27:Q27))</f>
        <v>0</v>
      </c>
      <c r="T27" s="574" t="s">
        <v>403</v>
      </c>
      <c r="U27" s="575">
        <v>0</v>
      </c>
    </row>
    <row r="28" spans="1:21" ht="13">
      <c r="A28" s="1515"/>
      <c r="B28" s="120">
        <v>2</v>
      </c>
      <c r="C28" s="569">
        <v>20</v>
      </c>
      <c r="D28" s="570">
        <v>1</v>
      </c>
      <c r="E28" s="570">
        <v>9.9999999999999995E-7</v>
      </c>
      <c r="F28" s="571">
        <f t="shared" si="6"/>
        <v>0.49999949999999999</v>
      </c>
      <c r="H28" s="120">
        <v>2</v>
      </c>
      <c r="I28" s="569">
        <v>40</v>
      </c>
      <c r="J28" s="570">
        <v>-5.9</v>
      </c>
      <c r="K28" s="570">
        <v>-5.3</v>
      </c>
      <c r="L28" s="571">
        <f t="shared" si="7"/>
        <v>0.30000000000000027</v>
      </c>
      <c r="N28" s="120">
        <v>2</v>
      </c>
      <c r="O28" s="576">
        <v>800</v>
      </c>
      <c r="P28" s="577" t="s">
        <v>66</v>
      </c>
      <c r="Q28" s="577" t="s">
        <v>66</v>
      </c>
      <c r="R28" s="571">
        <f t="shared" si="8"/>
        <v>0</v>
      </c>
    </row>
    <row r="29" spans="1:21" ht="13">
      <c r="A29" s="1515"/>
      <c r="B29" s="120">
        <v>3</v>
      </c>
      <c r="C29" s="569">
        <v>25</v>
      </c>
      <c r="D29" s="570">
        <v>0.7</v>
      </c>
      <c r="E29" s="570">
        <v>-0.1</v>
      </c>
      <c r="F29" s="571">
        <f t="shared" si="6"/>
        <v>0.39999999999999997</v>
      </c>
      <c r="H29" s="120">
        <v>3</v>
      </c>
      <c r="I29" s="569">
        <v>50</v>
      </c>
      <c r="J29" s="570">
        <v>-4.5</v>
      </c>
      <c r="K29" s="570">
        <v>-4.9000000000000004</v>
      </c>
      <c r="L29" s="571">
        <f t="shared" si="7"/>
        <v>0.20000000000000018</v>
      </c>
      <c r="N29" s="120">
        <v>3</v>
      </c>
      <c r="O29" s="576">
        <v>850</v>
      </c>
      <c r="P29" s="577" t="s">
        <v>66</v>
      </c>
      <c r="Q29" s="577" t="s">
        <v>66</v>
      </c>
      <c r="R29" s="571">
        <f t="shared" si="8"/>
        <v>0</v>
      </c>
    </row>
    <row r="30" spans="1:21" ht="13">
      <c r="A30" s="1515"/>
      <c r="B30" s="120">
        <v>4</v>
      </c>
      <c r="C30" s="578">
        <v>30</v>
      </c>
      <c r="D30" s="570">
        <v>9.9999999999999995E-7</v>
      </c>
      <c r="E30" s="581">
        <v>-0.3</v>
      </c>
      <c r="F30" s="571">
        <f t="shared" si="6"/>
        <v>0.15000049999999998</v>
      </c>
      <c r="H30" s="120">
        <v>4</v>
      </c>
      <c r="I30" s="578">
        <v>60</v>
      </c>
      <c r="J30" s="581">
        <v>-3.2</v>
      </c>
      <c r="K30" s="581">
        <v>-4.3</v>
      </c>
      <c r="L30" s="571">
        <f t="shared" si="7"/>
        <v>0.54999999999999982</v>
      </c>
      <c r="N30" s="120">
        <v>4</v>
      </c>
      <c r="O30" s="580">
        <v>900</v>
      </c>
      <c r="P30" s="579" t="s">
        <v>66</v>
      </c>
      <c r="Q30" s="581" t="s">
        <v>66</v>
      </c>
      <c r="R30" s="571">
        <f t="shared" si="8"/>
        <v>0</v>
      </c>
    </row>
    <row r="31" spans="1:21" ht="13">
      <c r="A31" s="1515"/>
      <c r="B31" s="120">
        <v>5</v>
      </c>
      <c r="C31" s="578">
        <v>35</v>
      </c>
      <c r="D31" s="581">
        <v>-0.3</v>
      </c>
      <c r="E31" s="581">
        <v>-0.5</v>
      </c>
      <c r="F31" s="571">
        <f t="shared" si="6"/>
        <v>0.1</v>
      </c>
      <c r="H31" s="120">
        <v>5</v>
      </c>
      <c r="I31" s="578">
        <v>70</v>
      </c>
      <c r="J31" s="581">
        <v>-2</v>
      </c>
      <c r="K31" s="581">
        <v>-3.6</v>
      </c>
      <c r="L31" s="571">
        <f t="shared" si="7"/>
        <v>0.8</v>
      </c>
      <c r="N31" s="120">
        <v>5</v>
      </c>
      <c r="O31" s="580">
        <v>1000</v>
      </c>
      <c r="P31" s="579" t="s">
        <v>66</v>
      </c>
      <c r="Q31" s="581" t="s">
        <v>66</v>
      </c>
      <c r="R31" s="571">
        <f t="shared" si="8"/>
        <v>0</v>
      </c>
    </row>
    <row r="32" spans="1:21" ht="13">
      <c r="A32" s="1515"/>
      <c r="B32" s="120">
        <v>6</v>
      </c>
      <c r="C32" s="578">
        <v>37</v>
      </c>
      <c r="D32" s="581">
        <v>-0.2</v>
      </c>
      <c r="E32" s="581">
        <v>-0.6</v>
      </c>
      <c r="F32" s="571">
        <f t="shared" si="6"/>
        <v>0.19999999999999998</v>
      </c>
      <c r="H32" s="120">
        <v>6</v>
      </c>
      <c r="I32" s="578">
        <v>80</v>
      </c>
      <c r="J32" s="581">
        <v>-0.8</v>
      </c>
      <c r="K32" s="581">
        <v>-2.9</v>
      </c>
      <c r="L32" s="571">
        <f t="shared" si="7"/>
        <v>1.0499999999999998</v>
      </c>
      <c r="N32" s="120">
        <v>6</v>
      </c>
      <c r="O32" s="580">
        <v>1005</v>
      </c>
      <c r="P32" s="579" t="s">
        <v>66</v>
      </c>
      <c r="Q32" s="581" t="s">
        <v>66</v>
      </c>
      <c r="R32" s="571">
        <f t="shared" si="8"/>
        <v>0</v>
      </c>
    </row>
    <row r="33" spans="1:21" ht="13.5" thickBot="1">
      <c r="A33" s="1516"/>
      <c r="B33" s="582">
        <v>7</v>
      </c>
      <c r="C33" s="583">
        <v>40</v>
      </c>
      <c r="D33" s="587">
        <v>0.2</v>
      </c>
      <c r="E33" s="587">
        <v>-0.7</v>
      </c>
      <c r="F33" s="585">
        <f t="shared" si="6"/>
        <v>0.44999999999999996</v>
      </c>
      <c r="G33" s="71"/>
      <c r="H33" s="582">
        <v>7</v>
      </c>
      <c r="I33" s="583">
        <v>90</v>
      </c>
      <c r="J33" s="587">
        <v>0.3</v>
      </c>
      <c r="K33" s="587">
        <v>-2</v>
      </c>
      <c r="L33" s="585">
        <f t="shared" si="7"/>
        <v>1.1499999999999999</v>
      </c>
      <c r="M33" s="71"/>
      <c r="N33" s="582">
        <v>7</v>
      </c>
      <c r="O33" s="586">
        <v>1020</v>
      </c>
      <c r="P33" s="584" t="s">
        <v>66</v>
      </c>
      <c r="Q33" s="587" t="s">
        <v>66</v>
      </c>
      <c r="R33" s="585">
        <f t="shared" si="8"/>
        <v>0</v>
      </c>
    </row>
    <row r="34" spans="1:21" ht="13.5" thickBot="1">
      <c r="A34" s="33"/>
      <c r="B34" s="33"/>
      <c r="H34" s="591"/>
      <c r="O34" s="588"/>
      <c r="P34" s="589"/>
    </row>
    <row r="35" spans="1:21" ht="13" thickBot="1">
      <c r="A35" s="1532">
        <v>4</v>
      </c>
      <c r="B35" s="1535" t="s">
        <v>221</v>
      </c>
      <c r="C35" s="1536"/>
      <c r="D35" s="1536"/>
      <c r="E35" s="1536"/>
      <c r="F35" s="1537"/>
      <c r="G35" s="94"/>
      <c r="H35" s="1535" t="str">
        <f>B35</f>
        <v>KOREKSI KIMO THERMOHYGROMETER 15062872</v>
      </c>
      <c r="I35" s="1536"/>
      <c r="J35" s="1536"/>
      <c r="K35" s="1536"/>
      <c r="L35" s="1537"/>
      <c r="M35" s="94"/>
      <c r="N35" s="1535" t="str">
        <f>H35</f>
        <v>KOREKSI KIMO THERMOHYGROMETER 15062872</v>
      </c>
      <c r="O35" s="1536"/>
      <c r="P35" s="1536"/>
      <c r="Q35" s="1536"/>
      <c r="R35" s="1537"/>
    </row>
    <row r="36" spans="1:21" ht="13.5" thickBot="1">
      <c r="A36" s="1533"/>
      <c r="B36" s="1522" t="s">
        <v>216</v>
      </c>
      <c r="C36" s="1523"/>
      <c r="D36" s="1524" t="s">
        <v>93</v>
      </c>
      <c r="E36" s="1525"/>
      <c r="F36" s="1526" t="s">
        <v>92</v>
      </c>
      <c r="H36" s="1522" t="s">
        <v>217</v>
      </c>
      <c r="I36" s="1523"/>
      <c r="J36" s="1524" t="s">
        <v>93</v>
      </c>
      <c r="K36" s="1525"/>
      <c r="L36" s="1526" t="s">
        <v>92</v>
      </c>
      <c r="N36" s="1522" t="s">
        <v>402</v>
      </c>
      <c r="O36" s="1523"/>
      <c r="P36" s="1524" t="s">
        <v>93</v>
      </c>
      <c r="Q36" s="1525"/>
      <c r="R36" s="1526" t="s">
        <v>92</v>
      </c>
      <c r="T36" s="1520" t="s">
        <v>99</v>
      </c>
      <c r="U36" s="1521"/>
    </row>
    <row r="37" spans="1:21" ht="15" thickBot="1">
      <c r="A37" s="1533"/>
      <c r="B37" s="1528" t="s">
        <v>218</v>
      </c>
      <c r="C37" s="1529"/>
      <c r="D37" s="592">
        <v>2019</v>
      </c>
      <c r="E37" s="592">
        <v>2017</v>
      </c>
      <c r="F37" s="1527"/>
      <c r="H37" s="1530" t="s">
        <v>94</v>
      </c>
      <c r="I37" s="1531"/>
      <c r="J37" s="593">
        <f>D37</f>
        <v>2019</v>
      </c>
      <c r="K37" s="593">
        <f>E37</f>
        <v>2017</v>
      </c>
      <c r="L37" s="1527"/>
      <c r="N37" s="1530" t="s">
        <v>403</v>
      </c>
      <c r="O37" s="1531"/>
      <c r="P37" s="593">
        <f>J37</f>
        <v>2019</v>
      </c>
      <c r="Q37" s="593">
        <f>K37</f>
        <v>2017</v>
      </c>
      <c r="R37" s="1527"/>
      <c r="T37" s="565" t="s">
        <v>216</v>
      </c>
      <c r="U37" s="590">
        <v>0.3</v>
      </c>
    </row>
    <row r="38" spans="1:21" ht="13">
      <c r="A38" s="1533"/>
      <c r="B38" s="120">
        <v>1</v>
      </c>
      <c r="C38" s="572">
        <v>15</v>
      </c>
      <c r="D38" s="594">
        <v>-0.2</v>
      </c>
      <c r="E38" s="594">
        <v>-0.1</v>
      </c>
      <c r="F38" s="595">
        <f t="shared" ref="F38:F44" si="9">0.5*(MAX(D38:E38)-MIN(D38:E38))</f>
        <v>0.05</v>
      </c>
      <c r="H38" s="120">
        <v>1</v>
      </c>
      <c r="I38" s="572">
        <v>35</v>
      </c>
      <c r="J38" s="594">
        <v>-4.5</v>
      </c>
      <c r="K38" s="594">
        <v>-1.7</v>
      </c>
      <c r="L38" s="595">
        <f t="shared" ref="L38:L44" si="10">0.5*(MAX(J38:K38)-MIN(J38:K38))</f>
        <v>1.4</v>
      </c>
      <c r="N38" s="120">
        <v>1</v>
      </c>
      <c r="O38" s="572">
        <v>750</v>
      </c>
      <c r="P38" s="573" t="s">
        <v>66</v>
      </c>
      <c r="Q38" s="573" t="s">
        <v>66</v>
      </c>
      <c r="R38" s="595">
        <f t="shared" ref="R38:R44" si="11">0.5*(MAX(P38:Q38)-MIN(P38:Q38))</f>
        <v>0</v>
      </c>
      <c r="T38" s="565" t="s">
        <v>94</v>
      </c>
      <c r="U38" s="590">
        <v>1.3</v>
      </c>
    </row>
    <row r="39" spans="1:21" ht="13.5" thickBot="1">
      <c r="A39" s="1533"/>
      <c r="B39" s="120">
        <v>2</v>
      </c>
      <c r="C39" s="576">
        <v>20</v>
      </c>
      <c r="D39" s="570">
        <v>-0.1</v>
      </c>
      <c r="E39" s="570">
        <v>-0.3</v>
      </c>
      <c r="F39" s="571">
        <f>0.5*(MAX(D39:E39)-MIN(D39:E39))</f>
        <v>9.9999999999999992E-2</v>
      </c>
      <c r="H39" s="120">
        <v>2</v>
      </c>
      <c r="I39" s="576">
        <v>40</v>
      </c>
      <c r="J39" s="570">
        <v>-4.4000000000000004</v>
      </c>
      <c r="K39" s="570">
        <v>-1.5</v>
      </c>
      <c r="L39" s="571">
        <f t="shared" si="10"/>
        <v>1.4500000000000002</v>
      </c>
      <c r="N39" s="120">
        <v>2</v>
      </c>
      <c r="O39" s="576">
        <v>800</v>
      </c>
      <c r="P39" s="577" t="s">
        <v>66</v>
      </c>
      <c r="Q39" s="577" t="s">
        <v>66</v>
      </c>
      <c r="R39" s="571">
        <f t="shared" si="11"/>
        <v>0</v>
      </c>
      <c r="T39" s="574" t="s">
        <v>403</v>
      </c>
      <c r="U39" s="575">
        <v>0</v>
      </c>
    </row>
    <row r="40" spans="1:21" ht="13">
      <c r="A40" s="1533"/>
      <c r="B40" s="120">
        <v>3</v>
      </c>
      <c r="C40" s="576">
        <v>25</v>
      </c>
      <c r="D40" s="570">
        <v>-0.1</v>
      </c>
      <c r="E40" s="570">
        <v>-0.5</v>
      </c>
      <c r="F40" s="571">
        <f t="shared" si="9"/>
        <v>0.2</v>
      </c>
      <c r="H40" s="120">
        <v>3</v>
      </c>
      <c r="I40" s="576">
        <v>50</v>
      </c>
      <c r="J40" s="570">
        <v>-4.3</v>
      </c>
      <c r="K40" s="570">
        <v>-1</v>
      </c>
      <c r="L40" s="571">
        <f t="shared" si="10"/>
        <v>1.65</v>
      </c>
      <c r="N40" s="120">
        <v>3</v>
      </c>
      <c r="O40" s="576">
        <v>850</v>
      </c>
      <c r="P40" s="577" t="s">
        <v>66</v>
      </c>
      <c r="Q40" s="577" t="s">
        <v>66</v>
      </c>
      <c r="R40" s="571">
        <f t="shared" si="11"/>
        <v>0</v>
      </c>
    </row>
    <row r="41" spans="1:21" ht="13">
      <c r="A41" s="1533"/>
      <c r="B41" s="120">
        <v>4</v>
      </c>
      <c r="C41" s="580">
        <v>30</v>
      </c>
      <c r="D41" s="579">
        <v>-0.1</v>
      </c>
      <c r="E41" s="579">
        <v>-0.6</v>
      </c>
      <c r="F41" s="571">
        <f t="shared" si="9"/>
        <v>0.25</v>
      </c>
      <c r="H41" s="120">
        <v>4</v>
      </c>
      <c r="I41" s="580">
        <v>60</v>
      </c>
      <c r="J41" s="579">
        <v>-4.2</v>
      </c>
      <c r="K41" s="579">
        <v>-0.3</v>
      </c>
      <c r="L41" s="571">
        <f t="shared" si="10"/>
        <v>1.9500000000000002</v>
      </c>
      <c r="N41" s="120">
        <v>4</v>
      </c>
      <c r="O41" s="580">
        <v>900</v>
      </c>
      <c r="P41" s="579" t="s">
        <v>66</v>
      </c>
      <c r="Q41" s="581" t="s">
        <v>66</v>
      </c>
      <c r="R41" s="571">
        <f t="shared" si="11"/>
        <v>0</v>
      </c>
    </row>
    <row r="42" spans="1:21" ht="13">
      <c r="A42" s="1533"/>
      <c r="B42" s="120">
        <v>5</v>
      </c>
      <c r="C42" s="580">
        <v>35</v>
      </c>
      <c r="D42" s="579">
        <v>-0.3</v>
      </c>
      <c r="E42" s="579">
        <v>-0.6</v>
      </c>
      <c r="F42" s="571">
        <f t="shared" si="9"/>
        <v>0.15</v>
      </c>
      <c r="H42" s="120">
        <v>5</v>
      </c>
      <c r="I42" s="580">
        <v>70</v>
      </c>
      <c r="J42" s="581">
        <v>-4</v>
      </c>
      <c r="K42" s="579">
        <v>0.7</v>
      </c>
      <c r="L42" s="571">
        <f t="shared" si="10"/>
        <v>2.35</v>
      </c>
      <c r="N42" s="120">
        <v>5</v>
      </c>
      <c r="O42" s="580">
        <v>1000</v>
      </c>
      <c r="P42" s="579" t="s">
        <v>66</v>
      </c>
      <c r="Q42" s="581" t="s">
        <v>66</v>
      </c>
      <c r="R42" s="571">
        <f t="shared" si="11"/>
        <v>0</v>
      </c>
    </row>
    <row r="43" spans="1:21" ht="13">
      <c r="A43" s="1533"/>
      <c r="B43" s="120">
        <v>6</v>
      </c>
      <c r="C43" s="580">
        <v>37</v>
      </c>
      <c r="D43" s="579">
        <v>-0.4</v>
      </c>
      <c r="E43" s="579">
        <v>-0.6</v>
      </c>
      <c r="F43" s="571">
        <f t="shared" si="9"/>
        <v>9.9999999999999978E-2</v>
      </c>
      <c r="H43" s="120">
        <v>6</v>
      </c>
      <c r="I43" s="580">
        <v>80</v>
      </c>
      <c r="J43" s="579">
        <v>-3.8</v>
      </c>
      <c r="K43" s="579">
        <v>1.9</v>
      </c>
      <c r="L43" s="571">
        <f t="shared" si="10"/>
        <v>2.8499999999999996</v>
      </c>
      <c r="N43" s="120">
        <v>6</v>
      </c>
      <c r="O43" s="580">
        <v>1005</v>
      </c>
      <c r="P43" s="579" t="s">
        <v>66</v>
      </c>
      <c r="Q43" s="581" t="s">
        <v>66</v>
      </c>
      <c r="R43" s="571">
        <f t="shared" si="11"/>
        <v>0</v>
      </c>
    </row>
    <row r="44" spans="1:21" ht="13.5" thickBot="1">
      <c r="A44" s="1534"/>
      <c r="B44" s="582">
        <v>7</v>
      </c>
      <c r="C44" s="586">
        <v>40</v>
      </c>
      <c r="D44" s="579">
        <v>-0.5</v>
      </c>
      <c r="E44" s="579">
        <v>-0.6</v>
      </c>
      <c r="F44" s="585">
        <f t="shared" si="9"/>
        <v>4.9999999999999989E-2</v>
      </c>
      <c r="G44" s="71"/>
      <c r="H44" s="582">
        <v>7</v>
      </c>
      <c r="I44" s="586">
        <v>90</v>
      </c>
      <c r="J44" s="584">
        <v>-3.5</v>
      </c>
      <c r="K44" s="584">
        <v>3.3</v>
      </c>
      <c r="L44" s="585">
        <f t="shared" si="10"/>
        <v>3.4</v>
      </c>
      <c r="M44" s="71"/>
      <c r="N44" s="582">
        <v>7</v>
      </c>
      <c r="O44" s="586">
        <v>1020</v>
      </c>
      <c r="P44" s="584" t="s">
        <v>66</v>
      </c>
      <c r="Q44" s="587" t="s">
        <v>66</v>
      </c>
      <c r="R44" s="585">
        <f t="shared" si="11"/>
        <v>0</v>
      </c>
    </row>
    <row r="45" spans="1:21" ht="13.5" thickBot="1">
      <c r="A45" s="33"/>
      <c r="B45" s="33"/>
      <c r="O45" s="588"/>
      <c r="P45" s="589"/>
    </row>
    <row r="46" spans="1:21" ht="13" thickBot="1">
      <c r="A46" s="1532">
        <v>5</v>
      </c>
      <c r="B46" s="1535" t="s">
        <v>222</v>
      </c>
      <c r="C46" s="1536"/>
      <c r="D46" s="1536"/>
      <c r="E46" s="1536"/>
      <c r="F46" s="1537"/>
      <c r="G46" s="94"/>
      <c r="H46" s="1535" t="str">
        <f>B46</f>
        <v>KOREKSI KIMO THERMOHYGROMETER 15062875</v>
      </c>
      <c r="I46" s="1536"/>
      <c r="J46" s="1536"/>
      <c r="K46" s="1536"/>
      <c r="L46" s="1537"/>
      <c r="M46" s="94"/>
      <c r="N46" s="1535" t="str">
        <f>H46</f>
        <v>KOREKSI KIMO THERMOHYGROMETER 15062875</v>
      </c>
      <c r="O46" s="1536"/>
      <c r="P46" s="1536"/>
      <c r="Q46" s="1536"/>
      <c r="R46" s="1537"/>
      <c r="T46" s="1520" t="s">
        <v>99</v>
      </c>
      <c r="U46" s="1521"/>
    </row>
    <row r="47" spans="1:21" ht="13.5" thickBot="1">
      <c r="A47" s="1533"/>
      <c r="B47" s="1522" t="s">
        <v>216</v>
      </c>
      <c r="C47" s="1523"/>
      <c r="D47" s="1524" t="s">
        <v>93</v>
      </c>
      <c r="E47" s="1525"/>
      <c r="F47" s="1526" t="s">
        <v>92</v>
      </c>
      <c r="H47" s="1522" t="s">
        <v>217</v>
      </c>
      <c r="I47" s="1523"/>
      <c r="J47" s="1524" t="s">
        <v>93</v>
      </c>
      <c r="K47" s="1525"/>
      <c r="L47" s="1526" t="s">
        <v>92</v>
      </c>
      <c r="N47" s="1522" t="s">
        <v>402</v>
      </c>
      <c r="O47" s="1523"/>
      <c r="P47" s="1524" t="s">
        <v>93</v>
      </c>
      <c r="Q47" s="1525"/>
      <c r="R47" s="1526" t="s">
        <v>92</v>
      </c>
      <c r="T47" s="565" t="s">
        <v>216</v>
      </c>
      <c r="U47" s="590">
        <v>0.4</v>
      </c>
    </row>
    <row r="48" spans="1:21" ht="15" thickBot="1">
      <c r="A48" s="1533"/>
      <c r="B48" s="1528" t="s">
        <v>218</v>
      </c>
      <c r="C48" s="1529"/>
      <c r="D48" s="592">
        <v>2020</v>
      </c>
      <c r="E48" s="592">
        <v>2017</v>
      </c>
      <c r="F48" s="1527"/>
      <c r="H48" s="1530" t="s">
        <v>94</v>
      </c>
      <c r="I48" s="1531"/>
      <c r="J48" s="593">
        <f>D48</f>
        <v>2020</v>
      </c>
      <c r="K48" s="593">
        <f>E48</f>
        <v>2017</v>
      </c>
      <c r="L48" s="1527"/>
      <c r="N48" s="1530" t="s">
        <v>403</v>
      </c>
      <c r="O48" s="1531"/>
      <c r="P48" s="593">
        <f>J48</f>
        <v>2020</v>
      </c>
      <c r="Q48" s="593">
        <f>K48</f>
        <v>2017</v>
      </c>
      <c r="R48" s="1527"/>
      <c r="T48" s="565" t="s">
        <v>94</v>
      </c>
      <c r="U48" s="590">
        <v>2.8</v>
      </c>
    </row>
    <row r="49" spans="1:21" ht="13.5" thickBot="1">
      <c r="A49" s="1533"/>
      <c r="B49" s="120">
        <v>1</v>
      </c>
      <c r="C49" s="572">
        <v>15</v>
      </c>
      <c r="D49" s="594">
        <v>-0.3</v>
      </c>
      <c r="E49" s="594">
        <v>0.3</v>
      </c>
      <c r="F49" s="595">
        <f t="shared" ref="F49:F55" si="12">0.5*(MAX(D49:E49)-MIN(D49:E49))</f>
        <v>0.3</v>
      </c>
      <c r="H49" s="120">
        <v>1</v>
      </c>
      <c r="I49" s="572">
        <v>35</v>
      </c>
      <c r="J49" s="594">
        <v>-7.7</v>
      </c>
      <c r="K49" s="594">
        <v>-9.6</v>
      </c>
      <c r="L49" s="595">
        <f t="shared" ref="L49:L55" si="13">0.5*(MAX(J49:K49)-MIN(J49:K49))</f>
        <v>0.94999999999999973</v>
      </c>
      <c r="N49" s="120">
        <v>1</v>
      </c>
      <c r="O49" s="572">
        <v>750</v>
      </c>
      <c r="P49" s="573" t="s">
        <v>66</v>
      </c>
      <c r="Q49" s="573" t="s">
        <v>66</v>
      </c>
      <c r="R49" s="595">
        <f t="shared" ref="R49:R55" si="14">0.5*(MAX(P49:Q49)-MIN(P49:Q49))</f>
        <v>0</v>
      </c>
      <c r="T49" s="574" t="s">
        <v>403</v>
      </c>
      <c r="U49" s="575">
        <v>0</v>
      </c>
    </row>
    <row r="50" spans="1:21" ht="13">
      <c r="A50" s="1533"/>
      <c r="B50" s="120">
        <v>2</v>
      </c>
      <c r="C50" s="576">
        <v>20</v>
      </c>
      <c r="D50" s="570">
        <v>0.1</v>
      </c>
      <c r="E50" s="570">
        <v>0.3</v>
      </c>
      <c r="F50" s="571">
        <f t="shared" si="12"/>
        <v>9.9999999999999992E-2</v>
      </c>
      <c r="H50" s="120">
        <v>2</v>
      </c>
      <c r="I50" s="576">
        <v>40</v>
      </c>
      <c r="J50" s="570">
        <v>-7.2</v>
      </c>
      <c r="K50" s="570">
        <v>-8</v>
      </c>
      <c r="L50" s="571">
        <f t="shared" si="13"/>
        <v>0.39999999999999991</v>
      </c>
      <c r="N50" s="120">
        <v>2</v>
      </c>
      <c r="O50" s="576">
        <v>800</v>
      </c>
      <c r="P50" s="577" t="s">
        <v>66</v>
      </c>
      <c r="Q50" s="577" t="s">
        <v>66</v>
      </c>
      <c r="R50" s="571">
        <f t="shared" si="14"/>
        <v>0</v>
      </c>
    </row>
    <row r="51" spans="1:21" ht="13">
      <c r="A51" s="1533"/>
      <c r="B51" s="120">
        <v>3</v>
      </c>
      <c r="C51" s="576">
        <v>25</v>
      </c>
      <c r="D51" s="570">
        <v>0.4</v>
      </c>
      <c r="E51" s="570">
        <v>0.2</v>
      </c>
      <c r="F51" s="571">
        <f t="shared" si="12"/>
        <v>0.1</v>
      </c>
      <c r="H51" s="120">
        <v>3</v>
      </c>
      <c r="I51" s="576">
        <v>50</v>
      </c>
      <c r="J51" s="570">
        <v>-6.2</v>
      </c>
      <c r="K51" s="570">
        <v>-6.2</v>
      </c>
      <c r="L51" s="571">
        <f t="shared" si="13"/>
        <v>0</v>
      </c>
      <c r="N51" s="120">
        <v>3</v>
      </c>
      <c r="O51" s="576">
        <v>850</v>
      </c>
      <c r="P51" s="577" t="s">
        <v>66</v>
      </c>
      <c r="Q51" s="577" t="s">
        <v>66</v>
      </c>
      <c r="R51" s="571">
        <f t="shared" si="14"/>
        <v>0</v>
      </c>
    </row>
    <row r="52" spans="1:21" ht="13">
      <c r="A52" s="1533"/>
      <c r="B52" s="120">
        <v>4</v>
      </c>
      <c r="C52" s="580">
        <v>30</v>
      </c>
      <c r="D52" s="579">
        <v>0.6</v>
      </c>
      <c r="E52" s="581">
        <v>0.1</v>
      </c>
      <c r="F52" s="571">
        <f t="shared" si="12"/>
        <v>0.25</v>
      </c>
      <c r="H52" s="120">
        <v>4</v>
      </c>
      <c r="I52" s="580">
        <v>60</v>
      </c>
      <c r="J52" s="579">
        <v>-5.2</v>
      </c>
      <c r="K52" s="579">
        <v>-4.2</v>
      </c>
      <c r="L52" s="571">
        <f t="shared" si="13"/>
        <v>0.5</v>
      </c>
      <c r="N52" s="120">
        <v>4</v>
      </c>
      <c r="O52" s="580">
        <v>900</v>
      </c>
      <c r="P52" s="579" t="s">
        <v>66</v>
      </c>
      <c r="Q52" s="581" t="s">
        <v>66</v>
      </c>
      <c r="R52" s="571">
        <f t="shared" si="14"/>
        <v>0</v>
      </c>
    </row>
    <row r="53" spans="1:21" ht="13">
      <c r="A53" s="1533"/>
      <c r="B53" s="120">
        <v>5</v>
      </c>
      <c r="C53" s="580">
        <v>35</v>
      </c>
      <c r="D53" s="579">
        <v>0.7</v>
      </c>
      <c r="E53" s="570">
        <v>9.9999999999999995E-7</v>
      </c>
      <c r="F53" s="571">
        <f t="shared" si="12"/>
        <v>0.34999949999999996</v>
      </c>
      <c r="H53" s="120">
        <v>5</v>
      </c>
      <c r="I53" s="580">
        <v>70</v>
      </c>
      <c r="J53" s="579">
        <v>-4.0999999999999996</v>
      </c>
      <c r="K53" s="579">
        <v>-2.1</v>
      </c>
      <c r="L53" s="571">
        <f t="shared" si="13"/>
        <v>0.99999999999999978</v>
      </c>
      <c r="N53" s="120">
        <v>5</v>
      </c>
      <c r="O53" s="580">
        <v>1000</v>
      </c>
      <c r="P53" s="579" t="s">
        <v>66</v>
      </c>
      <c r="Q53" s="581" t="s">
        <v>66</v>
      </c>
      <c r="R53" s="571">
        <f t="shared" si="14"/>
        <v>0</v>
      </c>
    </row>
    <row r="54" spans="1:21" ht="13">
      <c r="A54" s="1533"/>
      <c r="B54" s="120">
        <v>6</v>
      </c>
      <c r="C54" s="580">
        <v>37</v>
      </c>
      <c r="D54" s="579">
        <v>0.7</v>
      </c>
      <c r="E54" s="570">
        <v>9.9999999999999995E-7</v>
      </c>
      <c r="F54" s="571">
        <f t="shared" si="12"/>
        <v>0.34999949999999996</v>
      </c>
      <c r="H54" s="120">
        <v>6</v>
      </c>
      <c r="I54" s="580">
        <v>80</v>
      </c>
      <c r="J54" s="581">
        <v>-3</v>
      </c>
      <c r="K54" s="579">
        <v>0.2</v>
      </c>
      <c r="L54" s="571">
        <f t="shared" si="13"/>
        <v>1.6</v>
      </c>
      <c r="N54" s="120">
        <v>6</v>
      </c>
      <c r="O54" s="580">
        <v>1005</v>
      </c>
      <c r="P54" s="579" t="s">
        <v>66</v>
      </c>
      <c r="Q54" s="581" t="s">
        <v>66</v>
      </c>
      <c r="R54" s="571">
        <f t="shared" si="14"/>
        <v>0</v>
      </c>
    </row>
    <row r="55" spans="1:21" ht="13.5" thickBot="1">
      <c r="A55" s="1534"/>
      <c r="B55" s="582">
        <v>7</v>
      </c>
      <c r="C55" s="586">
        <v>40</v>
      </c>
      <c r="D55" s="584">
        <v>0.7</v>
      </c>
      <c r="E55" s="587">
        <v>-0.1</v>
      </c>
      <c r="F55" s="585">
        <f t="shared" si="12"/>
        <v>0.39999999999999997</v>
      </c>
      <c r="G55" s="71"/>
      <c r="H55" s="582">
        <v>7</v>
      </c>
      <c r="I55" s="586">
        <v>90</v>
      </c>
      <c r="J55" s="584">
        <v>-1.8</v>
      </c>
      <c r="K55" s="584">
        <v>2.7</v>
      </c>
      <c r="L55" s="585">
        <f t="shared" si="13"/>
        <v>2.25</v>
      </c>
      <c r="M55" s="71"/>
      <c r="N55" s="582">
        <v>7</v>
      </c>
      <c r="O55" s="586">
        <v>1020</v>
      </c>
      <c r="P55" s="584" t="s">
        <v>66</v>
      </c>
      <c r="Q55" s="587" t="s">
        <v>66</v>
      </c>
      <c r="R55" s="585">
        <f t="shared" si="14"/>
        <v>0</v>
      </c>
    </row>
    <row r="56" spans="1:21" ht="13.5" thickBot="1">
      <c r="A56" s="596"/>
      <c r="B56" s="597"/>
      <c r="C56" s="597"/>
      <c r="D56" s="597"/>
      <c r="E56" s="598"/>
      <c r="F56" s="599"/>
      <c r="G56" s="600"/>
      <c r="H56" s="597"/>
      <c r="I56" s="597"/>
      <c r="J56" s="597"/>
      <c r="K56" s="598"/>
      <c r="L56" s="599"/>
      <c r="O56" s="588"/>
      <c r="P56" s="589"/>
    </row>
    <row r="57" spans="1:21" ht="13" thickBot="1">
      <c r="A57" s="1532">
        <v>6</v>
      </c>
      <c r="B57" s="1535" t="s">
        <v>223</v>
      </c>
      <c r="C57" s="1536"/>
      <c r="D57" s="1536"/>
      <c r="E57" s="1536"/>
      <c r="F57" s="1537"/>
      <c r="G57" s="94"/>
      <c r="H57" s="1535" t="str">
        <f>B57</f>
        <v>KOREKSI GREISINGER 34903046</v>
      </c>
      <c r="I57" s="1536"/>
      <c r="J57" s="1536"/>
      <c r="K57" s="1536"/>
      <c r="L57" s="1537"/>
      <c r="M57" s="94"/>
      <c r="N57" s="1535" t="str">
        <f>H57</f>
        <v>KOREKSI GREISINGER 34903046</v>
      </c>
      <c r="O57" s="1536"/>
      <c r="P57" s="1536"/>
      <c r="Q57" s="1536"/>
      <c r="R57" s="1537"/>
      <c r="T57" s="1520" t="s">
        <v>99</v>
      </c>
      <c r="U57" s="1521"/>
    </row>
    <row r="58" spans="1:21" ht="13.5" thickBot="1">
      <c r="A58" s="1533"/>
      <c r="B58" s="1522" t="s">
        <v>216</v>
      </c>
      <c r="C58" s="1523"/>
      <c r="D58" s="1524" t="s">
        <v>93</v>
      </c>
      <c r="E58" s="1525"/>
      <c r="F58" s="1526" t="s">
        <v>92</v>
      </c>
      <c r="H58" s="1522" t="s">
        <v>217</v>
      </c>
      <c r="I58" s="1523"/>
      <c r="J58" s="1524" t="s">
        <v>93</v>
      </c>
      <c r="K58" s="1525"/>
      <c r="L58" s="1526" t="s">
        <v>92</v>
      </c>
      <c r="N58" s="1522" t="s">
        <v>402</v>
      </c>
      <c r="O58" s="1523"/>
      <c r="P58" s="1524" t="s">
        <v>93</v>
      </c>
      <c r="Q58" s="1525"/>
      <c r="R58" s="1526" t="s">
        <v>92</v>
      </c>
      <c r="T58" s="565" t="s">
        <v>216</v>
      </c>
      <c r="U58" s="590">
        <v>0.8</v>
      </c>
    </row>
    <row r="59" spans="1:21" ht="15" thickBot="1">
      <c r="A59" s="1533"/>
      <c r="B59" s="1528" t="s">
        <v>218</v>
      </c>
      <c r="C59" s="1529"/>
      <c r="D59" s="592">
        <v>2019</v>
      </c>
      <c r="E59" s="592">
        <v>2018</v>
      </c>
      <c r="F59" s="1527"/>
      <c r="H59" s="1530" t="s">
        <v>94</v>
      </c>
      <c r="I59" s="1531"/>
      <c r="J59" s="593">
        <f>D59</f>
        <v>2019</v>
      </c>
      <c r="K59" s="593">
        <f>E59</f>
        <v>2018</v>
      </c>
      <c r="L59" s="1527"/>
      <c r="N59" s="1530" t="s">
        <v>403</v>
      </c>
      <c r="O59" s="1531"/>
      <c r="P59" s="593">
        <f>J59</f>
        <v>2019</v>
      </c>
      <c r="Q59" s="593">
        <f>K59</f>
        <v>2018</v>
      </c>
      <c r="R59" s="1527"/>
      <c r="T59" s="565" t="s">
        <v>94</v>
      </c>
      <c r="U59" s="566">
        <v>2.6</v>
      </c>
    </row>
    <row r="60" spans="1:21" ht="13.5" thickBot="1">
      <c r="A60" s="1533"/>
      <c r="B60" s="120">
        <v>1</v>
      </c>
      <c r="C60" s="572">
        <v>15</v>
      </c>
      <c r="D60" s="601">
        <v>0.4</v>
      </c>
      <c r="E60" s="601">
        <v>0.4</v>
      </c>
      <c r="F60" s="595">
        <f t="shared" ref="F60:F66" si="15">0.5*(MAX(D60:E60)-MIN(D60:E60))</f>
        <v>0</v>
      </c>
      <c r="H60" s="120">
        <v>1</v>
      </c>
      <c r="I60" s="572">
        <v>30</v>
      </c>
      <c r="J60" s="601">
        <v>-1.5</v>
      </c>
      <c r="K60" s="601">
        <v>1.7</v>
      </c>
      <c r="L60" s="595">
        <f t="shared" ref="L60:L66" si="16">0.5*(MAX(J60:K60)-MIN(J60:K60))</f>
        <v>1.6</v>
      </c>
      <c r="N60" s="120">
        <v>1</v>
      </c>
      <c r="O60" s="572">
        <v>750</v>
      </c>
      <c r="P60" s="601">
        <v>0.9</v>
      </c>
      <c r="Q60" s="601">
        <v>2.1</v>
      </c>
      <c r="R60" s="595">
        <f t="shared" ref="R60:R66" si="17">0.5*(MAX(P60:Q60)-MIN(P60:Q60))</f>
        <v>0.60000000000000009</v>
      </c>
      <c r="T60" s="574" t="s">
        <v>403</v>
      </c>
      <c r="U60" s="602">
        <v>1.6</v>
      </c>
    </row>
    <row r="61" spans="1:21" ht="13">
      <c r="A61" s="1533"/>
      <c r="B61" s="120">
        <v>2</v>
      </c>
      <c r="C61" s="576">
        <v>20</v>
      </c>
      <c r="D61" s="569">
        <v>0.3</v>
      </c>
      <c r="E61" s="569">
        <v>0.2</v>
      </c>
      <c r="F61" s="571">
        <f t="shared" si="15"/>
        <v>4.9999999999999989E-2</v>
      </c>
      <c r="H61" s="120">
        <v>2</v>
      </c>
      <c r="I61" s="576">
        <v>40</v>
      </c>
      <c r="J61" s="569">
        <v>-3.8</v>
      </c>
      <c r="K61" s="569">
        <v>1.5</v>
      </c>
      <c r="L61" s="571">
        <f t="shared" si="16"/>
        <v>2.65</v>
      </c>
      <c r="N61" s="120">
        <v>2</v>
      </c>
      <c r="O61" s="576">
        <v>800</v>
      </c>
      <c r="P61" s="569">
        <v>0.9</v>
      </c>
      <c r="Q61" s="569">
        <v>1.6</v>
      </c>
      <c r="R61" s="571">
        <f t="shared" si="17"/>
        <v>0.35000000000000003</v>
      </c>
    </row>
    <row r="62" spans="1:21" ht="13">
      <c r="A62" s="1533"/>
      <c r="B62" s="120">
        <v>3</v>
      </c>
      <c r="C62" s="576">
        <v>25</v>
      </c>
      <c r="D62" s="569">
        <v>0.2</v>
      </c>
      <c r="E62" s="569">
        <v>-0.1</v>
      </c>
      <c r="F62" s="571">
        <f t="shared" si="15"/>
        <v>0.15000000000000002</v>
      </c>
      <c r="H62" s="120">
        <v>3</v>
      </c>
      <c r="I62" s="576">
        <v>50</v>
      </c>
      <c r="J62" s="569">
        <v>-5.4</v>
      </c>
      <c r="K62" s="569">
        <v>1.2</v>
      </c>
      <c r="L62" s="571">
        <f t="shared" si="16"/>
        <v>3.3000000000000003</v>
      </c>
      <c r="N62" s="120">
        <v>3</v>
      </c>
      <c r="O62" s="576">
        <v>850</v>
      </c>
      <c r="P62" s="569">
        <v>0.9</v>
      </c>
      <c r="Q62" s="569">
        <v>1.1000000000000001</v>
      </c>
      <c r="R62" s="571">
        <f t="shared" si="17"/>
        <v>0.10000000000000003</v>
      </c>
    </row>
    <row r="63" spans="1:21" ht="13">
      <c r="A63" s="1533"/>
      <c r="B63" s="120">
        <v>4</v>
      </c>
      <c r="C63" s="580">
        <v>30</v>
      </c>
      <c r="D63" s="578">
        <v>0.1</v>
      </c>
      <c r="E63" s="578">
        <v>-0.5</v>
      </c>
      <c r="F63" s="571">
        <f t="shared" si="15"/>
        <v>0.3</v>
      </c>
      <c r="H63" s="120">
        <v>4</v>
      </c>
      <c r="I63" s="580">
        <v>60</v>
      </c>
      <c r="J63" s="578">
        <v>-6.4</v>
      </c>
      <c r="K63" s="578">
        <v>1.1000000000000001</v>
      </c>
      <c r="L63" s="571">
        <f t="shared" si="16"/>
        <v>3.75</v>
      </c>
      <c r="N63" s="120">
        <v>4</v>
      </c>
      <c r="O63" s="580">
        <v>900</v>
      </c>
      <c r="P63" s="578">
        <v>0.9</v>
      </c>
      <c r="Q63" s="578">
        <v>0.7</v>
      </c>
      <c r="R63" s="571">
        <f t="shared" si="17"/>
        <v>0.10000000000000003</v>
      </c>
    </row>
    <row r="64" spans="1:21" ht="13">
      <c r="A64" s="1533"/>
      <c r="B64" s="120">
        <v>5</v>
      </c>
      <c r="C64" s="580">
        <v>35</v>
      </c>
      <c r="D64" s="578">
        <v>0.1</v>
      </c>
      <c r="E64" s="578">
        <v>-0.9</v>
      </c>
      <c r="F64" s="571">
        <f t="shared" si="15"/>
        <v>0.5</v>
      </c>
      <c r="H64" s="120">
        <v>5</v>
      </c>
      <c r="I64" s="580">
        <v>70</v>
      </c>
      <c r="J64" s="578">
        <v>-6.7</v>
      </c>
      <c r="K64" s="578">
        <v>0.9</v>
      </c>
      <c r="L64" s="571">
        <f t="shared" si="16"/>
        <v>3.8000000000000003</v>
      </c>
      <c r="N64" s="120">
        <v>5</v>
      </c>
      <c r="O64" s="580">
        <v>1000</v>
      </c>
      <c r="P64" s="578">
        <v>0.9</v>
      </c>
      <c r="Q64" s="578">
        <v>-0.3</v>
      </c>
      <c r="R64" s="571">
        <f t="shared" si="17"/>
        <v>0.6</v>
      </c>
    </row>
    <row r="65" spans="1:21" ht="13">
      <c r="A65" s="1533"/>
      <c r="B65" s="120">
        <v>6</v>
      </c>
      <c r="C65" s="580">
        <v>37</v>
      </c>
      <c r="D65" s="578">
        <v>0.1</v>
      </c>
      <c r="E65" s="578">
        <v>-1.1000000000000001</v>
      </c>
      <c r="F65" s="571">
        <f t="shared" si="15"/>
        <v>0.60000000000000009</v>
      </c>
      <c r="H65" s="120">
        <v>6</v>
      </c>
      <c r="I65" s="580">
        <v>80</v>
      </c>
      <c r="J65" s="578">
        <v>-6.3</v>
      </c>
      <c r="K65" s="578">
        <v>0.8</v>
      </c>
      <c r="L65" s="571">
        <f t="shared" si="16"/>
        <v>3.55</v>
      </c>
      <c r="N65" s="120">
        <v>6</v>
      </c>
      <c r="O65" s="580">
        <v>1005</v>
      </c>
      <c r="P65" s="578">
        <v>0.9</v>
      </c>
      <c r="Q65" s="578">
        <v>-0.3</v>
      </c>
      <c r="R65" s="571">
        <f t="shared" si="17"/>
        <v>0.6</v>
      </c>
    </row>
    <row r="66" spans="1:21" ht="13.5" thickBot="1">
      <c r="A66" s="1534"/>
      <c r="B66" s="582">
        <v>7</v>
      </c>
      <c r="C66" s="586">
        <v>40</v>
      </c>
      <c r="D66" s="583">
        <v>0.1</v>
      </c>
      <c r="E66" s="583">
        <v>-1.4</v>
      </c>
      <c r="F66" s="585">
        <f t="shared" si="15"/>
        <v>0.75</v>
      </c>
      <c r="G66" s="71"/>
      <c r="H66" s="582">
        <v>7</v>
      </c>
      <c r="I66" s="586">
        <v>90</v>
      </c>
      <c r="J66" s="583">
        <v>-5.2</v>
      </c>
      <c r="K66" s="583">
        <v>0.7</v>
      </c>
      <c r="L66" s="585">
        <f t="shared" si="16"/>
        <v>2.95</v>
      </c>
      <c r="M66" s="71"/>
      <c r="N66" s="582">
        <v>7</v>
      </c>
      <c r="O66" s="586">
        <v>1020</v>
      </c>
      <c r="P66" s="583">
        <v>0.9</v>
      </c>
      <c r="Q66" s="570">
        <v>9.9999999999999995E-7</v>
      </c>
      <c r="R66" s="585">
        <f t="shared" si="17"/>
        <v>0.4499995</v>
      </c>
    </row>
    <row r="67" spans="1:21" ht="13.5" thickBot="1">
      <c r="A67" s="596"/>
      <c r="B67" s="597"/>
      <c r="C67" s="597"/>
      <c r="D67" s="597"/>
      <c r="E67" s="598"/>
      <c r="F67" s="599"/>
      <c r="G67" s="600"/>
      <c r="H67" s="597"/>
      <c r="I67" s="597"/>
      <c r="J67" s="597"/>
      <c r="K67" s="598"/>
      <c r="L67" s="599"/>
      <c r="O67" s="588"/>
      <c r="P67" s="589"/>
    </row>
    <row r="68" spans="1:21" ht="13" thickBot="1">
      <c r="A68" s="1532">
        <v>7</v>
      </c>
      <c r="B68" s="1535" t="s">
        <v>224</v>
      </c>
      <c r="C68" s="1536"/>
      <c r="D68" s="1536"/>
      <c r="E68" s="1536"/>
      <c r="F68" s="1537"/>
      <c r="G68" s="94"/>
      <c r="H68" s="1535" t="str">
        <f>B68</f>
        <v>KOREKSI GREISINGER 34903053</v>
      </c>
      <c r="I68" s="1536"/>
      <c r="J68" s="1536"/>
      <c r="K68" s="1536"/>
      <c r="L68" s="1537"/>
      <c r="M68" s="94"/>
      <c r="N68" s="1535" t="str">
        <f>H68</f>
        <v>KOREKSI GREISINGER 34903053</v>
      </c>
      <c r="O68" s="1536"/>
      <c r="P68" s="1536"/>
      <c r="Q68" s="1536"/>
      <c r="R68" s="1537"/>
      <c r="T68" s="1520" t="s">
        <v>99</v>
      </c>
      <c r="U68" s="1521"/>
    </row>
    <row r="69" spans="1:21" ht="13.5" thickBot="1">
      <c r="A69" s="1533"/>
      <c r="B69" s="1522" t="s">
        <v>216</v>
      </c>
      <c r="C69" s="1523"/>
      <c r="D69" s="1524" t="s">
        <v>93</v>
      </c>
      <c r="E69" s="1525"/>
      <c r="F69" s="1526" t="s">
        <v>92</v>
      </c>
      <c r="H69" s="1522" t="s">
        <v>217</v>
      </c>
      <c r="I69" s="1523"/>
      <c r="J69" s="1524" t="s">
        <v>93</v>
      </c>
      <c r="K69" s="1525"/>
      <c r="L69" s="1526" t="s">
        <v>92</v>
      </c>
      <c r="N69" s="1522" t="s">
        <v>402</v>
      </c>
      <c r="O69" s="1523"/>
      <c r="P69" s="1524" t="s">
        <v>93</v>
      </c>
      <c r="Q69" s="1525"/>
      <c r="R69" s="1526" t="s">
        <v>92</v>
      </c>
      <c r="T69" s="565" t="s">
        <v>216</v>
      </c>
      <c r="U69" s="590">
        <v>0.2</v>
      </c>
    </row>
    <row r="70" spans="1:21" ht="15" thickBot="1">
      <c r="A70" s="1533"/>
      <c r="B70" s="1528" t="s">
        <v>218</v>
      </c>
      <c r="C70" s="1529"/>
      <c r="D70" s="592">
        <v>2021</v>
      </c>
      <c r="E70" s="592">
        <v>2018</v>
      </c>
      <c r="F70" s="1527"/>
      <c r="H70" s="1530" t="s">
        <v>94</v>
      </c>
      <c r="I70" s="1531"/>
      <c r="J70" s="593">
        <f>D70</f>
        <v>2021</v>
      </c>
      <c r="K70" s="593">
        <f>E70</f>
        <v>2018</v>
      </c>
      <c r="L70" s="1527"/>
      <c r="N70" s="1530" t="s">
        <v>403</v>
      </c>
      <c r="O70" s="1531"/>
      <c r="P70" s="593">
        <f>J70</f>
        <v>2021</v>
      </c>
      <c r="Q70" s="593">
        <f>K70</f>
        <v>2018</v>
      </c>
      <c r="R70" s="1527"/>
      <c r="T70" s="565" t="s">
        <v>94</v>
      </c>
      <c r="U70" s="590">
        <v>2.4</v>
      </c>
    </row>
    <row r="71" spans="1:21" ht="13.5" thickBot="1">
      <c r="A71" s="1533"/>
      <c r="B71" s="120">
        <v>1</v>
      </c>
      <c r="C71" s="572">
        <v>15</v>
      </c>
      <c r="D71" s="601">
        <v>0.1</v>
      </c>
      <c r="E71" s="601">
        <v>0.3</v>
      </c>
      <c r="F71" s="595">
        <f t="shared" ref="F71:F77" si="18">0.5*(MAX(D71:E71)-MIN(D71:E71))</f>
        <v>9.9999999999999992E-2</v>
      </c>
      <c r="H71" s="120">
        <v>1</v>
      </c>
      <c r="I71" s="572">
        <v>30</v>
      </c>
      <c r="J71" s="601">
        <v>-1.9</v>
      </c>
      <c r="K71" s="601">
        <v>1.8</v>
      </c>
      <c r="L71" s="595">
        <f t="shared" ref="L71:L77" si="19">0.5*(MAX(J71:K71)-MIN(J71:K71))</f>
        <v>1.85</v>
      </c>
      <c r="N71" s="120">
        <v>1</v>
      </c>
      <c r="O71" s="572">
        <v>750</v>
      </c>
      <c r="P71" s="570">
        <v>9.9999999999999995E-7</v>
      </c>
      <c r="Q71" s="601">
        <v>3.2</v>
      </c>
      <c r="R71" s="595">
        <f t="shared" ref="R71:R77" si="20">0.5*(MAX(P71:Q71)-MIN(P71:Q71))</f>
        <v>1.5999995</v>
      </c>
      <c r="T71" s="574" t="s">
        <v>403</v>
      </c>
      <c r="U71" s="602">
        <v>2.4</v>
      </c>
    </row>
    <row r="72" spans="1:21" ht="13">
      <c r="A72" s="1533"/>
      <c r="B72" s="120">
        <v>2</v>
      </c>
      <c r="C72" s="576">
        <v>20</v>
      </c>
      <c r="D72" s="570">
        <v>9.9999999999999995E-7</v>
      </c>
      <c r="E72" s="569">
        <v>0.1</v>
      </c>
      <c r="F72" s="571">
        <f t="shared" si="18"/>
        <v>4.9999500000000002E-2</v>
      </c>
      <c r="H72" s="120">
        <v>2</v>
      </c>
      <c r="I72" s="576">
        <v>40</v>
      </c>
      <c r="J72" s="569">
        <v>-1.9</v>
      </c>
      <c r="K72" s="569">
        <v>1.2</v>
      </c>
      <c r="L72" s="571">
        <f t="shared" si="19"/>
        <v>1.5499999999999998</v>
      </c>
      <c r="N72" s="120">
        <v>2</v>
      </c>
      <c r="O72" s="576">
        <v>800</v>
      </c>
      <c r="P72" s="570">
        <v>9.9999999999999995E-7</v>
      </c>
      <c r="Q72" s="569">
        <v>2.5</v>
      </c>
      <c r="R72" s="571">
        <f t="shared" si="20"/>
        <v>1.2499994999999999</v>
      </c>
    </row>
    <row r="73" spans="1:21" ht="13">
      <c r="A73" s="1533"/>
      <c r="B73" s="120">
        <v>3</v>
      </c>
      <c r="C73" s="576">
        <v>25</v>
      </c>
      <c r="D73" s="570">
        <v>9.9999999999999995E-7</v>
      </c>
      <c r="E73" s="569">
        <v>-0.2</v>
      </c>
      <c r="F73" s="571">
        <f t="shared" si="18"/>
        <v>0.10000050000000001</v>
      </c>
      <c r="H73" s="120">
        <v>3</v>
      </c>
      <c r="I73" s="576">
        <v>50</v>
      </c>
      <c r="J73" s="569">
        <v>-1.9</v>
      </c>
      <c r="K73" s="569">
        <v>0.8</v>
      </c>
      <c r="L73" s="571">
        <f t="shared" si="19"/>
        <v>1.35</v>
      </c>
      <c r="N73" s="120">
        <v>3</v>
      </c>
      <c r="O73" s="576">
        <v>850</v>
      </c>
      <c r="P73" s="570">
        <v>9.9999999999999995E-7</v>
      </c>
      <c r="Q73" s="569">
        <v>1.7</v>
      </c>
      <c r="R73" s="571">
        <f t="shared" si="20"/>
        <v>0.84999950000000002</v>
      </c>
    </row>
    <row r="74" spans="1:21" ht="13">
      <c r="A74" s="1533"/>
      <c r="B74" s="120">
        <v>4</v>
      </c>
      <c r="C74" s="580">
        <v>30</v>
      </c>
      <c r="D74" s="570">
        <v>9.9999999999999995E-7</v>
      </c>
      <c r="E74" s="578">
        <v>-0.6</v>
      </c>
      <c r="F74" s="571">
        <f t="shared" si="18"/>
        <v>0.3000005</v>
      </c>
      <c r="H74" s="120">
        <v>4</v>
      </c>
      <c r="I74" s="580">
        <v>60</v>
      </c>
      <c r="J74" s="578">
        <v>-2.1</v>
      </c>
      <c r="K74" s="578">
        <v>0.7</v>
      </c>
      <c r="L74" s="571">
        <f t="shared" si="19"/>
        <v>1.4</v>
      </c>
      <c r="N74" s="120">
        <v>4</v>
      </c>
      <c r="O74" s="580">
        <v>900</v>
      </c>
      <c r="P74" s="570">
        <v>9.9999999999999995E-7</v>
      </c>
      <c r="Q74" s="578">
        <v>1</v>
      </c>
      <c r="R74" s="571">
        <f t="shared" si="20"/>
        <v>0.49999949999999999</v>
      </c>
    </row>
    <row r="75" spans="1:21" ht="13">
      <c r="A75" s="1533"/>
      <c r="B75" s="120">
        <v>5</v>
      </c>
      <c r="C75" s="580">
        <v>35</v>
      </c>
      <c r="D75" s="570">
        <v>9.9999999999999995E-7</v>
      </c>
      <c r="E75" s="578">
        <v>-1.1000000000000001</v>
      </c>
      <c r="F75" s="571">
        <f t="shared" si="18"/>
        <v>0.5500005</v>
      </c>
      <c r="H75" s="120">
        <v>5</v>
      </c>
      <c r="I75" s="580">
        <v>70</v>
      </c>
      <c r="J75" s="578">
        <v>-2.2999999999999998</v>
      </c>
      <c r="K75" s="578">
        <v>0.9</v>
      </c>
      <c r="L75" s="571">
        <f t="shared" si="19"/>
        <v>1.5999999999999999</v>
      </c>
      <c r="N75" s="120">
        <v>5</v>
      </c>
      <c r="O75" s="580">
        <v>1000</v>
      </c>
      <c r="P75" s="578">
        <v>-3.9</v>
      </c>
      <c r="Q75" s="578">
        <v>-0.4</v>
      </c>
      <c r="R75" s="571">
        <f t="shared" si="20"/>
        <v>1.75</v>
      </c>
    </row>
    <row r="76" spans="1:21" ht="13">
      <c r="A76" s="1533"/>
      <c r="B76" s="120">
        <v>6</v>
      </c>
      <c r="C76" s="580">
        <v>37</v>
      </c>
      <c r="D76" s="570">
        <v>9.9999999999999995E-7</v>
      </c>
      <c r="E76" s="578">
        <v>-1.4</v>
      </c>
      <c r="F76" s="571">
        <f t="shared" si="18"/>
        <v>0.70000049999999991</v>
      </c>
      <c r="H76" s="120">
        <v>6</v>
      </c>
      <c r="I76" s="580">
        <v>80</v>
      </c>
      <c r="J76" s="578">
        <v>-2.6</v>
      </c>
      <c r="K76" s="578">
        <v>1.2</v>
      </c>
      <c r="L76" s="571">
        <f t="shared" si="19"/>
        <v>1.9</v>
      </c>
      <c r="N76" s="120">
        <v>6</v>
      </c>
      <c r="O76" s="580">
        <v>1005</v>
      </c>
      <c r="P76" s="578">
        <v>-3.8</v>
      </c>
      <c r="Q76" s="578">
        <v>-0.5</v>
      </c>
      <c r="R76" s="571">
        <f t="shared" si="20"/>
        <v>1.65</v>
      </c>
    </row>
    <row r="77" spans="1:21" ht="13.5" thickBot="1">
      <c r="A77" s="1534"/>
      <c r="B77" s="582">
        <v>7</v>
      </c>
      <c r="C77" s="586">
        <v>40</v>
      </c>
      <c r="D77" s="583">
        <v>0.1</v>
      </c>
      <c r="E77" s="583">
        <v>-1.7</v>
      </c>
      <c r="F77" s="585">
        <f t="shared" si="18"/>
        <v>0.9</v>
      </c>
      <c r="G77" s="71"/>
      <c r="H77" s="582">
        <v>7</v>
      </c>
      <c r="I77" s="586">
        <v>90</v>
      </c>
      <c r="J77" s="583">
        <v>-3</v>
      </c>
      <c r="K77" s="583">
        <v>1.8</v>
      </c>
      <c r="L77" s="585">
        <f t="shared" si="19"/>
        <v>2.4</v>
      </c>
      <c r="M77" s="71"/>
      <c r="N77" s="582">
        <v>7</v>
      </c>
      <c r="O77" s="586">
        <v>1020</v>
      </c>
      <c r="P77" s="583">
        <v>-3.8</v>
      </c>
      <c r="Q77" s="570">
        <v>9.9999999999999995E-7</v>
      </c>
      <c r="R77" s="585">
        <f t="shared" si="20"/>
        <v>1.9000005</v>
      </c>
    </row>
    <row r="78" spans="1:21" ht="13.5" thickBot="1">
      <c r="A78" s="596"/>
      <c r="B78" s="597"/>
      <c r="C78" s="597"/>
      <c r="D78" s="597"/>
      <c r="E78" s="598"/>
      <c r="F78" s="599"/>
      <c r="G78" s="600"/>
      <c r="H78" s="597"/>
      <c r="I78" s="597"/>
      <c r="J78" s="597"/>
      <c r="K78" s="598"/>
      <c r="L78" s="599"/>
      <c r="O78" s="588"/>
      <c r="P78" s="589"/>
    </row>
    <row r="79" spans="1:21" ht="13" thickBot="1">
      <c r="A79" s="1532">
        <v>8</v>
      </c>
      <c r="B79" s="1535" t="s">
        <v>225</v>
      </c>
      <c r="C79" s="1536"/>
      <c r="D79" s="1536"/>
      <c r="E79" s="1536"/>
      <c r="F79" s="1537"/>
      <c r="G79" s="94"/>
      <c r="H79" s="1535" t="str">
        <f>B79</f>
        <v>KOREKSI GREISINGER 34903051</v>
      </c>
      <c r="I79" s="1536"/>
      <c r="J79" s="1536"/>
      <c r="K79" s="1536"/>
      <c r="L79" s="1537"/>
      <c r="M79" s="94"/>
      <c r="N79" s="1535" t="str">
        <f>H79</f>
        <v>KOREKSI GREISINGER 34903051</v>
      </c>
      <c r="O79" s="1536"/>
      <c r="P79" s="1536"/>
      <c r="Q79" s="1536"/>
      <c r="R79" s="1537"/>
      <c r="T79" s="1520" t="s">
        <v>99</v>
      </c>
      <c r="U79" s="1521"/>
    </row>
    <row r="80" spans="1:21" ht="13.5" thickBot="1">
      <c r="A80" s="1533"/>
      <c r="B80" s="1522" t="s">
        <v>216</v>
      </c>
      <c r="C80" s="1523"/>
      <c r="D80" s="1524" t="s">
        <v>93</v>
      </c>
      <c r="E80" s="1525"/>
      <c r="F80" s="1526" t="s">
        <v>92</v>
      </c>
      <c r="H80" s="1522" t="s">
        <v>217</v>
      </c>
      <c r="I80" s="1523"/>
      <c r="J80" s="1524" t="s">
        <v>93</v>
      </c>
      <c r="K80" s="1525"/>
      <c r="L80" s="1526" t="s">
        <v>92</v>
      </c>
      <c r="N80" s="1522" t="s">
        <v>402</v>
      </c>
      <c r="O80" s="1523"/>
      <c r="P80" s="1524" t="s">
        <v>93</v>
      </c>
      <c r="Q80" s="1525"/>
      <c r="R80" s="1526" t="s">
        <v>92</v>
      </c>
      <c r="T80" s="565" t="s">
        <v>216</v>
      </c>
      <c r="U80" s="566">
        <v>0.3</v>
      </c>
    </row>
    <row r="81" spans="1:21" ht="15" thickBot="1">
      <c r="A81" s="1533"/>
      <c r="B81" s="1528" t="s">
        <v>218</v>
      </c>
      <c r="C81" s="1529"/>
      <c r="D81" s="592">
        <v>2021</v>
      </c>
      <c r="E81" s="592">
        <v>2019</v>
      </c>
      <c r="F81" s="1527"/>
      <c r="H81" s="1530" t="s">
        <v>94</v>
      </c>
      <c r="I81" s="1531"/>
      <c r="J81" s="593">
        <f>D81</f>
        <v>2021</v>
      </c>
      <c r="K81" s="593">
        <f>E81</f>
        <v>2019</v>
      </c>
      <c r="L81" s="1527"/>
      <c r="N81" s="1530" t="s">
        <v>403</v>
      </c>
      <c r="O81" s="1531"/>
      <c r="P81" s="593">
        <f>J81</f>
        <v>2021</v>
      </c>
      <c r="Q81" s="593">
        <f>K81</f>
        <v>2019</v>
      </c>
      <c r="R81" s="1527"/>
      <c r="T81" s="565" t="s">
        <v>94</v>
      </c>
      <c r="U81" s="566">
        <v>2.5</v>
      </c>
    </row>
    <row r="82" spans="1:21" ht="13.5" thickBot="1">
      <c r="A82" s="1533"/>
      <c r="B82" s="120">
        <v>1</v>
      </c>
      <c r="C82" s="603">
        <v>15</v>
      </c>
      <c r="D82" s="601">
        <v>0.1</v>
      </c>
      <c r="E82" s="570">
        <v>9.9999999999999995E-7</v>
      </c>
      <c r="F82" s="595">
        <f t="shared" ref="F82:F88" si="21">0.5*(MAX(D82:E82)-MIN(D82:E82))</f>
        <v>4.9999500000000002E-2</v>
      </c>
      <c r="H82" s="120">
        <v>1</v>
      </c>
      <c r="I82" s="603">
        <v>30</v>
      </c>
      <c r="J82" s="601">
        <v>-4</v>
      </c>
      <c r="K82" s="601">
        <v>-1.4</v>
      </c>
      <c r="L82" s="595">
        <f t="shared" ref="L82:L88" si="22">0.5*(MAX(J82:K82)-MIN(J82:K82))</f>
        <v>1.3</v>
      </c>
      <c r="N82" s="120">
        <v>1</v>
      </c>
      <c r="O82" s="572">
        <v>750</v>
      </c>
      <c r="P82" s="570">
        <v>9.9999999999999995E-7</v>
      </c>
      <c r="Q82" s="570">
        <v>9.9999999999999995E-7</v>
      </c>
      <c r="R82" s="595">
        <f t="shared" ref="R82:R88" si="23">0.5*(MAX(P82:Q82)-MIN(P82:Q82))</f>
        <v>0</v>
      </c>
      <c r="T82" s="574" t="s">
        <v>403</v>
      </c>
      <c r="U82" s="575">
        <v>2.1</v>
      </c>
    </row>
    <row r="83" spans="1:21" ht="13">
      <c r="A83" s="1533"/>
      <c r="B83" s="120">
        <v>2</v>
      </c>
      <c r="C83" s="604">
        <v>20</v>
      </c>
      <c r="D83" s="570">
        <v>9.9999999999999995E-7</v>
      </c>
      <c r="E83" s="601">
        <v>-0.2</v>
      </c>
      <c r="F83" s="571">
        <f>0.5*(MAX(D83:E83)-MIN(D83:E83))</f>
        <v>0.10000050000000001</v>
      </c>
      <c r="H83" s="120">
        <v>2</v>
      </c>
      <c r="I83" s="604">
        <v>40</v>
      </c>
      <c r="J83" s="569">
        <v>-3.8</v>
      </c>
      <c r="K83" s="569">
        <v>-1.2</v>
      </c>
      <c r="L83" s="571">
        <f t="shared" si="22"/>
        <v>1.2999999999999998</v>
      </c>
      <c r="N83" s="120">
        <v>2</v>
      </c>
      <c r="O83" s="576">
        <v>800</v>
      </c>
      <c r="P83" s="570">
        <v>9.9999999999999995E-7</v>
      </c>
      <c r="Q83" s="570">
        <v>9.9999999999999995E-7</v>
      </c>
      <c r="R83" s="571">
        <f t="shared" si="23"/>
        <v>0</v>
      </c>
    </row>
    <row r="84" spans="1:21" ht="13">
      <c r="A84" s="1533"/>
      <c r="B84" s="120">
        <v>3</v>
      </c>
      <c r="C84" s="604">
        <v>25</v>
      </c>
      <c r="D84" s="601">
        <v>-0.1</v>
      </c>
      <c r="E84" s="601">
        <v>-0.4</v>
      </c>
      <c r="F84" s="571">
        <f t="shared" si="21"/>
        <v>0.15000000000000002</v>
      </c>
      <c r="H84" s="120">
        <v>3</v>
      </c>
      <c r="I84" s="604">
        <v>50</v>
      </c>
      <c r="J84" s="569">
        <v>-3.8</v>
      </c>
      <c r="K84" s="569">
        <v>-1.2</v>
      </c>
      <c r="L84" s="571">
        <f t="shared" si="22"/>
        <v>1.2999999999999998</v>
      </c>
      <c r="N84" s="120">
        <v>3</v>
      </c>
      <c r="O84" s="576">
        <v>850</v>
      </c>
      <c r="P84" s="570">
        <v>9.9999999999999995E-7</v>
      </c>
      <c r="Q84" s="570">
        <v>9.9999999999999995E-7</v>
      </c>
      <c r="R84" s="571">
        <f t="shared" si="23"/>
        <v>0</v>
      </c>
    </row>
    <row r="85" spans="1:21" ht="13">
      <c r="A85" s="1533"/>
      <c r="B85" s="120">
        <v>4</v>
      </c>
      <c r="C85" s="605">
        <v>30</v>
      </c>
      <c r="D85" s="601">
        <v>-0.2</v>
      </c>
      <c r="E85" s="601">
        <v>-0.4</v>
      </c>
      <c r="F85" s="571">
        <f t="shared" si="21"/>
        <v>0.1</v>
      </c>
      <c r="H85" s="120">
        <v>4</v>
      </c>
      <c r="I85" s="605">
        <v>60</v>
      </c>
      <c r="J85" s="578">
        <v>-3.9</v>
      </c>
      <c r="K85" s="578">
        <v>-1.1000000000000001</v>
      </c>
      <c r="L85" s="571">
        <f t="shared" si="22"/>
        <v>1.4</v>
      </c>
      <c r="N85" s="120">
        <v>4</v>
      </c>
      <c r="O85" s="580">
        <v>900</v>
      </c>
      <c r="P85" s="581">
        <v>-4.4000000000000004</v>
      </c>
      <c r="Q85" s="570">
        <v>9.9999999999999995E-7</v>
      </c>
      <c r="R85" s="571">
        <f t="shared" si="23"/>
        <v>2.2000005000000002</v>
      </c>
    </row>
    <row r="86" spans="1:21" ht="13">
      <c r="A86" s="1533"/>
      <c r="B86" s="120">
        <v>5</v>
      </c>
      <c r="C86" s="605">
        <v>35</v>
      </c>
      <c r="D86" s="578">
        <v>-0.1</v>
      </c>
      <c r="E86" s="578">
        <v>-0.5</v>
      </c>
      <c r="F86" s="571">
        <f t="shared" si="21"/>
        <v>0.2</v>
      </c>
      <c r="H86" s="120">
        <v>5</v>
      </c>
      <c r="I86" s="605">
        <v>70</v>
      </c>
      <c r="J86" s="578">
        <v>-4.0999999999999996</v>
      </c>
      <c r="K86" s="578">
        <v>-1.2</v>
      </c>
      <c r="L86" s="571">
        <f t="shared" si="22"/>
        <v>1.4499999999999997</v>
      </c>
      <c r="N86" s="120">
        <v>5</v>
      </c>
      <c r="O86" s="580">
        <v>1000</v>
      </c>
      <c r="P86" s="581">
        <v>-3.5</v>
      </c>
      <c r="Q86" s="581">
        <v>0.2</v>
      </c>
      <c r="R86" s="571">
        <f t="shared" si="23"/>
        <v>1.85</v>
      </c>
    </row>
    <row r="87" spans="1:21" ht="13">
      <c r="A87" s="1533"/>
      <c r="B87" s="120">
        <v>6</v>
      </c>
      <c r="C87" s="605">
        <v>37</v>
      </c>
      <c r="D87" s="578">
        <v>-0.1</v>
      </c>
      <c r="E87" s="578">
        <v>-0.5</v>
      </c>
      <c r="F87" s="571">
        <f t="shared" si="21"/>
        <v>0.2</v>
      </c>
      <c r="H87" s="120">
        <v>6</v>
      </c>
      <c r="I87" s="605">
        <v>80</v>
      </c>
      <c r="J87" s="578">
        <v>-4.5</v>
      </c>
      <c r="K87" s="578">
        <v>-1.2</v>
      </c>
      <c r="L87" s="571">
        <f t="shared" si="22"/>
        <v>1.65</v>
      </c>
      <c r="N87" s="120">
        <v>6</v>
      </c>
      <c r="O87" s="580">
        <v>1005</v>
      </c>
      <c r="P87" s="581">
        <v>-3.4</v>
      </c>
      <c r="Q87" s="581">
        <v>0.2</v>
      </c>
      <c r="R87" s="571">
        <f t="shared" si="23"/>
        <v>1.8</v>
      </c>
    </row>
    <row r="88" spans="1:21" ht="13.5" thickBot="1">
      <c r="A88" s="1534"/>
      <c r="B88" s="582">
        <v>7</v>
      </c>
      <c r="C88" s="606">
        <v>40</v>
      </c>
      <c r="D88" s="570">
        <v>9.9999999999999995E-7</v>
      </c>
      <c r="E88" s="583">
        <v>-0.4</v>
      </c>
      <c r="F88" s="585">
        <f t="shared" si="21"/>
        <v>0.2000005</v>
      </c>
      <c r="G88" s="71"/>
      <c r="H88" s="582">
        <v>7</v>
      </c>
      <c r="I88" s="606">
        <v>90</v>
      </c>
      <c r="J88" s="583">
        <v>-4.9000000000000004</v>
      </c>
      <c r="K88" s="583">
        <v>-1.3</v>
      </c>
      <c r="L88" s="585">
        <f t="shared" si="22"/>
        <v>1.8000000000000003</v>
      </c>
      <c r="M88" s="71"/>
      <c r="N88" s="582">
        <v>7</v>
      </c>
      <c r="O88" s="586">
        <v>1020</v>
      </c>
      <c r="P88" s="607">
        <v>-3.4</v>
      </c>
      <c r="Q88" s="570">
        <v>9.9999999999999995E-7</v>
      </c>
      <c r="R88" s="585">
        <f t="shared" si="23"/>
        <v>1.7000005</v>
      </c>
    </row>
    <row r="89" spans="1:21" ht="13.5" thickBot="1">
      <c r="A89" s="596"/>
      <c r="B89" s="597"/>
      <c r="C89" s="597"/>
      <c r="D89" s="597"/>
      <c r="E89" s="598"/>
      <c r="F89" s="317"/>
      <c r="G89" s="600"/>
      <c r="H89" s="597"/>
      <c r="I89" s="597"/>
      <c r="J89" s="597"/>
      <c r="K89" s="598"/>
      <c r="L89" s="317"/>
      <c r="O89" s="94"/>
      <c r="P89" s="589"/>
    </row>
    <row r="90" spans="1:21" ht="13" thickBot="1">
      <c r="A90" s="1532">
        <v>9</v>
      </c>
      <c r="B90" s="1535" t="s">
        <v>226</v>
      </c>
      <c r="C90" s="1536"/>
      <c r="D90" s="1536"/>
      <c r="E90" s="1536"/>
      <c r="F90" s="1537"/>
      <c r="G90" s="94"/>
      <c r="H90" s="1535" t="str">
        <f>B90</f>
        <v>KOREKSI GREISINGER 34904091</v>
      </c>
      <c r="I90" s="1536"/>
      <c r="J90" s="1536"/>
      <c r="K90" s="1536"/>
      <c r="L90" s="1537"/>
      <c r="M90" s="94"/>
      <c r="N90" s="1535" t="str">
        <f>H90</f>
        <v>KOREKSI GREISINGER 34904091</v>
      </c>
      <c r="O90" s="1536"/>
      <c r="P90" s="1536"/>
      <c r="Q90" s="1536"/>
      <c r="R90" s="1537"/>
      <c r="T90" s="1520" t="s">
        <v>99</v>
      </c>
      <c r="U90" s="1521"/>
    </row>
    <row r="91" spans="1:21" ht="13.5" thickBot="1">
      <c r="A91" s="1533"/>
      <c r="B91" s="1522" t="s">
        <v>216</v>
      </c>
      <c r="C91" s="1523"/>
      <c r="D91" s="1524" t="s">
        <v>93</v>
      </c>
      <c r="E91" s="1525"/>
      <c r="F91" s="1526" t="s">
        <v>92</v>
      </c>
      <c r="H91" s="1522" t="s">
        <v>217</v>
      </c>
      <c r="I91" s="1523"/>
      <c r="J91" s="1524" t="s">
        <v>93</v>
      </c>
      <c r="K91" s="1525"/>
      <c r="L91" s="1526" t="s">
        <v>92</v>
      </c>
      <c r="N91" s="1522" t="s">
        <v>402</v>
      </c>
      <c r="O91" s="1523"/>
      <c r="P91" s="1524" t="s">
        <v>93</v>
      </c>
      <c r="Q91" s="1525"/>
      <c r="R91" s="1526" t="s">
        <v>92</v>
      </c>
      <c r="T91" s="565" t="s">
        <v>216</v>
      </c>
      <c r="U91" s="566">
        <v>0.3</v>
      </c>
    </row>
    <row r="92" spans="1:21" ht="15" thickBot="1">
      <c r="A92" s="1533"/>
      <c r="B92" s="1528" t="s">
        <v>218</v>
      </c>
      <c r="C92" s="1529"/>
      <c r="D92" s="592">
        <v>2019</v>
      </c>
      <c r="E92" s="608" t="s">
        <v>66</v>
      </c>
      <c r="F92" s="1527"/>
      <c r="H92" s="1530" t="s">
        <v>94</v>
      </c>
      <c r="I92" s="1531"/>
      <c r="J92" s="593">
        <f>D92</f>
        <v>2019</v>
      </c>
      <c r="K92" s="593" t="str">
        <f>E92</f>
        <v>-</v>
      </c>
      <c r="L92" s="1527"/>
      <c r="N92" s="1530" t="s">
        <v>403</v>
      </c>
      <c r="O92" s="1531"/>
      <c r="P92" s="593">
        <f>J92</f>
        <v>2019</v>
      </c>
      <c r="Q92" s="593" t="str">
        <f>K92</f>
        <v>-</v>
      </c>
      <c r="R92" s="1527"/>
      <c r="T92" s="565" t="s">
        <v>94</v>
      </c>
      <c r="U92" s="566">
        <v>2.4</v>
      </c>
    </row>
    <row r="93" spans="1:21" ht="13.5" thickBot="1">
      <c r="A93" s="1533"/>
      <c r="B93" s="120">
        <v>1</v>
      </c>
      <c r="C93" s="603">
        <v>15</v>
      </c>
      <c r="D93" s="570">
        <v>9.9999999999999995E-7</v>
      </c>
      <c r="E93" s="609" t="s">
        <v>66</v>
      </c>
      <c r="F93" s="595">
        <f t="shared" ref="F93" si="24">0.5*(MAX(D93:E93)-MIN(D93:E93))</f>
        <v>0</v>
      </c>
      <c r="H93" s="120">
        <v>1</v>
      </c>
      <c r="I93" s="603">
        <v>30</v>
      </c>
      <c r="J93" s="594">
        <v>-1.2</v>
      </c>
      <c r="K93" s="609" t="s">
        <v>66</v>
      </c>
      <c r="L93" s="595">
        <f t="shared" ref="L93:L99" si="25">0.5*(MAX(J93:K93)-MIN(J93:K93))</f>
        <v>0</v>
      </c>
      <c r="N93" s="120">
        <v>1</v>
      </c>
      <c r="O93" s="572">
        <v>750</v>
      </c>
      <c r="P93" s="570">
        <v>9.9999999999999995E-7</v>
      </c>
      <c r="Q93" s="573" t="s">
        <v>66</v>
      </c>
      <c r="R93" s="595">
        <f t="shared" ref="R93:R99" si="26">0.5*(MAX(P93:Q93)-MIN(P93:Q93))</f>
        <v>0</v>
      </c>
      <c r="T93" s="574" t="s">
        <v>403</v>
      </c>
      <c r="U93" s="575">
        <v>2.2000000000000002</v>
      </c>
    </row>
    <row r="94" spans="1:21" ht="13">
      <c r="A94" s="1533"/>
      <c r="B94" s="120">
        <v>2</v>
      </c>
      <c r="C94" s="604">
        <v>20</v>
      </c>
      <c r="D94" s="594">
        <v>-0.2</v>
      </c>
      <c r="E94" s="319" t="s">
        <v>66</v>
      </c>
      <c r="F94" s="571">
        <f>0.5*(MAX(D94:E94)-MIN(D94:E94))</f>
        <v>0</v>
      </c>
      <c r="H94" s="120">
        <v>2</v>
      </c>
      <c r="I94" s="604">
        <v>40</v>
      </c>
      <c r="J94" s="594">
        <v>-1</v>
      </c>
      <c r="K94" s="319" t="s">
        <v>66</v>
      </c>
      <c r="L94" s="571">
        <f t="shared" si="25"/>
        <v>0</v>
      </c>
      <c r="N94" s="120">
        <v>2</v>
      </c>
      <c r="O94" s="576">
        <v>800</v>
      </c>
      <c r="P94" s="570">
        <v>9.9999999999999995E-7</v>
      </c>
      <c r="Q94" s="577" t="s">
        <v>66</v>
      </c>
      <c r="R94" s="571">
        <f t="shared" si="26"/>
        <v>0</v>
      </c>
    </row>
    <row r="95" spans="1:21" ht="13">
      <c r="A95" s="1533"/>
      <c r="B95" s="120">
        <v>3</v>
      </c>
      <c r="C95" s="604">
        <v>25</v>
      </c>
      <c r="D95" s="594">
        <v>-0.4</v>
      </c>
      <c r="E95" s="319" t="s">
        <v>66</v>
      </c>
      <c r="F95" s="571">
        <f t="shared" ref="F95:F99" si="27">0.5*(MAX(D95:E95)-MIN(D95:E95))</f>
        <v>0</v>
      </c>
      <c r="H95" s="120">
        <v>3</v>
      </c>
      <c r="I95" s="604">
        <v>50</v>
      </c>
      <c r="J95" s="594">
        <v>-0.9</v>
      </c>
      <c r="K95" s="319" t="s">
        <v>66</v>
      </c>
      <c r="L95" s="571">
        <f t="shared" si="25"/>
        <v>0</v>
      </c>
      <c r="N95" s="120">
        <v>3</v>
      </c>
      <c r="O95" s="576">
        <v>850</v>
      </c>
      <c r="P95" s="570">
        <v>9.9999999999999995E-7</v>
      </c>
      <c r="Q95" s="577" t="s">
        <v>66</v>
      </c>
      <c r="R95" s="571">
        <f t="shared" si="26"/>
        <v>0</v>
      </c>
    </row>
    <row r="96" spans="1:21" ht="13">
      <c r="A96" s="1533"/>
      <c r="B96" s="120">
        <v>4</v>
      </c>
      <c r="C96" s="605">
        <v>30</v>
      </c>
      <c r="D96" s="594">
        <v>-0.5</v>
      </c>
      <c r="E96" s="579" t="s">
        <v>66</v>
      </c>
      <c r="F96" s="571">
        <f t="shared" si="27"/>
        <v>0</v>
      </c>
      <c r="H96" s="120">
        <v>4</v>
      </c>
      <c r="I96" s="605">
        <v>60</v>
      </c>
      <c r="J96" s="594">
        <v>-0.8</v>
      </c>
      <c r="K96" s="579" t="s">
        <v>66</v>
      </c>
      <c r="L96" s="571">
        <f t="shared" si="25"/>
        <v>0</v>
      </c>
      <c r="N96" s="120">
        <v>4</v>
      </c>
      <c r="O96" s="580">
        <v>900</v>
      </c>
      <c r="P96" s="570">
        <v>9.9999999999999995E-7</v>
      </c>
      <c r="Q96" s="581" t="s">
        <v>66</v>
      </c>
      <c r="R96" s="571">
        <f t="shared" si="26"/>
        <v>0</v>
      </c>
    </row>
    <row r="97" spans="1:21" ht="13">
      <c r="A97" s="1533"/>
      <c r="B97" s="120">
        <v>5</v>
      </c>
      <c r="C97" s="605">
        <v>35</v>
      </c>
      <c r="D97" s="594">
        <v>-0.5</v>
      </c>
      <c r="E97" s="579" t="s">
        <v>66</v>
      </c>
      <c r="F97" s="571">
        <f t="shared" si="27"/>
        <v>0</v>
      </c>
      <c r="H97" s="120">
        <v>5</v>
      </c>
      <c r="I97" s="605">
        <v>70</v>
      </c>
      <c r="J97" s="594">
        <v>-0.6</v>
      </c>
      <c r="K97" s="579" t="s">
        <v>66</v>
      </c>
      <c r="L97" s="571">
        <f t="shared" si="25"/>
        <v>0</v>
      </c>
      <c r="N97" s="120">
        <v>5</v>
      </c>
      <c r="O97" s="580">
        <v>1000</v>
      </c>
      <c r="P97" s="581">
        <v>0.2</v>
      </c>
      <c r="Q97" s="581" t="s">
        <v>66</v>
      </c>
      <c r="R97" s="571">
        <f t="shared" si="26"/>
        <v>0</v>
      </c>
    </row>
    <row r="98" spans="1:21" ht="13">
      <c r="A98" s="1533"/>
      <c r="B98" s="120">
        <v>6</v>
      </c>
      <c r="C98" s="605">
        <v>37</v>
      </c>
      <c r="D98" s="594">
        <v>-0.5</v>
      </c>
      <c r="E98" s="579" t="s">
        <v>66</v>
      </c>
      <c r="F98" s="571">
        <f t="shared" si="27"/>
        <v>0</v>
      </c>
      <c r="H98" s="120">
        <v>6</v>
      </c>
      <c r="I98" s="605">
        <v>80</v>
      </c>
      <c r="J98" s="594">
        <v>-0.5</v>
      </c>
      <c r="K98" s="579" t="s">
        <v>66</v>
      </c>
      <c r="L98" s="571">
        <f t="shared" si="25"/>
        <v>0</v>
      </c>
      <c r="N98" s="120">
        <v>6</v>
      </c>
      <c r="O98" s="580">
        <v>1005</v>
      </c>
      <c r="P98" s="581">
        <v>0.2</v>
      </c>
      <c r="Q98" s="581" t="s">
        <v>66</v>
      </c>
      <c r="R98" s="571">
        <f t="shared" si="26"/>
        <v>0</v>
      </c>
    </row>
    <row r="99" spans="1:21" ht="13.5" thickBot="1">
      <c r="A99" s="1534"/>
      <c r="B99" s="582">
        <v>7</v>
      </c>
      <c r="C99" s="606">
        <v>40</v>
      </c>
      <c r="D99" s="610">
        <v>-0.4</v>
      </c>
      <c r="E99" s="584" t="s">
        <v>66</v>
      </c>
      <c r="F99" s="585">
        <f t="shared" si="27"/>
        <v>0</v>
      </c>
      <c r="G99" s="71"/>
      <c r="H99" s="582">
        <v>7</v>
      </c>
      <c r="I99" s="606">
        <v>90</v>
      </c>
      <c r="J99" s="610">
        <v>-0.2</v>
      </c>
      <c r="K99" s="584" t="s">
        <v>66</v>
      </c>
      <c r="L99" s="585">
        <f t="shared" si="25"/>
        <v>0</v>
      </c>
      <c r="M99" s="71"/>
      <c r="N99" s="582">
        <v>7</v>
      </c>
      <c r="O99" s="586">
        <v>1020</v>
      </c>
      <c r="P99" s="570">
        <v>9.9999999999999995E-7</v>
      </c>
      <c r="Q99" s="607" t="s">
        <v>66</v>
      </c>
      <c r="R99" s="585">
        <f t="shared" si="26"/>
        <v>0</v>
      </c>
    </row>
    <row r="100" spans="1:21" ht="13.5" thickBot="1">
      <c r="A100" s="596"/>
      <c r="B100" s="597"/>
      <c r="C100" s="597"/>
      <c r="D100" s="597"/>
      <c r="E100" s="598"/>
      <c r="F100" s="317"/>
      <c r="G100" s="600"/>
      <c r="H100" s="597"/>
      <c r="I100" s="597"/>
      <c r="J100" s="597"/>
      <c r="K100" s="598"/>
      <c r="L100" s="317"/>
      <c r="M100" s="600"/>
      <c r="O100" s="94"/>
      <c r="P100" s="589"/>
    </row>
    <row r="101" spans="1:21" ht="13" thickBot="1">
      <c r="A101" s="1532">
        <v>10</v>
      </c>
      <c r="B101" s="1535" t="s">
        <v>227</v>
      </c>
      <c r="C101" s="1536"/>
      <c r="D101" s="1536"/>
      <c r="E101" s="1536"/>
      <c r="F101" s="1537"/>
      <c r="G101" s="94"/>
      <c r="H101" s="1538" t="str">
        <f>B101</f>
        <v>KOREKSI Sekonic HE-21.000669</v>
      </c>
      <c r="I101" s="1539"/>
      <c r="J101" s="1539"/>
      <c r="K101" s="1539"/>
      <c r="L101" s="1540"/>
      <c r="M101" s="94"/>
      <c r="N101" s="1538" t="str">
        <f>H101</f>
        <v>KOREKSI Sekonic HE-21.000669</v>
      </c>
      <c r="O101" s="1539"/>
      <c r="P101" s="1539"/>
      <c r="Q101" s="1539"/>
      <c r="R101" s="1540"/>
      <c r="T101" s="1520" t="s">
        <v>99</v>
      </c>
      <c r="U101" s="1521"/>
    </row>
    <row r="102" spans="1:21" ht="13.5" thickBot="1">
      <c r="A102" s="1533"/>
      <c r="B102" s="1522" t="s">
        <v>216</v>
      </c>
      <c r="C102" s="1523"/>
      <c r="D102" s="1524" t="s">
        <v>93</v>
      </c>
      <c r="E102" s="1525"/>
      <c r="F102" s="1526" t="s">
        <v>92</v>
      </c>
      <c r="H102" s="1522" t="s">
        <v>217</v>
      </c>
      <c r="I102" s="1523"/>
      <c r="J102" s="1524" t="s">
        <v>93</v>
      </c>
      <c r="K102" s="1525"/>
      <c r="L102" s="1526" t="s">
        <v>92</v>
      </c>
      <c r="N102" s="1522" t="s">
        <v>402</v>
      </c>
      <c r="O102" s="1523"/>
      <c r="P102" s="1524" t="s">
        <v>93</v>
      </c>
      <c r="Q102" s="1525"/>
      <c r="R102" s="1526" t="s">
        <v>92</v>
      </c>
      <c r="T102" s="565" t="s">
        <v>216</v>
      </c>
      <c r="U102" s="566">
        <v>0.3</v>
      </c>
    </row>
    <row r="103" spans="1:21" ht="15" thickBot="1">
      <c r="A103" s="1533"/>
      <c r="B103" s="1528" t="s">
        <v>218</v>
      </c>
      <c r="C103" s="1529"/>
      <c r="D103" s="592">
        <v>2019</v>
      </c>
      <c r="E103" s="592">
        <v>2016</v>
      </c>
      <c r="F103" s="1527"/>
      <c r="H103" s="1530" t="s">
        <v>94</v>
      </c>
      <c r="I103" s="1531"/>
      <c r="J103" s="593">
        <f>D103</f>
        <v>2019</v>
      </c>
      <c r="K103" s="593">
        <f>E103</f>
        <v>2016</v>
      </c>
      <c r="L103" s="1527"/>
      <c r="N103" s="1530" t="s">
        <v>403</v>
      </c>
      <c r="O103" s="1531"/>
      <c r="P103" s="593">
        <f>J103</f>
        <v>2019</v>
      </c>
      <c r="Q103" s="593">
        <f>K103</f>
        <v>2016</v>
      </c>
      <c r="R103" s="1527"/>
      <c r="T103" s="565" t="s">
        <v>94</v>
      </c>
      <c r="U103" s="566">
        <v>1.5</v>
      </c>
    </row>
    <row r="104" spans="1:21" ht="13.5" thickBot="1">
      <c r="A104" s="1533"/>
      <c r="B104" s="120">
        <v>1</v>
      </c>
      <c r="C104" s="603">
        <v>15</v>
      </c>
      <c r="D104" s="601">
        <v>0.2</v>
      </c>
      <c r="E104" s="601">
        <v>0.2</v>
      </c>
      <c r="F104" s="595">
        <f t="shared" ref="F104:F110" si="28">0.5*(MAX(D104:E104)-MIN(D104:E104))</f>
        <v>0</v>
      </c>
      <c r="H104" s="120">
        <v>1</v>
      </c>
      <c r="I104" s="611">
        <v>30</v>
      </c>
      <c r="J104" s="601">
        <v>-2.9</v>
      </c>
      <c r="K104" s="601">
        <v>-5.8</v>
      </c>
      <c r="L104" s="595">
        <f t="shared" ref="L104:L107" si="29">0.5*(MAX(J104:K104)-MIN(J104:K104))</f>
        <v>1.45</v>
      </c>
      <c r="N104" s="120">
        <v>1</v>
      </c>
      <c r="O104" s="572">
        <v>750</v>
      </c>
      <c r="P104" s="573" t="s">
        <v>66</v>
      </c>
      <c r="Q104" s="573" t="s">
        <v>66</v>
      </c>
      <c r="R104" s="595">
        <f t="shared" ref="R104:R107" si="30">0.5*(MAX(P104:Q104)-MIN(P104:Q104))</f>
        <v>0</v>
      </c>
      <c r="T104" s="574" t="s">
        <v>403</v>
      </c>
      <c r="U104" s="575">
        <v>0</v>
      </c>
    </row>
    <row r="105" spans="1:21" ht="13">
      <c r="A105" s="1533"/>
      <c r="B105" s="120">
        <v>2</v>
      </c>
      <c r="C105" s="604">
        <v>20</v>
      </c>
      <c r="D105" s="569">
        <v>0.2</v>
      </c>
      <c r="E105" s="569">
        <v>-0.7</v>
      </c>
      <c r="F105" s="571">
        <f t="shared" si="28"/>
        <v>0.44999999999999996</v>
      </c>
      <c r="H105" s="120">
        <v>2</v>
      </c>
      <c r="I105" s="612">
        <v>40</v>
      </c>
      <c r="J105" s="569">
        <v>-3.3</v>
      </c>
      <c r="K105" s="569">
        <v>-6.4</v>
      </c>
      <c r="L105" s="571">
        <f t="shared" si="29"/>
        <v>1.5500000000000003</v>
      </c>
      <c r="N105" s="120">
        <v>2</v>
      </c>
      <c r="O105" s="576">
        <v>800</v>
      </c>
      <c r="P105" s="577" t="s">
        <v>66</v>
      </c>
      <c r="Q105" s="577" t="s">
        <v>66</v>
      </c>
      <c r="R105" s="571">
        <f t="shared" si="30"/>
        <v>0</v>
      </c>
    </row>
    <row r="106" spans="1:21" ht="13">
      <c r="A106" s="1533"/>
      <c r="B106" s="120">
        <v>3</v>
      </c>
      <c r="C106" s="604">
        <v>25</v>
      </c>
      <c r="D106" s="569">
        <v>0.1</v>
      </c>
      <c r="E106" s="569">
        <v>-0.5</v>
      </c>
      <c r="F106" s="571">
        <f t="shared" si="28"/>
        <v>0.3</v>
      </c>
      <c r="H106" s="120">
        <v>3</v>
      </c>
      <c r="I106" s="612">
        <v>50</v>
      </c>
      <c r="J106" s="569">
        <v>-3.1</v>
      </c>
      <c r="K106" s="569">
        <v>-6.1</v>
      </c>
      <c r="L106" s="571">
        <f t="shared" si="29"/>
        <v>1.4999999999999998</v>
      </c>
      <c r="N106" s="120">
        <v>3</v>
      </c>
      <c r="O106" s="576">
        <v>850</v>
      </c>
      <c r="P106" s="577" t="s">
        <v>66</v>
      </c>
      <c r="Q106" s="577" t="s">
        <v>66</v>
      </c>
      <c r="R106" s="571">
        <f t="shared" si="30"/>
        <v>0</v>
      </c>
    </row>
    <row r="107" spans="1:21" ht="13">
      <c r="A107" s="1533"/>
      <c r="B107" s="120">
        <v>4</v>
      </c>
      <c r="C107" s="605">
        <v>30</v>
      </c>
      <c r="D107" s="578">
        <v>0.1</v>
      </c>
      <c r="E107" s="578">
        <v>0.2</v>
      </c>
      <c r="F107" s="571">
        <f t="shared" si="28"/>
        <v>0.05</v>
      </c>
      <c r="H107" s="120">
        <v>4</v>
      </c>
      <c r="I107" s="613">
        <v>60</v>
      </c>
      <c r="J107" s="578">
        <v>-2.1</v>
      </c>
      <c r="K107" s="578">
        <v>-5.6</v>
      </c>
      <c r="L107" s="571">
        <f t="shared" si="29"/>
        <v>1.7499999999999998</v>
      </c>
      <c r="N107" s="120">
        <v>4</v>
      </c>
      <c r="O107" s="580">
        <v>900</v>
      </c>
      <c r="P107" s="581" t="s">
        <v>66</v>
      </c>
      <c r="Q107" s="581" t="s">
        <v>66</v>
      </c>
      <c r="R107" s="571">
        <f t="shared" si="30"/>
        <v>0</v>
      </c>
    </row>
    <row r="108" spans="1:21" ht="13">
      <c r="A108" s="1533"/>
      <c r="B108" s="120">
        <v>5</v>
      </c>
      <c r="C108" s="605">
        <v>35</v>
      </c>
      <c r="D108" s="578">
        <v>0.2</v>
      </c>
      <c r="E108" s="578">
        <v>0.8</v>
      </c>
      <c r="F108" s="571">
        <f t="shared" si="28"/>
        <v>0.30000000000000004</v>
      </c>
      <c r="H108" s="120">
        <v>5</v>
      </c>
      <c r="I108" s="613">
        <v>70</v>
      </c>
      <c r="J108" s="578">
        <v>-0.3</v>
      </c>
      <c r="K108" s="578">
        <v>-5.0999999999999996</v>
      </c>
      <c r="L108" s="571">
        <f>0.5*(MAX(J108:K108)-MIN(J108:K108))</f>
        <v>2.4</v>
      </c>
      <c r="N108" s="120">
        <v>5</v>
      </c>
      <c r="O108" s="580">
        <v>1000</v>
      </c>
      <c r="P108" s="581" t="s">
        <v>66</v>
      </c>
      <c r="Q108" s="581" t="s">
        <v>66</v>
      </c>
      <c r="R108" s="571">
        <f>0.5*(MAX(P108:Q108)-MIN(P108:Q108))</f>
        <v>0</v>
      </c>
    </row>
    <row r="109" spans="1:21" ht="13">
      <c r="A109" s="1533"/>
      <c r="B109" s="120">
        <v>6</v>
      </c>
      <c r="C109" s="605">
        <v>37</v>
      </c>
      <c r="D109" s="578">
        <v>0.2</v>
      </c>
      <c r="E109" s="578">
        <v>0.4</v>
      </c>
      <c r="F109" s="571">
        <f t="shared" si="28"/>
        <v>0.1</v>
      </c>
      <c r="H109" s="120">
        <v>6</v>
      </c>
      <c r="I109" s="613">
        <v>80</v>
      </c>
      <c r="J109" s="578">
        <v>2.2000000000000002</v>
      </c>
      <c r="K109" s="578">
        <v>-4.7</v>
      </c>
      <c r="L109" s="571">
        <f t="shared" ref="L109:L110" si="31">0.5*(MAX(J109:K109)-MIN(J109:K109))</f>
        <v>3.45</v>
      </c>
      <c r="N109" s="120">
        <v>6</v>
      </c>
      <c r="O109" s="580">
        <v>1005</v>
      </c>
      <c r="P109" s="581" t="s">
        <v>66</v>
      </c>
      <c r="Q109" s="581" t="s">
        <v>66</v>
      </c>
      <c r="R109" s="571">
        <f t="shared" ref="R109:R110" si="32">0.5*(MAX(P109:Q109)-MIN(P109:Q109))</f>
        <v>0</v>
      </c>
    </row>
    <row r="110" spans="1:21" ht="13.5" thickBot="1">
      <c r="A110" s="1534"/>
      <c r="B110" s="582">
        <v>7</v>
      </c>
      <c r="C110" s="614">
        <v>40</v>
      </c>
      <c r="D110" s="615">
        <v>0.2</v>
      </c>
      <c r="E110" s="570">
        <v>9.9999999999999995E-7</v>
      </c>
      <c r="F110" s="585">
        <f t="shared" si="28"/>
        <v>9.9999500000000005E-2</v>
      </c>
      <c r="G110" s="71"/>
      <c r="H110" s="582">
        <v>7</v>
      </c>
      <c r="I110" s="614">
        <v>90</v>
      </c>
      <c r="J110" s="616">
        <v>5.4</v>
      </c>
      <c r="K110" s="616">
        <v>0</v>
      </c>
      <c r="L110" s="585">
        <f t="shared" si="31"/>
        <v>2.7</v>
      </c>
      <c r="M110" s="71"/>
      <c r="N110" s="582">
        <v>7</v>
      </c>
      <c r="O110" s="586">
        <v>1020</v>
      </c>
      <c r="P110" s="607" t="s">
        <v>66</v>
      </c>
      <c r="Q110" s="607" t="s">
        <v>66</v>
      </c>
      <c r="R110" s="585">
        <f t="shared" si="32"/>
        <v>0</v>
      </c>
    </row>
    <row r="111" spans="1:21" ht="13.5" thickBot="1">
      <c r="A111" s="596"/>
      <c r="B111" s="597"/>
      <c r="C111" s="597"/>
      <c r="D111" s="597"/>
      <c r="E111" s="598"/>
      <c r="F111" s="317"/>
      <c r="G111" s="600"/>
      <c r="H111" s="597"/>
      <c r="I111" s="597"/>
      <c r="J111" s="597"/>
      <c r="K111" s="598"/>
      <c r="L111" s="317"/>
      <c r="M111" s="600"/>
      <c r="O111" s="94"/>
      <c r="P111" s="589"/>
    </row>
    <row r="112" spans="1:21" ht="13" thickBot="1">
      <c r="A112" s="1532">
        <v>11</v>
      </c>
      <c r="B112" s="1535" t="s">
        <v>228</v>
      </c>
      <c r="C112" s="1536"/>
      <c r="D112" s="1536"/>
      <c r="E112" s="1536"/>
      <c r="F112" s="1537"/>
      <c r="G112" s="94"/>
      <c r="H112" s="1538" t="str">
        <f>B112</f>
        <v>KOREKSI Sekonic HE-21.000670</v>
      </c>
      <c r="I112" s="1539"/>
      <c r="J112" s="1539"/>
      <c r="K112" s="1539"/>
      <c r="L112" s="1540"/>
      <c r="M112" s="94"/>
      <c r="N112" s="1538" t="str">
        <f>H112</f>
        <v>KOREKSI Sekonic HE-21.000670</v>
      </c>
      <c r="O112" s="1539"/>
      <c r="P112" s="1539"/>
      <c r="Q112" s="1539"/>
      <c r="R112" s="1540"/>
      <c r="T112" s="1520" t="s">
        <v>99</v>
      </c>
      <c r="U112" s="1521"/>
    </row>
    <row r="113" spans="1:21" ht="13.5" thickBot="1">
      <c r="A113" s="1533"/>
      <c r="B113" s="1522" t="s">
        <v>216</v>
      </c>
      <c r="C113" s="1523"/>
      <c r="D113" s="1524" t="s">
        <v>93</v>
      </c>
      <c r="E113" s="1525"/>
      <c r="F113" s="1526" t="s">
        <v>92</v>
      </c>
      <c r="H113" s="1522" t="s">
        <v>217</v>
      </c>
      <c r="I113" s="1523"/>
      <c r="J113" s="1524" t="s">
        <v>93</v>
      </c>
      <c r="K113" s="1525"/>
      <c r="L113" s="1526" t="s">
        <v>92</v>
      </c>
      <c r="N113" s="1522" t="s">
        <v>402</v>
      </c>
      <c r="O113" s="1523"/>
      <c r="P113" s="1524" t="s">
        <v>93</v>
      </c>
      <c r="Q113" s="1525"/>
      <c r="R113" s="1526" t="s">
        <v>92</v>
      </c>
      <c r="T113" s="565" t="s">
        <v>216</v>
      </c>
      <c r="U113" s="566">
        <v>0.3</v>
      </c>
    </row>
    <row r="114" spans="1:21" ht="15" thickBot="1">
      <c r="A114" s="1533"/>
      <c r="B114" s="1528" t="s">
        <v>218</v>
      </c>
      <c r="C114" s="1529"/>
      <c r="D114" s="592">
        <v>2020</v>
      </c>
      <c r="E114" s="608">
        <v>2016</v>
      </c>
      <c r="F114" s="1527"/>
      <c r="H114" s="1530" t="s">
        <v>94</v>
      </c>
      <c r="I114" s="1531"/>
      <c r="J114" s="593">
        <f>D114</f>
        <v>2020</v>
      </c>
      <c r="K114" s="593">
        <f>E114</f>
        <v>2016</v>
      </c>
      <c r="L114" s="1527"/>
      <c r="N114" s="1530" t="s">
        <v>403</v>
      </c>
      <c r="O114" s="1531"/>
      <c r="P114" s="593">
        <f>J114</f>
        <v>2020</v>
      </c>
      <c r="Q114" s="593">
        <f>K114</f>
        <v>2016</v>
      </c>
      <c r="R114" s="1527"/>
      <c r="T114" s="565" t="s">
        <v>94</v>
      </c>
      <c r="U114" s="566">
        <v>1.8</v>
      </c>
    </row>
    <row r="115" spans="1:21" ht="13.5" thickBot="1">
      <c r="A115" s="1533"/>
      <c r="B115" s="120">
        <v>1</v>
      </c>
      <c r="C115" s="572">
        <v>15</v>
      </c>
      <c r="D115" s="601">
        <v>0.3</v>
      </c>
      <c r="E115" s="601">
        <v>0.3</v>
      </c>
      <c r="F115" s="595">
        <f t="shared" ref="F115:F121" si="33">0.5*(MAX(D115:E115)-MIN(D115:E115))</f>
        <v>0</v>
      </c>
      <c r="H115" s="120">
        <v>1</v>
      </c>
      <c r="I115" s="572">
        <v>30</v>
      </c>
      <c r="J115" s="601">
        <v>-5.2</v>
      </c>
      <c r="K115" s="601">
        <v>-6.4</v>
      </c>
      <c r="L115" s="595">
        <f t="shared" ref="L115:L121" si="34">0.5*(MAX(J115:K115)-MIN(J115:K115))</f>
        <v>0.60000000000000009</v>
      </c>
      <c r="N115" s="120">
        <v>1</v>
      </c>
      <c r="O115" s="572">
        <v>750</v>
      </c>
      <c r="P115" s="573" t="s">
        <v>66</v>
      </c>
      <c r="Q115" s="609" t="s">
        <v>66</v>
      </c>
      <c r="R115" s="595">
        <f t="shared" ref="R115:R121" si="35">0.5*(MAX(P115:Q115)-MIN(P115:Q115))</f>
        <v>0</v>
      </c>
      <c r="T115" s="574" t="s">
        <v>403</v>
      </c>
      <c r="U115" s="575">
        <v>0</v>
      </c>
    </row>
    <row r="116" spans="1:21" ht="13">
      <c r="A116" s="1533"/>
      <c r="B116" s="120">
        <v>2</v>
      </c>
      <c r="C116" s="576">
        <v>20</v>
      </c>
      <c r="D116" s="569">
        <v>0.4</v>
      </c>
      <c r="E116" s="569">
        <v>0.5</v>
      </c>
      <c r="F116" s="571">
        <f t="shared" si="33"/>
        <v>4.9999999999999989E-2</v>
      </c>
      <c r="H116" s="120">
        <v>2</v>
      </c>
      <c r="I116" s="576">
        <v>40</v>
      </c>
      <c r="J116" s="569">
        <v>-5.5</v>
      </c>
      <c r="K116" s="569">
        <v>-5.9</v>
      </c>
      <c r="L116" s="571">
        <f t="shared" si="34"/>
        <v>0.20000000000000018</v>
      </c>
      <c r="N116" s="120">
        <v>2</v>
      </c>
      <c r="O116" s="576">
        <v>800</v>
      </c>
      <c r="P116" s="577" t="s">
        <v>66</v>
      </c>
      <c r="Q116" s="319" t="s">
        <v>66</v>
      </c>
      <c r="R116" s="571">
        <f t="shared" si="35"/>
        <v>0</v>
      </c>
    </row>
    <row r="117" spans="1:21" ht="13">
      <c r="A117" s="1533"/>
      <c r="B117" s="120">
        <v>3</v>
      </c>
      <c r="C117" s="576">
        <v>25</v>
      </c>
      <c r="D117" s="569">
        <v>0.4</v>
      </c>
      <c r="E117" s="569">
        <v>0.5</v>
      </c>
      <c r="F117" s="571">
        <f t="shared" si="33"/>
        <v>4.9999999999999989E-2</v>
      </c>
      <c r="H117" s="120">
        <v>3</v>
      </c>
      <c r="I117" s="576">
        <v>50</v>
      </c>
      <c r="J117" s="569">
        <v>-5.5</v>
      </c>
      <c r="K117" s="569">
        <v>-5.6</v>
      </c>
      <c r="L117" s="571">
        <f t="shared" si="34"/>
        <v>4.9999999999999822E-2</v>
      </c>
      <c r="N117" s="120">
        <v>3</v>
      </c>
      <c r="O117" s="576">
        <v>850</v>
      </c>
      <c r="P117" s="577" t="s">
        <v>66</v>
      </c>
      <c r="Q117" s="319" t="s">
        <v>66</v>
      </c>
      <c r="R117" s="571">
        <f t="shared" si="35"/>
        <v>0</v>
      </c>
    </row>
    <row r="118" spans="1:21" ht="13">
      <c r="A118" s="1533"/>
      <c r="B118" s="120">
        <v>4</v>
      </c>
      <c r="C118" s="580">
        <v>30</v>
      </c>
      <c r="D118" s="578">
        <v>0.5</v>
      </c>
      <c r="E118" s="578">
        <v>0.4</v>
      </c>
      <c r="F118" s="571">
        <f t="shared" si="33"/>
        <v>4.9999999999999989E-2</v>
      </c>
      <c r="H118" s="120">
        <v>4</v>
      </c>
      <c r="I118" s="580">
        <v>60</v>
      </c>
      <c r="J118" s="578">
        <v>-4.8</v>
      </c>
      <c r="K118" s="578">
        <v>-4.5</v>
      </c>
      <c r="L118" s="571">
        <f t="shared" si="34"/>
        <v>0.14999999999999991</v>
      </c>
      <c r="N118" s="120">
        <v>4</v>
      </c>
      <c r="O118" s="580">
        <v>900</v>
      </c>
      <c r="P118" s="581" t="s">
        <v>66</v>
      </c>
      <c r="Q118" s="579" t="s">
        <v>66</v>
      </c>
      <c r="R118" s="571">
        <f t="shared" si="35"/>
        <v>0</v>
      </c>
    </row>
    <row r="119" spans="1:21" ht="13">
      <c r="A119" s="1533"/>
      <c r="B119" s="120">
        <v>5</v>
      </c>
      <c r="C119" s="580">
        <v>35</v>
      </c>
      <c r="D119" s="578">
        <v>0.5</v>
      </c>
      <c r="E119" s="578">
        <v>0.4</v>
      </c>
      <c r="F119" s="571">
        <f t="shared" si="33"/>
        <v>4.9999999999999989E-2</v>
      </c>
      <c r="H119" s="120">
        <v>5</v>
      </c>
      <c r="I119" s="580">
        <v>70</v>
      </c>
      <c r="J119" s="578">
        <v>-3.4</v>
      </c>
      <c r="K119" s="578">
        <v>-1.7</v>
      </c>
      <c r="L119" s="571">
        <f t="shared" si="34"/>
        <v>0.85</v>
      </c>
      <c r="N119" s="120">
        <v>5</v>
      </c>
      <c r="O119" s="580">
        <v>1000</v>
      </c>
      <c r="P119" s="581" t="s">
        <v>66</v>
      </c>
      <c r="Q119" s="579" t="s">
        <v>66</v>
      </c>
      <c r="R119" s="571">
        <f t="shared" si="35"/>
        <v>0</v>
      </c>
    </row>
    <row r="120" spans="1:21" ht="13">
      <c r="A120" s="1533"/>
      <c r="B120" s="120">
        <v>6</v>
      </c>
      <c r="C120" s="580">
        <v>37</v>
      </c>
      <c r="D120" s="578">
        <v>0.5</v>
      </c>
      <c r="E120" s="578">
        <v>0.5</v>
      </c>
      <c r="F120" s="571">
        <f t="shared" si="33"/>
        <v>0</v>
      </c>
      <c r="H120" s="120">
        <v>6</v>
      </c>
      <c r="I120" s="580">
        <v>80</v>
      </c>
      <c r="J120" s="578">
        <v>-1.4</v>
      </c>
      <c r="K120" s="578">
        <v>2.6</v>
      </c>
      <c r="L120" s="571">
        <f t="shared" si="34"/>
        <v>2</v>
      </c>
      <c r="N120" s="120">
        <v>6</v>
      </c>
      <c r="O120" s="580">
        <v>1005</v>
      </c>
      <c r="P120" s="581" t="s">
        <v>66</v>
      </c>
      <c r="Q120" s="579" t="s">
        <v>66</v>
      </c>
      <c r="R120" s="571">
        <f t="shared" si="35"/>
        <v>0</v>
      </c>
    </row>
    <row r="121" spans="1:21" ht="13.5" thickBot="1">
      <c r="A121" s="1534"/>
      <c r="B121" s="582">
        <v>7</v>
      </c>
      <c r="C121" s="616">
        <v>40</v>
      </c>
      <c r="D121" s="617">
        <v>0.5</v>
      </c>
      <c r="E121" s="570">
        <v>9.9999999999999995E-7</v>
      </c>
      <c r="F121" s="585">
        <f t="shared" si="33"/>
        <v>0.24999950000000001</v>
      </c>
      <c r="G121" s="71"/>
      <c r="H121" s="582">
        <v>7</v>
      </c>
      <c r="I121" s="616">
        <v>90</v>
      </c>
      <c r="J121" s="617">
        <v>1.3</v>
      </c>
      <c r="K121" s="617">
        <v>0</v>
      </c>
      <c r="L121" s="585">
        <f t="shared" si="34"/>
        <v>0.65</v>
      </c>
      <c r="M121" s="71"/>
      <c r="N121" s="582">
        <v>7</v>
      </c>
      <c r="O121" s="586">
        <v>1020</v>
      </c>
      <c r="P121" s="587" t="s">
        <v>66</v>
      </c>
      <c r="Q121" s="584" t="s">
        <v>66</v>
      </c>
      <c r="R121" s="585">
        <f t="shared" si="35"/>
        <v>0</v>
      </c>
    </row>
    <row r="122" spans="1:21" ht="13.5" thickBot="1">
      <c r="A122" s="596"/>
      <c r="B122" s="597"/>
      <c r="C122" s="597"/>
      <c r="D122" s="597"/>
      <c r="E122" s="598"/>
      <c r="F122" s="317"/>
      <c r="G122" s="600"/>
      <c r="H122" s="597"/>
      <c r="I122" s="597"/>
      <c r="J122" s="597"/>
      <c r="K122" s="598"/>
      <c r="L122" s="317"/>
      <c r="O122" s="94"/>
      <c r="P122" s="589"/>
    </row>
    <row r="123" spans="1:21" ht="13" thickBot="1">
      <c r="A123" s="1532">
        <v>12</v>
      </c>
      <c r="B123" s="1535" t="s">
        <v>328</v>
      </c>
      <c r="C123" s="1536"/>
      <c r="D123" s="1536"/>
      <c r="E123" s="1536"/>
      <c r="F123" s="1537"/>
      <c r="G123" s="94"/>
      <c r="H123" s="1535" t="str">
        <f>B123</f>
        <v>KOREKSI EXTECH A.100586</v>
      </c>
      <c r="I123" s="1536"/>
      <c r="J123" s="1536"/>
      <c r="K123" s="1536"/>
      <c r="L123" s="1537"/>
      <c r="M123" s="94"/>
      <c r="N123" s="1535" t="str">
        <f>H123</f>
        <v>KOREKSI EXTECH A.100586</v>
      </c>
      <c r="O123" s="1536"/>
      <c r="P123" s="1536"/>
      <c r="Q123" s="1536"/>
      <c r="R123" s="1537"/>
      <c r="T123" s="1520" t="s">
        <v>99</v>
      </c>
      <c r="U123" s="1521"/>
    </row>
    <row r="124" spans="1:21" ht="13.5" thickBot="1">
      <c r="A124" s="1533"/>
      <c r="B124" s="1522" t="s">
        <v>216</v>
      </c>
      <c r="C124" s="1523"/>
      <c r="D124" s="1524" t="s">
        <v>93</v>
      </c>
      <c r="E124" s="1525"/>
      <c r="F124" s="1526" t="s">
        <v>92</v>
      </c>
      <c r="H124" s="1522" t="s">
        <v>217</v>
      </c>
      <c r="I124" s="1523"/>
      <c r="J124" s="1524" t="s">
        <v>93</v>
      </c>
      <c r="K124" s="1525"/>
      <c r="L124" s="1526" t="s">
        <v>92</v>
      </c>
      <c r="N124" s="1522" t="s">
        <v>402</v>
      </c>
      <c r="O124" s="1523"/>
      <c r="P124" s="1524" t="s">
        <v>93</v>
      </c>
      <c r="Q124" s="1525"/>
      <c r="R124" s="1526" t="s">
        <v>92</v>
      </c>
      <c r="T124" s="565" t="s">
        <v>216</v>
      </c>
      <c r="U124" s="566">
        <v>0.3</v>
      </c>
    </row>
    <row r="125" spans="1:21" ht="15" thickBot="1">
      <c r="A125" s="1533"/>
      <c r="B125" s="1528" t="s">
        <v>218</v>
      </c>
      <c r="C125" s="1529"/>
      <c r="D125" s="592">
        <v>2020</v>
      </c>
      <c r="E125" s="608" t="s">
        <v>66</v>
      </c>
      <c r="F125" s="1527"/>
      <c r="H125" s="1530" t="s">
        <v>94</v>
      </c>
      <c r="I125" s="1531"/>
      <c r="J125" s="593">
        <f>D125</f>
        <v>2020</v>
      </c>
      <c r="K125" s="593" t="str">
        <f>E125</f>
        <v>-</v>
      </c>
      <c r="L125" s="1527"/>
      <c r="N125" s="1530" t="s">
        <v>403</v>
      </c>
      <c r="O125" s="1531"/>
      <c r="P125" s="593">
        <f>J125</f>
        <v>2020</v>
      </c>
      <c r="Q125" s="593" t="str">
        <f>K125</f>
        <v>-</v>
      </c>
      <c r="R125" s="1527"/>
      <c r="T125" s="565" t="s">
        <v>94</v>
      </c>
      <c r="U125" s="566">
        <v>2</v>
      </c>
    </row>
    <row r="126" spans="1:21" ht="13.5" thickBot="1">
      <c r="A126" s="1533"/>
      <c r="B126" s="120">
        <v>1</v>
      </c>
      <c r="C126" s="572">
        <v>15</v>
      </c>
      <c r="D126" s="570">
        <v>9.9999999999999995E-7</v>
      </c>
      <c r="E126" s="609" t="s">
        <v>66</v>
      </c>
      <c r="F126" s="595">
        <f t="shared" ref="F126:F132" si="36">0.5*(MAX(D126:E126)-MIN(D126:E126))</f>
        <v>0</v>
      </c>
      <c r="H126" s="120">
        <v>1</v>
      </c>
      <c r="I126" s="572">
        <v>30</v>
      </c>
      <c r="J126" s="601">
        <v>-0.4</v>
      </c>
      <c r="K126" s="609" t="s">
        <v>66</v>
      </c>
      <c r="L126" s="595">
        <f t="shared" ref="L126:L132" si="37">0.5*(MAX(J126:K126)-MIN(J126:K126))</f>
        <v>0</v>
      </c>
      <c r="N126" s="120">
        <v>1</v>
      </c>
      <c r="O126" s="576">
        <v>800</v>
      </c>
      <c r="P126" s="577">
        <v>-0.4</v>
      </c>
      <c r="Q126" s="609" t="s">
        <v>66</v>
      </c>
      <c r="R126" s="595">
        <f t="shared" ref="R126:R132" si="38">0.5*(MAX(P126:Q126)-MIN(P126:Q126))</f>
        <v>0</v>
      </c>
      <c r="T126" s="574" t="s">
        <v>403</v>
      </c>
      <c r="U126" s="575">
        <v>2.4</v>
      </c>
    </row>
    <row r="127" spans="1:21" ht="13">
      <c r="A127" s="1533"/>
      <c r="B127" s="120">
        <v>2</v>
      </c>
      <c r="C127" s="576">
        <v>20</v>
      </c>
      <c r="D127" s="570">
        <v>9.9999999999999995E-7</v>
      </c>
      <c r="E127" s="319" t="s">
        <v>66</v>
      </c>
      <c r="F127" s="571">
        <f t="shared" si="36"/>
        <v>0</v>
      </c>
      <c r="H127" s="120">
        <v>2</v>
      </c>
      <c r="I127" s="576">
        <v>40</v>
      </c>
      <c r="J127" s="569">
        <v>-0.1</v>
      </c>
      <c r="K127" s="319" t="s">
        <v>66</v>
      </c>
      <c r="L127" s="571">
        <f t="shared" si="37"/>
        <v>0</v>
      </c>
      <c r="N127" s="120">
        <v>2</v>
      </c>
      <c r="O127" s="576">
        <v>850</v>
      </c>
      <c r="P127" s="577">
        <v>-0.5</v>
      </c>
      <c r="Q127" s="319" t="s">
        <v>66</v>
      </c>
      <c r="R127" s="571">
        <f t="shared" si="38"/>
        <v>0</v>
      </c>
    </row>
    <row r="128" spans="1:21" ht="13">
      <c r="A128" s="1533"/>
      <c r="B128" s="120">
        <v>3</v>
      </c>
      <c r="C128" s="576">
        <v>25</v>
      </c>
      <c r="D128" s="570">
        <v>9.9999999999999995E-7</v>
      </c>
      <c r="E128" s="319" t="s">
        <v>66</v>
      </c>
      <c r="F128" s="571">
        <f t="shared" si="36"/>
        <v>0</v>
      </c>
      <c r="H128" s="120">
        <v>3</v>
      </c>
      <c r="I128" s="576">
        <v>50</v>
      </c>
      <c r="J128" s="570">
        <v>9.9999999999999995E-7</v>
      </c>
      <c r="K128" s="319" t="s">
        <v>66</v>
      </c>
      <c r="L128" s="571">
        <f t="shared" si="37"/>
        <v>0</v>
      </c>
      <c r="N128" s="120">
        <v>3</v>
      </c>
      <c r="O128" s="580">
        <v>900</v>
      </c>
      <c r="P128" s="581">
        <v>-0.6</v>
      </c>
      <c r="Q128" s="319" t="s">
        <v>66</v>
      </c>
      <c r="R128" s="571">
        <f t="shared" si="38"/>
        <v>0</v>
      </c>
    </row>
    <row r="129" spans="1:21" ht="13">
      <c r="A129" s="1533"/>
      <c r="B129" s="120">
        <v>4</v>
      </c>
      <c r="C129" s="580">
        <v>30</v>
      </c>
      <c r="D129" s="578">
        <v>-0.1</v>
      </c>
      <c r="E129" s="579" t="s">
        <v>66</v>
      </c>
      <c r="F129" s="571">
        <f t="shared" si="36"/>
        <v>0</v>
      </c>
      <c r="H129" s="120">
        <v>4</v>
      </c>
      <c r="I129" s="580">
        <v>60</v>
      </c>
      <c r="J129" s="570">
        <v>9.9999999999999995E-7</v>
      </c>
      <c r="K129" s="579" t="s">
        <v>66</v>
      </c>
      <c r="L129" s="571">
        <f t="shared" si="37"/>
        <v>0</v>
      </c>
      <c r="N129" s="120">
        <v>4</v>
      </c>
      <c r="O129" s="580">
        <v>950</v>
      </c>
      <c r="P129" s="581">
        <v>-0.7</v>
      </c>
      <c r="Q129" s="579" t="s">
        <v>66</v>
      </c>
      <c r="R129" s="571">
        <f t="shared" si="38"/>
        <v>0</v>
      </c>
    </row>
    <row r="130" spans="1:21" ht="13">
      <c r="A130" s="1533"/>
      <c r="B130" s="120">
        <v>5</v>
      </c>
      <c r="C130" s="580">
        <v>35</v>
      </c>
      <c r="D130" s="578">
        <v>-0.2</v>
      </c>
      <c r="E130" s="579" t="s">
        <v>66</v>
      </c>
      <c r="F130" s="571">
        <f t="shared" si="36"/>
        <v>0</v>
      </c>
      <c r="H130" s="120">
        <v>5</v>
      </c>
      <c r="I130" s="580">
        <v>70</v>
      </c>
      <c r="J130" s="578">
        <v>-0.1</v>
      </c>
      <c r="K130" s="579" t="s">
        <v>66</v>
      </c>
      <c r="L130" s="571">
        <f t="shared" si="37"/>
        <v>0</v>
      </c>
      <c r="N130" s="120">
        <v>5</v>
      </c>
      <c r="O130" s="580">
        <v>1000</v>
      </c>
      <c r="P130" s="581">
        <v>-0.8</v>
      </c>
      <c r="Q130" s="579" t="s">
        <v>66</v>
      </c>
      <c r="R130" s="571">
        <f t="shared" si="38"/>
        <v>0</v>
      </c>
    </row>
    <row r="131" spans="1:21" ht="13.5" thickBot="1">
      <c r="A131" s="1533"/>
      <c r="B131" s="120">
        <v>6</v>
      </c>
      <c r="C131" s="580">
        <v>37</v>
      </c>
      <c r="D131" s="578">
        <v>-0.3</v>
      </c>
      <c r="E131" s="579" t="s">
        <v>66</v>
      </c>
      <c r="F131" s="571">
        <f t="shared" si="36"/>
        <v>0</v>
      </c>
      <c r="H131" s="120">
        <v>6</v>
      </c>
      <c r="I131" s="580">
        <v>80</v>
      </c>
      <c r="J131" s="578">
        <v>-0.5</v>
      </c>
      <c r="K131" s="579" t="s">
        <v>66</v>
      </c>
      <c r="L131" s="571">
        <f t="shared" si="37"/>
        <v>0</v>
      </c>
      <c r="N131" s="120">
        <v>6</v>
      </c>
      <c r="O131" s="586">
        <v>1005</v>
      </c>
      <c r="P131" s="587">
        <v>-0.8</v>
      </c>
      <c r="Q131" s="579" t="s">
        <v>66</v>
      </c>
      <c r="R131" s="571">
        <f t="shared" si="38"/>
        <v>0</v>
      </c>
    </row>
    <row r="132" spans="1:21" ht="13.5" thickBot="1">
      <c r="A132" s="1534"/>
      <c r="B132" s="582">
        <v>7</v>
      </c>
      <c r="C132" s="616">
        <v>40</v>
      </c>
      <c r="D132" s="583">
        <v>-0.4</v>
      </c>
      <c r="E132" s="584" t="s">
        <v>66</v>
      </c>
      <c r="F132" s="585">
        <f t="shared" si="36"/>
        <v>0</v>
      </c>
      <c r="G132" s="71"/>
      <c r="H132" s="582">
        <v>7</v>
      </c>
      <c r="I132" s="616">
        <v>90</v>
      </c>
      <c r="J132" s="583">
        <v>-0.9</v>
      </c>
      <c r="K132" s="584" t="s">
        <v>66</v>
      </c>
      <c r="L132" s="585">
        <f t="shared" si="37"/>
        <v>0</v>
      </c>
      <c r="M132" s="71"/>
      <c r="N132" s="582">
        <v>7</v>
      </c>
      <c r="O132" s="586">
        <v>1020</v>
      </c>
      <c r="P132" s="570">
        <v>9.9999999999999995E-7</v>
      </c>
      <c r="Q132" s="584" t="s">
        <v>66</v>
      </c>
      <c r="R132" s="585">
        <f t="shared" si="38"/>
        <v>0</v>
      </c>
    </row>
    <row r="133" spans="1:21" ht="13" thickBot="1">
      <c r="A133" s="618"/>
      <c r="C133" s="619"/>
      <c r="D133" s="620"/>
      <c r="E133" s="621"/>
      <c r="F133" s="622"/>
      <c r="I133" s="619"/>
      <c r="J133" s="620"/>
      <c r="K133" s="621"/>
      <c r="L133" s="622"/>
      <c r="O133" s="620"/>
      <c r="P133" s="623"/>
      <c r="Q133" s="621"/>
      <c r="R133" s="622"/>
    </row>
    <row r="134" spans="1:21" ht="13" thickBot="1">
      <c r="A134" s="1532">
        <v>13</v>
      </c>
      <c r="B134" s="1535" t="s">
        <v>324</v>
      </c>
      <c r="C134" s="1536"/>
      <c r="D134" s="1536"/>
      <c r="E134" s="1536"/>
      <c r="F134" s="1537"/>
      <c r="G134" s="94"/>
      <c r="H134" s="1535" t="str">
        <f>B134</f>
        <v>KOREKSI EXTECH A.100605</v>
      </c>
      <c r="I134" s="1536"/>
      <c r="J134" s="1536"/>
      <c r="K134" s="1536"/>
      <c r="L134" s="1537"/>
      <c r="M134" s="94"/>
      <c r="N134" s="1535" t="str">
        <f>H134</f>
        <v>KOREKSI EXTECH A.100605</v>
      </c>
      <c r="O134" s="1536"/>
      <c r="P134" s="1536"/>
      <c r="Q134" s="1536"/>
      <c r="R134" s="1537"/>
      <c r="T134" s="1520" t="s">
        <v>99</v>
      </c>
      <c r="U134" s="1521"/>
    </row>
    <row r="135" spans="1:21" ht="13.5" thickBot="1">
      <c r="A135" s="1533"/>
      <c r="B135" s="1522" t="s">
        <v>216</v>
      </c>
      <c r="C135" s="1523"/>
      <c r="D135" s="1524" t="s">
        <v>93</v>
      </c>
      <c r="E135" s="1525"/>
      <c r="F135" s="1526" t="s">
        <v>92</v>
      </c>
      <c r="H135" s="1522" t="s">
        <v>217</v>
      </c>
      <c r="I135" s="1523"/>
      <c r="J135" s="1524" t="s">
        <v>93</v>
      </c>
      <c r="K135" s="1525"/>
      <c r="L135" s="1526" t="s">
        <v>92</v>
      </c>
      <c r="N135" s="1522" t="s">
        <v>402</v>
      </c>
      <c r="O135" s="1523"/>
      <c r="P135" s="1524" t="s">
        <v>93</v>
      </c>
      <c r="Q135" s="1525"/>
      <c r="R135" s="1526" t="s">
        <v>92</v>
      </c>
      <c r="T135" s="565" t="s">
        <v>216</v>
      </c>
      <c r="U135" s="566">
        <v>0.3</v>
      </c>
    </row>
    <row r="136" spans="1:21" ht="15" thickBot="1">
      <c r="A136" s="1533"/>
      <c r="B136" s="1528" t="s">
        <v>218</v>
      </c>
      <c r="C136" s="1529"/>
      <c r="D136" s="592">
        <v>2020</v>
      </c>
      <c r="E136" s="608" t="s">
        <v>66</v>
      </c>
      <c r="F136" s="1527"/>
      <c r="H136" s="1530" t="s">
        <v>94</v>
      </c>
      <c r="I136" s="1531"/>
      <c r="J136" s="593">
        <f>D136</f>
        <v>2020</v>
      </c>
      <c r="K136" s="593" t="str">
        <f>E136</f>
        <v>-</v>
      </c>
      <c r="L136" s="1527"/>
      <c r="N136" s="1530" t="s">
        <v>403</v>
      </c>
      <c r="O136" s="1531"/>
      <c r="P136" s="593">
        <f>J136</f>
        <v>2020</v>
      </c>
      <c r="Q136" s="593" t="str">
        <f>K136</f>
        <v>-</v>
      </c>
      <c r="R136" s="1527"/>
      <c r="T136" s="565" t="s">
        <v>94</v>
      </c>
      <c r="U136" s="566">
        <v>2.7</v>
      </c>
    </row>
    <row r="137" spans="1:21" ht="13.5" thickBot="1">
      <c r="A137" s="1533"/>
      <c r="B137" s="120">
        <v>1</v>
      </c>
      <c r="C137" s="572">
        <v>15</v>
      </c>
      <c r="D137" s="601">
        <v>-0.7</v>
      </c>
      <c r="E137" s="609" t="s">
        <v>66</v>
      </c>
      <c r="F137" s="595">
        <f t="shared" ref="F137:F143" si="39">0.5*(MAX(D137:E137)-MIN(D137:E137))</f>
        <v>0</v>
      </c>
      <c r="H137" s="120">
        <v>1</v>
      </c>
      <c r="I137" s="572">
        <v>35</v>
      </c>
      <c r="J137" s="601">
        <v>-1.4</v>
      </c>
      <c r="K137" s="609" t="s">
        <v>66</v>
      </c>
      <c r="L137" s="595">
        <f t="shared" ref="L137:L143" si="40">0.5*(MAX(J137:K137)-MIN(J137:K137))</f>
        <v>0</v>
      </c>
      <c r="N137" s="120">
        <v>1</v>
      </c>
      <c r="O137" s="576">
        <v>960</v>
      </c>
      <c r="P137" s="577">
        <v>0.9</v>
      </c>
      <c r="Q137" s="609" t="s">
        <v>66</v>
      </c>
      <c r="R137" s="595">
        <f t="shared" ref="R137:R143" si="41">0.5*(MAX(P137:Q137)-MIN(P137:Q137))</f>
        <v>0</v>
      </c>
      <c r="T137" s="574" t="s">
        <v>403</v>
      </c>
      <c r="U137" s="575">
        <v>1.5</v>
      </c>
    </row>
    <row r="138" spans="1:21" ht="13">
      <c r="A138" s="1533"/>
      <c r="B138" s="120">
        <v>2</v>
      </c>
      <c r="C138" s="576">
        <v>20</v>
      </c>
      <c r="D138" s="569">
        <v>-0.4</v>
      </c>
      <c r="E138" s="319" t="s">
        <v>66</v>
      </c>
      <c r="F138" s="571">
        <f t="shared" si="39"/>
        <v>0</v>
      </c>
      <c r="H138" s="120">
        <v>2</v>
      </c>
      <c r="I138" s="576">
        <v>40</v>
      </c>
      <c r="J138" s="569">
        <v>-1.3</v>
      </c>
      <c r="K138" s="319" t="s">
        <v>66</v>
      </c>
      <c r="L138" s="571">
        <f t="shared" si="40"/>
        <v>0</v>
      </c>
      <c r="N138" s="120">
        <v>2</v>
      </c>
      <c r="O138" s="576">
        <v>970</v>
      </c>
      <c r="P138" s="577">
        <v>1</v>
      </c>
      <c r="Q138" s="319" t="s">
        <v>66</v>
      </c>
      <c r="R138" s="571">
        <f t="shared" si="41"/>
        <v>0</v>
      </c>
    </row>
    <row r="139" spans="1:21" ht="13">
      <c r="A139" s="1533"/>
      <c r="B139" s="120">
        <v>3</v>
      </c>
      <c r="C139" s="576">
        <v>25</v>
      </c>
      <c r="D139" s="569">
        <v>-0.2</v>
      </c>
      <c r="E139" s="319" t="s">
        <v>66</v>
      </c>
      <c r="F139" s="571">
        <f t="shared" si="39"/>
        <v>0</v>
      </c>
      <c r="H139" s="120">
        <v>3</v>
      </c>
      <c r="I139" s="576">
        <v>50</v>
      </c>
      <c r="J139" s="569">
        <v>-1.3</v>
      </c>
      <c r="K139" s="319" t="s">
        <v>66</v>
      </c>
      <c r="L139" s="571">
        <f t="shared" si="40"/>
        <v>0</v>
      </c>
      <c r="N139" s="120">
        <v>3</v>
      </c>
      <c r="O139" s="580">
        <v>980</v>
      </c>
      <c r="P139" s="581">
        <v>1</v>
      </c>
      <c r="Q139" s="319" t="s">
        <v>66</v>
      </c>
      <c r="R139" s="571">
        <f t="shared" si="41"/>
        <v>0</v>
      </c>
    </row>
    <row r="140" spans="1:21" ht="13">
      <c r="A140" s="1533"/>
      <c r="B140" s="120">
        <v>4</v>
      </c>
      <c r="C140" s="580">
        <v>30</v>
      </c>
      <c r="D140" s="578">
        <v>0.1</v>
      </c>
      <c r="E140" s="579" t="s">
        <v>66</v>
      </c>
      <c r="F140" s="571">
        <f t="shared" si="39"/>
        <v>0</v>
      </c>
      <c r="H140" s="120">
        <v>4</v>
      </c>
      <c r="I140" s="580">
        <v>60</v>
      </c>
      <c r="J140" s="578">
        <v>-1.5</v>
      </c>
      <c r="K140" s="579" t="s">
        <v>66</v>
      </c>
      <c r="L140" s="571">
        <f t="shared" si="40"/>
        <v>0</v>
      </c>
      <c r="N140" s="120">
        <v>4</v>
      </c>
      <c r="O140" s="580">
        <v>990</v>
      </c>
      <c r="P140" s="581">
        <v>1.1000000000000001</v>
      </c>
      <c r="Q140" s="579" t="s">
        <v>66</v>
      </c>
      <c r="R140" s="571">
        <f t="shared" si="41"/>
        <v>0</v>
      </c>
    </row>
    <row r="141" spans="1:21" ht="13">
      <c r="A141" s="1533"/>
      <c r="B141" s="120">
        <v>5</v>
      </c>
      <c r="C141" s="580">
        <v>35</v>
      </c>
      <c r="D141" s="578">
        <v>0.3</v>
      </c>
      <c r="E141" s="579" t="s">
        <v>66</v>
      </c>
      <c r="F141" s="571">
        <f t="shared" si="39"/>
        <v>0</v>
      </c>
      <c r="H141" s="120">
        <v>5</v>
      </c>
      <c r="I141" s="580">
        <v>70</v>
      </c>
      <c r="J141" s="578">
        <v>-1.9</v>
      </c>
      <c r="K141" s="579" t="s">
        <v>66</v>
      </c>
      <c r="L141" s="571">
        <f t="shared" si="40"/>
        <v>0</v>
      </c>
      <c r="N141" s="120">
        <v>5</v>
      </c>
      <c r="O141" s="580">
        <v>1000</v>
      </c>
      <c r="P141" s="581">
        <v>1.1000000000000001</v>
      </c>
      <c r="Q141" s="579" t="s">
        <v>66</v>
      </c>
      <c r="R141" s="571">
        <f t="shared" si="41"/>
        <v>0</v>
      </c>
    </row>
    <row r="142" spans="1:21" ht="13.5" thickBot="1">
      <c r="A142" s="1533"/>
      <c r="B142" s="120">
        <v>6</v>
      </c>
      <c r="C142" s="580">
        <v>37</v>
      </c>
      <c r="D142" s="578">
        <v>0.4</v>
      </c>
      <c r="E142" s="579" t="s">
        <v>66</v>
      </c>
      <c r="F142" s="571">
        <f t="shared" si="39"/>
        <v>0</v>
      </c>
      <c r="H142" s="120">
        <v>6</v>
      </c>
      <c r="I142" s="580">
        <v>80</v>
      </c>
      <c r="J142" s="578">
        <v>-2.5</v>
      </c>
      <c r="K142" s="579" t="s">
        <v>66</v>
      </c>
      <c r="L142" s="571">
        <f t="shared" si="40"/>
        <v>0</v>
      </c>
      <c r="N142" s="120">
        <v>6</v>
      </c>
      <c r="O142" s="586">
        <v>1005</v>
      </c>
      <c r="P142" s="587">
        <v>1.1000000000000001</v>
      </c>
      <c r="Q142" s="579" t="s">
        <v>66</v>
      </c>
      <c r="R142" s="571">
        <f t="shared" si="41"/>
        <v>0</v>
      </c>
    </row>
    <row r="143" spans="1:21" ht="13.5" thickBot="1">
      <c r="A143" s="1534"/>
      <c r="B143" s="582">
        <v>7</v>
      </c>
      <c r="C143" s="616">
        <v>40</v>
      </c>
      <c r="D143" s="583">
        <v>0.5</v>
      </c>
      <c r="E143" s="584" t="s">
        <v>66</v>
      </c>
      <c r="F143" s="585">
        <f t="shared" si="39"/>
        <v>0</v>
      </c>
      <c r="G143" s="71"/>
      <c r="H143" s="582">
        <v>7</v>
      </c>
      <c r="I143" s="616">
        <v>90</v>
      </c>
      <c r="J143" s="583">
        <v>-3.2</v>
      </c>
      <c r="K143" s="584" t="s">
        <v>66</v>
      </c>
      <c r="L143" s="585">
        <f t="shared" si="40"/>
        <v>0</v>
      </c>
      <c r="M143" s="71"/>
      <c r="N143" s="582">
        <v>7</v>
      </c>
      <c r="O143" s="586">
        <v>1020</v>
      </c>
      <c r="P143" s="570">
        <v>9.9999999999999995E-7</v>
      </c>
      <c r="Q143" s="584" t="s">
        <v>66</v>
      </c>
      <c r="R143" s="585">
        <f t="shared" si="41"/>
        <v>0</v>
      </c>
    </row>
    <row r="144" spans="1:21" ht="13" thickBot="1">
      <c r="A144" s="618"/>
      <c r="C144" s="619"/>
      <c r="D144" s="620"/>
      <c r="E144" s="621"/>
      <c r="F144" s="622"/>
      <c r="I144" s="619"/>
      <c r="J144" s="620"/>
      <c r="K144" s="621"/>
      <c r="L144" s="622"/>
      <c r="O144" s="620"/>
      <c r="P144" s="623"/>
      <c r="Q144" s="621"/>
      <c r="R144" s="622"/>
    </row>
    <row r="145" spans="1:21" ht="13" thickBot="1">
      <c r="A145" s="1532">
        <v>14</v>
      </c>
      <c r="B145" s="1535" t="s">
        <v>323</v>
      </c>
      <c r="C145" s="1536"/>
      <c r="D145" s="1536"/>
      <c r="E145" s="1536"/>
      <c r="F145" s="1537"/>
      <c r="G145" s="94"/>
      <c r="H145" s="1535" t="str">
        <f>B145</f>
        <v>KOREKSI EXTECH A.100609</v>
      </c>
      <c r="I145" s="1536"/>
      <c r="J145" s="1536"/>
      <c r="K145" s="1536"/>
      <c r="L145" s="1537"/>
      <c r="M145" s="94"/>
      <c r="N145" s="1535" t="str">
        <f>H145</f>
        <v>KOREKSI EXTECH A.100609</v>
      </c>
      <c r="O145" s="1536"/>
      <c r="P145" s="1536"/>
      <c r="Q145" s="1536"/>
      <c r="R145" s="1537"/>
      <c r="T145" s="1520" t="s">
        <v>99</v>
      </c>
      <c r="U145" s="1521"/>
    </row>
    <row r="146" spans="1:21" ht="13.5" thickBot="1">
      <c r="A146" s="1533"/>
      <c r="B146" s="1522" t="s">
        <v>216</v>
      </c>
      <c r="C146" s="1523"/>
      <c r="D146" s="1524" t="s">
        <v>93</v>
      </c>
      <c r="E146" s="1525"/>
      <c r="F146" s="1526" t="s">
        <v>92</v>
      </c>
      <c r="H146" s="1522" t="s">
        <v>217</v>
      </c>
      <c r="I146" s="1523"/>
      <c r="J146" s="1524" t="s">
        <v>93</v>
      </c>
      <c r="K146" s="1525"/>
      <c r="L146" s="1526" t="s">
        <v>92</v>
      </c>
      <c r="N146" s="1522" t="s">
        <v>402</v>
      </c>
      <c r="O146" s="1523"/>
      <c r="P146" s="1524" t="s">
        <v>93</v>
      </c>
      <c r="Q146" s="1525"/>
      <c r="R146" s="1526" t="s">
        <v>92</v>
      </c>
      <c r="T146" s="565" t="s">
        <v>216</v>
      </c>
      <c r="U146" s="566">
        <v>0.4</v>
      </c>
    </row>
    <row r="147" spans="1:21" ht="15" thickBot="1">
      <c r="A147" s="1533"/>
      <c r="B147" s="1528" t="s">
        <v>218</v>
      </c>
      <c r="C147" s="1529"/>
      <c r="D147" s="592">
        <v>2020</v>
      </c>
      <c r="E147" s="608" t="s">
        <v>66</v>
      </c>
      <c r="F147" s="1527"/>
      <c r="H147" s="1530" t="s">
        <v>94</v>
      </c>
      <c r="I147" s="1531"/>
      <c r="J147" s="593">
        <f>D147</f>
        <v>2020</v>
      </c>
      <c r="K147" s="593" t="str">
        <f>E147</f>
        <v>-</v>
      </c>
      <c r="L147" s="1527"/>
      <c r="N147" s="1530" t="s">
        <v>403</v>
      </c>
      <c r="O147" s="1531"/>
      <c r="P147" s="593">
        <f>J147</f>
        <v>2020</v>
      </c>
      <c r="Q147" s="593" t="str">
        <f>K147</f>
        <v>-</v>
      </c>
      <c r="R147" s="1527"/>
      <c r="T147" s="565" t="s">
        <v>94</v>
      </c>
      <c r="U147" s="566">
        <v>2.2000000000000002</v>
      </c>
    </row>
    <row r="148" spans="1:21" ht="13.5" thickBot="1">
      <c r="A148" s="1533"/>
      <c r="B148" s="120">
        <v>1</v>
      </c>
      <c r="C148" s="572">
        <v>15</v>
      </c>
      <c r="D148" s="601">
        <v>-0.2</v>
      </c>
      <c r="E148" s="609" t="s">
        <v>66</v>
      </c>
      <c r="F148" s="595">
        <f t="shared" ref="F148:F154" si="42">0.5*(MAX(D148:E148)-MIN(D148:E148))</f>
        <v>0</v>
      </c>
      <c r="H148" s="120">
        <v>1</v>
      </c>
      <c r="I148" s="572">
        <v>35</v>
      </c>
      <c r="J148" s="601">
        <v>0.6</v>
      </c>
      <c r="K148" s="609" t="s">
        <v>66</v>
      </c>
      <c r="L148" s="595">
        <f t="shared" ref="L148:L154" si="43">0.5*(MAX(J148:K148)-MIN(J148:K148))</f>
        <v>0</v>
      </c>
      <c r="N148" s="120">
        <v>1</v>
      </c>
      <c r="O148" s="576">
        <v>960</v>
      </c>
      <c r="P148" s="577">
        <v>0.9</v>
      </c>
      <c r="Q148" s="609" t="s">
        <v>66</v>
      </c>
      <c r="R148" s="595">
        <f t="shared" ref="R148:R154" si="44">0.5*(MAX(P148:Q148)-MIN(P148:Q148))</f>
        <v>0</v>
      </c>
      <c r="T148" s="574" t="s">
        <v>403</v>
      </c>
      <c r="U148" s="575">
        <v>1.5</v>
      </c>
    </row>
    <row r="149" spans="1:21" ht="13">
      <c r="A149" s="1533"/>
      <c r="B149" s="120">
        <v>2</v>
      </c>
      <c r="C149" s="576">
        <v>20</v>
      </c>
      <c r="D149" s="569">
        <v>-0.1</v>
      </c>
      <c r="E149" s="319" t="s">
        <v>66</v>
      </c>
      <c r="F149" s="571">
        <f t="shared" si="42"/>
        <v>0</v>
      </c>
      <c r="H149" s="120">
        <v>2</v>
      </c>
      <c r="I149" s="576">
        <v>40</v>
      </c>
      <c r="J149" s="569">
        <v>0.3</v>
      </c>
      <c r="K149" s="319" t="s">
        <v>66</v>
      </c>
      <c r="L149" s="571">
        <f t="shared" si="43"/>
        <v>0</v>
      </c>
      <c r="N149" s="120">
        <v>2</v>
      </c>
      <c r="O149" s="576">
        <v>970</v>
      </c>
      <c r="P149" s="577">
        <v>1</v>
      </c>
      <c r="Q149" s="319" t="s">
        <v>66</v>
      </c>
      <c r="R149" s="571">
        <f t="shared" si="44"/>
        <v>0</v>
      </c>
    </row>
    <row r="150" spans="1:21" ht="13">
      <c r="A150" s="1533"/>
      <c r="B150" s="120">
        <v>3</v>
      </c>
      <c r="C150" s="576">
        <v>25</v>
      </c>
      <c r="D150" s="569">
        <v>-0.1</v>
      </c>
      <c r="E150" s="319" t="s">
        <v>66</v>
      </c>
      <c r="F150" s="571">
        <f t="shared" si="42"/>
        <v>0</v>
      </c>
      <c r="H150" s="120">
        <v>3</v>
      </c>
      <c r="I150" s="576">
        <v>50</v>
      </c>
      <c r="J150" s="569">
        <v>-0.2</v>
      </c>
      <c r="K150" s="319" t="s">
        <v>66</v>
      </c>
      <c r="L150" s="571">
        <f t="shared" si="43"/>
        <v>0</v>
      </c>
      <c r="N150" s="120">
        <v>3</v>
      </c>
      <c r="O150" s="580">
        <v>980</v>
      </c>
      <c r="P150" s="581">
        <v>1</v>
      </c>
      <c r="Q150" s="319" t="s">
        <v>66</v>
      </c>
      <c r="R150" s="571">
        <f t="shared" si="44"/>
        <v>0</v>
      </c>
    </row>
    <row r="151" spans="1:21" ht="13">
      <c r="A151" s="1533"/>
      <c r="B151" s="120">
        <v>4</v>
      </c>
      <c r="C151" s="580">
        <v>30</v>
      </c>
      <c r="D151" s="578">
        <v>-0.3</v>
      </c>
      <c r="E151" s="579" t="s">
        <v>66</v>
      </c>
      <c r="F151" s="571">
        <f t="shared" si="42"/>
        <v>0</v>
      </c>
      <c r="H151" s="120">
        <v>4</v>
      </c>
      <c r="I151" s="580">
        <v>60</v>
      </c>
      <c r="J151" s="578">
        <v>-0.6</v>
      </c>
      <c r="K151" s="579" t="s">
        <v>66</v>
      </c>
      <c r="L151" s="571">
        <f t="shared" si="43"/>
        <v>0</v>
      </c>
      <c r="N151" s="120">
        <v>4</v>
      </c>
      <c r="O151" s="580">
        <v>990</v>
      </c>
      <c r="P151" s="581">
        <v>1.1000000000000001</v>
      </c>
      <c r="Q151" s="579" t="s">
        <v>66</v>
      </c>
      <c r="R151" s="571">
        <f t="shared" si="44"/>
        <v>0</v>
      </c>
    </row>
    <row r="152" spans="1:21" ht="13">
      <c r="A152" s="1533"/>
      <c r="B152" s="120">
        <v>5</v>
      </c>
      <c r="C152" s="580">
        <v>35</v>
      </c>
      <c r="D152" s="578">
        <v>-0.6</v>
      </c>
      <c r="E152" s="579" t="s">
        <v>66</v>
      </c>
      <c r="F152" s="571">
        <f t="shared" si="42"/>
        <v>0</v>
      </c>
      <c r="H152" s="120">
        <v>5</v>
      </c>
      <c r="I152" s="580">
        <v>70</v>
      </c>
      <c r="J152" s="578">
        <v>-0.8</v>
      </c>
      <c r="K152" s="579" t="s">
        <v>66</v>
      </c>
      <c r="L152" s="571">
        <f t="shared" si="43"/>
        <v>0</v>
      </c>
      <c r="N152" s="120">
        <v>5</v>
      </c>
      <c r="O152" s="580">
        <v>1000</v>
      </c>
      <c r="P152" s="581">
        <v>1.1000000000000001</v>
      </c>
      <c r="Q152" s="579" t="s">
        <v>66</v>
      </c>
      <c r="R152" s="571">
        <f t="shared" si="44"/>
        <v>0</v>
      </c>
    </row>
    <row r="153" spans="1:21" ht="13.5" thickBot="1">
      <c r="A153" s="1533"/>
      <c r="B153" s="120">
        <v>6</v>
      </c>
      <c r="C153" s="580">
        <v>37</v>
      </c>
      <c r="D153" s="578">
        <v>-0.8</v>
      </c>
      <c r="E153" s="579" t="s">
        <v>66</v>
      </c>
      <c r="F153" s="571">
        <f t="shared" si="42"/>
        <v>0</v>
      </c>
      <c r="H153" s="120">
        <v>6</v>
      </c>
      <c r="I153" s="580">
        <v>80</v>
      </c>
      <c r="J153" s="578">
        <v>-0.9</v>
      </c>
      <c r="K153" s="579" t="s">
        <v>66</v>
      </c>
      <c r="L153" s="571">
        <f t="shared" si="43"/>
        <v>0</v>
      </c>
      <c r="N153" s="120">
        <v>6</v>
      </c>
      <c r="O153" s="586">
        <v>1005</v>
      </c>
      <c r="P153" s="587">
        <v>1.1000000000000001</v>
      </c>
      <c r="Q153" s="579" t="s">
        <v>66</v>
      </c>
      <c r="R153" s="571">
        <f t="shared" si="44"/>
        <v>0</v>
      </c>
    </row>
    <row r="154" spans="1:21" ht="13.5" thickBot="1">
      <c r="A154" s="1534"/>
      <c r="B154" s="582">
        <v>7</v>
      </c>
      <c r="C154" s="616">
        <v>40</v>
      </c>
      <c r="D154" s="583">
        <v>-1.1000000000000001</v>
      </c>
      <c r="E154" s="584" t="s">
        <v>66</v>
      </c>
      <c r="F154" s="585">
        <f t="shared" si="42"/>
        <v>0</v>
      </c>
      <c r="G154" s="71"/>
      <c r="H154" s="582">
        <v>7</v>
      </c>
      <c r="I154" s="616">
        <v>90</v>
      </c>
      <c r="J154" s="583">
        <v>-0.8</v>
      </c>
      <c r="K154" s="584" t="s">
        <v>66</v>
      </c>
      <c r="L154" s="585">
        <f t="shared" si="43"/>
        <v>0</v>
      </c>
      <c r="M154" s="71"/>
      <c r="N154" s="582">
        <v>7</v>
      </c>
      <c r="O154" s="586">
        <v>1020</v>
      </c>
      <c r="P154" s="570">
        <v>9.9999999999999995E-7</v>
      </c>
      <c r="Q154" s="584" t="s">
        <v>66</v>
      </c>
      <c r="R154" s="585">
        <f t="shared" si="44"/>
        <v>0</v>
      </c>
    </row>
    <row r="155" spans="1:21" ht="13" thickBot="1">
      <c r="A155" s="618"/>
      <c r="C155" s="619"/>
      <c r="D155" s="620"/>
      <c r="E155" s="621"/>
      <c r="F155" s="622"/>
      <c r="I155" s="619"/>
      <c r="J155" s="620"/>
      <c r="K155" s="621"/>
      <c r="L155" s="622"/>
      <c r="O155" s="620"/>
      <c r="P155" s="623"/>
      <c r="Q155" s="621"/>
      <c r="R155" s="622"/>
    </row>
    <row r="156" spans="1:21" ht="13" thickBot="1">
      <c r="A156" s="1532">
        <v>15</v>
      </c>
      <c r="B156" s="1535" t="s">
        <v>322</v>
      </c>
      <c r="C156" s="1536"/>
      <c r="D156" s="1536"/>
      <c r="E156" s="1536"/>
      <c r="F156" s="1537"/>
      <c r="G156" s="94"/>
      <c r="H156" s="1535" t="str">
        <f>B156</f>
        <v>KOREKSI EXTECH A.100611</v>
      </c>
      <c r="I156" s="1536"/>
      <c r="J156" s="1536"/>
      <c r="K156" s="1536"/>
      <c r="L156" s="1537"/>
      <c r="M156" s="94"/>
      <c r="N156" s="1535" t="str">
        <f>H156</f>
        <v>KOREKSI EXTECH A.100611</v>
      </c>
      <c r="O156" s="1536"/>
      <c r="P156" s="1536"/>
      <c r="Q156" s="1536"/>
      <c r="R156" s="1537"/>
      <c r="T156" s="1520" t="s">
        <v>99</v>
      </c>
      <c r="U156" s="1521"/>
    </row>
    <row r="157" spans="1:21" ht="13.5" thickBot="1">
      <c r="A157" s="1533"/>
      <c r="B157" s="1522" t="s">
        <v>216</v>
      </c>
      <c r="C157" s="1523"/>
      <c r="D157" s="1524" t="s">
        <v>93</v>
      </c>
      <c r="E157" s="1525"/>
      <c r="F157" s="1526" t="s">
        <v>92</v>
      </c>
      <c r="H157" s="1522" t="s">
        <v>217</v>
      </c>
      <c r="I157" s="1523"/>
      <c r="J157" s="1524" t="s">
        <v>93</v>
      </c>
      <c r="K157" s="1525"/>
      <c r="L157" s="1526" t="s">
        <v>92</v>
      </c>
      <c r="N157" s="1522" t="s">
        <v>402</v>
      </c>
      <c r="O157" s="1523"/>
      <c r="P157" s="1524" t="s">
        <v>93</v>
      </c>
      <c r="Q157" s="1525"/>
      <c r="R157" s="1526" t="s">
        <v>92</v>
      </c>
      <c r="T157" s="565" t="s">
        <v>216</v>
      </c>
      <c r="U157" s="566">
        <v>0.3</v>
      </c>
    </row>
    <row r="158" spans="1:21" ht="15" thickBot="1">
      <c r="A158" s="1533"/>
      <c r="B158" s="1528" t="s">
        <v>218</v>
      </c>
      <c r="C158" s="1529"/>
      <c r="D158" s="592">
        <v>2020</v>
      </c>
      <c r="E158" s="608" t="s">
        <v>66</v>
      </c>
      <c r="F158" s="1527"/>
      <c r="H158" s="1530" t="s">
        <v>94</v>
      </c>
      <c r="I158" s="1531"/>
      <c r="J158" s="593">
        <f>D158</f>
        <v>2020</v>
      </c>
      <c r="K158" s="593" t="str">
        <f>E158</f>
        <v>-</v>
      </c>
      <c r="L158" s="1527"/>
      <c r="N158" s="1530" t="s">
        <v>403</v>
      </c>
      <c r="O158" s="1531"/>
      <c r="P158" s="593">
        <f>J158</f>
        <v>2020</v>
      </c>
      <c r="Q158" s="593" t="str">
        <f>K158</f>
        <v>-</v>
      </c>
      <c r="R158" s="1527"/>
      <c r="T158" s="565" t="s">
        <v>94</v>
      </c>
      <c r="U158" s="566">
        <v>2.7</v>
      </c>
    </row>
    <row r="159" spans="1:21" ht="13.5" thickBot="1">
      <c r="A159" s="1533"/>
      <c r="B159" s="120">
        <v>1</v>
      </c>
      <c r="C159" s="572">
        <v>15</v>
      </c>
      <c r="D159" s="601">
        <v>-0.6</v>
      </c>
      <c r="E159" s="609" t="s">
        <v>66</v>
      </c>
      <c r="F159" s="595">
        <f t="shared" ref="F159:F165" si="45">0.5*(MAX(D159:E159)-MIN(D159:E159))</f>
        <v>0</v>
      </c>
      <c r="H159" s="120">
        <v>1</v>
      </c>
      <c r="I159" s="572">
        <v>35</v>
      </c>
      <c r="J159" s="601">
        <v>-0.4</v>
      </c>
      <c r="K159" s="609" t="s">
        <v>66</v>
      </c>
      <c r="L159" s="595">
        <f t="shared" ref="L159:L165" si="46">0.5*(MAX(J159:K159)-MIN(J159:K159))</f>
        <v>0</v>
      </c>
      <c r="N159" s="120">
        <v>1</v>
      </c>
      <c r="O159" s="576">
        <v>960</v>
      </c>
      <c r="P159" s="577">
        <v>0.9</v>
      </c>
      <c r="Q159" s="609" t="s">
        <v>66</v>
      </c>
      <c r="R159" s="595">
        <f t="shared" ref="R159:R165" si="47">0.5*(MAX(P159:Q159)-MIN(P159:Q159))</f>
        <v>0</v>
      </c>
      <c r="T159" s="574" t="s">
        <v>403</v>
      </c>
      <c r="U159" s="575">
        <v>1.5</v>
      </c>
    </row>
    <row r="160" spans="1:21" ht="13">
      <c r="A160" s="1533"/>
      <c r="B160" s="120">
        <v>2</v>
      </c>
      <c r="C160" s="576">
        <v>20</v>
      </c>
      <c r="D160" s="569">
        <v>-0.5</v>
      </c>
      <c r="E160" s="319" t="s">
        <v>66</v>
      </c>
      <c r="F160" s="571">
        <f t="shared" si="45"/>
        <v>0</v>
      </c>
      <c r="H160" s="120">
        <v>2</v>
      </c>
      <c r="I160" s="576">
        <v>40</v>
      </c>
      <c r="J160" s="569">
        <v>-0.3</v>
      </c>
      <c r="K160" s="319" t="s">
        <v>66</v>
      </c>
      <c r="L160" s="571">
        <f t="shared" si="46"/>
        <v>0</v>
      </c>
      <c r="N160" s="120">
        <v>2</v>
      </c>
      <c r="O160" s="576">
        <v>970</v>
      </c>
      <c r="P160" s="577">
        <v>1</v>
      </c>
      <c r="Q160" s="319" t="s">
        <v>66</v>
      </c>
      <c r="R160" s="571">
        <f t="shared" si="47"/>
        <v>0</v>
      </c>
    </row>
    <row r="161" spans="1:21" ht="13">
      <c r="A161" s="1533"/>
      <c r="B161" s="120">
        <v>3</v>
      </c>
      <c r="C161" s="576">
        <v>25</v>
      </c>
      <c r="D161" s="569">
        <v>-0.4</v>
      </c>
      <c r="E161" s="319" t="s">
        <v>66</v>
      </c>
      <c r="F161" s="571">
        <f t="shared" si="45"/>
        <v>0</v>
      </c>
      <c r="H161" s="120">
        <v>3</v>
      </c>
      <c r="I161" s="576">
        <v>50</v>
      </c>
      <c r="J161" s="569">
        <v>-0.3</v>
      </c>
      <c r="K161" s="319" t="s">
        <v>66</v>
      </c>
      <c r="L161" s="571">
        <f t="shared" si="46"/>
        <v>0</v>
      </c>
      <c r="N161" s="120">
        <v>3</v>
      </c>
      <c r="O161" s="580">
        <v>980</v>
      </c>
      <c r="P161" s="581">
        <v>1</v>
      </c>
      <c r="Q161" s="319" t="s">
        <v>66</v>
      </c>
      <c r="R161" s="571">
        <f t="shared" si="47"/>
        <v>0</v>
      </c>
    </row>
    <row r="162" spans="1:21" ht="13">
      <c r="A162" s="1533"/>
      <c r="B162" s="120">
        <v>4</v>
      </c>
      <c r="C162" s="580">
        <v>30</v>
      </c>
      <c r="D162" s="578">
        <v>-0.2</v>
      </c>
      <c r="E162" s="579" t="s">
        <v>66</v>
      </c>
      <c r="F162" s="571">
        <f t="shared" si="45"/>
        <v>0</v>
      </c>
      <c r="H162" s="120">
        <v>4</v>
      </c>
      <c r="I162" s="580">
        <v>60</v>
      </c>
      <c r="J162" s="578">
        <v>-0.5</v>
      </c>
      <c r="K162" s="579" t="s">
        <v>66</v>
      </c>
      <c r="L162" s="571">
        <f t="shared" si="46"/>
        <v>0</v>
      </c>
      <c r="N162" s="120">
        <v>4</v>
      </c>
      <c r="O162" s="580">
        <v>990</v>
      </c>
      <c r="P162" s="581">
        <v>1.1000000000000001</v>
      </c>
      <c r="Q162" s="579" t="s">
        <v>66</v>
      </c>
      <c r="R162" s="571">
        <f t="shared" si="47"/>
        <v>0</v>
      </c>
    </row>
    <row r="163" spans="1:21" ht="13">
      <c r="A163" s="1533"/>
      <c r="B163" s="120">
        <v>5</v>
      </c>
      <c r="C163" s="580">
        <v>35</v>
      </c>
      <c r="D163" s="578">
        <v>-0.1</v>
      </c>
      <c r="E163" s="579" t="s">
        <v>66</v>
      </c>
      <c r="F163" s="571">
        <f t="shared" si="45"/>
        <v>0</v>
      </c>
      <c r="H163" s="120">
        <v>5</v>
      </c>
      <c r="I163" s="580">
        <v>70</v>
      </c>
      <c r="J163" s="578">
        <v>-0.8</v>
      </c>
      <c r="K163" s="579" t="s">
        <v>66</v>
      </c>
      <c r="L163" s="571">
        <f t="shared" si="46"/>
        <v>0</v>
      </c>
      <c r="N163" s="120">
        <v>5</v>
      </c>
      <c r="O163" s="580">
        <v>1000</v>
      </c>
      <c r="P163" s="581">
        <v>1.1000000000000001</v>
      </c>
      <c r="Q163" s="579" t="s">
        <v>66</v>
      </c>
      <c r="R163" s="571">
        <f t="shared" si="47"/>
        <v>0</v>
      </c>
    </row>
    <row r="164" spans="1:21" ht="13.5" thickBot="1">
      <c r="A164" s="1533"/>
      <c r="B164" s="120">
        <v>6</v>
      </c>
      <c r="C164" s="580">
        <v>37</v>
      </c>
      <c r="D164" s="578">
        <v>-0.1</v>
      </c>
      <c r="E164" s="579" t="s">
        <v>66</v>
      </c>
      <c r="F164" s="571">
        <f t="shared" si="45"/>
        <v>0</v>
      </c>
      <c r="H164" s="120">
        <v>6</v>
      </c>
      <c r="I164" s="580">
        <v>80</v>
      </c>
      <c r="J164" s="578">
        <v>-1.3</v>
      </c>
      <c r="K164" s="579" t="s">
        <v>66</v>
      </c>
      <c r="L164" s="571">
        <f t="shared" si="46"/>
        <v>0</v>
      </c>
      <c r="N164" s="120">
        <v>6</v>
      </c>
      <c r="O164" s="586">
        <v>1005</v>
      </c>
      <c r="P164" s="587">
        <v>1.1000000000000001</v>
      </c>
      <c r="Q164" s="579" t="s">
        <v>66</v>
      </c>
      <c r="R164" s="571">
        <f t="shared" si="47"/>
        <v>0</v>
      </c>
    </row>
    <row r="165" spans="1:21" ht="13.5" thickBot="1">
      <c r="A165" s="1534"/>
      <c r="B165" s="582">
        <v>7</v>
      </c>
      <c r="C165" s="616">
        <v>40</v>
      </c>
      <c r="D165" s="570">
        <v>9.9999999999999995E-7</v>
      </c>
      <c r="E165" s="584" t="s">
        <v>66</v>
      </c>
      <c r="F165" s="585">
        <f t="shared" si="45"/>
        <v>0</v>
      </c>
      <c r="G165" s="71"/>
      <c r="H165" s="582">
        <v>7</v>
      </c>
      <c r="I165" s="616">
        <v>90</v>
      </c>
      <c r="J165" s="583">
        <v>-2</v>
      </c>
      <c r="K165" s="584" t="s">
        <v>66</v>
      </c>
      <c r="L165" s="585">
        <f t="shared" si="46"/>
        <v>0</v>
      </c>
      <c r="M165" s="71"/>
      <c r="N165" s="582">
        <v>7</v>
      </c>
      <c r="O165" s="586">
        <v>1020</v>
      </c>
      <c r="P165" s="570">
        <v>9.9999999999999995E-7</v>
      </c>
      <c r="Q165" s="584" t="s">
        <v>66</v>
      </c>
      <c r="R165" s="585">
        <f t="shared" si="47"/>
        <v>0</v>
      </c>
    </row>
    <row r="166" spans="1:21" ht="13" thickBot="1">
      <c r="A166" s="618"/>
      <c r="C166" s="619"/>
      <c r="D166" s="620"/>
      <c r="E166" s="621"/>
      <c r="F166" s="622"/>
      <c r="I166" s="619"/>
      <c r="J166" s="620"/>
      <c r="K166" s="621"/>
      <c r="L166" s="622"/>
      <c r="O166" s="620"/>
      <c r="P166" s="623"/>
      <c r="Q166" s="621"/>
      <c r="R166" s="622"/>
    </row>
    <row r="167" spans="1:21" ht="13" thickBot="1">
      <c r="A167" s="1532">
        <v>16</v>
      </c>
      <c r="B167" s="1535" t="s">
        <v>326</v>
      </c>
      <c r="C167" s="1536"/>
      <c r="D167" s="1536"/>
      <c r="E167" s="1536"/>
      <c r="F167" s="1537"/>
      <c r="G167" s="94"/>
      <c r="H167" s="1535" t="str">
        <f>B167</f>
        <v>KOREKSI EXTECH A.100616</v>
      </c>
      <c r="I167" s="1536"/>
      <c r="J167" s="1536"/>
      <c r="K167" s="1536"/>
      <c r="L167" s="1537"/>
      <c r="M167" s="94"/>
      <c r="N167" s="1535" t="str">
        <f>H167</f>
        <v>KOREKSI EXTECH A.100616</v>
      </c>
      <c r="O167" s="1536"/>
      <c r="P167" s="1536"/>
      <c r="Q167" s="1536"/>
      <c r="R167" s="1537"/>
      <c r="T167" s="1520" t="s">
        <v>99</v>
      </c>
      <c r="U167" s="1521"/>
    </row>
    <row r="168" spans="1:21" ht="13.5" thickBot="1">
      <c r="A168" s="1533"/>
      <c r="B168" s="1522" t="s">
        <v>216</v>
      </c>
      <c r="C168" s="1523"/>
      <c r="D168" s="1524" t="s">
        <v>93</v>
      </c>
      <c r="E168" s="1525"/>
      <c r="F168" s="1526" t="s">
        <v>92</v>
      </c>
      <c r="H168" s="1522" t="s">
        <v>217</v>
      </c>
      <c r="I168" s="1523"/>
      <c r="J168" s="1524" t="s">
        <v>93</v>
      </c>
      <c r="K168" s="1525"/>
      <c r="L168" s="1526" t="s">
        <v>92</v>
      </c>
      <c r="N168" s="1522" t="s">
        <v>402</v>
      </c>
      <c r="O168" s="1523"/>
      <c r="P168" s="1524" t="s">
        <v>93</v>
      </c>
      <c r="Q168" s="1525"/>
      <c r="R168" s="1526" t="s">
        <v>92</v>
      </c>
      <c r="T168" s="565" t="s">
        <v>216</v>
      </c>
      <c r="U168" s="566">
        <v>0.4</v>
      </c>
    </row>
    <row r="169" spans="1:21" ht="15" thickBot="1">
      <c r="A169" s="1533"/>
      <c r="B169" s="1528" t="s">
        <v>218</v>
      </c>
      <c r="C169" s="1529"/>
      <c r="D169" s="592">
        <v>2020</v>
      </c>
      <c r="E169" s="608" t="s">
        <v>66</v>
      </c>
      <c r="F169" s="1527"/>
      <c r="H169" s="1530" t="s">
        <v>94</v>
      </c>
      <c r="I169" s="1531"/>
      <c r="J169" s="593">
        <f>D169</f>
        <v>2020</v>
      </c>
      <c r="K169" s="593" t="str">
        <f>E169</f>
        <v>-</v>
      </c>
      <c r="L169" s="1527"/>
      <c r="N169" s="1530" t="s">
        <v>403</v>
      </c>
      <c r="O169" s="1531"/>
      <c r="P169" s="593">
        <f>J169</f>
        <v>2020</v>
      </c>
      <c r="Q169" s="593" t="str">
        <f>K169</f>
        <v>-</v>
      </c>
      <c r="R169" s="1527"/>
      <c r="T169" s="565" t="s">
        <v>94</v>
      </c>
      <c r="U169" s="566">
        <v>2.2000000000000002</v>
      </c>
    </row>
    <row r="170" spans="1:21" ht="13.5" thickBot="1">
      <c r="A170" s="1533"/>
      <c r="B170" s="120">
        <v>1</v>
      </c>
      <c r="C170" s="572">
        <v>15</v>
      </c>
      <c r="D170" s="601">
        <v>0.1</v>
      </c>
      <c r="E170" s="609" t="s">
        <v>66</v>
      </c>
      <c r="F170" s="595">
        <f t="shared" ref="F170:F176" si="48">0.5*(MAX(D170:E170)-MIN(D170:E170))</f>
        <v>0</v>
      </c>
      <c r="H170" s="120">
        <v>1</v>
      </c>
      <c r="I170" s="572">
        <v>30</v>
      </c>
      <c r="J170" s="601">
        <v>-1.6</v>
      </c>
      <c r="K170" s="609" t="s">
        <v>66</v>
      </c>
      <c r="L170" s="595">
        <f t="shared" ref="L170:L176" si="49">0.5*(MAX(J170:K170)-MIN(J170:K170))</f>
        <v>0</v>
      </c>
      <c r="N170" s="120">
        <v>1</v>
      </c>
      <c r="O170" s="576">
        <v>800</v>
      </c>
      <c r="P170" s="577">
        <v>-2.9</v>
      </c>
      <c r="Q170" s="609" t="s">
        <v>66</v>
      </c>
      <c r="R170" s="595">
        <f t="shared" ref="R170:R176" si="50">0.5*(MAX(P170:Q170)-MIN(P170:Q170))</f>
        <v>0</v>
      </c>
      <c r="T170" s="574" t="s">
        <v>403</v>
      </c>
      <c r="U170" s="575">
        <v>2.2999999999999998</v>
      </c>
    </row>
    <row r="171" spans="1:21" ht="13">
      <c r="A171" s="1533"/>
      <c r="B171" s="120">
        <v>2</v>
      </c>
      <c r="C171" s="576">
        <v>20</v>
      </c>
      <c r="D171" s="569">
        <v>0.2</v>
      </c>
      <c r="E171" s="319" t="s">
        <v>66</v>
      </c>
      <c r="F171" s="571">
        <f t="shared" si="48"/>
        <v>0</v>
      </c>
      <c r="H171" s="120">
        <v>2</v>
      </c>
      <c r="I171" s="576">
        <v>40</v>
      </c>
      <c r="J171" s="569">
        <v>-1.4</v>
      </c>
      <c r="K171" s="319" t="s">
        <v>66</v>
      </c>
      <c r="L171" s="571">
        <f t="shared" si="49"/>
        <v>0</v>
      </c>
      <c r="N171" s="120">
        <v>2</v>
      </c>
      <c r="O171" s="576">
        <v>850</v>
      </c>
      <c r="P171" s="577">
        <v>-2.2999999999999998</v>
      </c>
      <c r="Q171" s="319" t="s">
        <v>66</v>
      </c>
      <c r="R171" s="571">
        <f t="shared" si="50"/>
        <v>0</v>
      </c>
    </row>
    <row r="172" spans="1:21" ht="13">
      <c r="A172" s="1533"/>
      <c r="B172" s="120">
        <v>3</v>
      </c>
      <c r="C172" s="576">
        <v>25</v>
      </c>
      <c r="D172" s="569">
        <v>0.2</v>
      </c>
      <c r="E172" s="319" t="s">
        <v>66</v>
      </c>
      <c r="F172" s="571">
        <f t="shared" si="48"/>
        <v>0</v>
      </c>
      <c r="H172" s="120">
        <v>3</v>
      </c>
      <c r="I172" s="576">
        <v>50</v>
      </c>
      <c r="J172" s="569">
        <v>-1.4</v>
      </c>
      <c r="K172" s="319" t="s">
        <v>66</v>
      </c>
      <c r="L172" s="571">
        <f t="shared" si="49"/>
        <v>0</v>
      </c>
      <c r="N172" s="120">
        <v>3</v>
      </c>
      <c r="O172" s="580">
        <v>900</v>
      </c>
      <c r="P172" s="581">
        <v>-1.7</v>
      </c>
      <c r="Q172" s="319" t="s">
        <v>66</v>
      </c>
      <c r="R172" s="571">
        <f t="shared" si="50"/>
        <v>0</v>
      </c>
    </row>
    <row r="173" spans="1:21" ht="13">
      <c r="A173" s="1533"/>
      <c r="B173" s="120">
        <v>4</v>
      </c>
      <c r="C173" s="580">
        <v>30</v>
      </c>
      <c r="D173" s="578">
        <v>0.2</v>
      </c>
      <c r="E173" s="579" t="s">
        <v>66</v>
      </c>
      <c r="F173" s="571">
        <f t="shared" si="48"/>
        <v>0</v>
      </c>
      <c r="H173" s="120">
        <v>4</v>
      </c>
      <c r="I173" s="580">
        <v>60</v>
      </c>
      <c r="J173" s="578">
        <v>-1.5</v>
      </c>
      <c r="K173" s="579" t="s">
        <v>66</v>
      </c>
      <c r="L173" s="571">
        <f t="shared" si="49"/>
        <v>0</v>
      </c>
      <c r="N173" s="120">
        <v>4</v>
      </c>
      <c r="O173" s="580">
        <v>950</v>
      </c>
      <c r="P173" s="581">
        <v>-1.1000000000000001</v>
      </c>
      <c r="Q173" s="579" t="s">
        <v>66</v>
      </c>
      <c r="R173" s="571">
        <f t="shared" si="50"/>
        <v>0</v>
      </c>
    </row>
    <row r="174" spans="1:21" ht="13">
      <c r="A174" s="1533"/>
      <c r="B174" s="120">
        <v>5</v>
      </c>
      <c r="C174" s="580">
        <v>35</v>
      </c>
      <c r="D174" s="578">
        <v>0.1</v>
      </c>
      <c r="E174" s="579" t="s">
        <v>66</v>
      </c>
      <c r="F174" s="571">
        <f t="shared" si="48"/>
        <v>0</v>
      </c>
      <c r="H174" s="120">
        <v>5</v>
      </c>
      <c r="I174" s="580">
        <v>70</v>
      </c>
      <c r="J174" s="578">
        <v>-1.8</v>
      </c>
      <c r="K174" s="579" t="s">
        <v>66</v>
      </c>
      <c r="L174" s="571">
        <f t="shared" si="49"/>
        <v>0</v>
      </c>
      <c r="N174" s="120">
        <v>5</v>
      </c>
      <c r="O174" s="580">
        <v>1000</v>
      </c>
      <c r="P174" s="581">
        <v>-0.4</v>
      </c>
      <c r="Q174" s="579" t="s">
        <v>66</v>
      </c>
      <c r="R174" s="571">
        <f t="shared" si="50"/>
        <v>0</v>
      </c>
    </row>
    <row r="175" spans="1:21" ht="13.5" thickBot="1">
      <c r="A175" s="1533"/>
      <c r="B175" s="120">
        <v>6</v>
      </c>
      <c r="C175" s="580">
        <v>37</v>
      </c>
      <c r="D175" s="570">
        <v>9.9999999999999995E-7</v>
      </c>
      <c r="E175" s="579" t="s">
        <v>66</v>
      </c>
      <c r="F175" s="571">
        <f t="shared" si="48"/>
        <v>0</v>
      </c>
      <c r="H175" s="120">
        <v>6</v>
      </c>
      <c r="I175" s="580">
        <v>80</v>
      </c>
      <c r="J175" s="578">
        <v>-2.2999999999999998</v>
      </c>
      <c r="K175" s="579" t="s">
        <v>66</v>
      </c>
      <c r="L175" s="571">
        <f t="shared" si="49"/>
        <v>0</v>
      </c>
      <c r="N175" s="120">
        <v>6</v>
      </c>
      <c r="O175" s="586">
        <v>1005</v>
      </c>
      <c r="P175" s="587">
        <v>-0.4</v>
      </c>
      <c r="Q175" s="579" t="s">
        <v>66</v>
      </c>
      <c r="R175" s="571">
        <f t="shared" si="50"/>
        <v>0</v>
      </c>
    </row>
    <row r="176" spans="1:21" ht="13.5" thickBot="1">
      <c r="A176" s="1534"/>
      <c r="B176" s="582">
        <v>7</v>
      </c>
      <c r="C176" s="616">
        <v>40</v>
      </c>
      <c r="D176" s="570">
        <v>9.9999999999999995E-7</v>
      </c>
      <c r="E176" s="584" t="s">
        <v>66</v>
      </c>
      <c r="F176" s="585">
        <f t="shared" si="48"/>
        <v>0</v>
      </c>
      <c r="G176" s="71"/>
      <c r="H176" s="582">
        <v>7</v>
      </c>
      <c r="I176" s="616">
        <v>90</v>
      </c>
      <c r="J176" s="583">
        <v>-3</v>
      </c>
      <c r="K176" s="584" t="s">
        <v>66</v>
      </c>
      <c r="L176" s="585">
        <f t="shared" si="49"/>
        <v>0</v>
      </c>
      <c r="M176" s="71"/>
      <c r="N176" s="582">
        <v>7</v>
      </c>
      <c r="O176" s="586">
        <v>1020</v>
      </c>
      <c r="P176" s="570">
        <v>9.9999999999999995E-7</v>
      </c>
      <c r="Q176" s="584" t="s">
        <v>66</v>
      </c>
      <c r="R176" s="585">
        <f t="shared" si="50"/>
        <v>0</v>
      </c>
    </row>
    <row r="177" spans="1:21" ht="13" thickBot="1">
      <c r="A177" s="618"/>
      <c r="C177" s="619"/>
      <c r="D177" s="620"/>
      <c r="E177" s="621"/>
      <c r="F177" s="622"/>
      <c r="I177" s="619"/>
      <c r="J177" s="620"/>
      <c r="K177" s="621"/>
      <c r="L177" s="622"/>
      <c r="O177" s="620"/>
      <c r="P177" s="623"/>
      <c r="Q177" s="621"/>
      <c r="R177" s="622"/>
    </row>
    <row r="178" spans="1:21" ht="13" thickBot="1">
      <c r="A178" s="1532">
        <v>17</v>
      </c>
      <c r="B178" s="1535" t="s">
        <v>325</v>
      </c>
      <c r="C178" s="1536"/>
      <c r="D178" s="1536"/>
      <c r="E178" s="1536"/>
      <c r="F178" s="1537"/>
      <c r="G178" s="94"/>
      <c r="H178" s="1535" t="str">
        <f>B178</f>
        <v>KOREKSI EXTECH A.100617</v>
      </c>
      <c r="I178" s="1536"/>
      <c r="J178" s="1536"/>
      <c r="K178" s="1536"/>
      <c r="L178" s="1537"/>
      <c r="M178" s="94"/>
      <c r="N178" s="1535" t="str">
        <f>H178</f>
        <v>KOREKSI EXTECH A.100617</v>
      </c>
      <c r="O178" s="1536"/>
      <c r="P178" s="1536"/>
      <c r="Q178" s="1536"/>
      <c r="R178" s="1537"/>
      <c r="T178" s="1520" t="s">
        <v>99</v>
      </c>
      <c r="U178" s="1521"/>
    </row>
    <row r="179" spans="1:21" ht="13.5" thickBot="1">
      <c r="A179" s="1533"/>
      <c r="B179" s="1522" t="s">
        <v>216</v>
      </c>
      <c r="C179" s="1523"/>
      <c r="D179" s="1524" t="s">
        <v>93</v>
      </c>
      <c r="E179" s="1525"/>
      <c r="F179" s="1526" t="s">
        <v>92</v>
      </c>
      <c r="H179" s="1522" t="s">
        <v>217</v>
      </c>
      <c r="I179" s="1523"/>
      <c r="J179" s="1524" t="s">
        <v>93</v>
      </c>
      <c r="K179" s="1525"/>
      <c r="L179" s="1526" t="s">
        <v>92</v>
      </c>
      <c r="N179" s="1522" t="s">
        <v>402</v>
      </c>
      <c r="O179" s="1523"/>
      <c r="P179" s="1524" t="s">
        <v>93</v>
      </c>
      <c r="Q179" s="1525"/>
      <c r="R179" s="1526" t="s">
        <v>92</v>
      </c>
      <c r="T179" s="565" t="s">
        <v>216</v>
      </c>
      <c r="U179" s="566">
        <v>0.3</v>
      </c>
    </row>
    <row r="180" spans="1:21" ht="15" thickBot="1">
      <c r="A180" s="1533"/>
      <c r="B180" s="1528" t="s">
        <v>218</v>
      </c>
      <c r="C180" s="1529"/>
      <c r="D180" s="592">
        <v>2020</v>
      </c>
      <c r="E180" s="608" t="s">
        <v>66</v>
      </c>
      <c r="F180" s="1527"/>
      <c r="H180" s="1530" t="s">
        <v>94</v>
      </c>
      <c r="I180" s="1531"/>
      <c r="J180" s="593">
        <f>D180</f>
        <v>2020</v>
      </c>
      <c r="K180" s="593" t="str">
        <f>E180</f>
        <v>-</v>
      </c>
      <c r="L180" s="1527"/>
      <c r="N180" s="1530" t="s">
        <v>403</v>
      </c>
      <c r="O180" s="1531"/>
      <c r="P180" s="593">
        <f>J180</f>
        <v>2020</v>
      </c>
      <c r="Q180" s="593" t="str">
        <f>K180</f>
        <v>-</v>
      </c>
      <c r="R180" s="1527"/>
      <c r="T180" s="565" t="s">
        <v>94</v>
      </c>
      <c r="U180" s="566">
        <v>2.8</v>
      </c>
    </row>
    <row r="181" spans="1:21" ht="13.5" thickBot="1">
      <c r="A181" s="1533"/>
      <c r="B181" s="120">
        <v>1</v>
      </c>
      <c r="C181" s="572">
        <v>15</v>
      </c>
      <c r="D181" s="601">
        <v>0.1</v>
      </c>
      <c r="E181" s="609" t="s">
        <v>66</v>
      </c>
      <c r="F181" s="595">
        <f t="shared" ref="F181:F187" si="51">0.5*(MAX(D181:E181)-MIN(D181:E181))</f>
        <v>0</v>
      </c>
      <c r="H181" s="120">
        <v>1</v>
      </c>
      <c r="I181" s="572">
        <v>30</v>
      </c>
      <c r="J181" s="601">
        <v>0.1</v>
      </c>
      <c r="K181" s="609" t="s">
        <v>66</v>
      </c>
      <c r="L181" s="595">
        <f t="shared" ref="L181:L187" si="52">0.5*(MAX(J181:K181)-MIN(J181:K181))</f>
        <v>0</v>
      </c>
      <c r="N181" s="120">
        <v>1</v>
      </c>
      <c r="O181" s="576">
        <v>960</v>
      </c>
      <c r="P181" s="577">
        <v>-0.6</v>
      </c>
      <c r="Q181" s="609" t="s">
        <v>66</v>
      </c>
      <c r="R181" s="595">
        <f t="shared" ref="R181:R187" si="53">0.5*(MAX(P181:Q181)-MIN(P181:Q181))</f>
        <v>0</v>
      </c>
      <c r="T181" s="574" t="s">
        <v>403</v>
      </c>
      <c r="U181" s="575">
        <v>2.1</v>
      </c>
    </row>
    <row r="182" spans="1:21" ht="13">
      <c r="A182" s="1533"/>
      <c r="B182" s="120">
        <v>2</v>
      </c>
      <c r="C182" s="576">
        <v>20</v>
      </c>
      <c r="D182" s="569">
        <v>0.1</v>
      </c>
      <c r="E182" s="319" t="s">
        <v>66</v>
      </c>
      <c r="F182" s="571">
        <f t="shared" si="51"/>
        <v>0</v>
      </c>
      <c r="H182" s="120">
        <v>2</v>
      </c>
      <c r="I182" s="576">
        <v>40</v>
      </c>
      <c r="J182" s="569">
        <v>0.2</v>
      </c>
      <c r="K182" s="319" t="s">
        <v>66</v>
      </c>
      <c r="L182" s="571">
        <f t="shared" si="52"/>
        <v>0</v>
      </c>
      <c r="N182" s="120">
        <v>2</v>
      </c>
      <c r="O182" s="576">
        <v>970</v>
      </c>
      <c r="P182" s="577">
        <v>-0.6</v>
      </c>
      <c r="Q182" s="319" t="s">
        <v>66</v>
      </c>
      <c r="R182" s="571">
        <f t="shared" si="53"/>
        <v>0</v>
      </c>
    </row>
    <row r="183" spans="1:21" ht="13">
      <c r="A183" s="1533"/>
      <c r="B183" s="120">
        <v>3</v>
      </c>
      <c r="C183" s="576">
        <v>25</v>
      </c>
      <c r="D183" s="570">
        <v>9.9999999999999995E-7</v>
      </c>
      <c r="E183" s="319" t="s">
        <v>66</v>
      </c>
      <c r="F183" s="571">
        <f t="shared" si="51"/>
        <v>0</v>
      </c>
      <c r="H183" s="120">
        <v>3</v>
      </c>
      <c r="I183" s="576">
        <v>50</v>
      </c>
      <c r="J183" s="569">
        <v>0.2</v>
      </c>
      <c r="K183" s="319" t="s">
        <v>66</v>
      </c>
      <c r="L183" s="571">
        <f t="shared" si="52"/>
        <v>0</v>
      </c>
      <c r="N183" s="120">
        <v>3</v>
      </c>
      <c r="O183" s="580">
        <v>980</v>
      </c>
      <c r="P183" s="581">
        <v>-0.6</v>
      </c>
      <c r="Q183" s="319" t="s">
        <v>66</v>
      </c>
      <c r="R183" s="571">
        <f t="shared" si="53"/>
        <v>0</v>
      </c>
    </row>
    <row r="184" spans="1:21" ht="13">
      <c r="A184" s="1533"/>
      <c r="B184" s="120">
        <v>4</v>
      </c>
      <c r="C184" s="580">
        <v>30</v>
      </c>
      <c r="D184" s="578">
        <v>-0.2</v>
      </c>
      <c r="E184" s="579" t="s">
        <v>66</v>
      </c>
      <c r="F184" s="571">
        <f t="shared" si="51"/>
        <v>0</v>
      </c>
      <c r="H184" s="120">
        <v>4</v>
      </c>
      <c r="I184" s="580">
        <v>60</v>
      </c>
      <c r="J184" s="570">
        <v>9.9999999999999995E-7</v>
      </c>
      <c r="K184" s="579" t="s">
        <v>66</v>
      </c>
      <c r="L184" s="571">
        <f t="shared" si="52"/>
        <v>0</v>
      </c>
      <c r="N184" s="120">
        <v>4</v>
      </c>
      <c r="O184" s="580">
        <v>990</v>
      </c>
      <c r="P184" s="581">
        <v>-0.6</v>
      </c>
      <c r="Q184" s="579" t="s">
        <v>66</v>
      </c>
      <c r="R184" s="571">
        <f t="shared" si="53"/>
        <v>0</v>
      </c>
    </row>
    <row r="185" spans="1:21" ht="13">
      <c r="A185" s="1533"/>
      <c r="B185" s="120">
        <v>5</v>
      </c>
      <c r="C185" s="580">
        <v>35</v>
      </c>
      <c r="D185" s="578">
        <v>-0.5</v>
      </c>
      <c r="E185" s="579" t="s">
        <v>66</v>
      </c>
      <c r="F185" s="571">
        <f t="shared" si="51"/>
        <v>0</v>
      </c>
      <c r="H185" s="120">
        <v>5</v>
      </c>
      <c r="I185" s="580">
        <v>70</v>
      </c>
      <c r="J185" s="578">
        <v>-0.3</v>
      </c>
      <c r="K185" s="579" t="s">
        <v>66</v>
      </c>
      <c r="L185" s="571">
        <f t="shared" si="52"/>
        <v>0</v>
      </c>
      <c r="N185" s="120">
        <v>5</v>
      </c>
      <c r="O185" s="580">
        <v>1000</v>
      </c>
      <c r="P185" s="581">
        <v>-0.6</v>
      </c>
      <c r="Q185" s="579" t="s">
        <v>66</v>
      </c>
      <c r="R185" s="571">
        <f t="shared" si="53"/>
        <v>0</v>
      </c>
    </row>
    <row r="186" spans="1:21" ht="13.5" thickBot="1">
      <c r="A186" s="1533"/>
      <c r="B186" s="120">
        <v>6</v>
      </c>
      <c r="C186" s="580">
        <v>37</v>
      </c>
      <c r="D186" s="578">
        <v>-0.6</v>
      </c>
      <c r="E186" s="579" t="s">
        <v>66</v>
      </c>
      <c r="F186" s="571">
        <f t="shared" si="51"/>
        <v>0</v>
      </c>
      <c r="H186" s="120">
        <v>6</v>
      </c>
      <c r="I186" s="580">
        <v>80</v>
      </c>
      <c r="J186" s="578">
        <v>-0.8</v>
      </c>
      <c r="K186" s="579" t="s">
        <v>66</v>
      </c>
      <c r="L186" s="571">
        <f t="shared" si="52"/>
        <v>0</v>
      </c>
      <c r="N186" s="120">
        <v>6</v>
      </c>
      <c r="O186" s="586">
        <v>1005</v>
      </c>
      <c r="P186" s="587">
        <v>-0.6</v>
      </c>
      <c r="Q186" s="579" t="s">
        <v>66</v>
      </c>
      <c r="R186" s="571">
        <f t="shared" si="53"/>
        <v>0</v>
      </c>
    </row>
    <row r="187" spans="1:21" ht="13.5" thickBot="1">
      <c r="A187" s="1534"/>
      <c r="B187" s="582">
        <v>7</v>
      </c>
      <c r="C187" s="616">
        <v>40</v>
      </c>
      <c r="D187" s="583">
        <v>-0.8</v>
      </c>
      <c r="E187" s="584" t="s">
        <v>66</v>
      </c>
      <c r="F187" s="585">
        <f t="shared" si="51"/>
        <v>0</v>
      </c>
      <c r="G187" s="71"/>
      <c r="H187" s="582">
        <v>7</v>
      </c>
      <c r="I187" s="616">
        <v>90</v>
      </c>
      <c r="J187" s="583">
        <v>-1.4</v>
      </c>
      <c r="K187" s="584" t="s">
        <v>66</v>
      </c>
      <c r="L187" s="585">
        <f t="shared" si="52"/>
        <v>0</v>
      </c>
      <c r="M187" s="71"/>
      <c r="N187" s="582">
        <v>7</v>
      </c>
      <c r="O187" s="586">
        <v>1020</v>
      </c>
      <c r="P187" s="570">
        <v>9.9999999999999995E-7</v>
      </c>
      <c r="Q187" s="584" t="s">
        <v>66</v>
      </c>
      <c r="R187" s="585">
        <f t="shared" si="53"/>
        <v>0</v>
      </c>
    </row>
    <row r="188" spans="1:21" ht="13" thickBot="1">
      <c r="A188" s="618"/>
      <c r="C188" s="619"/>
      <c r="D188" s="620"/>
      <c r="E188" s="621"/>
      <c r="F188" s="622"/>
      <c r="I188" s="619"/>
      <c r="J188" s="620"/>
      <c r="K188" s="621"/>
      <c r="L188" s="622"/>
      <c r="O188" s="620"/>
      <c r="P188" s="623"/>
      <c r="Q188" s="621"/>
      <c r="R188" s="622"/>
    </row>
    <row r="189" spans="1:21" ht="13" thickBot="1">
      <c r="A189" s="1532">
        <v>18</v>
      </c>
      <c r="B189" s="1535" t="s">
        <v>327</v>
      </c>
      <c r="C189" s="1536"/>
      <c r="D189" s="1536"/>
      <c r="E189" s="1536"/>
      <c r="F189" s="1537"/>
      <c r="G189" s="94"/>
      <c r="H189" s="1535" t="str">
        <f>B189</f>
        <v>KOREKSI EXTECH A.100618</v>
      </c>
      <c r="I189" s="1536"/>
      <c r="J189" s="1536"/>
      <c r="K189" s="1536"/>
      <c r="L189" s="1537"/>
      <c r="M189" s="94"/>
      <c r="N189" s="1535" t="str">
        <f>H189</f>
        <v>KOREKSI EXTECH A.100618</v>
      </c>
      <c r="O189" s="1536"/>
      <c r="P189" s="1536"/>
      <c r="Q189" s="1536"/>
      <c r="R189" s="1537"/>
      <c r="T189" s="1520" t="s">
        <v>99</v>
      </c>
      <c r="U189" s="1521"/>
    </row>
    <row r="190" spans="1:21" ht="13.5" thickBot="1">
      <c r="A190" s="1533"/>
      <c r="B190" s="1522" t="s">
        <v>216</v>
      </c>
      <c r="C190" s="1523"/>
      <c r="D190" s="1524" t="s">
        <v>93</v>
      </c>
      <c r="E190" s="1525"/>
      <c r="F190" s="1526" t="s">
        <v>92</v>
      </c>
      <c r="H190" s="1522" t="s">
        <v>217</v>
      </c>
      <c r="I190" s="1523"/>
      <c r="J190" s="1524" t="s">
        <v>93</v>
      </c>
      <c r="K190" s="1525"/>
      <c r="L190" s="1526" t="s">
        <v>92</v>
      </c>
      <c r="N190" s="1522" t="s">
        <v>402</v>
      </c>
      <c r="O190" s="1523"/>
      <c r="P190" s="1524" t="s">
        <v>93</v>
      </c>
      <c r="Q190" s="1525"/>
      <c r="R190" s="1526" t="s">
        <v>92</v>
      </c>
      <c r="T190" s="565" t="s">
        <v>216</v>
      </c>
      <c r="U190" s="566">
        <v>0.3</v>
      </c>
    </row>
    <row r="191" spans="1:21" ht="15" thickBot="1">
      <c r="A191" s="1533"/>
      <c r="B191" s="1528" t="s">
        <v>218</v>
      </c>
      <c r="C191" s="1529"/>
      <c r="D191" s="592">
        <v>2020</v>
      </c>
      <c r="E191" s="608" t="s">
        <v>66</v>
      </c>
      <c r="F191" s="1527"/>
      <c r="H191" s="1530" t="s">
        <v>94</v>
      </c>
      <c r="I191" s="1531"/>
      <c r="J191" s="593">
        <f>D191</f>
        <v>2020</v>
      </c>
      <c r="K191" s="593" t="str">
        <f>E191</f>
        <v>-</v>
      </c>
      <c r="L191" s="1527"/>
      <c r="N191" s="1530" t="s">
        <v>403</v>
      </c>
      <c r="O191" s="1531"/>
      <c r="P191" s="593">
        <f>J191</f>
        <v>2020</v>
      </c>
      <c r="Q191" s="593" t="str">
        <f>K191</f>
        <v>-</v>
      </c>
      <c r="R191" s="1527"/>
      <c r="T191" s="565" t="s">
        <v>94</v>
      </c>
      <c r="U191" s="566">
        <v>1.6</v>
      </c>
    </row>
    <row r="192" spans="1:21" ht="13.5" thickBot="1">
      <c r="A192" s="1533"/>
      <c r="B192" s="120">
        <v>1</v>
      </c>
      <c r="C192" s="572">
        <v>15</v>
      </c>
      <c r="D192" s="570">
        <v>9.9999999999999995E-7</v>
      </c>
      <c r="E192" s="609" t="s">
        <v>66</v>
      </c>
      <c r="F192" s="595">
        <f t="shared" ref="F192:F198" si="54">0.5*(MAX(D192:E192)-MIN(D192:E192))</f>
        <v>0</v>
      </c>
      <c r="H192" s="120">
        <v>1</v>
      </c>
      <c r="I192" s="572">
        <v>30</v>
      </c>
      <c r="J192" s="601">
        <v>-0.4</v>
      </c>
      <c r="K192" s="609" t="s">
        <v>66</v>
      </c>
      <c r="L192" s="595">
        <f t="shared" ref="L192:L198" si="55">0.5*(MAX(J192:K192)-MIN(J192:K192))</f>
        <v>0</v>
      </c>
      <c r="N192" s="120">
        <v>1</v>
      </c>
      <c r="O192" s="576">
        <v>800</v>
      </c>
      <c r="P192" s="577">
        <v>-1.5</v>
      </c>
      <c r="Q192" s="609" t="s">
        <v>66</v>
      </c>
      <c r="R192" s="595">
        <f t="shared" ref="R192:R198" si="56">0.5*(MAX(P192:Q192)-MIN(P192:Q192))</f>
        <v>0</v>
      </c>
      <c r="T192" s="574" t="s">
        <v>403</v>
      </c>
      <c r="U192" s="575">
        <v>2.4</v>
      </c>
    </row>
    <row r="193" spans="1:21" ht="13">
      <c r="A193" s="1533"/>
      <c r="B193" s="120">
        <v>2</v>
      </c>
      <c r="C193" s="576">
        <v>20</v>
      </c>
      <c r="D193" s="569">
        <v>-0.1</v>
      </c>
      <c r="E193" s="319" t="s">
        <v>66</v>
      </c>
      <c r="F193" s="571">
        <f t="shared" si="54"/>
        <v>0</v>
      </c>
      <c r="H193" s="120">
        <v>2</v>
      </c>
      <c r="I193" s="576">
        <v>40</v>
      </c>
      <c r="J193" s="569">
        <v>-0.2</v>
      </c>
      <c r="K193" s="319" t="s">
        <v>66</v>
      </c>
      <c r="L193" s="571">
        <f t="shared" si="55"/>
        <v>0</v>
      </c>
      <c r="N193" s="120">
        <v>2</v>
      </c>
      <c r="O193" s="576">
        <v>850</v>
      </c>
      <c r="P193" s="577">
        <v>-1.3</v>
      </c>
      <c r="Q193" s="319" t="s">
        <v>66</v>
      </c>
      <c r="R193" s="571">
        <f t="shared" si="56"/>
        <v>0</v>
      </c>
    </row>
    <row r="194" spans="1:21" ht="13">
      <c r="A194" s="1533"/>
      <c r="B194" s="120">
        <v>3</v>
      </c>
      <c r="C194" s="576">
        <v>25</v>
      </c>
      <c r="D194" s="569">
        <v>-0.2</v>
      </c>
      <c r="E194" s="319" t="s">
        <v>66</v>
      </c>
      <c r="F194" s="571">
        <f t="shared" si="54"/>
        <v>0</v>
      </c>
      <c r="H194" s="120">
        <v>3</v>
      </c>
      <c r="I194" s="576">
        <v>50</v>
      </c>
      <c r="J194" s="569">
        <v>-0.2</v>
      </c>
      <c r="K194" s="319" t="s">
        <v>66</v>
      </c>
      <c r="L194" s="571">
        <f t="shared" si="55"/>
        <v>0</v>
      </c>
      <c r="N194" s="120">
        <v>3</v>
      </c>
      <c r="O194" s="580">
        <v>900</v>
      </c>
      <c r="P194" s="581">
        <v>-1.1000000000000001</v>
      </c>
      <c r="Q194" s="319" t="s">
        <v>66</v>
      </c>
      <c r="R194" s="571">
        <f t="shared" si="56"/>
        <v>0</v>
      </c>
    </row>
    <row r="195" spans="1:21" ht="13">
      <c r="A195" s="1533"/>
      <c r="B195" s="120">
        <v>4</v>
      </c>
      <c r="C195" s="580">
        <v>30</v>
      </c>
      <c r="D195" s="578">
        <v>-0.2</v>
      </c>
      <c r="E195" s="579" t="s">
        <v>66</v>
      </c>
      <c r="F195" s="571">
        <f t="shared" si="54"/>
        <v>0</v>
      </c>
      <c r="H195" s="120">
        <v>4</v>
      </c>
      <c r="I195" s="580">
        <v>60</v>
      </c>
      <c r="J195" s="578">
        <v>-0.2</v>
      </c>
      <c r="K195" s="579" t="s">
        <v>66</v>
      </c>
      <c r="L195" s="571">
        <f t="shared" si="55"/>
        <v>0</v>
      </c>
      <c r="N195" s="120">
        <v>4</v>
      </c>
      <c r="O195" s="580">
        <v>950</v>
      </c>
      <c r="P195" s="581">
        <v>-0.9</v>
      </c>
      <c r="Q195" s="579" t="s">
        <v>66</v>
      </c>
      <c r="R195" s="571">
        <f t="shared" si="56"/>
        <v>0</v>
      </c>
    </row>
    <row r="196" spans="1:21" ht="13">
      <c r="A196" s="1533"/>
      <c r="B196" s="120">
        <v>5</v>
      </c>
      <c r="C196" s="580">
        <v>35</v>
      </c>
      <c r="D196" s="578">
        <v>-0.3</v>
      </c>
      <c r="E196" s="579" t="s">
        <v>66</v>
      </c>
      <c r="F196" s="571">
        <f t="shared" si="54"/>
        <v>0</v>
      </c>
      <c r="H196" s="120">
        <v>5</v>
      </c>
      <c r="I196" s="580">
        <v>70</v>
      </c>
      <c r="J196" s="578">
        <v>-0.3</v>
      </c>
      <c r="K196" s="579" t="s">
        <v>66</v>
      </c>
      <c r="L196" s="571">
        <f t="shared" si="55"/>
        <v>0</v>
      </c>
      <c r="N196" s="120">
        <v>5</v>
      </c>
      <c r="O196" s="580">
        <v>1000</v>
      </c>
      <c r="P196" s="581">
        <v>-0.8</v>
      </c>
      <c r="Q196" s="579" t="s">
        <v>66</v>
      </c>
      <c r="R196" s="571">
        <f t="shared" si="56"/>
        <v>0</v>
      </c>
    </row>
    <row r="197" spans="1:21" ht="13.5" thickBot="1">
      <c r="A197" s="1533"/>
      <c r="B197" s="120">
        <v>6</v>
      </c>
      <c r="C197" s="580">
        <v>37</v>
      </c>
      <c r="D197" s="578">
        <v>-0.3</v>
      </c>
      <c r="E197" s="579" t="s">
        <v>66</v>
      </c>
      <c r="F197" s="571">
        <f t="shared" si="54"/>
        <v>0</v>
      </c>
      <c r="H197" s="120">
        <v>6</v>
      </c>
      <c r="I197" s="580">
        <v>80</v>
      </c>
      <c r="J197" s="578">
        <v>-0.5</v>
      </c>
      <c r="K197" s="579" t="s">
        <v>66</v>
      </c>
      <c r="L197" s="571">
        <f t="shared" si="55"/>
        <v>0</v>
      </c>
      <c r="N197" s="120">
        <v>6</v>
      </c>
      <c r="O197" s="586">
        <v>1005</v>
      </c>
      <c r="P197" s="587">
        <v>-0.7</v>
      </c>
      <c r="Q197" s="579" t="s">
        <v>66</v>
      </c>
      <c r="R197" s="571">
        <f t="shared" si="56"/>
        <v>0</v>
      </c>
    </row>
    <row r="198" spans="1:21" ht="13.5" thickBot="1">
      <c r="A198" s="1534"/>
      <c r="B198" s="582">
        <v>7</v>
      </c>
      <c r="C198" s="616">
        <v>40</v>
      </c>
      <c r="D198" s="583">
        <v>-0.4</v>
      </c>
      <c r="E198" s="584" t="s">
        <v>66</v>
      </c>
      <c r="F198" s="585">
        <f t="shared" si="54"/>
        <v>0</v>
      </c>
      <c r="G198" s="71"/>
      <c r="H198" s="582">
        <v>7</v>
      </c>
      <c r="I198" s="616">
        <v>90</v>
      </c>
      <c r="J198" s="583">
        <v>-0.8</v>
      </c>
      <c r="K198" s="584" t="s">
        <v>66</v>
      </c>
      <c r="L198" s="585">
        <f t="shared" si="55"/>
        <v>0</v>
      </c>
      <c r="M198" s="71"/>
      <c r="N198" s="582">
        <v>7</v>
      </c>
      <c r="O198" s="586">
        <v>1020</v>
      </c>
      <c r="P198" s="570">
        <v>9.9999999999999995E-7</v>
      </c>
      <c r="Q198" s="584" t="s">
        <v>66</v>
      </c>
      <c r="R198" s="585">
        <f t="shared" si="56"/>
        <v>0</v>
      </c>
    </row>
    <row r="199" spans="1:21" ht="13" thickBot="1">
      <c r="A199" s="618"/>
      <c r="C199" s="619"/>
      <c r="D199" s="620"/>
      <c r="E199" s="621"/>
      <c r="F199" s="622"/>
      <c r="I199" s="619"/>
      <c r="J199" s="620"/>
      <c r="K199" s="621"/>
      <c r="L199" s="622"/>
      <c r="O199" s="620"/>
      <c r="P199" s="623"/>
      <c r="Q199" s="621"/>
      <c r="R199" s="622"/>
    </row>
    <row r="200" spans="1:21" ht="13" thickBot="1">
      <c r="A200" s="1532">
        <v>19</v>
      </c>
      <c r="B200" s="1535" t="s">
        <v>404</v>
      </c>
      <c r="C200" s="1536"/>
      <c r="D200" s="1536"/>
      <c r="E200" s="1536"/>
      <c r="F200" s="1537"/>
      <c r="G200" s="94"/>
      <c r="H200" s="1535" t="str">
        <f>B200</f>
        <v>KOREKSI EXTECH A.100615</v>
      </c>
      <c r="I200" s="1536"/>
      <c r="J200" s="1536"/>
      <c r="K200" s="1536"/>
      <c r="L200" s="1537"/>
      <c r="M200" s="94"/>
      <c r="N200" s="1535" t="str">
        <f>H200</f>
        <v>KOREKSI EXTECH A.100615</v>
      </c>
      <c r="O200" s="1536"/>
      <c r="P200" s="1536"/>
      <c r="Q200" s="1536"/>
      <c r="R200" s="1537"/>
      <c r="T200" s="1520" t="s">
        <v>99</v>
      </c>
      <c r="U200" s="1521"/>
    </row>
    <row r="201" spans="1:21" ht="13.5" thickBot="1">
      <c r="A201" s="1533"/>
      <c r="B201" s="1522" t="s">
        <v>216</v>
      </c>
      <c r="C201" s="1523"/>
      <c r="D201" s="1524" t="s">
        <v>93</v>
      </c>
      <c r="E201" s="1525"/>
      <c r="F201" s="1526" t="s">
        <v>92</v>
      </c>
      <c r="H201" s="1522" t="s">
        <v>217</v>
      </c>
      <c r="I201" s="1523"/>
      <c r="J201" s="1524" t="s">
        <v>93</v>
      </c>
      <c r="K201" s="1525"/>
      <c r="L201" s="1526" t="s">
        <v>92</v>
      </c>
      <c r="N201" s="1522" t="s">
        <v>402</v>
      </c>
      <c r="O201" s="1523"/>
      <c r="P201" s="1524" t="s">
        <v>93</v>
      </c>
      <c r="Q201" s="1525"/>
      <c r="R201" s="1526" t="s">
        <v>92</v>
      </c>
      <c r="T201" s="565" t="s">
        <v>216</v>
      </c>
      <c r="U201" s="566">
        <v>0.1</v>
      </c>
    </row>
    <row r="202" spans="1:21" ht="15" thickBot="1">
      <c r="A202" s="1533"/>
      <c r="B202" s="1528" t="s">
        <v>218</v>
      </c>
      <c r="C202" s="1529"/>
      <c r="D202" s="592">
        <v>2021</v>
      </c>
      <c r="E202" s="608" t="s">
        <v>66</v>
      </c>
      <c r="F202" s="1527"/>
      <c r="H202" s="1530" t="s">
        <v>94</v>
      </c>
      <c r="I202" s="1531"/>
      <c r="J202" s="593">
        <f>D202</f>
        <v>2021</v>
      </c>
      <c r="K202" s="593" t="str">
        <f>E202</f>
        <v>-</v>
      </c>
      <c r="L202" s="1527"/>
      <c r="N202" s="1530" t="s">
        <v>403</v>
      </c>
      <c r="O202" s="1531"/>
      <c r="P202" s="593">
        <f>J202</f>
        <v>2021</v>
      </c>
      <c r="Q202" s="593" t="str">
        <f>K202</f>
        <v>-</v>
      </c>
      <c r="R202" s="1527"/>
      <c r="T202" s="565" t="s">
        <v>94</v>
      </c>
      <c r="U202" s="566">
        <v>1.5</v>
      </c>
    </row>
    <row r="203" spans="1:21" ht="13.5" thickBot="1">
      <c r="A203" s="1533"/>
      <c r="B203" s="120">
        <v>1</v>
      </c>
      <c r="C203" s="572">
        <v>15</v>
      </c>
      <c r="D203" s="570">
        <v>9.9999999999999995E-7</v>
      </c>
      <c r="E203" s="609" t="s">
        <v>66</v>
      </c>
      <c r="F203" s="595">
        <f t="shared" ref="F203:F209" si="57">0.5*(MAX(D203:E203)-MIN(D203:E203))</f>
        <v>0</v>
      </c>
      <c r="H203" s="120">
        <v>1</v>
      </c>
      <c r="I203" s="572">
        <v>30</v>
      </c>
      <c r="J203" s="601">
        <v>-1.5</v>
      </c>
      <c r="K203" s="609" t="s">
        <v>66</v>
      </c>
      <c r="L203" s="595">
        <f t="shared" ref="L203:L209" si="58">0.5*(MAX(J203:K203)-MIN(J203:K203))</f>
        <v>0</v>
      </c>
      <c r="N203" s="120">
        <v>1</v>
      </c>
      <c r="O203" s="572">
        <v>750</v>
      </c>
      <c r="P203" s="573">
        <v>2.5</v>
      </c>
      <c r="Q203" s="609" t="s">
        <v>66</v>
      </c>
      <c r="R203" s="595">
        <f t="shared" ref="R203:R209" si="59">0.5*(MAX(P203:Q203)-MIN(P203:Q203))</f>
        <v>0</v>
      </c>
      <c r="T203" s="574" t="s">
        <v>403</v>
      </c>
      <c r="U203" s="575">
        <v>0.4</v>
      </c>
    </row>
    <row r="204" spans="1:21" ht="13">
      <c r="A204" s="1533"/>
      <c r="B204" s="120">
        <v>2</v>
      </c>
      <c r="C204" s="576">
        <v>20</v>
      </c>
      <c r="D204" s="569">
        <v>0.1</v>
      </c>
      <c r="E204" s="319" t="s">
        <v>66</v>
      </c>
      <c r="F204" s="571">
        <f t="shared" si="57"/>
        <v>0</v>
      </c>
      <c r="H204" s="120">
        <v>2</v>
      </c>
      <c r="I204" s="576">
        <v>40</v>
      </c>
      <c r="J204" s="569">
        <v>-0.8</v>
      </c>
      <c r="K204" s="319" t="s">
        <v>66</v>
      </c>
      <c r="L204" s="571">
        <f t="shared" si="58"/>
        <v>0</v>
      </c>
      <c r="N204" s="120">
        <v>2</v>
      </c>
      <c r="O204" s="576">
        <v>800</v>
      </c>
      <c r="P204" s="577">
        <v>2.5</v>
      </c>
      <c r="Q204" s="319" t="s">
        <v>66</v>
      </c>
      <c r="R204" s="571">
        <f t="shared" si="59"/>
        <v>0</v>
      </c>
    </row>
    <row r="205" spans="1:21" ht="13">
      <c r="A205" s="1533"/>
      <c r="B205" s="120">
        <v>3</v>
      </c>
      <c r="C205" s="576">
        <v>25</v>
      </c>
      <c r="D205" s="570">
        <v>9.9999999999999995E-7</v>
      </c>
      <c r="E205" s="319" t="s">
        <v>66</v>
      </c>
      <c r="F205" s="571">
        <f t="shared" si="57"/>
        <v>0</v>
      </c>
      <c r="H205" s="120">
        <v>3</v>
      </c>
      <c r="I205" s="576">
        <v>50</v>
      </c>
      <c r="J205" s="569">
        <v>-0.2</v>
      </c>
      <c r="K205" s="319" t="s">
        <v>66</v>
      </c>
      <c r="L205" s="571">
        <f t="shared" si="58"/>
        <v>0</v>
      </c>
      <c r="N205" s="120">
        <v>3</v>
      </c>
      <c r="O205" s="576">
        <v>850</v>
      </c>
      <c r="P205" s="577">
        <v>2.4</v>
      </c>
      <c r="Q205" s="319" t="s">
        <v>66</v>
      </c>
      <c r="R205" s="571">
        <f t="shared" si="59"/>
        <v>0</v>
      </c>
    </row>
    <row r="206" spans="1:21" ht="13">
      <c r="A206" s="1533"/>
      <c r="B206" s="120">
        <v>4</v>
      </c>
      <c r="C206" s="580">
        <v>30</v>
      </c>
      <c r="D206" s="578">
        <v>-0.1</v>
      </c>
      <c r="E206" s="579" t="s">
        <v>66</v>
      </c>
      <c r="F206" s="571">
        <f t="shared" si="57"/>
        <v>0</v>
      </c>
      <c r="H206" s="120">
        <v>4</v>
      </c>
      <c r="I206" s="580">
        <v>60</v>
      </c>
      <c r="J206" s="578">
        <v>0.4</v>
      </c>
      <c r="K206" s="579" t="s">
        <v>66</v>
      </c>
      <c r="L206" s="571">
        <f t="shared" si="58"/>
        <v>0</v>
      </c>
      <c r="N206" s="120">
        <v>4</v>
      </c>
      <c r="O206" s="580">
        <v>900</v>
      </c>
      <c r="P206" s="581">
        <v>2.2999999999999998</v>
      </c>
      <c r="Q206" s="579" t="s">
        <v>66</v>
      </c>
      <c r="R206" s="571">
        <f t="shared" si="59"/>
        <v>0</v>
      </c>
    </row>
    <row r="207" spans="1:21" ht="13">
      <c r="A207" s="1533"/>
      <c r="B207" s="120">
        <v>5</v>
      </c>
      <c r="C207" s="580">
        <v>35</v>
      </c>
      <c r="D207" s="578">
        <v>-0.1</v>
      </c>
      <c r="E207" s="579" t="s">
        <v>66</v>
      </c>
      <c r="F207" s="571">
        <f t="shared" si="57"/>
        <v>0</v>
      </c>
      <c r="H207" s="120">
        <v>5</v>
      </c>
      <c r="I207" s="580">
        <v>70</v>
      </c>
      <c r="J207" s="578">
        <v>-0.7</v>
      </c>
      <c r="K207" s="579" t="s">
        <v>66</v>
      </c>
      <c r="L207" s="571">
        <f t="shared" si="58"/>
        <v>0</v>
      </c>
      <c r="N207" s="120">
        <v>5</v>
      </c>
      <c r="O207" s="580">
        <v>1000</v>
      </c>
      <c r="P207" s="581">
        <v>2.2000000000000002</v>
      </c>
      <c r="Q207" s="579" t="s">
        <v>66</v>
      </c>
      <c r="R207" s="571">
        <f t="shared" si="59"/>
        <v>0</v>
      </c>
    </row>
    <row r="208" spans="1:21" ht="13">
      <c r="A208" s="1533"/>
      <c r="B208" s="120">
        <v>6</v>
      </c>
      <c r="C208" s="580">
        <v>37</v>
      </c>
      <c r="D208" s="570">
        <v>9.9999999999999995E-7</v>
      </c>
      <c r="E208" s="579" t="s">
        <v>66</v>
      </c>
      <c r="F208" s="571">
        <f t="shared" si="57"/>
        <v>0</v>
      </c>
      <c r="H208" s="120">
        <v>6</v>
      </c>
      <c r="I208" s="580">
        <v>80</v>
      </c>
      <c r="J208" s="578">
        <v>-0.9</v>
      </c>
      <c r="K208" s="579" t="s">
        <v>66</v>
      </c>
      <c r="L208" s="571">
        <f t="shared" si="58"/>
        <v>0</v>
      </c>
      <c r="N208" s="120">
        <v>6</v>
      </c>
      <c r="O208" s="580">
        <v>1005</v>
      </c>
      <c r="P208" s="581">
        <v>2.2000000000000002</v>
      </c>
      <c r="Q208" s="579" t="s">
        <v>66</v>
      </c>
      <c r="R208" s="571">
        <f t="shared" si="59"/>
        <v>0</v>
      </c>
    </row>
    <row r="209" spans="1:23" ht="13.5" thickBot="1">
      <c r="A209" s="1534"/>
      <c r="B209" s="582">
        <v>7</v>
      </c>
      <c r="C209" s="616">
        <v>40</v>
      </c>
      <c r="D209" s="583">
        <v>0.2</v>
      </c>
      <c r="E209" s="584" t="s">
        <v>66</v>
      </c>
      <c r="F209" s="585">
        <f t="shared" si="57"/>
        <v>0</v>
      </c>
      <c r="G209" s="71"/>
      <c r="H209" s="582">
        <v>7</v>
      </c>
      <c r="I209" s="616">
        <v>90</v>
      </c>
      <c r="J209" s="583">
        <v>-0.6</v>
      </c>
      <c r="K209" s="584" t="s">
        <v>66</v>
      </c>
      <c r="L209" s="585">
        <f t="shared" si="58"/>
        <v>0</v>
      </c>
      <c r="M209" s="71"/>
      <c r="N209" s="582">
        <v>7</v>
      </c>
      <c r="O209" s="586">
        <v>1020</v>
      </c>
      <c r="P209" s="587">
        <v>2.2999999999999998</v>
      </c>
      <c r="Q209" s="584" t="s">
        <v>66</v>
      </c>
      <c r="R209" s="585">
        <f t="shared" si="59"/>
        <v>0</v>
      </c>
    </row>
    <row r="210" spans="1:23" ht="13" thickBot="1">
      <c r="A210" s="618"/>
      <c r="C210" s="619"/>
      <c r="D210" s="620"/>
      <c r="E210" s="621"/>
      <c r="F210" s="622"/>
      <c r="I210" s="619"/>
      <c r="J210" s="620"/>
      <c r="K210" s="621"/>
      <c r="L210" s="622"/>
      <c r="O210" s="620"/>
      <c r="P210" s="623"/>
      <c r="Q210" s="621"/>
      <c r="R210" s="622"/>
    </row>
    <row r="211" spans="1:23" ht="13" thickBot="1">
      <c r="A211" s="1532">
        <v>20</v>
      </c>
      <c r="B211" s="1535">
        <v>20</v>
      </c>
      <c r="C211" s="1536"/>
      <c r="D211" s="1536"/>
      <c r="E211" s="1536"/>
      <c r="F211" s="1537"/>
      <c r="G211" s="94"/>
      <c r="H211" s="1535">
        <f>B211</f>
        <v>20</v>
      </c>
      <c r="I211" s="1536"/>
      <c r="J211" s="1536"/>
      <c r="K211" s="1536"/>
      <c r="L211" s="1537"/>
      <c r="M211" s="94"/>
      <c r="N211" s="1535">
        <f>H211</f>
        <v>20</v>
      </c>
      <c r="O211" s="1536"/>
      <c r="P211" s="1536"/>
      <c r="Q211" s="1536"/>
      <c r="R211" s="1537"/>
      <c r="T211" s="1520" t="s">
        <v>99</v>
      </c>
      <c r="U211" s="1521"/>
    </row>
    <row r="212" spans="1:23" ht="13.5" thickBot="1">
      <c r="A212" s="1533"/>
      <c r="B212" s="1522" t="s">
        <v>216</v>
      </c>
      <c r="C212" s="1523"/>
      <c r="D212" s="1524" t="s">
        <v>93</v>
      </c>
      <c r="E212" s="1525"/>
      <c r="F212" s="1526" t="s">
        <v>92</v>
      </c>
      <c r="H212" s="1522" t="s">
        <v>217</v>
      </c>
      <c r="I212" s="1523"/>
      <c r="J212" s="1524" t="s">
        <v>93</v>
      </c>
      <c r="K212" s="1525"/>
      <c r="L212" s="1526" t="s">
        <v>92</v>
      </c>
      <c r="N212" s="1522" t="s">
        <v>402</v>
      </c>
      <c r="O212" s="1523"/>
      <c r="P212" s="1524" t="s">
        <v>93</v>
      </c>
      <c r="Q212" s="1525"/>
      <c r="R212" s="1526" t="s">
        <v>92</v>
      </c>
      <c r="T212" s="565" t="s">
        <v>216</v>
      </c>
      <c r="U212" s="566">
        <v>0</v>
      </c>
    </row>
    <row r="213" spans="1:23" ht="15" thickBot="1">
      <c r="A213" s="1533"/>
      <c r="B213" s="1528" t="s">
        <v>218</v>
      </c>
      <c r="C213" s="1529"/>
      <c r="D213" s="592">
        <v>2017</v>
      </c>
      <c r="E213" s="608" t="s">
        <v>66</v>
      </c>
      <c r="F213" s="1527"/>
      <c r="H213" s="1530" t="s">
        <v>94</v>
      </c>
      <c r="I213" s="1531"/>
      <c r="J213" s="593">
        <f>D213</f>
        <v>2017</v>
      </c>
      <c r="K213" s="593" t="str">
        <f>E213</f>
        <v>-</v>
      </c>
      <c r="L213" s="1527"/>
      <c r="N213" s="1530" t="s">
        <v>403</v>
      </c>
      <c r="O213" s="1531"/>
      <c r="P213" s="593">
        <f>J213</f>
        <v>2017</v>
      </c>
      <c r="Q213" s="593" t="str">
        <f>K213</f>
        <v>-</v>
      </c>
      <c r="R213" s="1527"/>
      <c r="T213" s="565" t="s">
        <v>94</v>
      </c>
      <c r="U213" s="566">
        <v>0</v>
      </c>
    </row>
    <row r="214" spans="1:23" ht="13.5" thickBot="1">
      <c r="A214" s="1533"/>
      <c r="B214" s="120">
        <v>1</v>
      </c>
      <c r="C214" s="572">
        <v>14.8</v>
      </c>
      <c r="D214" s="570">
        <v>9.9999999999999995E-7</v>
      </c>
      <c r="E214" s="609" t="s">
        <v>66</v>
      </c>
      <c r="F214" s="595">
        <f t="shared" ref="F214:F220" si="60">0.5*(MAX(D214:E214)-MIN(D214:E214))</f>
        <v>0</v>
      </c>
      <c r="H214" s="120">
        <v>1</v>
      </c>
      <c r="I214" s="572">
        <v>45.7</v>
      </c>
      <c r="J214" s="570">
        <v>9.9999999999999995E-7</v>
      </c>
      <c r="K214" s="609" t="s">
        <v>66</v>
      </c>
      <c r="L214" s="595">
        <f t="shared" ref="L214:L220" si="61">0.5*(MAX(J214:K214)-MIN(J214:K214))</f>
        <v>0</v>
      </c>
      <c r="N214" s="120">
        <v>1</v>
      </c>
      <c r="O214" s="572">
        <v>750</v>
      </c>
      <c r="P214" s="573" t="s">
        <v>66</v>
      </c>
      <c r="Q214" s="609" t="s">
        <v>66</v>
      </c>
      <c r="R214" s="595">
        <f t="shared" ref="R214:R220" si="62">0.5*(MAX(P214:Q214)-MIN(P214:Q214))</f>
        <v>0</v>
      </c>
      <c r="T214" s="574" t="s">
        <v>403</v>
      </c>
      <c r="U214" s="575">
        <v>0</v>
      </c>
    </row>
    <row r="215" spans="1:23" ht="13">
      <c r="A215" s="1533"/>
      <c r="B215" s="120">
        <v>2</v>
      </c>
      <c r="C215" s="576">
        <v>19.7</v>
      </c>
      <c r="D215" s="570">
        <v>9.9999999999999995E-7</v>
      </c>
      <c r="E215" s="319" t="s">
        <v>66</v>
      </c>
      <c r="F215" s="571">
        <f t="shared" si="60"/>
        <v>0</v>
      </c>
      <c r="H215" s="120">
        <v>2</v>
      </c>
      <c r="I215" s="576">
        <v>54.3</v>
      </c>
      <c r="J215" s="570">
        <v>9.9999999999999995E-7</v>
      </c>
      <c r="K215" s="319" t="s">
        <v>66</v>
      </c>
      <c r="L215" s="571">
        <f t="shared" si="61"/>
        <v>0</v>
      </c>
      <c r="N215" s="120">
        <v>2</v>
      </c>
      <c r="O215" s="576">
        <v>800</v>
      </c>
      <c r="P215" s="577" t="s">
        <v>66</v>
      </c>
      <c r="Q215" s="319" t="s">
        <v>66</v>
      </c>
      <c r="R215" s="571">
        <f t="shared" si="62"/>
        <v>0</v>
      </c>
    </row>
    <row r="216" spans="1:23" ht="13">
      <c r="A216" s="1533"/>
      <c r="B216" s="120">
        <v>3</v>
      </c>
      <c r="C216" s="576">
        <v>24.6</v>
      </c>
      <c r="D216" s="570">
        <v>9.9999999999999995E-7</v>
      </c>
      <c r="E216" s="319" t="s">
        <v>66</v>
      </c>
      <c r="F216" s="571">
        <f t="shared" si="60"/>
        <v>0</v>
      </c>
      <c r="H216" s="120">
        <v>3</v>
      </c>
      <c r="I216" s="576">
        <v>62.5</v>
      </c>
      <c r="J216" s="570">
        <v>9.9999999999999995E-7</v>
      </c>
      <c r="K216" s="319" t="s">
        <v>66</v>
      </c>
      <c r="L216" s="571">
        <f t="shared" si="61"/>
        <v>0</v>
      </c>
      <c r="N216" s="120">
        <v>3</v>
      </c>
      <c r="O216" s="576">
        <v>850</v>
      </c>
      <c r="P216" s="577" t="s">
        <v>66</v>
      </c>
      <c r="Q216" s="319" t="s">
        <v>66</v>
      </c>
      <c r="R216" s="571">
        <f t="shared" si="62"/>
        <v>0</v>
      </c>
    </row>
    <row r="217" spans="1:23" ht="13">
      <c r="A217" s="1533"/>
      <c r="B217" s="120">
        <v>4</v>
      </c>
      <c r="C217" s="580">
        <v>29.5</v>
      </c>
      <c r="D217" s="570">
        <v>9.9999999999999995E-7</v>
      </c>
      <c r="E217" s="579" t="s">
        <v>66</v>
      </c>
      <c r="F217" s="571">
        <f t="shared" si="60"/>
        <v>0</v>
      </c>
      <c r="H217" s="120">
        <v>4</v>
      </c>
      <c r="I217" s="580">
        <v>71.5</v>
      </c>
      <c r="J217" s="570">
        <v>9.9999999999999995E-7</v>
      </c>
      <c r="K217" s="579" t="s">
        <v>66</v>
      </c>
      <c r="L217" s="571">
        <f t="shared" si="61"/>
        <v>0</v>
      </c>
      <c r="N217" s="120">
        <v>4</v>
      </c>
      <c r="O217" s="580">
        <v>900</v>
      </c>
      <c r="P217" s="581" t="s">
        <v>66</v>
      </c>
      <c r="Q217" s="579" t="s">
        <v>66</v>
      </c>
      <c r="R217" s="571">
        <f t="shared" si="62"/>
        <v>0</v>
      </c>
    </row>
    <row r="218" spans="1:23" ht="13">
      <c r="A218" s="1533"/>
      <c r="B218" s="120">
        <v>5</v>
      </c>
      <c r="C218" s="580">
        <v>34.5</v>
      </c>
      <c r="D218" s="570">
        <v>9.9999999999999995E-7</v>
      </c>
      <c r="E218" s="579" t="s">
        <v>66</v>
      </c>
      <c r="F218" s="571">
        <f t="shared" si="60"/>
        <v>0</v>
      </c>
      <c r="H218" s="120">
        <v>5</v>
      </c>
      <c r="I218" s="580">
        <v>80.8</v>
      </c>
      <c r="J218" s="570">
        <v>9.9999999999999995E-7</v>
      </c>
      <c r="K218" s="579" t="s">
        <v>66</v>
      </c>
      <c r="L218" s="571">
        <f t="shared" si="61"/>
        <v>0</v>
      </c>
      <c r="N218" s="120">
        <v>5</v>
      </c>
      <c r="O218" s="580">
        <v>1000</v>
      </c>
      <c r="P218" s="581" t="s">
        <v>66</v>
      </c>
      <c r="Q218" s="579" t="s">
        <v>66</v>
      </c>
      <c r="R218" s="571">
        <f t="shared" si="62"/>
        <v>0</v>
      </c>
    </row>
    <row r="219" spans="1:23" ht="13">
      <c r="A219" s="1533"/>
      <c r="B219" s="120">
        <v>6</v>
      </c>
      <c r="C219" s="580">
        <v>39.5</v>
      </c>
      <c r="D219" s="570">
        <v>9.9999999999999995E-7</v>
      </c>
      <c r="E219" s="579" t="s">
        <v>66</v>
      </c>
      <c r="F219" s="571">
        <f t="shared" si="60"/>
        <v>0</v>
      </c>
      <c r="H219" s="120">
        <v>6</v>
      </c>
      <c r="I219" s="580">
        <v>88.7</v>
      </c>
      <c r="J219" s="570">
        <v>9.9999999999999995E-7</v>
      </c>
      <c r="K219" s="579" t="s">
        <v>66</v>
      </c>
      <c r="L219" s="571">
        <f t="shared" si="61"/>
        <v>0</v>
      </c>
      <c r="N219" s="120">
        <v>6</v>
      </c>
      <c r="O219" s="580">
        <v>1005</v>
      </c>
      <c r="P219" s="581" t="s">
        <v>66</v>
      </c>
      <c r="Q219" s="579" t="s">
        <v>66</v>
      </c>
      <c r="R219" s="571">
        <f t="shared" si="62"/>
        <v>0</v>
      </c>
    </row>
    <row r="220" spans="1:23" ht="13.5" thickBot="1">
      <c r="A220" s="1534"/>
      <c r="B220" s="582">
        <v>7</v>
      </c>
      <c r="C220" s="616">
        <v>40</v>
      </c>
      <c r="D220" s="570">
        <v>9.9999999999999995E-7</v>
      </c>
      <c r="E220" s="584" t="s">
        <v>66</v>
      </c>
      <c r="F220" s="585">
        <f t="shared" si="60"/>
        <v>0</v>
      </c>
      <c r="G220" s="71"/>
      <c r="H220" s="582">
        <v>7</v>
      </c>
      <c r="I220" s="616">
        <v>90</v>
      </c>
      <c r="J220" s="570">
        <v>9.9999999999999995E-7</v>
      </c>
      <c r="K220" s="584" t="s">
        <v>66</v>
      </c>
      <c r="L220" s="585">
        <f t="shared" si="61"/>
        <v>0</v>
      </c>
      <c r="M220" s="71"/>
      <c r="N220" s="582">
        <v>7</v>
      </c>
      <c r="O220" s="586">
        <v>1020</v>
      </c>
      <c r="P220" s="587" t="s">
        <v>66</v>
      </c>
      <c r="Q220" s="584" t="s">
        <v>66</v>
      </c>
      <c r="R220" s="585">
        <f t="shared" si="62"/>
        <v>0</v>
      </c>
    </row>
    <row r="221" spans="1:23" ht="13.5" thickBot="1">
      <c r="A221" s="624"/>
      <c r="B221" s="1553"/>
      <c r="C221" s="1553"/>
      <c r="D221" s="1553"/>
      <c r="E221" s="1553"/>
      <c r="F221" s="1553"/>
      <c r="G221" s="1553"/>
      <c r="H221" s="1553"/>
      <c r="I221" s="1553"/>
      <c r="J221" s="1553"/>
      <c r="K221" s="1553"/>
      <c r="L221" s="1553"/>
      <c r="M221" s="1553"/>
      <c r="N221" s="1553"/>
      <c r="O221" s="1553"/>
      <c r="P221" s="1553"/>
      <c r="Q221" s="1553"/>
      <c r="R221" s="1553"/>
      <c r="S221" s="1553"/>
      <c r="T221" s="1553"/>
      <c r="U221" s="1553"/>
    </row>
    <row r="222" spans="1:23" ht="13">
      <c r="A222" s="589"/>
      <c r="B222" s="589"/>
      <c r="C222" s="589"/>
      <c r="D222" s="589"/>
      <c r="E222" s="589"/>
      <c r="F222" s="589"/>
      <c r="G222" s="589"/>
      <c r="H222" s="589"/>
      <c r="I222" s="589"/>
      <c r="J222" s="589"/>
      <c r="K222" s="589"/>
      <c r="L222" s="589"/>
      <c r="M222" s="589"/>
      <c r="N222" s="589"/>
      <c r="O222" s="589"/>
      <c r="P222" s="589"/>
    </row>
    <row r="223" spans="1:23" ht="12.75" hidden="1" customHeight="1">
      <c r="A223" s="1541" t="s">
        <v>14</v>
      </c>
      <c r="B223" s="1543" t="s">
        <v>229</v>
      </c>
      <c r="C223" s="1518" t="s">
        <v>91</v>
      </c>
      <c r="D223" s="1518"/>
      <c r="E223" s="1518"/>
      <c r="F223" s="1518"/>
      <c r="G223" s="188"/>
      <c r="H223" s="1545" t="s">
        <v>14</v>
      </c>
      <c r="I223" s="1543" t="s">
        <v>229</v>
      </c>
      <c r="J223" s="1518" t="s">
        <v>91</v>
      </c>
      <c r="K223" s="1518"/>
      <c r="L223" s="1518"/>
      <c r="M223" s="1518"/>
      <c r="N223" s="189"/>
      <c r="O223" s="1545" t="s">
        <v>14</v>
      </c>
      <c r="P223" s="1543" t="s">
        <v>229</v>
      </c>
      <c r="Q223" s="1518" t="s">
        <v>91</v>
      </c>
      <c r="R223" s="1518"/>
      <c r="S223" s="1518"/>
      <c r="T223" s="1519"/>
      <c r="V223" s="1547" t="s">
        <v>99</v>
      </c>
      <c r="W223" s="1548"/>
    </row>
    <row r="224" spans="1:23" ht="13.5" hidden="1">
      <c r="A224" s="1542"/>
      <c r="B224" s="1544"/>
      <c r="C224" s="625" t="s">
        <v>216</v>
      </c>
      <c r="D224" s="1549" t="s">
        <v>93</v>
      </c>
      <c r="E224" s="1549"/>
      <c r="F224" s="1549" t="s">
        <v>92</v>
      </c>
      <c r="G224" s="589"/>
      <c r="H224" s="1546"/>
      <c r="I224" s="1544"/>
      <c r="J224" s="625" t="s">
        <v>217</v>
      </c>
      <c r="K224" s="1549" t="s">
        <v>93</v>
      </c>
      <c r="L224" s="1549"/>
      <c r="M224" s="1549" t="s">
        <v>92</v>
      </c>
      <c r="N224" s="589"/>
      <c r="O224" s="1546"/>
      <c r="P224" s="1544"/>
      <c r="Q224" s="625" t="s">
        <v>402</v>
      </c>
      <c r="R224" s="1549" t="s">
        <v>93</v>
      </c>
      <c r="S224" s="1549"/>
      <c r="T224" s="1550" t="s">
        <v>92</v>
      </c>
      <c r="V224" s="1551" t="s">
        <v>216</v>
      </c>
      <c r="W224" s="1552"/>
    </row>
    <row r="225" spans="1:23" ht="14" hidden="1">
      <c r="A225" s="1542"/>
      <c r="B225" s="1544"/>
      <c r="C225" s="279" t="s">
        <v>230</v>
      </c>
      <c r="D225" s="625"/>
      <c r="E225" s="625"/>
      <c r="F225" s="1549"/>
      <c r="G225" s="589"/>
      <c r="H225" s="1546"/>
      <c r="I225" s="1544"/>
      <c r="J225" s="279" t="s">
        <v>94</v>
      </c>
      <c r="K225" s="625"/>
      <c r="L225" s="625"/>
      <c r="M225" s="1549"/>
      <c r="N225" s="589"/>
      <c r="O225" s="1546"/>
      <c r="P225" s="1544"/>
      <c r="Q225" s="279" t="s">
        <v>403</v>
      </c>
      <c r="R225" s="625"/>
      <c r="S225" s="625"/>
      <c r="T225" s="1550"/>
      <c r="V225" s="626">
        <v>1</v>
      </c>
      <c r="W225" s="627">
        <f>U3</f>
        <v>0.6</v>
      </c>
    </row>
    <row r="226" spans="1:23" ht="13" hidden="1">
      <c r="A226" s="1560">
        <v>1</v>
      </c>
      <c r="B226" s="628">
        <v>1</v>
      </c>
      <c r="C226" s="629">
        <f>C5</f>
        <v>15</v>
      </c>
      <c r="D226" s="629">
        <f t="shared" ref="D226:F226" si="63">D5</f>
        <v>-0.5</v>
      </c>
      <c r="E226" s="629">
        <f t="shared" si="63"/>
        <v>0.3</v>
      </c>
      <c r="F226" s="629">
        <f t="shared" si="63"/>
        <v>0.4</v>
      </c>
      <c r="G226" s="589"/>
      <c r="H226" s="1563">
        <v>1</v>
      </c>
      <c r="I226" s="628">
        <v>1</v>
      </c>
      <c r="J226" s="629">
        <f>I5</f>
        <v>35</v>
      </c>
      <c r="K226" s="629">
        <f t="shared" ref="K226:M226" si="64">J5</f>
        <v>-6</v>
      </c>
      <c r="L226" s="629">
        <f t="shared" si="64"/>
        <v>-9.4</v>
      </c>
      <c r="M226" s="629">
        <f t="shared" si="64"/>
        <v>1.7000000000000002</v>
      </c>
      <c r="N226" s="589"/>
      <c r="O226" s="1563">
        <v>1</v>
      </c>
      <c r="P226" s="628">
        <v>1</v>
      </c>
      <c r="Q226" s="629">
        <f>O5</f>
        <v>750</v>
      </c>
      <c r="R226" s="629" t="str">
        <f t="shared" ref="R226:T226" si="65">P5</f>
        <v>-</v>
      </c>
      <c r="S226" s="629" t="str">
        <f t="shared" si="65"/>
        <v>-</v>
      </c>
      <c r="T226" s="630">
        <f t="shared" si="65"/>
        <v>0</v>
      </c>
      <c r="V226" s="631">
        <v>2</v>
      </c>
      <c r="W226" s="632">
        <f>U14</f>
        <v>0.8</v>
      </c>
    </row>
    <row r="227" spans="1:23" ht="13" hidden="1">
      <c r="A227" s="1561"/>
      <c r="B227" s="628">
        <v>2</v>
      </c>
      <c r="C227" s="629">
        <f>C16</f>
        <v>15</v>
      </c>
      <c r="D227" s="629">
        <f t="shared" ref="D227:F227" si="66">D16</f>
        <v>0.4</v>
      </c>
      <c r="E227" s="629">
        <f t="shared" si="66"/>
        <v>9.9999999999999995E-7</v>
      </c>
      <c r="F227" s="629">
        <f t="shared" si="66"/>
        <v>0.19999950000000002</v>
      </c>
      <c r="G227" s="589"/>
      <c r="H227" s="1564"/>
      <c r="I227" s="628">
        <v>2</v>
      </c>
      <c r="J227" s="629">
        <f>I16</f>
        <v>35</v>
      </c>
      <c r="K227" s="629">
        <f t="shared" ref="K227:M227" si="67">J16</f>
        <v>-6.9</v>
      </c>
      <c r="L227" s="629">
        <f t="shared" si="67"/>
        <v>-1.6</v>
      </c>
      <c r="M227" s="629">
        <f t="shared" si="67"/>
        <v>2.6500000000000004</v>
      </c>
      <c r="N227" s="589"/>
      <c r="O227" s="1564"/>
      <c r="P227" s="628">
        <v>2</v>
      </c>
      <c r="Q227" s="629">
        <f>O16</f>
        <v>750</v>
      </c>
      <c r="R227" s="629" t="str">
        <f t="shared" ref="R227:T227" si="68">P16</f>
        <v>-</v>
      </c>
      <c r="S227" s="629" t="str">
        <f t="shared" si="68"/>
        <v>-</v>
      </c>
      <c r="T227" s="630">
        <f t="shared" si="68"/>
        <v>0</v>
      </c>
      <c r="V227" s="631">
        <v>3</v>
      </c>
      <c r="W227" s="633">
        <f>U25</f>
        <v>0.5</v>
      </c>
    </row>
    <row r="228" spans="1:23" ht="13" hidden="1">
      <c r="A228" s="1561"/>
      <c r="B228" s="628">
        <v>3</v>
      </c>
      <c r="C228" s="629">
        <f>C27</f>
        <v>15</v>
      </c>
      <c r="D228" s="629">
        <f t="shared" ref="D228:F228" si="69">D27</f>
        <v>0.4</v>
      </c>
      <c r="E228" s="629">
        <f t="shared" si="69"/>
        <v>9.9999999999999995E-7</v>
      </c>
      <c r="F228" s="629">
        <f t="shared" si="69"/>
        <v>0.19999950000000002</v>
      </c>
      <c r="G228" s="589"/>
      <c r="H228" s="1564"/>
      <c r="I228" s="628">
        <v>3</v>
      </c>
      <c r="J228" s="629">
        <f>I27</f>
        <v>30</v>
      </c>
      <c r="K228" s="629">
        <f t="shared" ref="K228:M228" si="70">J27</f>
        <v>-7.3</v>
      </c>
      <c r="L228" s="629">
        <f t="shared" si="70"/>
        <v>-5.7</v>
      </c>
      <c r="M228" s="629">
        <f t="shared" si="70"/>
        <v>0.79999999999999982</v>
      </c>
      <c r="N228" s="589"/>
      <c r="O228" s="1564"/>
      <c r="P228" s="628">
        <v>3</v>
      </c>
      <c r="Q228" s="629">
        <f>O27</f>
        <v>750</v>
      </c>
      <c r="R228" s="629" t="str">
        <f t="shared" ref="R228:T228" si="71">P27</f>
        <v>-</v>
      </c>
      <c r="S228" s="629" t="str">
        <f t="shared" si="71"/>
        <v>-</v>
      </c>
      <c r="T228" s="630">
        <f t="shared" si="71"/>
        <v>0</v>
      </c>
      <c r="V228" s="631">
        <v>4</v>
      </c>
      <c r="W228" s="633">
        <f>U37</f>
        <v>0.3</v>
      </c>
    </row>
    <row r="229" spans="1:23" ht="13" hidden="1">
      <c r="A229" s="1561"/>
      <c r="B229" s="628">
        <v>4</v>
      </c>
      <c r="C229" s="634">
        <f>C38</f>
        <v>15</v>
      </c>
      <c r="D229" s="634">
        <f t="shared" ref="D229:F229" si="72">D38</f>
        <v>-0.2</v>
      </c>
      <c r="E229" s="634">
        <f t="shared" si="72"/>
        <v>-0.1</v>
      </c>
      <c r="F229" s="634">
        <f t="shared" si="72"/>
        <v>0.05</v>
      </c>
      <c r="G229" s="589"/>
      <c r="H229" s="1564"/>
      <c r="I229" s="628">
        <v>4</v>
      </c>
      <c r="J229" s="634">
        <f>I38</f>
        <v>35</v>
      </c>
      <c r="K229" s="634">
        <f t="shared" ref="K229:M229" si="73">J38</f>
        <v>-4.5</v>
      </c>
      <c r="L229" s="634">
        <f t="shared" si="73"/>
        <v>-1.7</v>
      </c>
      <c r="M229" s="634">
        <f t="shared" si="73"/>
        <v>1.4</v>
      </c>
      <c r="N229" s="589"/>
      <c r="O229" s="1564"/>
      <c r="P229" s="628">
        <v>4</v>
      </c>
      <c r="Q229" s="634">
        <f>O38</f>
        <v>750</v>
      </c>
      <c r="R229" s="634" t="str">
        <f t="shared" ref="R229:T229" si="74">P38</f>
        <v>-</v>
      </c>
      <c r="S229" s="634" t="str">
        <f t="shared" si="74"/>
        <v>-</v>
      </c>
      <c r="T229" s="635">
        <f t="shared" si="74"/>
        <v>0</v>
      </c>
      <c r="V229" s="631">
        <v>5</v>
      </c>
      <c r="W229" s="633">
        <f>U47</f>
        <v>0.4</v>
      </c>
    </row>
    <row r="230" spans="1:23" ht="13" hidden="1">
      <c r="A230" s="1561"/>
      <c r="B230" s="628">
        <v>5</v>
      </c>
      <c r="C230" s="634">
        <f>C49</f>
        <v>15</v>
      </c>
      <c r="D230" s="634">
        <f t="shared" ref="D230:F230" si="75">D49</f>
        <v>-0.3</v>
      </c>
      <c r="E230" s="634">
        <f t="shared" si="75"/>
        <v>0.3</v>
      </c>
      <c r="F230" s="634">
        <f t="shared" si="75"/>
        <v>0.3</v>
      </c>
      <c r="G230" s="589"/>
      <c r="H230" s="1564"/>
      <c r="I230" s="628">
        <v>5</v>
      </c>
      <c r="J230" s="634">
        <f>I49</f>
        <v>35</v>
      </c>
      <c r="K230" s="634">
        <f t="shared" ref="K230:M230" si="76">J49</f>
        <v>-7.7</v>
      </c>
      <c r="L230" s="634">
        <f t="shared" si="76"/>
        <v>-9.6</v>
      </c>
      <c r="M230" s="634">
        <f t="shared" si="76"/>
        <v>0.94999999999999973</v>
      </c>
      <c r="N230" s="589"/>
      <c r="O230" s="1564"/>
      <c r="P230" s="628">
        <v>5</v>
      </c>
      <c r="Q230" s="634">
        <f>O49</f>
        <v>750</v>
      </c>
      <c r="R230" s="634" t="str">
        <f t="shared" ref="R230:T230" si="77">P49</f>
        <v>-</v>
      </c>
      <c r="S230" s="634" t="str">
        <f t="shared" si="77"/>
        <v>-</v>
      </c>
      <c r="T230" s="635">
        <f t="shared" si="77"/>
        <v>0</v>
      </c>
      <c r="V230" s="626">
        <v>6</v>
      </c>
      <c r="W230" s="627">
        <f>U58</f>
        <v>0.8</v>
      </c>
    </row>
    <row r="231" spans="1:23" ht="13" hidden="1">
      <c r="A231" s="1561"/>
      <c r="B231" s="628">
        <v>6</v>
      </c>
      <c r="C231" s="634">
        <f>C60</f>
        <v>15</v>
      </c>
      <c r="D231" s="634">
        <f t="shared" ref="D231:F231" si="78">D60</f>
        <v>0.4</v>
      </c>
      <c r="E231" s="634">
        <f t="shared" si="78"/>
        <v>0.4</v>
      </c>
      <c r="F231" s="634">
        <f t="shared" si="78"/>
        <v>0</v>
      </c>
      <c r="G231" s="589"/>
      <c r="H231" s="1564"/>
      <c r="I231" s="628">
        <v>6</v>
      </c>
      <c r="J231" s="634">
        <f>I60</f>
        <v>30</v>
      </c>
      <c r="K231" s="634">
        <f t="shared" ref="K231:M231" si="79">J60</f>
        <v>-1.5</v>
      </c>
      <c r="L231" s="634">
        <f t="shared" si="79"/>
        <v>1.7</v>
      </c>
      <c r="M231" s="634">
        <f t="shared" si="79"/>
        <v>1.6</v>
      </c>
      <c r="N231" s="589"/>
      <c r="O231" s="1564"/>
      <c r="P231" s="628">
        <v>6</v>
      </c>
      <c r="Q231" s="634">
        <f>O60</f>
        <v>750</v>
      </c>
      <c r="R231" s="634">
        <f t="shared" ref="R231:T231" si="80">P60</f>
        <v>0.9</v>
      </c>
      <c r="S231" s="634">
        <f t="shared" si="80"/>
        <v>2.1</v>
      </c>
      <c r="T231" s="635">
        <f t="shared" si="80"/>
        <v>0.60000000000000009</v>
      </c>
      <c r="V231" s="626">
        <v>7</v>
      </c>
      <c r="W231" s="627">
        <f>U69</f>
        <v>0.2</v>
      </c>
    </row>
    <row r="232" spans="1:23" ht="13" hidden="1">
      <c r="A232" s="1561"/>
      <c r="B232" s="628">
        <v>7</v>
      </c>
      <c r="C232" s="634">
        <f>C71</f>
        <v>15</v>
      </c>
      <c r="D232" s="634">
        <f t="shared" ref="D232:F232" si="81">D71</f>
        <v>0.1</v>
      </c>
      <c r="E232" s="634">
        <f t="shared" si="81"/>
        <v>0.3</v>
      </c>
      <c r="F232" s="634">
        <f t="shared" si="81"/>
        <v>9.9999999999999992E-2</v>
      </c>
      <c r="G232" s="589"/>
      <c r="H232" s="1564"/>
      <c r="I232" s="628">
        <v>7</v>
      </c>
      <c r="J232" s="634">
        <f>I71</f>
        <v>30</v>
      </c>
      <c r="K232" s="634">
        <f t="shared" ref="K232:M232" si="82">J71</f>
        <v>-1.9</v>
      </c>
      <c r="L232" s="634">
        <f t="shared" si="82"/>
        <v>1.8</v>
      </c>
      <c r="M232" s="634">
        <f t="shared" si="82"/>
        <v>1.85</v>
      </c>
      <c r="N232" s="589"/>
      <c r="O232" s="1564"/>
      <c r="P232" s="628">
        <v>7</v>
      </c>
      <c r="Q232" s="634">
        <f>O71</f>
        <v>750</v>
      </c>
      <c r="R232" s="634">
        <f t="shared" ref="R232:T232" si="83">P71</f>
        <v>9.9999999999999995E-7</v>
      </c>
      <c r="S232" s="634">
        <f t="shared" si="83"/>
        <v>3.2</v>
      </c>
      <c r="T232" s="635">
        <f t="shared" si="83"/>
        <v>1.5999995</v>
      </c>
      <c r="V232" s="626">
        <v>8</v>
      </c>
      <c r="W232" s="627">
        <f>U80</f>
        <v>0.3</v>
      </c>
    </row>
    <row r="233" spans="1:23" ht="13" hidden="1">
      <c r="A233" s="1561"/>
      <c r="B233" s="628">
        <v>8</v>
      </c>
      <c r="C233" s="634">
        <f>C82</f>
        <v>15</v>
      </c>
      <c r="D233" s="634">
        <f t="shared" ref="D233:F233" si="84">D82</f>
        <v>0.1</v>
      </c>
      <c r="E233" s="634">
        <f t="shared" si="84"/>
        <v>9.9999999999999995E-7</v>
      </c>
      <c r="F233" s="634">
        <f t="shared" si="84"/>
        <v>4.9999500000000002E-2</v>
      </c>
      <c r="G233" s="589"/>
      <c r="H233" s="1564"/>
      <c r="I233" s="628">
        <v>8</v>
      </c>
      <c r="J233" s="634">
        <f>I82</f>
        <v>30</v>
      </c>
      <c r="K233" s="634">
        <f t="shared" ref="K233:M233" si="85">J82</f>
        <v>-4</v>
      </c>
      <c r="L233" s="634">
        <f t="shared" si="85"/>
        <v>-1.4</v>
      </c>
      <c r="M233" s="634">
        <f t="shared" si="85"/>
        <v>1.3</v>
      </c>
      <c r="N233" s="589"/>
      <c r="O233" s="1564"/>
      <c r="P233" s="628">
        <v>8</v>
      </c>
      <c r="Q233" s="634">
        <f>O82</f>
        <v>750</v>
      </c>
      <c r="R233" s="634">
        <f t="shared" ref="R233:T233" si="86">P82</f>
        <v>9.9999999999999995E-7</v>
      </c>
      <c r="S233" s="634">
        <f t="shared" si="86"/>
        <v>9.9999999999999995E-7</v>
      </c>
      <c r="T233" s="635">
        <f t="shared" si="86"/>
        <v>0</v>
      </c>
      <c r="V233" s="626">
        <v>9</v>
      </c>
      <c r="W233" s="627">
        <f>U91</f>
        <v>0.3</v>
      </c>
    </row>
    <row r="234" spans="1:23" ht="13" hidden="1">
      <c r="A234" s="1561"/>
      <c r="B234" s="628">
        <v>9</v>
      </c>
      <c r="C234" s="634">
        <f>C93</f>
        <v>15</v>
      </c>
      <c r="D234" s="634">
        <f t="shared" ref="D234:F234" si="87">D93</f>
        <v>9.9999999999999995E-7</v>
      </c>
      <c r="E234" s="634" t="str">
        <f t="shared" si="87"/>
        <v>-</v>
      </c>
      <c r="F234" s="634">
        <f t="shared" si="87"/>
        <v>0</v>
      </c>
      <c r="G234" s="589"/>
      <c r="H234" s="1564"/>
      <c r="I234" s="628">
        <v>9</v>
      </c>
      <c r="J234" s="634">
        <f>I93</f>
        <v>30</v>
      </c>
      <c r="K234" s="634">
        <f t="shared" ref="K234:M234" si="88">J93</f>
        <v>-1.2</v>
      </c>
      <c r="L234" s="634" t="str">
        <f t="shared" si="88"/>
        <v>-</v>
      </c>
      <c r="M234" s="634">
        <f t="shared" si="88"/>
        <v>0</v>
      </c>
      <c r="N234" s="589"/>
      <c r="O234" s="1564"/>
      <c r="P234" s="628">
        <v>9</v>
      </c>
      <c r="Q234" s="634">
        <f>O93</f>
        <v>750</v>
      </c>
      <c r="R234" s="634">
        <f t="shared" ref="R234:T234" si="89">P93</f>
        <v>9.9999999999999995E-7</v>
      </c>
      <c r="S234" s="634" t="str">
        <f t="shared" si="89"/>
        <v>-</v>
      </c>
      <c r="T234" s="635">
        <f t="shared" si="89"/>
        <v>0</v>
      </c>
      <c r="V234" s="626">
        <v>10</v>
      </c>
      <c r="W234" s="627">
        <f>U102</f>
        <v>0.3</v>
      </c>
    </row>
    <row r="235" spans="1:23" ht="13" hidden="1">
      <c r="A235" s="1561"/>
      <c r="B235" s="628">
        <v>10</v>
      </c>
      <c r="C235" s="634">
        <f>C104</f>
        <v>15</v>
      </c>
      <c r="D235" s="634">
        <f t="shared" ref="D235:F235" si="90">D104</f>
        <v>0.2</v>
      </c>
      <c r="E235" s="634">
        <f t="shared" si="90"/>
        <v>0.2</v>
      </c>
      <c r="F235" s="634">
        <f t="shared" si="90"/>
        <v>0</v>
      </c>
      <c r="G235" s="589"/>
      <c r="H235" s="1564"/>
      <c r="I235" s="628">
        <v>10</v>
      </c>
      <c r="J235" s="634">
        <f>I104</f>
        <v>30</v>
      </c>
      <c r="K235" s="634">
        <f t="shared" ref="K235:M235" si="91">J104</f>
        <v>-2.9</v>
      </c>
      <c r="L235" s="634">
        <f t="shared" si="91"/>
        <v>-5.8</v>
      </c>
      <c r="M235" s="634">
        <f t="shared" si="91"/>
        <v>1.45</v>
      </c>
      <c r="N235" s="589"/>
      <c r="O235" s="1564"/>
      <c r="P235" s="628">
        <v>10</v>
      </c>
      <c r="Q235" s="634">
        <f>O104</f>
        <v>750</v>
      </c>
      <c r="R235" s="634" t="str">
        <f t="shared" ref="R235:T235" si="92">P104</f>
        <v>-</v>
      </c>
      <c r="S235" s="634" t="str">
        <f t="shared" si="92"/>
        <v>-</v>
      </c>
      <c r="T235" s="635">
        <f t="shared" si="92"/>
        <v>0</v>
      </c>
      <c r="V235" s="626">
        <v>11</v>
      </c>
      <c r="W235" s="627">
        <f>U113</f>
        <v>0.3</v>
      </c>
    </row>
    <row r="236" spans="1:23" ht="13" hidden="1">
      <c r="A236" s="1561"/>
      <c r="B236" s="628">
        <v>11</v>
      </c>
      <c r="C236" s="634">
        <f>C115</f>
        <v>15</v>
      </c>
      <c r="D236" s="634">
        <f t="shared" ref="D236:F236" si="93">D115</f>
        <v>0.3</v>
      </c>
      <c r="E236" s="634">
        <f t="shared" si="93"/>
        <v>0.3</v>
      </c>
      <c r="F236" s="634">
        <f t="shared" si="93"/>
        <v>0</v>
      </c>
      <c r="G236" s="589"/>
      <c r="H236" s="1564"/>
      <c r="I236" s="628">
        <v>11</v>
      </c>
      <c r="J236" s="634">
        <f>I115</f>
        <v>30</v>
      </c>
      <c r="K236" s="634">
        <f t="shared" ref="K236:M236" si="94">J115</f>
        <v>-5.2</v>
      </c>
      <c r="L236" s="634">
        <f t="shared" si="94"/>
        <v>-6.4</v>
      </c>
      <c r="M236" s="634">
        <f t="shared" si="94"/>
        <v>0.60000000000000009</v>
      </c>
      <c r="N236" s="589"/>
      <c r="O236" s="1564"/>
      <c r="P236" s="628">
        <v>11</v>
      </c>
      <c r="Q236" s="634">
        <f>O115</f>
        <v>750</v>
      </c>
      <c r="R236" s="634" t="str">
        <f t="shared" ref="R236:T236" si="95">P115</f>
        <v>-</v>
      </c>
      <c r="S236" s="634" t="str">
        <f t="shared" si="95"/>
        <v>-</v>
      </c>
      <c r="T236" s="635">
        <f t="shared" si="95"/>
        <v>0</v>
      </c>
      <c r="V236" s="626">
        <v>12</v>
      </c>
      <c r="W236" s="627">
        <f>U124</f>
        <v>0.3</v>
      </c>
    </row>
    <row r="237" spans="1:23" ht="13" hidden="1">
      <c r="A237" s="1561"/>
      <c r="B237" s="628">
        <v>12</v>
      </c>
      <c r="C237" s="634">
        <f>C126</f>
        <v>15</v>
      </c>
      <c r="D237" s="634">
        <f t="shared" ref="D237:F237" si="96">D126</f>
        <v>9.9999999999999995E-7</v>
      </c>
      <c r="E237" s="634" t="str">
        <f t="shared" si="96"/>
        <v>-</v>
      </c>
      <c r="F237" s="634">
        <f t="shared" si="96"/>
        <v>0</v>
      </c>
      <c r="G237" s="589"/>
      <c r="H237" s="1564"/>
      <c r="I237" s="628">
        <v>12</v>
      </c>
      <c r="J237" s="634">
        <f>I126</f>
        <v>30</v>
      </c>
      <c r="K237" s="634">
        <f t="shared" ref="K237:M237" si="97">J126</f>
        <v>-0.4</v>
      </c>
      <c r="L237" s="634" t="str">
        <f t="shared" si="97"/>
        <v>-</v>
      </c>
      <c r="M237" s="634">
        <f t="shared" si="97"/>
        <v>0</v>
      </c>
      <c r="N237" s="589"/>
      <c r="O237" s="1564"/>
      <c r="P237" s="628">
        <v>12</v>
      </c>
      <c r="Q237" s="634">
        <f>O126</f>
        <v>800</v>
      </c>
      <c r="R237" s="634">
        <f t="shared" ref="R237:T237" si="98">P126</f>
        <v>-0.4</v>
      </c>
      <c r="S237" s="634" t="str">
        <f t="shared" si="98"/>
        <v>-</v>
      </c>
      <c r="T237" s="635">
        <f t="shared" si="98"/>
        <v>0</v>
      </c>
      <c r="U237" s="589"/>
      <c r="V237" s="626">
        <v>13</v>
      </c>
      <c r="W237" s="636">
        <f>U135</f>
        <v>0.3</v>
      </c>
    </row>
    <row r="238" spans="1:23" ht="13" hidden="1">
      <c r="A238" s="1561"/>
      <c r="B238" s="628">
        <v>13</v>
      </c>
      <c r="C238" s="634">
        <f>C137</f>
        <v>15</v>
      </c>
      <c r="D238" s="634">
        <f t="shared" ref="D238:F238" si="99">D137</f>
        <v>-0.7</v>
      </c>
      <c r="E238" s="634" t="str">
        <f t="shared" si="99"/>
        <v>-</v>
      </c>
      <c r="F238" s="634">
        <f t="shared" si="99"/>
        <v>0</v>
      </c>
      <c r="G238" s="589"/>
      <c r="H238" s="1564"/>
      <c r="I238" s="628">
        <v>13</v>
      </c>
      <c r="J238" s="634">
        <f>I137</f>
        <v>35</v>
      </c>
      <c r="K238" s="634">
        <f t="shared" ref="K238:M238" si="100">J137</f>
        <v>-1.4</v>
      </c>
      <c r="L238" s="634" t="str">
        <f t="shared" si="100"/>
        <v>-</v>
      </c>
      <c r="M238" s="634">
        <f t="shared" si="100"/>
        <v>0</v>
      </c>
      <c r="N238" s="589"/>
      <c r="O238" s="1564"/>
      <c r="P238" s="628">
        <v>13</v>
      </c>
      <c r="Q238" s="634">
        <f>O137</f>
        <v>960</v>
      </c>
      <c r="R238" s="634">
        <f t="shared" ref="R238:T238" si="101">P137</f>
        <v>0.9</v>
      </c>
      <c r="S238" s="634" t="str">
        <f t="shared" si="101"/>
        <v>-</v>
      </c>
      <c r="T238" s="635">
        <f t="shared" si="101"/>
        <v>0</v>
      </c>
      <c r="U238" s="589"/>
      <c r="V238" s="626">
        <v>14</v>
      </c>
      <c r="W238" s="636">
        <f>U146</f>
        <v>0.4</v>
      </c>
    </row>
    <row r="239" spans="1:23" ht="13" hidden="1">
      <c r="A239" s="1561"/>
      <c r="B239" s="628">
        <v>14</v>
      </c>
      <c r="C239" s="634">
        <f>C148</f>
        <v>15</v>
      </c>
      <c r="D239" s="634">
        <f t="shared" ref="D239:F239" si="102">D148</f>
        <v>-0.2</v>
      </c>
      <c r="E239" s="634" t="str">
        <f t="shared" si="102"/>
        <v>-</v>
      </c>
      <c r="F239" s="634">
        <f t="shared" si="102"/>
        <v>0</v>
      </c>
      <c r="G239" s="589"/>
      <c r="H239" s="1564"/>
      <c r="I239" s="628">
        <v>14</v>
      </c>
      <c r="J239" s="634">
        <f>I148</f>
        <v>35</v>
      </c>
      <c r="K239" s="634">
        <f t="shared" ref="K239:M239" si="103">J148</f>
        <v>0.6</v>
      </c>
      <c r="L239" s="634" t="str">
        <f t="shared" si="103"/>
        <v>-</v>
      </c>
      <c r="M239" s="634">
        <f t="shared" si="103"/>
        <v>0</v>
      </c>
      <c r="N239" s="589"/>
      <c r="O239" s="1564"/>
      <c r="P239" s="628">
        <v>14</v>
      </c>
      <c r="Q239" s="634">
        <f>O148</f>
        <v>960</v>
      </c>
      <c r="R239" s="634">
        <f t="shared" ref="R239:T239" si="104">P148</f>
        <v>0.9</v>
      </c>
      <c r="S239" s="634" t="str">
        <f t="shared" si="104"/>
        <v>-</v>
      </c>
      <c r="T239" s="635">
        <f t="shared" si="104"/>
        <v>0</v>
      </c>
      <c r="U239" s="589"/>
      <c r="V239" s="626">
        <v>15</v>
      </c>
      <c r="W239" s="636">
        <f>U157</f>
        <v>0.3</v>
      </c>
    </row>
    <row r="240" spans="1:23" ht="13" hidden="1">
      <c r="A240" s="1561"/>
      <c r="B240" s="628">
        <v>15</v>
      </c>
      <c r="C240" s="634">
        <f>C159</f>
        <v>15</v>
      </c>
      <c r="D240" s="634">
        <f t="shared" ref="D240:F240" si="105">D159</f>
        <v>-0.6</v>
      </c>
      <c r="E240" s="634" t="str">
        <f t="shared" si="105"/>
        <v>-</v>
      </c>
      <c r="F240" s="634">
        <f t="shared" si="105"/>
        <v>0</v>
      </c>
      <c r="G240" s="589"/>
      <c r="H240" s="1564"/>
      <c r="I240" s="628">
        <v>15</v>
      </c>
      <c r="J240" s="634">
        <f>I159</f>
        <v>35</v>
      </c>
      <c r="K240" s="634">
        <f t="shared" ref="K240:M240" si="106">J159</f>
        <v>-0.4</v>
      </c>
      <c r="L240" s="634" t="str">
        <f t="shared" si="106"/>
        <v>-</v>
      </c>
      <c r="M240" s="634">
        <f t="shared" si="106"/>
        <v>0</v>
      </c>
      <c r="N240" s="589"/>
      <c r="O240" s="1564"/>
      <c r="P240" s="628">
        <v>15</v>
      </c>
      <c r="Q240" s="634">
        <f>O159</f>
        <v>960</v>
      </c>
      <c r="R240" s="634">
        <f t="shared" ref="R240:T240" si="107">P159</f>
        <v>0.9</v>
      </c>
      <c r="S240" s="634" t="str">
        <f t="shared" si="107"/>
        <v>-</v>
      </c>
      <c r="T240" s="635">
        <f t="shared" si="107"/>
        <v>0</v>
      </c>
      <c r="U240" s="589"/>
      <c r="V240" s="626">
        <v>16</v>
      </c>
      <c r="W240" s="636">
        <f>U168</f>
        <v>0.4</v>
      </c>
    </row>
    <row r="241" spans="1:23" ht="13" hidden="1">
      <c r="A241" s="1561"/>
      <c r="B241" s="628">
        <v>16</v>
      </c>
      <c r="C241" s="634">
        <f>C170</f>
        <v>15</v>
      </c>
      <c r="D241" s="634">
        <f t="shared" ref="D241:F241" si="108">D170</f>
        <v>0.1</v>
      </c>
      <c r="E241" s="634" t="str">
        <f t="shared" si="108"/>
        <v>-</v>
      </c>
      <c r="F241" s="634">
        <f t="shared" si="108"/>
        <v>0</v>
      </c>
      <c r="G241" s="589"/>
      <c r="H241" s="1564"/>
      <c r="I241" s="628">
        <v>16</v>
      </c>
      <c r="J241" s="634">
        <f>I170</f>
        <v>30</v>
      </c>
      <c r="K241" s="634">
        <f t="shared" ref="K241:M241" si="109">J170</f>
        <v>-1.6</v>
      </c>
      <c r="L241" s="634" t="str">
        <f t="shared" si="109"/>
        <v>-</v>
      </c>
      <c r="M241" s="634">
        <f t="shared" si="109"/>
        <v>0</v>
      </c>
      <c r="N241" s="589"/>
      <c r="O241" s="1564"/>
      <c r="P241" s="628">
        <v>16</v>
      </c>
      <c r="Q241" s="634">
        <f>O170</f>
        <v>800</v>
      </c>
      <c r="R241" s="634">
        <f t="shared" ref="R241:T241" si="110">P170</f>
        <v>-2.9</v>
      </c>
      <c r="S241" s="634" t="str">
        <f t="shared" si="110"/>
        <v>-</v>
      </c>
      <c r="T241" s="635">
        <f t="shared" si="110"/>
        <v>0</v>
      </c>
      <c r="U241" s="589"/>
      <c r="V241" s="626">
        <v>17</v>
      </c>
      <c r="W241" s="636">
        <f>U179</f>
        <v>0.3</v>
      </c>
    </row>
    <row r="242" spans="1:23" ht="13" hidden="1">
      <c r="A242" s="1561"/>
      <c r="B242" s="628">
        <v>17</v>
      </c>
      <c r="C242" s="634">
        <f>C181</f>
        <v>15</v>
      </c>
      <c r="D242" s="634">
        <f t="shared" ref="D242:F242" si="111">D181</f>
        <v>0.1</v>
      </c>
      <c r="E242" s="634" t="str">
        <f t="shared" si="111"/>
        <v>-</v>
      </c>
      <c r="F242" s="634">
        <f t="shared" si="111"/>
        <v>0</v>
      </c>
      <c r="G242" s="589"/>
      <c r="H242" s="1564"/>
      <c r="I242" s="628">
        <v>17</v>
      </c>
      <c r="J242" s="634">
        <f>I181</f>
        <v>30</v>
      </c>
      <c r="K242" s="634">
        <f t="shared" ref="K242:M242" si="112">J181</f>
        <v>0.1</v>
      </c>
      <c r="L242" s="634" t="str">
        <f t="shared" si="112"/>
        <v>-</v>
      </c>
      <c r="M242" s="634">
        <f t="shared" si="112"/>
        <v>0</v>
      </c>
      <c r="N242" s="589"/>
      <c r="O242" s="1564"/>
      <c r="P242" s="628">
        <v>17</v>
      </c>
      <c r="Q242" s="634">
        <f>O181</f>
        <v>960</v>
      </c>
      <c r="R242" s="634">
        <f t="shared" ref="R242:T242" si="113">P181</f>
        <v>-0.6</v>
      </c>
      <c r="S242" s="634" t="str">
        <f t="shared" si="113"/>
        <v>-</v>
      </c>
      <c r="T242" s="635">
        <f t="shared" si="113"/>
        <v>0</v>
      </c>
      <c r="U242" s="589"/>
      <c r="V242" s="626">
        <v>18</v>
      </c>
      <c r="W242" s="636">
        <f>U190</f>
        <v>0.3</v>
      </c>
    </row>
    <row r="243" spans="1:23" ht="13" hidden="1">
      <c r="A243" s="1561"/>
      <c r="B243" s="628">
        <v>18</v>
      </c>
      <c r="C243" s="634">
        <f>C192</f>
        <v>15</v>
      </c>
      <c r="D243" s="634">
        <f t="shared" ref="D243:F243" si="114">D192</f>
        <v>9.9999999999999995E-7</v>
      </c>
      <c r="E243" s="634" t="str">
        <f t="shared" si="114"/>
        <v>-</v>
      </c>
      <c r="F243" s="634">
        <f t="shared" si="114"/>
        <v>0</v>
      </c>
      <c r="G243" s="589"/>
      <c r="H243" s="1564"/>
      <c r="I243" s="628">
        <v>18</v>
      </c>
      <c r="J243" s="634">
        <f>I192</f>
        <v>30</v>
      </c>
      <c r="K243" s="634">
        <f t="shared" ref="K243:M243" si="115">J192</f>
        <v>-0.4</v>
      </c>
      <c r="L243" s="634" t="str">
        <f t="shared" si="115"/>
        <v>-</v>
      </c>
      <c r="M243" s="634">
        <f t="shared" si="115"/>
        <v>0</v>
      </c>
      <c r="N243" s="589"/>
      <c r="O243" s="1564"/>
      <c r="P243" s="628">
        <v>18</v>
      </c>
      <c r="Q243" s="634">
        <f>O192</f>
        <v>800</v>
      </c>
      <c r="R243" s="634">
        <f t="shared" ref="R243:T243" si="116">P192</f>
        <v>-1.5</v>
      </c>
      <c r="S243" s="634" t="str">
        <f t="shared" si="116"/>
        <v>-</v>
      </c>
      <c r="T243" s="635">
        <f t="shared" si="116"/>
        <v>0</v>
      </c>
      <c r="U243" s="589"/>
      <c r="V243" s="626">
        <v>19</v>
      </c>
      <c r="W243" s="636">
        <f>U201</f>
        <v>0.1</v>
      </c>
    </row>
    <row r="244" spans="1:23" ht="13.5" hidden="1" thickBot="1">
      <c r="A244" s="1561"/>
      <c r="B244" s="628">
        <v>19</v>
      </c>
      <c r="C244" s="634">
        <f>C203</f>
        <v>15</v>
      </c>
      <c r="D244" s="634">
        <f t="shared" ref="D244:F244" si="117">D203</f>
        <v>9.9999999999999995E-7</v>
      </c>
      <c r="E244" s="634" t="str">
        <f t="shared" si="117"/>
        <v>-</v>
      </c>
      <c r="F244" s="634">
        <f t="shared" si="117"/>
        <v>0</v>
      </c>
      <c r="G244" s="589"/>
      <c r="H244" s="1564"/>
      <c r="I244" s="628">
        <v>19</v>
      </c>
      <c r="J244" s="634">
        <f>I203</f>
        <v>30</v>
      </c>
      <c r="K244" s="634">
        <f t="shared" ref="K244:M244" si="118">J203</f>
        <v>-1.5</v>
      </c>
      <c r="L244" s="634" t="str">
        <f t="shared" si="118"/>
        <v>-</v>
      </c>
      <c r="M244" s="634">
        <f t="shared" si="118"/>
        <v>0</v>
      </c>
      <c r="N244" s="589"/>
      <c r="O244" s="1564"/>
      <c r="P244" s="628">
        <v>19</v>
      </c>
      <c r="Q244" s="634">
        <f>O203</f>
        <v>750</v>
      </c>
      <c r="R244" s="634">
        <f t="shared" ref="R244:T244" si="119">P203</f>
        <v>2.5</v>
      </c>
      <c r="S244" s="634" t="str">
        <f t="shared" si="119"/>
        <v>-</v>
      </c>
      <c r="T244" s="635">
        <f t="shared" si="119"/>
        <v>0</v>
      </c>
      <c r="U244" s="589"/>
      <c r="V244" s="637">
        <v>20</v>
      </c>
      <c r="W244" s="638">
        <f>U212</f>
        <v>0</v>
      </c>
    </row>
    <row r="245" spans="1:23" ht="13.5" hidden="1" thickBot="1">
      <c r="A245" s="1562"/>
      <c r="B245" s="639">
        <v>20</v>
      </c>
      <c r="C245" s="640">
        <f>C214</f>
        <v>14.8</v>
      </c>
      <c r="D245" s="640">
        <f t="shared" ref="D245:F245" si="120">D214</f>
        <v>9.9999999999999995E-7</v>
      </c>
      <c r="E245" s="640" t="str">
        <f t="shared" si="120"/>
        <v>-</v>
      </c>
      <c r="F245" s="640">
        <f t="shared" si="120"/>
        <v>0</v>
      </c>
      <c r="G245" s="641"/>
      <c r="H245" s="1565"/>
      <c r="I245" s="639">
        <v>20</v>
      </c>
      <c r="J245" s="640">
        <f>I214</f>
        <v>45.7</v>
      </c>
      <c r="K245" s="640">
        <f t="shared" ref="K245:M245" si="121">J214</f>
        <v>9.9999999999999995E-7</v>
      </c>
      <c r="L245" s="640" t="str">
        <f t="shared" si="121"/>
        <v>-</v>
      </c>
      <c r="M245" s="640">
        <f t="shared" si="121"/>
        <v>0</v>
      </c>
      <c r="N245" s="641"/>
      <c r="O245" s="1565"/>
      <c r="P245" s="639">
        <v>20</v>
      </c>
      <c r="Q245" s="640">
        <f>O214</f>
        <v>750</v>
      </c>
      <c r="R245" s="640" t="str">
        <f t="shared" ref="R245:T245" si="122">P214</f>
        <v>-</v>
      </c>
      <c r="S245" s="640" t="str">
        <f t="shared" si="122"/>
        <v>-</v>
      </c>
      <c r="T245" s="642">
        <f t="shared" si="122"/>
        <v>0</v>
      </c>
      <c r="U245" s="589"/>
      <c r="V245" s="643"/>
    </row>
    <row r="246" spans="1:23" ht="13" hidden="1">
      <c r="A246" s="644"/>
      <c r="B246" s="645"/>
      <c r="C246" s="646"/>
      <c r="D246" s="646"/>
      <c r="E246" s="646"/>
      <c r="F246" s="647"/>
      <c r="G246" s="648"/>
      <c r="H246" s="645"/>
      <c r="I246" s="645"/>
      <c r="J246" s="649"/>
      <c r="K246" s="649"/>
      <c r="L246" s="649"/>
      <c r="M246" s="649"/>
      <c r="N246" s="648"/>
      <c r="O246" s="645"/>
      <c r="P246" s="645"/>
      <c r="Q246" s="649"/>
      <c r="R246" s="649"/>
      <c r="S246" s="649"/>
      <c r="T246" s="650"/>
      <c r="U246" s="648"/>
      <c r="V246" s="648"/>
    </row>
    <row r="247" spans="1:23" ht="13" hidden="1">
      <c r="A247" s="1566">
        <v>2</v>
      </c>
      <c r="B247" s="651">
        <v>1</v>
      </c>
      <c r="C247" s="652">
        <f>C6</f>
        <v>20</v>
      </c>
      <c r="D247" s="652">
        <f t="shared" ref="D247:F247" si="123">D6</f>
        <v>-0.2</v>
      </c>
      <c r="E247" s="652">
        <f t="shared" si="123"/>
        <v>0.2</v>
      </c>
      <c r="F247" s="652">
        <f t="shared" si="123"/>
        <v>0.2</v>
      </c>
      <c r="G247" s="653"/>
      <c r="H247" s="1557">
        <v>2</v>
      </c>
      <c r="I247" s="651">
        <v>1</v>
      </c>
      <c r="J247" s="652">
        <f>I6</f>
        <v>40</v>
      </c>
      <c r="K247" s="652">
        <f t="shared" ref="K247:M247" si="124">J6</f>
        <v>-6</v>
      </c>
      <c r="L247" s="652">
        <f t="shared" si="124"/>
        <v>-8.6</v>
      </c>
      <c r="M247" s="652">
        <f t="shared" si="124"/>
        <v>1.2999999999999998</v>
      </c>
      <c r="N247" s="653"/>
      <c r="O247" s="1557">
        <v>2</v>
      </c>
      <c r="P247" s="651">
        <v>1</v>
      </c>
      <c r="Q247" s="652">
        <f>O6</f>
        <v>800</v>
      </c>
      <c r="R247" s="652" t="str">
        <f t="shared" ref="R247:T247" si="125">P6</f>
        <v>-</v>
      </c>
      <c r="S247" s="652" t="str">
        <f t="shared" si="125"/>
        <v>-</v>
      </c>
      <c r="T247" s="654">
        <f t="shared" si="125"/>
        <v>0</v>
      </c>
      <c r="V247" s="1547" t="s">
        <v>99</v>
      </c>
      <c r="W247" s="1548"/>
    </row>
    <row r="248" spans="1:23" ht="13" hidden="1">
      <c r="A248" s="1561"/>
      <c r="B248" s="628">
        <v>2</v>
      </c>
      <c r="C248" s="634">
        <f>C17</f>
        <v>20</v>
      </c>
      <c r="D248" s="634">
        <f t="shared" ref="D248:F248" si="126">D17</f>
        <v>0.7</v>
      </c>
      <c r="E248" s="634">
        <f t="shared" si="126"/>
        <v>-0.1</v>
      </c>
      <c r="F248" s="634">
        <f t="shared" si="126"/>
        <v>0.39999999999999997</v>
      </c>
      <c r="G248" s="589"/>
      <c r="H248" s="1558"/>
      <c r="I248" s="628">
        <v>2</v>
      </c>
      <c r="J248" s="634">
        <f>I17</f>
        <v>40</v>
      </c>
      <c r="K248" s="634">
        <f t="shared" ref="K248:M248" si="127">J17</f>
        <v>-6.2</v>
      </c>
      <c r="L248" s="634">
        <f t="shared" si="127"/>
        <v>-1.6</v>
      </c>
      <c r="M248" s="634">
        <f t="shared" si="127"/>
        <v>2.2999999999999998</v>
      </c>
      <c r="N248" s="589"/>
      <c r="O248" s="1558"/>
      <c r="P248" s="628">
        <v>2</v>
      </c>
      <c r="Q248" s="634">
        <f>O17</f>
        <v>800</v>
      </c>
      <c r="R248" s="634" t="str">
        <f t="shared" ref="R248:T248" si="128">P17</f>
        <v>-</v>
      </c>
      <c r="S248" s="634" t="str">
        <f t="shared" si="128"/>
        <v>-</v>
      </c>
      <c r="T248" s="635">
        <f t="shared" si="128"/>
        <v>0</v>
      </c>
      <c r="V248" s="1551" t="s">
        <v>217</v>
      </c>
      <c r="W248" s="1552"/>
    </row>
    <row r="249" spans="1:23" ht="13" hidden="1">
      <c r="A249" s="1561"/>
      <c r="B249" s="628">
        <v>3</v>
      </c>
      <c r="C249" s="629">
        <f>C28</f>
        <v>20</v>
      </c>
      <c r="D249" s="629">
        <f t="shared" ref="D249:F249" si="129">D28</f>
        <v>1</v>
      </c>
      <c r="E249" s="629">
        <f t="shared" si="129"/>
        <v>9.9999999999999995E-7</v>
      </c>
      <c r="F249" s="629">
        <f t="shared" si="129"/>
        <v>0.49999949999999999</v>
      </c>
      <c r="G249" s="589"/>
      <c r="H249" s="1558"/>
      <c r="I249" s="628">
        <v>3</v>
      </c>
      <c r="J249" s="629">
        <f>I28</f>
        <v>40</v>
      </c>
      <c r="K249" s="629">
        <f t="shared" ref="K249:M249" si="130">J28</f>
        <v>-5.9</v>
      </c>
      <c r="L249" s="629">
        <f t="shared" si="130"/>
        <v>-5.3</v>
      </c>
      <c r="M249" s="629">
        <f t="shared" si="130"/>
        <v>0.30000000000000027</v>
      </c>
      <c r="N249" s="589"/>
      <c r="O249" s="1558"/>
      <c r="P249" s="628">
        <v>3</v>
      </c>
      <c r="Q249" s="629">
        <f>O28</f>
        <v>800</v>
      </c>
      <c r="R249" s="629" t="str">
        <f t="shared" ref="R249:T249" si="131">P28</f>
        <v>-</v>
      </c>
      <c r="S249" s="629" t="str">
        <f t="shared" si="131"/>
        <v>-</v>
      </c>
      <c r="T249" s="630">
        <f t="shared" si="131"/>
        <v>0</v>
      </c>
      <c r="V249" s="626">
        <v>1</v>
      </c>
      <c r="W249" s="627">
        <f>U4</f>
        <v>3.1</v>
      </c>
    </row>
    <row r="250" spans="1:23" ht="13" hidden="1">
      <c r="A250" s="1561"/>
      <c r="B250" s="628">
        <v>4</v>
      </c>
      <c r="C250" s="629">
        <f>C39</f>
        <v>20</v>
      </c>
      <c r="D250" s="629">
        <f t="shared" ref="D250:F250" si="132">D39</f>
        <v>-0.1</v>
      </c>
      <c r="E250" s="629">
        <f t="shared" si="132"/>
        <v>-0.3</v>
      </c>
      <c r="F250" s="629">
        <f t="shared" si="132"/>
        <v>9.9999999999999992E-2</v>
      </c>
      <c r="G250" s="589"/>
      <c r="H250" s="1558"/>
      <c r="I250" s="628">
        <v>4</v>
      </c>
      <c r="J250" s="629">
        <f>I39</f>
        <v>40</v>
      </c>
      <c r="K250" s="629">
        <f t="shared" ref="K250:M250" si="133">J39</f>
        <v>-4.4000000000000004</v>
      </c>
      <c r="L250" s="629">
        <f t="shared" si="133"/>
        <v>-1.5</v>
      </c>
      <c r="M250" s="629">
        <f t="shared" si="133"/>
        <v>1.4500000000000002</v>
      </c>
      <c r="N250" s="589"/>
      <c r="O250" s="1558"/>
      <c r="P250" s="628">
        <v>4</v>
      </c>
      <c r="Q250" s="629">
        <f>O39</f>
        <v>800</v>
      </c>
      <c r="R250" s="629" t="str">
        <f t="shared" ref="R250:T250" si="134">P39</f>
        <v>-</v>
      </c>
      <c r="S250" s="629" t="str">
        <f t="shared" si="134"/>
        <v>-</v>
      </c>
      <c r="T250" s="630">
        <f t="shared" si="134"/>
        <v>0</v>
      </c>
      <c r="V250" s="631">
        <v>2</v>
      </c>
      <c r="W250" s="632">
        <f>U15</f>
        <v>2.2000000000000002</v>
      </c>
    </row>
    <row r="251" spans="1:23" ht="13" hidden="1">
      <c r="A251" s="1561"/>
      <c r="B251" s="628">
        <v>5</v>
      </c>
      <c r="C251" s="629">
        <f>C50</f>
        <v>20</v>
      </c>
      <c r="D251" s="629">
        <f t="shared" ref="D251:F251" si="135">D50</f>
        <v>0.1</v>
      </c>
      <c r="E251" s="629">
        <f t="shared" si="135"/>
        <v>0.3</v>
      </c>
      <c r="F251" s="629">
        <f t="shared" si="135"/>
        <v>9.9999999999999992E-2</v>
      </c>
      <c r="G251" s="589"/>
      <c r="H251" s="1558"/>
      <c r="I251" s="628">
        <v>5</v>
      </c>
      <c r="J251" s="629">
        <f>I50</f>
        <v>40</v>
      </c>
      <c r="K251" s="629">
        <f t="shared" ref="K251:M251" si="136">J50</f>
        <v>-7.2</v>
      </c>
      <c r="L251" s="629">
        <f t="shared" si="136"/>
        <v>-8</v>
      </c>
      <c r="M251" s="629">
        <f t="shared" si="136"/>
        <v>0.39999999999999991</v>
      </c>
      <c r="N251" s="589"/>
      <c r="O251" s="1558"/>
      <c r="P251" s="628">
        <v>5</v>
      </c>
      <c r="Q251" s="629">
        <f>O50</f>
        <v>800</v>
      </c>
      <c r="R251" s="629" t="str">
        <f t="shared" ref="R251:T251" si="137">P50</f>
        <v>-</v>
      </c>
      <c r="S251" s="629" t="str">
        <f t="shared" si="137"/>
        <v>-</v>
      </c>
      <c r="T251" s="630">
        <f t="shared" si="137"/>
        <v>0</v>
      </c>
      <c r="V251" s="631">
        <v>3</v>
      </c>
      <c r="W251" s="633">
        <f>U26</f>
        <v>3.1</v>
      </c>
    </row>
    <row r="252" spans="1:23" ht="13" hidden="1">
      <c r="A252" s="1561"/>
      <c r="B252" s="628">
        <v>6</v>
      </c>
      <c r="C252" s="629">
        <f>C61</f>
        <v>20</v>
      </c>
      <c r="D252" s="629">
        <f t="shared" ref="D252:F252" si="138">D61</f>
        <v>0.3</v>
      </c>
      <c r="E252" s="629">
        <f t="shared" si="138"/>
        <v>0.2</v>
      </c>
      <c r="F252" s="629">
        <f t="shared" si="138"/>
        <v>4.9999999999999989E-2</v>
      </c>
      <c r="G252" s="589"/>
      <c r="H252" s="1558"/>
      <c r="I252" s="628">
        <v>6</v>
      </c>
      <c r="J252" s="629">
        <f>I61</f>
        <v>40</v>
      </c>
      <c r="K252" s="629">
        <f t="shared" ref="K252:M252" si="139">J61</f>
        <v>-3.8</v>
      </c>
      <c r="L252" s="629">
        <f t="shared" si="139"/>
        <v>1.5</v>
      </c>
      <c r="M252" s="629">
        <f t="shared" si="139"/>
        <v>2.65</v>
      </c>
      <c r="N252" s="589"/>
      <c r="O252" s="1558"/>
      <c r="P252" s="628">
        <v>6</v>
      </c>
      <c r="Q252" s="629">
        <f>O61</f>
        <v>800</v>
      </c>
      <c r="R252" s="629">
        <f t="shared" ref="R252:T252" si="140">P61</f>
        <v>0.9</v>
      </c>
      <c r="S252" s="629">
        <f t="shared" si="140"/>
        <v>1.6</v>
      </c>
      <c r="T252" s="630">
        <f t="shared" si="140"/>
        <v>0.35000000000000003</v>
      </c>
      <c r="V252" s="631">
        <v>4</v>
      </c>
      <c r="W252" s="633">
        <f>U38</f>
        <v>1.3</v>
      </c>
    </row>
    <row r="253" spans="1:23" ht="13" hidden="1">
      <c r="A253" s="1561"/>
      <c r="B253" s="628">
        <v>7</v>
      </c>
      <c r="C253" s="629">
        <f>C72</f>
        <v>20</v>
      </c>
      <c r="D253" s="629">
        <f t="shared" ref="D253:F253" si="141">D72</f>
        <v>9.9999999999999995E-7</v>
      </c>
      <c r="E253" s="629">
        <f t="shared" si="141"/>
        <v>0.1</v>
      </c>
      <c r="F253" s="629">
        <f t="shared" si="141"/>
        <v>4.9999500000000002E-2</v>
      </c>
      <c r="G253" s="589"/>
      <c r="H253" s="1558"/>
      <c r="I253" s="628">
        <v>7</v>
      </c>
      <c r="J253" s="629">
        <f>I72</f>
        <v>40</v>
      </c>
      <c r="K253" s="629">
        <f t="shared" ref="K253:M253" si="142">J72</f>
        <v>-1.9</v>
      </c>
      <c r="L253" s="629">
        <f t="shared" si="142"/>
        <v>1.2</v>
      </c>
      <c r="M253" s="629">
        <f t="shared" si="142"/>
        <v>1.5499999999999998</v>
      </c>
      <c r="N253" s="589"/>
      <c r="O253" s="1558"/>
      <c r="P253" s="628">
        <v>7</v>
      </c>
      <c r="Q253" s="629">
        <f>O72</f>
        <v>800</v>
      </c>
      <c r="R253" s="629">
        <f t="shared" ref="R253:T253" si="143">P72</f>
        <v>9.9999999999999995E-7</v>
      </c>
      <c r="S253" s="629">
        <f t="shared" si="143"/>
        <v>2.5</v>
      </c>
      <c r="T253" s="630">
        <f t="shared" si="143"/>
        <v>1.2499994999999999</v>
      </c>
      <c r="V253" s="631">
        <v>5</v>
      </c>
      <c r="W253" s="633">
        <f>U48</f>
        <v>2.8</v>
      </c>
    </row>
    <row r="254" spans="1:23" ht="13" hidden="1">
      <c r="A254" s="1561"/>
      <c r="B254" s="628">
        <v>8</v>
      </c>
      <c r="C254" s="629">
        <f>C83</f>
        <v>20</v>
      </c>
      <c r="D254" s="629">
        <f t="shared" ref="D254:F254" si="144">D83</f>
        <v>9.9999999999999995E-7</v>
      </c>
      <c r="E254" s="629">
        <f t="shared" si="144"/>
        <v>-0.2</v>
      </c>
      <c r="F254" s="629">
        <f t="shared" si="144"/>
        <v>0.10000050000000001</v>
      </c>
      <c r="G254" s="589"/>
      <c r="H254" s="1558"/>
      <c r="I254" s="628">
        <v>8</v>
      </c>
      <c r="J254" s="629">
        <f>I83</f>
        <v>40</v>
      </c>
      <c r="K254" s="629">
        <f t="shared" ref="K254:M254" si="145">J83</f>
        <v>-3.8</v>
      </c>
      <c r="L254" s="629">
        <f t="shared" si="145"/>
        <v>-1.2</v>
      </c>
      <c r="M254" s="629">
        <f t="shared" si="145"/>
        <v>1.2999999999999998</v>
      </c>
      <c r="N254" s="589"/>
      <c r="O254" s="1558"/>
      <c r="P254" s="628">
        <v>8</v>
      </c>
      <c r="Q254" s="629">
        <f>O83</f>
        <v>800</v>
      </c>
      <c r="R254" s="629">
        <f t="shared" ref="R254:T254" si="146">P83</f>
        <v>9.9999999999999995E-7</v>
      </c>
      <c r="S254" s="629">
        <f t="shared" si="146"/>
        <v>9.9999999999999995E-7</v>
      </c>
      <c r="T254" s="630">
        <f t="shared" si="146"/>
        <v>0</v>
      </c>
      <c r="V254" s="626">
        <v>6</v>
      </c>
      <c r="W254" s="627">
        <f>U59</f>
        <v>2.6</v>
      </c>
    </row>
    <row r="255" spans="1:23" ht="13" hidden="1">
      <c r="A255" s="1561"/>
      <c r="B255" s="628">
        <v>9</v>
      </c>
      <c r="C255" s="629">
        <f>C94</f>
        <v>20</v>
      </c>
      <c r="D255" s="629">
        <f t="shared" ref="D255:F255" si="147">D94</f>
        <v>-0.2</v>
      </c>
      <c r="E255" s="629" t="str">
        <f t="shared" si="147"/>
        <v>-</v>
      </c>
      <c r="F255" s="629">
        <f t="shared" si="147"/>
        <v>0</v>
      </c>
      <c r="G255" s="589"/>
      <c r="H255" s="1558"/>
      <c r="I255" s="628">
        <v>9</v>
      </c>
      <c r="J255" s="629">
        <f>I94</f>
        <v>40</v>
      </c>
      <c r="K255" s="629">
        <f t="shared" ref="K255:M255" si="148">J94</f>
        <v>-1</v>
      </c>
      <c r="L255" s="629" t="str">
        <f t="shared" si="148"/>
        <v>-</v>
      </c>
      <c r="M255" s="629">
        <f t="shared" si="148"/>
        <v>0</v>
      </c>
      <c r="N255" s="589"/>
      <c r="O255" s="1558"/>
      <c r="P255" s="628">
        <v>9</v>
      </c>
      <c r="Q255" s="629">
        <f>O94</f>
        <v>800</v>
      </c>
      <c r="R255" s="629">
        <f t="shared" ref="R255:T255" si="149">P94</f>
        <v>9.9999999999999995E-7</v>
      </c>
      <c r="S255" s="629" t="str">
        <f t="shared" si="149"/>
        <v>-</v>
      </c>
      <c r="T255" s="630">
        <f t="shared" si="149"/>
        <v>0</v>
      </c>
      <c r="V255" s="626">
        <v>7</v>
      </c>
      <c r="W255" s="627">
        <f>U70</f>
        <v>2.4</v>
      </c>
    </row>
    <row r="256" spans="1:23" ht="13" hidden="1">
      <c r="A256" s="1561"/>
      <c r="B256" s="628">
        <v>10</v>
      </c>
      <c r="C256" s="629">
        <f>C105</f>
        <v>20</v>
      </c>
      <c r="D256" s="629">
        <f t="shared" ref="D256:F256" si="150">D105</f>
        <v>0.2</v>
      </c>
      <c r="E256" s="629">
        <f t="shared" si="150"/>
        <v>-0.7</v>
      </c>
      <c r="F256" s="629">
        <f t="shared" si="150"/>
        <v>0.44999999999999996</v>
      </c>
      <c r="G256" s="589"/>
      <c r="H256" s="1558"/>
      <c r="I256" s="628">
        <v>10</v>
      </c>
      <c r="J256" s="629">
        <f>I105</f>
        <v>40</v>
      </c>
      <c r="K256" s="629">
        <f t="shared" ref="K256:M256" si="151">J105</f>
        <v>-3.3</v>
      </c>
      <c r="L256" s="629">
        <f t="shared" si="151"/>
        <v>-6.4</v>
      </c>
      <c r="M256" s="629">
        <f t="shared" si="151"/>
        <v>1.5500000000000003</v>
      </c>
      <c r="N256" s="589"/>
      <c r="O256" s="1558"/>
      <c r="P256" s="628">
        <v>10</v>
      </c>
      <c r="Q256" s="629">
        <f>O105</f>
        <v>800</v>
      </c>
      <c r="R256" s="629" t="str">
        <f t="shared" ref="R256:T256" si="152">P105</f>
        <v>-</v>
      </c>
      <c r="S256" s="629" t="str">
        <f t="shared" si="152"/>
        <v>-</v>
      </c>
      <c r="T256" s="630">
        <f t="shared" si="152"/>
        <v>0</v>
      </c>
      <c r="V256" s="626">
        <v>8</v>
      </c>
      <c r="W256" s="627">
        <f>U81</f>
        <v>2.5</v>
      </c>
    </row>
    <row r="257" spans="1:23" ht="13" hidden="1">
      <c r="A257" s="1561"/>
      <c r="B257" s="628">
        <v>11</v>
      </c>
      <c r="C257" s="629">
        <f>C116</f>
        <v>20</v>
      </c>
      <c r="D257" s="629">
        <f t="shared" ref="D257:F257" si="153">D116</f>
        <v>0.4</v>
      </c>
      <c r="E257" s="629">
        <f t="shared" si="153"/>
        <v>0.5</v>
      </c>
      <c r="F257" s="629">
        <f t="shared" si="153"/>
        <v>4.9999999999999989E-2</v>
      </c>
      <c r="G257" s="589"/>
      <c r="H257" s="1558"/>
      <c r="I257" s="628">
        <v>11</v>
      </c>
      <c r="J257" s="629">
        <f>I116</f>
        <v>40</v>
      </c>
      <c r="K257" s="629">
        <f t="shared" ref="K257:M257" si="154">J116</f>
        <v>-5.5</v>
      </c>
      <c r="L257" s="629">
        <f t="shared" si="154"/>
        <v>-5.9</v>
      </c>
      <c r="M257" s="629">
        <f t="shared" si="154"/>
        <v>0.20000000000000018</v>
      </c>
      <c r="N257" s="589"/>
      <c r="O257" s="1558"/>
      <c r="P257" s="628">
        <v>11</v>
      </c>
      <c r="Q257" s="629">
        <f>O116</f>
        <v>800</v>
      </c>
      <c r="R257" s="629" t="str">
        <f t="shared" ref="R257:T257" si="155">P116</f>
        <v>-</v>
      </c>
      <c r="S257" s="629" t="str">
        <f t="shared" si="155"/>
        <v>-</v>
      </c>
      <c r="T257" s="630">
        <f t="shared" si="155"/>
        <v>0</v>
      </c>
      <c r="V257" s="626">
        <v>9</v>
      </c>
      <c r="W257" s="627">
        <f>U92</f>
        <v>2.4</v>
      </c>
    </row>
    <row r="258" spans="1:23" ht="13" hidden="1">
      <c r="A258" s="1561"/>
      <c r="B258" s="628">
        <v>12</v>
      </c>
      <c r="C258" s="629">
        <f>C127</f>
        <v>20</v>
      </c>
      <c r="D258" s="629">
        <f t="shared" ref="D258:F258" si="156">D127</f>
        <v>9.9999999999999995E-7</v>
      </c>
      <c r="E258" s="629" t="str">
        <f t="shared" si="156"/>
        <v>-</v>
      </c>
      <c r="F258" s="629">
        <f t="shared" si="156"/>
        <v>0</v>
      </c>
      <c r="G258" s="589"/>
      <c r="H258" s="1558"/>
      <c r="I258" s="628">
        <v>12</v>
      </c>
      <c r="J258" s="629">
        <f>I127</f>
        <v>40</v>
      </c>
      <c r="K258" s="629">
        <f t="shared" ref="K258:M258" si="157">J127</f>
        <v>-0.1</v>
      </c>
      <c r="L258" s="629" t="str">
        <f t="shared" si="157"/>
        <v>-</v>
      </c>
      <c r="M258" s="629">
        <f t="shared" si="157"/>
        <v>0</v>
      </c>
      <c r="N258" s="589"/>
      <c r="O258" s="1558"/>
      <c r="P258" s="628">
        <v>12</v>
      </c>
      <c r="Q258" s="629">
        <f>O127</f>
        <v>850</v>
      </c>
      <c r="R258" s="629">
        <f t="shared" ref="R258:T258" si="158">P127</f>
        <v>-0.5</v>
      </c>
      <c r="S258" s="629" t="str">
        <f t="shared" si="158"/>
        <v>-</v>
      </c>
      <c r="T258" s="630">
        <f t="shared" si="158"/>
        <v>0</v>
      </c>
      <c r="V258" s="626">
        <v>10</v>
      </c>
      <c r="W258" s="627">
        <f>U103</f>
        <v>1.5</v>
      </c>
    </row>
    <row r="259" spans="1:23" ht="13" hidden="1">
      <c r="A259" s="1561"/>
      <c r="B259" s="628">
        <v>13</v>
      </c>
      <c r="C259" s="629">
        <f>C138</f>
        <v>20</v>
      </c>
      <c r="D259" s="629">
        <f t="shared" ref="D259:F259" si="159">D138</f>
        <v>-0.4</v>
      </c>
      <c r="E259" s="629" t="str">
        <f t="shared" si="159"/>
        <v>-</v>
      </c>
      <c r="F259" s="629">
        <f t="shared" si="159"/>
        <v>0</v>
      </c>
      <c r="G259" s="589"/>
      <c r="H259" s="1558"/>
      <c r="I259" s="628">
        <v>13</v>
      </c>
      <c r="J259" s="629">
        <f>I138</f>
        <v>40</v>
      </c>
      <c r="K259" s="629">
        <f t="shared" ref="K259:M259" si="160">J138</f>
        <v>-1.3</v>
      </c>
      <c r="L259" s="629" t="str">
        <f t="shared" si="160"/>
        <v>-</v>
      </c>
      <c r="M259" s="629">
        <f t="shared" si="160"/>
        <v>0</v>
      </c>
      <c r="N259" s="589"/>
      <c r="O259" s="1558"/>
      <c r="P259" s="628">
        <v>13</v>
      </c>
      <c r="Q259" s="629">
        <f>O138</f>
        <v>970</v>
      </c>
      <c r="R259" s="629">
        <f t="shared" ref="R259:T259" si="161">P138</f>
        <v>1</v>
      </c>
      <c r="S259" s="629" t="str">
        <f t="shared" si="161"/>
        <v>-</v>
      </c>
      <c r="T259" s="630">
        <f t="shared" si="161"/>
        <v>0</v>
      </c>
      <c r="V259" s="626">
        <v>11</v>
      </c>
      <c r="W259" s="627">
        <f>U114</f>
        <v>1.8</v>
      </c>
    </row>
    <row r="260" spans="1:23" ht="13" hidden="1">
      <c r="A260" s="1561"/>
      <c r="B260" s="628">
        <v>14</v>
      </c>
      <c r="C260" s="629">
        <f>C149</f>
        <v>20</v>
      </c>
      <c r="D260" s="629">
        <f t="shared" ref="D260:F260" si="162">D149</f>
        <v>-0.1</v>
      </c>
      <c r="E260" s="629" t="str">
        <f t="shared" si="162"/>
        <v>-</v>
      </c>
      <c r="F260" s="629">
        <f t="shared" si="162"/>
        <v>0</v>
      </c>
      <c r="G260" s="589"/>
      <c r="H260" s="1558"/>
      <c r="I260" s="628">
        <v>14</v>
      </c>
      <c r="J260" s="629">
        <f>I149</f>
        <v>40</v>
      </c>
      <c r="K260" s="629">
        <f t="shared" ref="K260:M260" si="163">J149</f>
        <v>0.3</v>
      </c>
      <c r="L260" s="629" t="str">
        <f t="shared" si="163"/>
        <v>-</v>
      </c>
      <c r="M260" s="629">
        <f t="shared" si="163"/>
        <v>0</v>
      </c>
      <c r="N260" s="589"/>
      <c r="O260" s="1558"/>
      <c r="P260" s="628">
        <v>14</v>
      </c>
      <c r="Q260" s="629">
        <f>O149</f>
        <v>970</v>
      </c>
      <c r="R260" s="629">
        <f t="shared" ref="R260:T260" si="164">P149</f>
        <v>1</v>
      </c>
      <c r="S260" s="629" t="str">
        <f t="shared" si="164"/>
        <v>-</v>
      </c>
      <c r="T260" s="630">
        <f t="shared" si="164"/>
        <v>0</v>
      </c>
      <c r="V260" s="626">
        <v>12</v>
      </c>
      <c r="W260" s="655">
        <f>U125</f>
        <v>2</v>
      </c>
    </row>
    <row r="261" spans="1:23" ht="13" hidden="1">
      <c r="A261" s="1561"/>
      <c r="B261" s="628">
        <v>15</v>
      </c>
      <c r="C261" s="629">
        <f>C160</f>
        <v>20</v>
      </c>
      <c r="D261" s="629">
        <f t="shared" ref="D261:F261" si="165">D160</f>
        <v>-0.5</v>
      </c>
      <c r="E261" s="629" t="str">
        <f t="shared" si="165"/>
        <v>-</v>
      </c>
      <c r="F261" s="629">
        <f t="shared" si="165"/>
        <v>0</v>
      </c>
      <c r="G261" s="589"/>
      <c r="H261" s="1558"/>
      <c r="I261" s="628">
        <v>15</v>
      </c>
      <c r="J261" s="629">
        <f>I160</f>
        <v>40</v>
      </c>
      <c r="K261" s="629">
        <f t="shared" ref="K261:M261" si="166">J160</f>
        <v>-0.3</v>
      </c>
      <c r="L261" s="629" t="str">
        <f t="shared" si="166"/>
        <v>-</v>
      </c>
      <c r="M261" s="629">
        <f t="shared" si="166"/>
        <v>0</v>
      </c>
      <c r="N261" s="589"/>
      <c r="O261" s="1558"/>
      <c r="P261" s="628">
        <v>15</v>
      </c>
      <c r="Q261" s="629">
        <f>O160</f>
        <v>970</v>
      </c>
      <c r="R261" s="629">
        <f t="shared" ref="R261:T261" si="167">P160</f>
        <v>1</v>
      </c>
      <c r="S261" s="629" t="str">
        <f t="shared" si="167"/>
        <v>-</v>
      </c>
      <c r="T261" s="630">
        <f t="shared" si="167"/>
        <v>0</v>
      </c>
      <c r="V261" s="626">
        <v>13</v>
      </c>
      <c r="W261" s="627">
        <f>U136</f>
        <v>2.7</v>
      </c>
    </row>
    <row r="262" spans="1:23" ht="13" hidden="1">
      <c r="A262" s="1561"/>
      <c r="B262" s="628">
        <v>16</v>
      </c>
      <c r="C262" s="629">
        <f>C171</f>
        <v>20</v>
      </c>
      <c r="D262" s="629">
        <f t="shared" ref="D262:F262" si="168">D171</f>
        <v>0.2</v>
      </c>
      <c r="E262" s="629" t="str">
        <f t="shared" si="168"/>
        <v>-</v>
      </c>
      <c r="F262" s="629">
        <f t="shared" si="168"/>
        <v>0</v>
      </c>
      <c r="G262" s="589"/>
      <c r="H262" s="1558"/>
      <c r="I262" s="628">
        <v>16</v>
      </c>
      <c r="J262" s="629">
        <f>I171</f>
        <v>40</v>
      </c>
      <c r="K262" s="629">
        <f t="shared" ref="K262:M262" si="169">J171</f>
        <v>-1.4</v>
      </c>
      <c r="L262" s="629" t="str">
        <f t="shared" si="169"/>
        <v>-</v>
      </c>
      <c r="M262" s="629">
        <f t="shared" si="169"/>
        <v>0</v>
      </c>
      <c r="N262" s="589"/>
      <c r="O262" s="1558"/>
      <c r="P262" s="628">
        <v>16</v>
      </c>
      <c r="Q262" s="629">
        <f>O171</f>
        <v>850</v>
      </c>
      <c r="R262" s="629">
        <f t="shared" ref="R262:T262" si="170">P171</f>
        <v>-2.2999999999999998</v>
      </c>
      <c r="S262" s="629" t="str">
        <f t="shared" si="170"/>
        <v>-</v>
      </c>
      <c r="T262" s="630">
        <f t="shared" si="170"/>
        <v>0</v>
      </c>
      <c r="V262" s="626">
        <v>14</v>
      </c>
      <c r="W262" s="627">
        <f>U147</f>
        <v>2.2000000000000002</v>
      </c>
    </row>
    <row r="263" spans="1:23" ht="13" hidden="1">
      <c r="A263" s="1561"/>
      <c r="B263" s="628">
        <v>17</v>
      </c>
      <c r="C263" s="629">
        <f>C182</f>
        <v>20</v>
      </c>
      <c r="D263" s="629">
        <f t="shared" ref="D263:F263" si="171">D182</f>
        <v>0.1</v>
      </c>
      <c r="E263" s="629" t="str">
        <f t="shared" si="171"/>
        <v>-</v>
      </c>
      <c r="F263" s="629">
        <f t="shared" si="171"/>
        <v>0</v>
      </c>
      <c r="G263" s="589"/>
      <c r="H263" s="1558"/>
      <c r="I263" s="628">
        <v>17</v>
      </c>
      <c r="J263" s="629">
        <f>I182</f>
        <v>40</v>
      </c>
      <c r="K263" s="629">
        <f t="shared" ref="K263:M263" si="172">J182</f>
        <v>0.2</v>
      </c>
      <c r="L263" s="629" t="str">
        <f t="shared" si="172"/>
        <v>-</v>
      </c>
      <c r="M263" s="629">
        <f t="shared" si="172"/>
        <v>0</v>
      </c>
      <c r="N263" s="589"/>
      <c r="O263" s="1558"/>
      <c r="P263" s="628">
        <v>17</v>
      </c>
      <c r="Q263" s="629">
        <f>O182</f>
        <v>970</v>
      </c>
      <c r="R263" s="629">
        <f t="shared" ref="R263:T263" si="173">P182</f>
        <v>-0.6</v>
      </c>
      <c r="S263" s="629" t="str">
        <f t="shared" si="173"/>
        <v>-</v>
      </c>
      <c r="T263" s="630">
        <f t="shared" si="173"/>
        <v>0</v>
      </c>
      <c r="V263" s="626">
        <v>15</v>
      </c>
      <c r="W263" s="627">
        <f>U158</f>
        <v>2.7</v>
      </c>
    </row>
    <row r="264" spans="1:23" ht="13" hidden="1">
      <c r="A264" s="1561"/>
      <c r="B264" s="628">
        <v>18</v>
      </c>
      <c r="C264" s="629">
        <f>C193</f>
        <v>20</v>
      </c>
      <c r="D264" s="629">
        <f t="shared" ref="D264:F264" si="174">D193</f>
        <v>-0.1</v>
      </c>
      <c r="E264" s="629" t="str">
        <f t="shared" si="174"/>
        <v>-</v>
      </c>
      <c r="F264" s="629">
        <f t="shared" si="174"/>
        <v>0</v>
      </c>
      <c r="G264" s="589"/>
      <c r="H264" s="1558"/>
      <c r="I264" s="628">
        <v>18</v>
      </c>
      <c r="J264" s="629">
        <f>I193</f>
        <v>40</v>
      </c>
      <c r="K264" s="629">
        <f t="shared" ref="K264:M264" si="175">J193</f>
        <v>-0.2</v>
      </c>
      <c r="L264" s="629" t="str">
        <f t="shared" si="175"/>
        <v>-</v>
      </c>
      <c r="M264" s="629">
        <f t="shared" si="175"/>
        <v>0</v>
      </c>
      <c r="N264" s="589"/>
      <c r="O264" s="1558"/>
      <c r="P264" s="628">
        <v>18</v>
      </c>
      <c r="Q264" s="629">
        <f>O193</f>
        <v>850</v>
      </c>
      <c r="R264" s="629">
        <f t="shared" ref="R264:T264" si="176">P193</f>
        <v>-1.3</v>
      </c>
      <c r="S264" s="629" t="str">
        <f t="shared" si="176"/>
        <v>-</v>
      </c>
      <c r="T264" s="630">
        <f t="shared" si="176"/>
        <v>0</v>
      </c>
      <c r="V264" s="626">
        <v>16</v>
      </c>
      <c r="W264" s="627">
        <f>U169</f>
        <v>2.2000000000000002</v>
      </c>
    </row>
    <row r="265" spans="1:23" ht="13" hidden="1">
      <c r="A265" s="1561"/>
      <c r="B265" s="628">
        <v>19</v>
      </c>
      <c r="C265" s="629">
        <f>C204</f>
        <v>20</v>
      </c>
      <c r="D265" s="629">
        <f t="shared" ref="D265:F265" si="177">D204</f>
        <v>0.1</v>
      </c>
      <c r="E265" s="629" t="str">
        <f t="shared" si="177"/>
        <v>-</v>
      </c>
      <c r="F265" s="629">
        <f t="shared" si="177"/>
        <v>0</v>
      </c>
      <c r="G265" s="589"/>
      <c r="H265" s="1558"/>
      <c r="I265" s="628">
        <v>19</v>
      </c>
      <c r="J265" s="629">
        <f>I204</f>
        <v>40</v>
      </c>
      <c r="K265" s="629">
        <f t="shared" ref="K265:M265" si="178">J204</f>
        <v>-0.8</v>
      </c>
      <c r="L265" s="629" t="str">
        <f t="shared" si="178"/>
        <v>-</v>
      </c>
      <c r="M265" s="629">
        <f t="shared" si="178"/>
        <v>0</v>
      </c>
      <c r="N265" s="589"/>
      <c r="O265" s="1558"/>
      <c r="P265" s="628">
        <v>19</v>
      </c>
      <c r="Q265" s="629">
        <f>O204</f>
        <v>800</v>
      </c>
      <c r="R265" s="629">
        <f t="shared" ref="R265:T265" si="179">P204</f>
        <v>2.5</v>
      </c>
      <c r="S265" s="629" t="str">
        <f t="shared" si="179"/>
        <v>-</v>
      </c>
      <c r="T265" s="630">
        <f t="shared" si="179"/>
        <v>0</v>
      </c>
      <c r="V265" s="626">
        <v>17</v>
      </c>
      <c r="W265" s="627">
        <f>U180</f>
        <v>2.8</v>
      </c>
    </row>
    <row r="266" spans="1:23" ht="13.5" hidden="1" thickBot="1">
      <c r="A266" s="1562"/>
      <c r="B266" s="639">
        <v>20</v>
      </c>
      <c r="C266" s="656">
        <f>C215</f>
        <v>19.7</v>
      </c>
      <c r="D266" s="656">
        <f t="shared" ref="D266:F266" si="180">D215</f>
        <v>9.9999999999999995E-7</v>
      </c>
      <c r="E266" s="656" t="str">
        <f t="shared" si="180"/>
        <v>-</v>
      </c>
      <c r="F266" s="656">
        <f t="shared" si="180"/>
        <v>0</v>
      </c>
      <c r="G266" s="641"/>
      <c r="H266" s="1559"/>
      <c r="I266" s="639">
        <v>20</v>
      </c>
      <c r="J266" s="656">
        <f>I215</f>
        <v>54.3</v>
      </c>
      <c r="K266" s="656">
        <f t="shared" ref="K266:M266" si="181">J215</f>
        <v>9.9999999999999995E-7</v>
      </c>
      <c r="L266" s="656" t="str">
        <f t="shared" si="181"/>
        <v>-</v>
      </c>
      <c r="M266" s="656">
        <f t="shared" si="181"/>
        <v>0</v>
      </c>
      <c r="N266" s="641"/>
      <c r="O266" s="1559"/>
      <c r="P266" s="639">
        <v>20</v>
      </c>
      <c r="Q266" s="656">
        <f>O215</f>
        <v>800</v>
      </c>
      <c r="R266" s="656" t="str">
        <f t="shared" ref="R266:T266" si="182">P215</f>
        <v>-</v>
      </c>
      <c r="S266" s="656" t="str">
        <f t="shared" si="182"/>
        <v>-</v>
      </c>
      <c r="T266" s="657">
        <f t="shared" si="182"/>
        <v>0</v>
      </c>
      <c r="V266" s="626">
        <v>18</v>
      </c>
      <c r="W266" s="627">
        <f>U191</f>
        <v>1.6</v>
      </c>
    </row>
    <row r="267" spans="1:23" ht="13" hidden="1">
      <c r="A267" s="644"/>
      <c r="B267" s="645"/>
      <c r="C267" s="658"/>
      <c r="D267" s="658"/>
      <c r="E267" s="658"/>
      <c r="F267" s="659"/>
      <c r="G267" s="648"/>
      <c r="H267" s="644"/>
      <c r="I267" s="645"/>
      <c r="J267" s="658"/>
      <c r="K267" s="658"/>
      <c r="L267" s="658"/>
      <c r="M267" s="659"/>
      <c r="N267" s="589"/>
      <c r="O267" s="644"/>
      <c r="P267" s="645"/>
      <c r="Q267" s="658"/>
      <c r="R267" s="658"/>
      <c r="S267" s="658"/>
      <c r="T267" s="659"/>
      <c r="V267" s="626">
        <v>19</v>
      </c>
      <c r="W267" s="636">
        <f>U202</f>
        <v>1.5</v>
      </c>
    </row>
    <row r="268" spans="1:23" ht="13.5" hidden="1" thickBot="1">
      <c r="A268" s="1554">
        <v>3</v>
      </c>
      <c r="B268" s="651">
        <v>1</v>
      </c>
      <c r="C268" s="660">
        <f>C7</f>
        <v>25</v>
      </c>
      <c r="D268" s="660">
        <f t="shared" ref="D268:F268" si="183">D7</f>
        <v>9.9999999999999995E-7</v>
      </c>
      <c r="E268" s="660">
        <f t="shared" si="183"/>
        <v>0.1</v>
      </c>
      <c r="F268" s="660">
        <f t="shared" si="183"/>
        <v>4.9999500000000002E-2</v>
      </c>
      <c r="G268" s="653"/>
      <c r="H268" s="1557">
        <v>3</v>
      </c>
      <c r="I268" s="651">
        <v>1</v>
      </c>
      <c r="J268" s="660">
        <f>I7</f>
        <v>50</v>
      </c>
      <c r="K268" s="660">
        <f t="shared" ref="K268:M268" si="184">J7</f>
        <v>-5.8</v>
      </c>
      <c r="L268" s="660">
        <f t="shared" si="184"/>
        <v>-7.2</v>
      </c>
      <c r="M268" s="660">
        <f t="shared" si="184"/>
        <v>0.70000000000000018</v>
      </c>
      <c r="N268" s="653"/>
      <c r="O268" s="1557">
        <v>3</v>
      </c>
      <c r="P268" s="651">
        <v>1</v>
      </c>
      <c r="Q268" s="660">
        <f>O7</f>
        <v>850</v>
      </c>
      <c r="R268" s="660" t="str">
        <f t="shared" ref="R268:T268" si="185">P7</f>
        <v>-</v>
      </c>
      <c r="S268" s="660" t="str">
        <f t="shared" si="185"/>
        <v>-</v>
      </c>
      <c r="T268" s="661">
        <f t="shared" si="185"/>
        <v>0</v>
      </c>
      <c r="V268" s="637">
        <v>20</v>
      </c>
      <c r="W268" s="638">
        <f>U213</f>
        <v>0</v>
      </c>
    </row>
    <row r="269" spans="1:23" ht="13" hidden="1">
      <c r="A269" s="1555"/>
      <c r="B269" s="628">
        <v>2</v>
      </c>
      <c r="C269" s="629">
        <f>C18</f>
        <v>25</v>
      </c>
      <c r="D269" s="629">
        <f t="shared" ref="D269:F269" si="186">D18</f>
        <v>0.5</v>
      </c>
      <c r="E269" s="629">
        <f t="shared" si="186"/>
        <v>-0.2</v>
      </c>
      <c r="F269" s="629">
        <f t="shared" si="186"/>
        <v>0.35</v>
      </c>
      <c r="G269" s="589"/>
      <c r="H269" s="1558"/>
      <c r="I269" s="628">
        <v>2</v>
      </c>
      <c r="J269" s="629">
        <f>I18</f>
        <v>50</v>
      </c>
      <c r="K269" s="629">
        <f t="shared" ref="K269:M269" si="187">J18</f>
        <v>-5.3</v>
      </c>
      <c r="L269" s="629">
        <f t="shared" si="187"/>
        <v>-1.5</v>
      </c>
      <c r="M269" s="629">
        <f t="shared" si="187"/>
        <v>1.9</v>
      </c>
      <c r="N269" s="589"/>
      <c r="O269" s="1558"/>
      <c r="P269" s="628">
        <v>2</v>
      </c>
      <c r="Q269" s="629">
        <f>O18</f>
        <v>850</v>
      </c>
      <c r="R269" s="629" t="str">
        <f t="shared" ref="R269:T269" si="188">P18</f>
        <v>-</v>
      </c>
      <c r="S269" s="629" t="str">
        <f t="shared" si="188"/>
        <v>-</v>
      </c>
      <c r="T269" s="630">
        <f t="shared" si="188"/>
        <v>0</v>
      </c>
    </row>
    <row r="270" spans="1:23" ht="13" hidden="1">
      <c r="A270" s="1555"/>
      <c r="B270" s="628">
        <v>3</v>
      </c>
      <c r="C270" s="629">
        <f>C29</f>
        <v>25</v>
      </c>
      <c r="D270" s="629">
        <f t="shared" ref="D270:F270" si="189">D29</f>
        <v>0.7</v>
      </c>
      <c r="E270" s="629">
        <f t="shared" si="189"/>
        <v>-0.1</v>
      </c>
      <c r="F270" s="629">
        <f t="shared" si="189"/>
        <v>0.39999999999999997</v>
      </c>
      <c r="G270" s="589"/>
      <c r="H270" s="1558"/>
      <c r="I270" s="628">
        <v>3</v>
      </c>
      <c r="J270" s="629">
        <f>I29</f>
        <v>50</v>
      </c>
      <c r="K270" s="629">
        <f t="shared" ref="K270:M270" si="190">J29</f>
        <v>-4.5</v>
      </c>
      <c r="L270" s="629">
        <f t="shared" si="190"/>
        <v>-4.9000000000000004</v>
      </c>
      <c r="M270" s="629">
        <f t="shared" si="190"/>
        <v>0.20000000000000018</v>
      </c>
      <c r="N270" s="589"/>
      <c r="O270" s="1558"/>
      <c r="P270" s="628">
        <v>3</v>
      </c>
      <c r="Q270" s="629">
        <f>O29</f>
        <v>850</v>
      </c>
      <c r="R270" s="629" t="str">
        <f t="shared" ref="R270:T270" si="191">P29</f>
        <v>-</v>
      </c>
      <c r="S270" s="629" t="str">
        <f t="shared" si="191"/>
        <v>-</v>
      </c>
      <c r="T270" s="630">
        <f t="shared" si="191"/>
        <v>0</v>
      </c>
    </row>
    <row r="271" spans="1:23" ht="13" hidden="1">
      <c r="A271" s="1555"/>
      <c r="B271" s="628">
        <v>4</v>
      </c>
      <c r="C271" s="629">
        <f>C40</f>
        <v>25</v>
      </c>
      <c r="D271" s="629">
        <f t="shared" ref="D271:F271" si="192">D40</f>
        <v>-0.1</v>
      </c>
      <c r="E271" s="629">
        <f t="shared" si="192"/>
        <v>-0.5</v>
      </c>
      <c r="F271" s="629">
        <f t="shared" si="192"/>
        <v>0.2</v>
      </c>
      <c r="G271" s="589"/>
      <c r="H271" s="1558"/>
      <c r="I271" s="628">
        <v>4</v>
      </c>
      <c r="J271" s="629">
        <f>I40</f>
        <v>50</v>
      </c>
      <c r="K271" s="629">
        <f t="shared" ref="K271:M271" si="193">J40</f>
        <v>-4.3</v>
      </c>
      <c r="L271" s="629">
        <f t="shared" si="193"/>
        <v>-1</v>
      </c>
      <c r="M271" s="629">
        <f t="shared" si="193"/>
        <v>1.65</v>
      </c>
      <c r="N271" s="589"/>
      <c r="O271" s="1558"/>
      <c r="P271" s="628">
        <v>4</v>
      </c>
      <c r="Q271" s="629">
        <f>O40</f>
        <v>850</v>
      </c>
      <c r="R271" s="629" t="str">
        <f t="shared" ref="R271:T271" si="194">P40</f>
        <v>-</v>
      </c>
      <c r="S271" s="629" t="str">
        <f t="shared" si="194"/>
        <v>-</v>
      </c>
      <c r="T271" s="630">
        <f t="shared" si="194"/>
        <v>0</v>
      </c>
      <c r="V271" s="1547" t="s">
        <v>99</v>
      </c>
      <c r="W271" s="1548"/>
    </row>
    <row r="272" spans="1:23" ht="13" hidden="1">
      <c r="A272" s="1555"/>
      <c r="B272" s="628">
        <v>5</v>
      </c>
      <c r="C272" s="629">
        <f>C51</f>
        <v>25</v>
      </c>
      <c r="D272" s="629">
        <f t="shared" ref="D272:F272" si="195">D51</f>
        <v>0.4</v>
      </c>
      <c r="E272" s="629">
        <f t="shared" si="195"/>
        <v>0.2</v>
      </c>
      <c r="F272" s="629">
        <f t="shared" si="195"/>
        <v>0.1</v>
      </c>
      <c r="G272" s="589"/>
      <c r="H272" s="1558"/>
      <c r="I272" s="628">
        <v>5</v>
      </c>
      <c r="J272" s="629">
        <f>I51</f>
        <v>50</v>
      </c>
      <c r="K272" s="629">
        <f t="shared" ref="K272:M272" si="196">J51</f>
        <v>-6.2</v>
      </c>
      <c r="L272" s="629">
        <f t="shared" si="196"/>
        <v>-6.2</v>
      </c>
      <c r="M272" s="629">
        <f t="shared" si="196"/>
        <v>0</v>
      </c>
      <c r="N272" s="589"/>
      <c r="O272" s="1558"/>
      <c r="P272" s="628">
        <v>5</v>
      </c>
      <c r="Q272" s="629">
        <f>O51</f>
        <v>850</v>
      </c>
      <c r="R272" s="629" t="str">
        <f t="shared" ref="R272:T272" si="197">P51</f>
        <v>-</v>
      </c>
      <c r="S272" s="629" t="str">
        <f t="shared" si="197"/>
        <v>-</v>
      </c>
      <c r="T272" s="630">
        <f t="shared" si="197"/>
        <v>0</v>
      </c>
      <c r="V272" s="1551" t="s">
        <v>402</v>
      </c>
      <c r="W272" s="1552"/>
    </row>
    <row r="273" spans="1:23" ht="13" hidden="1">
      <c r="A273" s="1555"/>
      <c r="B273" s="628">
        <v>6</v>
      </c>
      <c r="C273" s="629">
        <f>C62</f>
        <v>25</v>
      </c>
      <c r="D273" s="629">
        <f t="shared" ref="D273:F273" si="198">D62</f>
        <v>0.2</v>
      </c>
      <c r="E273" s="629">
        <f t="shared" si="198"/>
        <v>-0.1</v>
      </c>
      <c r="F273" s="629">
        <f t="shared" si="198"/>
        <v>0.15000000000000002</v>
      </c>
      <c r="G273" s="589"/>
      <c r="H273" s="1558"/>
      <c r="I273" s="628">
        <v>6</v>
      </c>
      <c r="J273" s="629">
        <f>I62</f>
        <v>50</v>
      </c>
      <c r="K273" s="629">
        <f t="shared" ref="K273:M273" si="199">J62</f>
        <v>-5.4</v>
      </c>
      <c r="L273" s="629">
        <f t="shared" si="199"/>
        <v>1.2</v>
      </c>
      <c r="M273" s="629">
        <f t="shared" si="199"/>
        <v>3.3000000000000003</v>
      </c>
      <c r="N273" s="589"/>
      <c r="O273" s="1558"/>
      <c r="P273" s="628">
        <v>6</v>
      </c>
      <c r="Q273" s="629">
        <f>O62</f>
        <v>850</v>
      </c>
      <c r="R273" s="629">
        <f t="shared" ref="R273:T273" si="200">P62</f>
        <v>0.9</v>
      </c>
      <c r="S273" s="629">
        <f t="shared" si="200"/>
        <v>1.1000000000000001</v>
      </c>
      <c r="T273" s="630">
        <f t="shared" si="200"/>
        <v>0.10000000000000003</v>
      </c>
      <c r="V273" s="626">
        <v>1</v>
      </c>
      <c r="W273" s="627">
        <f>U5</f>
        <v>0</v>
      </c>
    </row>
    <row r="274" spans="1:23" ht="13" hidden="1">
      <c r="A274" s="1555"/>
      <c r="B274" s="628">
        <v>7</v>
      </c>
      <c r="C274" s="629">
        <f>C73</f>
        <v>25</v>
      </c>
      <c r="D274" s="629">
        <f t="shared" ref="D274:F274" si="201">D73</f>
        <v>9.9999999999999995E-7</v>
      </c>
      <c r="E274" s="629">
        <f t="shared" si="201"/>
        <v>-0.2</v>
      </c>
      <c r="F274" s="629">
        <f t="shared" si="201"/>
        <v>0.10000050000000001</v>
      </c>
      <c r="G274" s="589"/>
      <c r="H274" s="1558"/>
      <c r="I274" s="628">
        <v>7</v>
      </c>
      <c r="J274" s="629">
        <f>I73</f>
        <v>50</v>
      </c>
      <c r="K274" s="629">
        <f t="shared" ref="K274:M274" si="202">J73</f>
        <v>-1.9</v>
      </c>
      <c r="L274" s="629">
        <f t="shared" si="202"/>
        <v>0.8</v>
      </c>
      <c r="M274" s="629">
        <f t="shared" si="202"/>
        <v>1.35</v>
      </c>
      <c r="N274" s="589"/>
      <c r="O274" s="1558"/>
      <c r="P274" s="628">
        <v>7</v>
      </c>
      <c r="Q274" s="629">
        <f>O73</f>
        <v>850</v>
      </c>
      <c r="R274" s="629">
        <f t="shared" ref="R274:T274" si="203">P73</f>
        <v>9.9999999999999995E-7</v>
      </c>
      <c r="S274" s="629">
        <f t="shared" si="203"/>
        <v>1.7</v>
      </c>
      <c r="T274" s="630">
        <f t="shared" si="203"/>
        <v>0.84999950000000002</v>
      </c>
      <c r="V274" s="631">
        <v>2</v>
      </c>
      <c r="W274" s="627">
        <f>U16</f>
        <v>0</v>
      </c>
    </row>
    <row r="275" spans="1:23" ht="13" hidden="1">
      <c r="A275" s="1555"/>
      <c r="B275" s="628">
        <v>8</v>
      </c>
      <c r="C275" s="629">
        <f>C84</f>
        <v>25</v>
      </c>
      <c r="D275" s="629">
        <f t="shared" ref="D275:F275" si="204">D84</f>
        <v>-0.1</v>
      </c>
      <c r="E275" s="629">
        <f t="shared" si="204"/>
        <v>-0.4</v>
      </c>
      <c r="F275" s="629">
        <f t="shared" si="204"/>
        <v>0.15000000000000002</v>
      </c>
      <c r="G275" s="589"/>
      <c r="H275" s="1558"/>
      <c r="I275" s="628">
        <v>8</v>
      </c>
      <c r="J275" s="629">
        <f>I84</f>
        <v>50</v>
      </c>
      <c r="K275" s="629">
        <f t="shared" ref="K275:M275" si="205">J84</f>
        <v>-3.8</v>
      </c>
      <c r="L275" s="629">
        <f t="shared" si="205"/>
        <v>-1.2</v>
      </c>
      <c r="M275" s="629">
        <f t="shared" si="205"/>
        <v>1.2999999999999998</v>
      </c>
      <c r="N275" s="589"/>
      <c r="O275" s="1558"/>
      <c r="P275" s="628">
        <v>8</v>
      </c>
      <c r="Q275" s="629">
        <f>O84</f>
        <v>850</v>
      </c>
      <c r="R275" s="629">
        <f t="shared" ref="R275:T275" si="206">P84</f>
        <v>9.9999999999999995E-7</v>
      </c>
      <c r="S275" s="629">
        <f t="shared" si="206"/>
        <v>9.9999999999999995E-7</v>
      </c>
      <c r="T275" s="630">
        <f t="shared" si="206"/>
        <v>0</v>
      </c>
      <c r="V275" s="631">
        <v>3</v>
      </c>
      <c r="W275" s="662">
        <f>U27</f>
        <v>0</v>
      </c>
    </row>
    <row r="276" spans="1:23" ht="13" hidden="1">
      <c r="A276" s="1555"/>
      <c r="B276" s="628">
        <v>9</v>
      </c>
      <c r="C276" s="629">
        <f>C95</f>
        <v>25</v>
      </c>
      <c r="D276" s="629">
        <f t="shared" ref="D276:F276" si="207">D95</f>
        <v>-0.4</v>
      </c>
      <c r="E276" s="629" t="str">
        <f t="shared" si="207"/>
        <v>-</v>
      </c>
      <c r="F276" s="629">
        <f t="shared" si="207"/>
        <v>0</v>
      </c>
      <c r="G276" s="589"/>
      <c r="H276" s="1558"/>
      <c r="I276" s="628">
        <v>9</v>
      </c>
      <c r="J276" s="629">
        <f>I95</f>
        <v>50</v>
      </c>
      <c r="K276" s="629">
        <f t="shared" ref="K276:M276" si="208">J95</f>
        <v>-0.9</v>
      </c>
      <c r="L276" s="629" t="str">
        <f t="shared" si="208"/>
        <v>-</v>
      </c>
      <c r="M276" s="629">
        <f t="shared" si="208"/>
        <v>0</v>
      </c>
      <c r="N276" s="589"/>
      <c r="O276" s="1558"/>
      <c r="P276" s="628">
        <v>9</v>
      </c>
      <c r="Q276" s="629">
        <f>O95</f>
        <v>850</v>
      </c>
      <c r="R276" s="629">
        <f t="shared" ref="R276:T276" si="209">P95</f>
        <v>9.9999999999999995E-7</v>
      </c>
      <c r="S276" s="629" t="str">
        <f t="shared" si="209"/>
        <v>-</v>
      </c>
      <c r="T276" s="630">
        <f t="shared" si="209"/>
        <v>0</v>
      </c>
      <c r="V276" s="631">
        <v>4</v>
      </c>
      <c r="W276" s="662">
        <f>U39</f>
        <v>0</v>
      </c>
    </row>
    <row r="277" spans="1:23" ht="13" hidden="1">
      <c r="A277" s="1555"/>
      <c r="B277" s="628">
        <v>10</v>
      </c>
      <c r="C277" s="629">
        <f>C106</f>
        <v>25</v>
      </c>
      <c r="D277" s="629">
        <f t="shared" ref="D277:F277" si="210">D106</f>
        <v>0.1</v>
      </c>
      <c r="E277" s="629">
        <f t="shared" si="210"/>
        <v>-0.5</v>
      </c>
      <c r="F277" s="629">
        <f t="shared" si="210"/>
        <v>0.3</v>
      </c>
      <c r="G277" s="589"/>
      <c r="H277" s="1558"/>
      <c r="I277" s="628">
        <v>10</v>
      </c>
      <c r="J277" s="629">
        <f>I106</f>
        <v>50</v>
      </c>
      <c r="K277" s="629">
        <f t="shared" ref="K277:M277" si="211">J106</f>
        <v>-3.1</v>
      </c>
      <c r="L277" s="629">
        <f t="shared" si="211"/>
        <v>-6.1</v>
      </c>
      <c r="M277" s="629">
        <f t="shared" si="211"/>
        <v>1.4999999999999998</v>
      </c>
      <c r="N277" s="589"/>
      <c r="O277" s="1558"/>
      <c r="P277" s="628">
        <v>10</v>
      </c>
      <c r="Q277" s="629">
        <f>O106</f>
        <v>850</v>
      </c>
      <c r="R277" s="629" t="str">
        <f t="shared" ref="R277:T277" si="212">P106</f>
        <v>-</v>
      </c>
      <c r="S277" s="629" t="str">
        <f t="shared" si="212"/>
        <v>-</v>
      </c>
      <c r="T277" s="630">
        <f t="shared" si="212"/>
        <v>0</v>
      </c>
      <c r="V277" s="631">
        <v>5</v>
      </c>
      <c r="W277" s="662">
        <f>U49</f>
        <v>0</v>
      </c>
    </row>
    <row r="278" spans="1:23" ht="13" hidden="1">
      <c r="A278" s="1555"/>
      <c r="B278" s="628">
        <v>11</v>
      </c>
      <c r="C278" s="629">
        <f>C117</f>
        <v>25</v>
      </c>
      <c r="D278" s="629">
        <f t="shared" ref="D278:F278" si="213">D117</f>
        <v>0.4</v>
      </c>
      <c r="E278" s="629">
        <f t="shared" si="213"/>
        <v>0.5</v>
      </c>
      <c r="F278" s="629">
        <f t="shared" si="213"/>
        <v>4.9999999999999989E-2</v>
      </c>
      <c r="G278" s="589"/>
      <c r="H278" s="1558"/>
      <c r="I278" s="628">
        <v>11</v>
      </c>
      <c r="J278" s="629">
        <f>I117</f>
        <v>50</v>
      </c>
      <c r="K278" s="629">
        <f t="shared" ref="K278:M278" si="214">J117</f>
        <v>-5.5</v>
      </c>
      <c r="L278" s="629">
        <f t="shared" si="214"/>
        <v>-5.6</v>
      </c>
      <c r="M278" s="629">
        <f t="shared" si="214"/>
        <v>4.9999999999999822E-2</v>
      </c>
      <c r="N278" s="589"/>
      <c r="O278" s="1558"/>
      <c r="P278" s="628">
        <v>11</v>
      </c>
      <c r="Q278" s="629">
        <f>O117</f>
        <v>850</v>
      </c>
      <c r="R278" s="629" t="str">
        <f t="shared" ref="R278:T278" si="215">P117</f>
        <v>-</v>
      </c>
      <c r="S278" s="629" t="str">
        <f t="shared" si="215"/>
        <v>-</v>
      </c>
      <c r="T278" s="630">
        <f t="shared" si="215"/>
        <v>0</v>
      </c>
      <c r="V278" s="626">
        <v>6</v>
      </c>
      <c r="W278" s="627">
        <f>U60</f>
        <v>1.6</v>
      </c>
    </row>
    <row r="279" spans="1:23" ht="13" hidden="1">
      <c r="A279" s="1555"/>
      <c r="B279" s="628">
        <v>12</v>
      </c>
      <c r="C279" s="629">
        <f>C128</f>
        <v>25</v>
      </c>
      <c r="D279" s="629">
        <f t="shared" ref="D279:F279" si="216">D128</f>
        <v>9.9999999999999995E-7</v>
      </c>
      <c r="E279" s="629" t="str">
        <f t="shared" si="216"/>
        <v>-</v>
      </c>
      <c r="F279" s="629">
        <f t="shared" si="216"/>
        <v>0</v>
      </c>
      <c r="G279" s="589"/>
      <c r="H279" s="1558"/>
      <c r="I279" s="628">
        <v>12</v>
      </c>
      <c r="J279" s="629">
        <f>I128</f>
        <v>50</v>
      </c>
      <c r="K279" s="629">
        <f t="shared" ref="K279:M279" si="217">J128</f>
        <v>9.9999999999999995E-7</v>
      </c>
      <c r="L279" s="629" t="str">
        <f t="shared" si="217"/>
        <v>-</v>
      </c>
      <c r="M279" s="629">
        <f t="shared" si="217"/>
        <v>0</v>
      </c>
      <c r="N279" s="589"/>
      <c r="O279" s="1558"/>
      <c r="P279" s="628">
        <v>12</v>
      </c>
      <c r="Q279" s="629">
        <f>O128</f>
        <v>900</v>
      </c>
      <c r="R279" s="629">
        <f t="shared" ref="R279:T279" si="218">P128</f>
        <v>-0.6</v>
      </c>
      <c r="S279" s="629" t="str">
        <f t="shared" si="218"/>
        <v>-</v>
      </c>
      <c r="T279" s="630">
        <f t="shared" si="218"/>
        <v>0</v>
      </c>
      <c r="V279" s="626">
        <v>7</v>
      </c>
      <c r="W279" s="627">
        <f>U71</f>
        <v>2.4</v>
      </c>
    </row>
    <row r="280" spans="1:23" ht="13" hidden="1">
      <c r="A280" s="1555"/>
      <c r="B280" s="628">
        <v>13</v>
      </c>
      <c r="C280" s="629">
        <f>C139</f>
        <v>25</v>
      </c>
      <c r="D280" s="629">
        <f t="shared" ref="D280:F280" si="219">D139</f>
        <v>-0.2</v>
      </c>
      <c r="E280" s="629" t="str">
        <f t="shared" si="219"/>
        <v>-</v>
      </c>
      <c r="F280" s="629">
        <f t="shared" si="219"/>
        <v>0</v>
      </c>
      <c r="G280" s="589"/>
      <c r="H280" s="1558"/>
      <c r="I280" s="628">
        <v>13</v>
      </c>
      <c r="J280" s="629">
        <f>I139</f>
        <v>50</v>
      </c>
      <c r="K280" s="629">
        <f t="shared" ref="K280:M280" si="220">J139</f>
        <v>-1.3</v>
      </c>
      <c r="L280" s="629" t="str">
        <f t="shared" si="220"/>
        <v>-</v>
      </c>
      <c r="M280" s="629">
        <f t="shared" si="220"/>
        <v>0</v>
      </c>
      <c r="N280" s="589"/>
      <c r="O280" s="1558"/>
      <c r="P280" s="628">
        <v>13</v>
      </c>
      <c r="Q280" s="629">
        <f>O139</f>
        <v>980</v>
      </c>
      <c r="R280" s="629">
        <f t="shared" ref="R280:T280" si="221">P139</f>
        <v>1</v>
      </c>
      <c r="S280" s="629" t="str">
        <f t="shared" si="221"/>
        <v>-</v>
      </c>
      <c r="T280" s="630">
        <f t="shared" si="221"/>
        <v>0</v>
      </c>
      <c r="V280" s="626">
        <v>8</v>
      </c>
      <c r="W280" s="627">
        <f>U82</f>
        <v>2.1</v>
      </c>
    </row>
    <row r="281" spans="1:23" ht="13" hidden="1">
      <c r="A281" s="1555"/>
      <c r="B281" s="628">
        <v>14</v>
      </c>
      <c r="C281" s="629">
        <f>C150</f>
        <v>25</v>
      </c>
      <c r="D281" s="629">
        <f t="shared" ref="D281:F281" si="222">D150</f>
        <v>-0.1</v>
      </c>
      <c r="E281" s="629" t="str">
        <f t="shared" si="222"/>
        <v>-</v>
      </c>
      <c r="F281" s="629">
        <f t="shared" si="222"/>
        <v>0</v>
      </c>
      <c r="G281" s="589"/>
      <c r="H281" s="1558"/>
      <c r="I281" s="628">
        <v>14</v>
      </c>
      <c r="J281" s="629">
        <f>I151</f>
        <v>60</v>
      </c>
      <c r="K281" s="629">
        <f t="shared" ref="K281:M281" si="223">J151</f>
        <v>-0.6</v>
      </c>
      <c r="L281" s="629" t="str">
        <f t="shared" si="223"/>
        <v>-</v>
      </c>
      <c r="M281" s="629">
        <f t="shared" si="223"/>
        <v>0</v>
      </c>
      <c r="N281" s="589"/>
      <c r="O281" s="1558"/>
      <c r="P281" s="628">
        <v>14</v>
      </c>
      <c r="Q281" s="629">
        <f>O150</f>
        <v>980</v>
      </c>
      <c r="R281" s="629">
        <f t="shared" ref="R281:T281" si="224">P150</f>
        <v>1</v>
      </c>
      <c r="S281" s="629" t="str">
        <f t="shared" si="224"/>
        <v>-</v>
      </c>
      <c r="T281" s="630">
        <f t="shared" si="224"/>
        <v>0</v>
      </c>
      <c r="V281" s="626">
        <v>9</v>
      </c>
      <c r="W281" s="627">
        <f>U93</f>
        <v>2.2000000000000002</v>
      </c>
    </row>
    <row r="282" spans="1:23" ht="13" hidden="1">
      <c r="A282" s="1555"/>
      <c r="B282" s="628">
        <v>15</v>
      </c>
      <c r="C282" s="629">
        <f>C161</f>
        <v>25</v>
      </c>
      <c r="D282" s="629">
        <f t="shared" ref="D282:F282" si="225">D161</f>
        <v>-0.4</v>
      </c>
      <c r="E282" s="629" t="str">
        <f t="shared" si="225"/>
        <v>-</v>
      </c>
      <c r="F282" s="629">
        <f t="shared" si="225"/>
        <v>0</v>
      </c>
      <c r="G282" s="589"/>
      <c r="H282" s="1558"/>
      <c r="I282" s="628">
        <v>15</v>
      </c>
      <c r="J282" s="629">
        <f>I161</f>
        <v>50</v>
      </c>
      <c r="K282" s="629">
        <f t="shared" ref="K282:M282" si="226">J161</f>
        <v>-0.3</v>
      </c>
      <c r="L282" s="629" t="str">
        <f t="shared" si="226"/>
        <v>-</v>
      </c>
      <c r="M282" s="629">
        <f t="shared" si="226"/>
        <v>0</v>
      </c>
      <c r="N282" s="589"/>
      <c r="O282" s="1558"/>
      <c r="P282" s="628">
        <v>15</v>
      </c>
      <c r="Q282" s="629">
        <f>O161</f>
        <v>980</v>
      </c>
      <c r="R282" s="629">
        <f t="shared" ref="R282:T282" si="227">P161</f>
        <v>1</v>
      </c>
      <c r="S282" s="629" t="str">
        <f t="shared" si="227"/>
        <v>-</v>
      </c>
      <c r="T282" s="630">
        <f t="shared" si="227"/>
        <v>0</v>
      </c>
      <c r="V282" s="626">
        <v>10</v>
      </c>
      <c r="W282" s="627">
        <f>U104</f>
        <v>0</v>
      </c>
    </row>
    <row r="283" spans="1:23" ht="13" hidden="1">
      <c r="A283" s="1555"/>
      <c r="B283" s="628">
        <v>16</v>
      </c>
      <c r="C283" s="629">
        <f>C172</f>
        <v>25</v>
      </c>
      <c r="D283" s="629">
        <f t="shared" ref="D283:F283" si="228">D172</f>
        <v>0.2</v>
      </c>
      <c r="E283" s="629" t="str">
        <f t="shared" si="228"/>
        <v>-</v>
      </c>
      <c r="F283" s="629">
        <f t="shared" si="228"/>
        <v>0</v>
      </c>
      <c r="G283" s="589"/>
      <c r="H283" s="1558"/>
      <c r="I283" s="628">
        <v>16</v>
      </c>
      <c r="J283" s="629">
        <f>I172</f>
        <v>50</v>
      </c>
      <c r="K283" s="629">
        <f t="shared" ref="K283:M283" si="229">J172</f>
        <v>-1.4</v>
      </c>
      <c r="L283" s="629" t="str">
        <f t="shared" si="229"/>
        <v>-</v>
      </c>
      <c r="M283" s="629">
        <f t="shared" si="229"/>
        <v>0</v>
      </c>
      <c r="N283" s="589"/>
      <c r="O283" s="1558"/>
      <c r="P283" s="628">
        <v>16</v>
      </c>
      <c r="Q283" s="629">
        <f>O172</f>
        <v>900</v>
      </c>
      <c r="R283" s="629">
        <f t="shared" ref="R283:T283" si="230">P172</f>
        <v>-1.7</v>
      </c>
      <c r="S283" s="629" t="str">
        <f t="shared" si="230"/>
        <v>-</v>
      </c>
      <c r="T283" s="630">
        <f t="shared" si="230"/>
        <v>0</v>
      </c>
      <c r="V283" s="626">
        <v>11</v>
      </c>
      <c r="W283" s="627">
        <f>U115</f>
        <v>0</v>
      </c>
    </row>
    <row r="284" spans="1:23" ht="13" hidden="1">
      <c r="A284" s="1555"/>
      <c r="B284" s="628">
        <v>17</v>
      </c>
      <c r="C284" s="629">
        <f>C183</f>
        <v>25</v>
      </c>
      <c r="D284" s="629">
        <f t="shared" ref="D284:F284" si="231">D183</f>
        <v>9.9999999999999995E-7</v>
      </c>
      <c r="E284" s="629" t="str">
        <f t="shared" si="231"/>
        <v>-</v>
      </c>
      <c r="F284" s="629">
        <f t="shared" si="231"/>
        <v>0</v>
      </c>
      <c r="G284" s="589"/>
      <c r="H284" s="1558"/>
      <c r="I284" s="628">
        <v>17</v>
      </c>
      <c r="J284" s="629">
        <f>I183</f>
        <v>50</v>
      </c>
      <c r="K284" s="629">
        <f t="shared" ref="K284:M284" si="232">J183</f>
        <v>0.2</v>
      </c>
      <c r="L284" s="629" t="str">
        <f t="shared" si="232"/>
        <v>-</v>
      </c>
      <c r="M284" s="629">
        <f t="shared" si="232"/>
        <v>0</v>
      </c>
      <c r="N284" s="589"/>
      <c r="O284" s="1558"/>
      <c r="P284" s="628">
        <v>17</v>
      </c>
      <c r="Q284" s="629">
        <f>O183</f>
        <v>980</v>
      </c>
      <c r="R284" s="629">
        <f t="shared" ref="R284:T284" si="233">P183</f>
        <v>-0.6</v>
      </c>
      <c r="S284" s="629" t="str">
        <f t="shared" si="233"/>
        <v>-</v>
      </c>
      <c r="T284" s="630">
        <f t="shared" si="233"/>
        <v>0</v>
      </c>
      <c r="V284" s="626">
        <v>12</v>
      </c>
      <c r="W284" s="655">
        <f>U126</f>
        <v>2.4</v>
      </c>
    </row>
    <row r="285" spans="1:23" ht="13" hidden="1">
      <c r="A285" s="1555"/>
      <c r="B285" s="628">
        <v>18</v>
      </c>
      <c r="C285" s="629">
        <f>C194</f>
        <v>25</v>
      </c>
      <c r="D285" s="629">
        <f t="shared" ref="D285:F285" si="234">D194</f>
        <v>-0.2</v>
      </c>
      <c r="E285" s="629" t="str">
        <f t="shared" si="234"/>
        <v>-</v>
      </c>
      <c r="F285" s="629">
        <f t="shared" si="234"/>
        <v>0</v>
      </c>
      <c r="G285" s="589"/>
      <c r="H285" s="1558"/>
      <c r="I285" s="628">
        <v>18</v>
      </c>
      <c r="J285" s="629">
        <f>I194</f>
        <v>50</v>
      </c>
      <c r="K285" s="629">
        <f t="shared" ref="K285:M285" si="235">J194</f>
        <v>-0.2</v>
      </c>
      <c r="L285" s="629" t="str">
        <f t="shared" si="235"/>
        <v>-</v>
      </c>
      <c r="M285" s="629">
        <f t="shared" si="235"/>
        <v>0</v>
      </c>
      <c r="N285" s="589"/>
      <c r="O285" s="1558"/>
      <c r="P285" s="628">
        <v>18</v>
      </c>
      <c r="Q285" s="629">
        <f>O194</f>
        <v>900</v>
      </c>
      <c r="R285" s="629">
        <f t="shared" ref="R285:T285" si="236">P194</f>
        <v>-1.1000000000000001</v>
      </c>
      <c r="S285" s="629" t="str">
        <f t="shared" si="236"/>
        <v>-</v>
      </c>
      <c r="T285" s="630">
        <f t="shared" si="236"/>
        <v>0</v>
      </c>
      <c r="V285" s="626">
        <v>13</v>
      </c>
      <c r="W285" s="627">
        <f>U137</f>
        <v>1.5</v>
      </c>
    </row>
    <row r="286" spans="1:23" ht="13" hidden="1">
      <c r="A286" s="1555"/>
      <c r="B286" s="628">
        <v>19</v>
      </c>
      <c r="C286" s="629">
        <f>C194</f>
        <v>25</v>
      </c>
      <c r="D286" s="629">
        <f t="shared" ref="D286:F286" si="237">D194</f>
        <v>-0.2</v>
      </c>
      <c r="E286" s="629" t="str">
        <f t="shared" si="237"/>
        <v>-</v>
      </c>
      <c r="F286" s="629">
        <f t="shared" si="237"/>
        <v>0</v>
      </c>
      <c r="G286" s="589"/>
      <c r="H286" s="1558"/>
      <c r="I286" s="628">
        <v>19</v>
      </c>
      <c r="J286" s="629">
        <f>I205</f>
        <v>50</v>
      </c>
      <c r="K286" s="629">
        <f t="shared" ref="K286:M286" si="238">J205</f>
        <v>-0.2</v>
      </c>
      <c r="L286" s="629" t="str">
        <f t="shared" si="238"/>
        <v>-</v>
      </c>
      <c r="M286" s="629">
        <f t="shared" si="238"/>
        <v>0</v>
      </c>
      <c r="N286" s="589"/>
      <c r="O286" s="1558"/>
      <c r="P286" s="628">
        <v>19</v>
      </c>
      <c r="Q286" s="629">
        <f>O205</f>
        <v>850</v>
      </c>
      <c r="R286" s="629">
        <f t="shared" ref="R286:T286" si="239">P205</f>
        <v>2.4</v>
      </c>
      <c r="S286" s="629" t="str">
        <f t="shared" si="239"/>
        <v>-</v>
      </c>
      <c r="T286" s="630">
        <f t="shared" si="239"/>
        <v>0</v>
      </c>
      <c r="V286" s="626">
        <v>14</v>
      </c>
      <c r="W286" s="627">
        <f>U148</f>
        <v>1.5</v>
      </c>
    </row>
    <row r="287" spans="1:23" ht="13.5" hidden="1" thickBot="1">
      <c r="A287" s="1556"/>
      <c r="B287" s="639">
        <v>20</v>
      </c>
      <c r="C287" s="656">
        <f>C216</f>
        <v>24.6</v>
      </c>
      <c r="D287" s="656">
        <f t="shared" ref="D287:F287" si="240">D216</f>
        <v>9.9999999999999995E-7</v>
      </c>
      <c r="E287" s="656" t="str">
        <f t="shared" si="240"/>
        <v>-</v>
      </c>
      <c r="F287" s="656">
        <f t="shared" si="240"/>
        <v>0</v>
      </c>
      <c r="G287" s="641"/>
      <c r="H287" s="1559"/>
      <c r="I287" s="639">
        <v>20</v>
      </c>
      <c r="J287" s="656">
        <f>I216</f>
        <v>62.5</v>
      </c>
      <c r="K287" s="656">
        <f t="shared" ref="K287:M287" si="241">J216</f>
        <v>9.9999999999999995E-7</v>
      </c>
      <c r="L287" s="656" t="str">
        <f t="shared" si="241"/>
        <v>-</v>
      </c>
      <c r="M287" s="656">
        <f t="shared" si="241"/>
        <v>0</v>
      </c>
      <c r="N287" s="641"/>
      <c r="O287" s="1559"/>
      <c r="P287" s="639">
        <v>20</v>
      </c>
      <c r="Q287" s="656">
        <f>O216</f>
        <v>850</v>
      </c>
      <c r="R287" s="656" t="str">
        <f t="shared" ref="R287:T287" si="242">P216</f>
        <v>-</v>
      </c>
      <c r="S287" s="656" t="str">
        <f t="shared" si="242"/>
        <v>-</v>
      </c>
      <c r="T287" s="657">
        <f t="shared" si="242"/>
        <v>0</v>
      </c>
      <c r="V287" s="626">
        <v>15</v>
      </c>
      <c r="W287" s="627">
        <f>U159</f>
        <v>1.5</v>
      </c>
    </row>
    <row r="288" spans="1:23" ht="13" hidden="1">
      <c r="A288" s="644"/>
      <c r="B288" s="645"/>
      <c r="C288" s="658"/>
      <c r="D288" s="658"/>
      <c r="E288" s="658"/>
      <c r="F288" s="659"/>
      <c r="G288" s="648"/>
      <c r="H288" s="644"/>
      <c r="I288" s="663"/>
      <c r="J288" s="658"/>
      <c r="K288" s="658"/>
      <c r="L288" s="658"/>
      <c r="M288" s="659"/>
      <c r="N288" s="589"/>
      <c r="O288" s="644"/>
      <c r="P288" s="663"/>
      <c r="Q288" s="658"/>
      <c r="R288" s="658"/>
      <c r="S288" s="658"/>
      <c r="T288" s="659"/>
      <c r="V288" s="626">
        <v>16</v>
      </c>
      <c r="W288" s="636">
        <f>U170</f>
        <v>2.2999999999999998</v>
      </c>
    </row>
    <row r="289" spans="1:23" ht="13" hidden="1">
      <c r="A289" s="1554">
        <v>4</v>
      </c>
      <c r="B289" s="651">
        <v>1</v>
      </c>
      <c r="C289" s="660">
        <f>C8</f>
        <v>30</v>
      </c>
      <c r="D289" s="660">
        <f t="shared" ref="D289:F289" si="243">D8</f>
        <v>9.9999999999999995E-7</v>
      </c>
      <c r="E289" s="660">
        <f t="shared" si="243"/>
        <v>-0.2</v>
      </c>
      <c r="F289" s="660">
        <f t="shared" si="243"/>
        <v>0.10000050000000001</v>
      </c>
      <c r="G289" s="653"/>
      <c r="H289" s="1557">
        <v>4</v>
      </c>
      <c r="I289" s="651">
        <v>1</v>
      </c>
      <c r="J289" s="660">
        <f>I8</f>
        <v>60</v>
      </c>
      <c r="K289" s="660">
        <f t="shared" ref="K289:M289" si="244">J8</f>
        <v>-5.3</v>
      </c>
      <c r="L289" s="660">
        <f t="shared" si="244"/>
        <v>-5.2</v>
      </c>
      <c r="M289" s="660">
        <f t="shared" si="244"/>
        <v>4.9999999999999822E-2</v>
      </c>
      <c r="N289" s="653"/>
      <c r="O289" s="1557">
        <v>4</v>
      </c>
      <c r="P289" s="651">
        <v>1</v>
      </c>
      <c r="Q289" s="660">
        <f>O8</f>
        <v>900</v>
      </c>
      <c r="R289" s="660" t="str">
        <f t="shared" ref="R289:T289" si="245">P8</f>
        <v>-</v>
      </c>
      <c r="S289" s="660" t="str">
        <f t="shared" si="245"/>
        <v>-</v>
      </c>
      <c r="T289" s="661">
        <f t="shared" si="245"/>
        <v>0</v>
      </c>
      <c r="V289" s="626">
        <v>17</v>
      </c>
      <c r="W289" s="636">
        <f>U181</f>
        <v>2.1</v>
      </c>
    </row>
    <row r="290" spans="1:23" ht="13" hidden="1">
      <c r="A290" s="1555"/>
      <c r="B290" s="628">
        <v>2</v>
      </c>
      <c r="C290" s="629">
        <f>C19</f>
        <v>30</v>
      </c>
      <c r="D290" s="629">
        <f t="shared" ref="D290:F290" si="246">D19</f>
        <v>0.2</v>
      </c>
      <c r="E290" s="629">
        <f t="shared" si="246"/>
        <v>-0.3</v>
      </c>
      <c r="F290" s="629">
        <f t="shared" si="246"/>
        <v>0.25</v>
      </c>
      <c r="G290" s="589"/>
      <c r="H290" s="1558"/>
      <c r="I290" s="628">
        <v>2</v>
      </c>
      <c r="J290" s="629">
        <f>I19</f>
        <v>60</v>
      </c>
      <c r="K290" s="629">
        <f t="shared" ref="K290:M290" si="247">J19</f>
        <v>-4</v>
      </c>
      <c r="L290" s="629">
        <f t="shared" si="247"/>
        <v>-1.3</v>
      </c>
      <c r="M290" s="629">
        <f t="shared" si="247"/>
        <v>1.35</v>
      </c>
      <c r="N290" s="589"/>
      <c r="O290" s="1558"/>
      <c r="P290" s="628">
        <v>2</v>
      </c>
      <c r="Q290" s="629">
        <f>O19</f>
        <v>900</v>
      </c>
      <c r="R290" s="629" t="str">
        <f t="shared" ref="R290:T290" si="248">P19</f>
        <v>-</v>
      </c>
      <c r="S290" s="629" t="str">
        <f t="shared" si="248"/>
        <v>-</v>
      </c>
      <c r="T290" s="630">
        <f t="shared" si="248"/>
        <v>0</v>
      </c>
      <c r="V290" s="626">
        <v>18</v>
      </c>
      <c r="W290" s="636">
        <f>U192</f>
        <v>2.4</v>
      </c>
    </row>
    <row r="291" spans="1:23" ht="13" hidden="1">
      <c r="A291" s="1555"/>
      <c r="B291" s="628">
        <v>3</v>
      </c>
      <c r="C291" s="629">
        <f>C30</f>
        <v>30</v>
      </c>
      <c r="D291" s="629">
        <f t="shared" ref="D291:F291" si="249">D30</f>
        <v>9.9999999999999995E-7</v>
      </c>
      <c r="E291" s="629">
        <f t="shared" si="249"/>
        <v>-0.3</v>
      </c>
      <c r="F291" s="629">
        <f t="shared" si="249"/>
        <v>0.15000049999999998</v>
      </c>
      <c r="G291" s="589"/>
      <c r="H291" s="1558"/>
      <c r="I291" s="628">
        <v>3</v>
      </c>
      <c r="J291" s="629">
        <f>I30</f>
        <v>60</v>
      </c>
      <c r="K291" s="629">
        <f t="shared" ref="K291:M291" si="250">J30</f>
        <v>-3.2</v>
      </c>
      <c r="L291" s="629">
        <f t="shared" si="250"/>
        <v>-4.3</v>
      </c>
      <c r="M291" s="629">
        <f t="shared" si="250"/>
        <v>0.54999999999999982</v>
      </c>
      <c r="N291" s="589"/>
      <c r="O291" s="1558"/>
      <c r="P291" s="628">
        <v>3</v>
      </c>
      <c r="Q291" s="629">
        <f>O30</f>
        <v>900</v>
      </c>
      <c r="R291" s="629" t="str">
        <f t="shared" ref="R291:T291" si="251">P30</f>
        <v>-</v>
      </c>
      <c r="S291" s="629" t="str">
        <f t="shared" si="251"/>
        <v>-</v>
      </c>
      <c r="T291" s="630">
        <f t="shared" si="251"/>
        <v>0</v>
      </c>
      <c r="V291" s="626">
        <v>19</v>
      </c>
      <c r="W291" s="636">
        <f>U203</f>
        <v>0.4</v>
      </c>
    </row>
    <row r="292" spans="1:23" ht="13.5" hidden="1" thickBot="1">
      <c r="A292" s="1555"/>
      <c r="B292" s="628">
        <v>4</v>
      </c>
      <c r="C292" s="629">
        <f>C41</f>
        <v>30</v>
      </c>
      <c r="D292" s="629">
        <f t="shared" ref="D292:F292" si="252">D41</f>
        <v>-0.1</v>
      </c>
      <c r="E292" s="629">
        <f t="shared" si="252"/>
        <v>-0.6</v>
      </c>
      <c r="F292" s="629">
        <f t="shared" si="252"/>
        <v>0.25</v>
      </c>
      <c r="G292" s="589"/>
      <c r="H292" s="1558"/>
      <c r="I292" s="628">
        <v>4</v>
      </c>
      <c r="J292" s="629">
        <f>I41</f>
        <v>60</v>
      </c>
      <c r="K292" s="629">
        <f t="shared" ref="K292:M292" si="253">J41</f>
        <v>-4.2</v>
      </c>
      <c r="L292" s="629">
        <f t="shared" si="253"/>
        <v>-0.3</v>
      </c>
      <c r="M292" s="629">
        <f t="shared" si="253"/>
        <v>1.9500000000000002</v>
      </c>
      <c r="N292" s="589"/>
      <c r="O292" s="1558"/>
      <c r="P292" s="628">
        <v>4</v>
      </c>
      <c r="Q292" s="629">
        <f>O41</f>
        <v>900</v>
      </c>
      <c r="R292" s="629" t="str">
        <f t="shared" ref="R292:T292" si="254">P41</f>
        <v>-</v>
      </c>
      <c r="S292" s="629" t="str">
        <f t="shared" si="254"/>
        <v>-</v>
      </c>
      <c r="T292" s="630">
        <f t="shared" si="254"/>
        <v>0</v>
      </c>
      <c r="V292" s="637">
        <v>20</v>
      </c>
      <c r="W292" s="638">
        <f>U214</f>
        <v>0</v>
      </c>
    </row>
    <row r="293" spans="1:23" ht="13" hidden="1">
      <c r="A293" s="1555"/>
      <c r="B293" s="628">
        <v>5</v>
      </c>
      <c r="C293" s="629">
        <f>C52</f>
        <v>30</v>
      </c>
      <c r="D293" s="629">
        <f t="shared" ref="D293:F293" si="255">D52</f>
        <v>0.6</v>
      </c>
      <c r="E293" s="629">
        <f t="shared" si="255"/>
        <v>0.1</v>
      </c>
      <c r="F293" s="629">
        <f t="shared" si="255"/>
        <v>0.25</v>
      </c>
      <c r="G293" s="589"/>
      <c r="H293" s="1558"/>
      <c r="I293" s="628">
        <v>5</v>
      </c>
      <c r="J293" s="629">
        <f>I52</f>
        <v>60</v>
      </c>
      <c r="K293" s="629">
        <f t="shared" ref="K293:M293" si="256">J52</f>
        <v>-5.2</v>
      </c>
      <c r="L293" s="629">
        <f t="shared" si="256"/>
        <v>-4.2</v>
      </c>
      <c r="M293" s="629">
        <f t="shared" si="256"/>
        <v>0.5</v>
      </c>
      <c r="N293" s="589"/>
      <c r="O293" s="1558"/>
      <c r="P293" s="628">
        <v>5</v>
      </c>
      <c r="Q293" s="629">
        <f>O52</f>
        <v>900</v>
      </c>
      <c r="R293" s="629" t="str">
        <f t="shared" ref="R293:T293" si="257">P52</f>
        <v>-</v>
      </c>
      <c r="S293" s="629" t="str">
        <f t="shared" si="257"/>
        <v>-</v>
      </c>
      <c r="T293" s="630">
        <f t="shared" si="257"/>
        <v>0</v>
      </c>
    </row>
    <row r="294" spans="1:23" ht="13" hidden="1">
      <c r="A294" s="1555"/>
      <c r="B294" s="628">
        <v>6</v>
      </c>
      <c r="C294" s="629">
        <f>C63</f>
        <v>30</v>
      </c>
      <c r="D294" s="629">
        <f t="shared" ref="D294:F294" si="258">D63</f>
        <v>0.1</v>
      </c>
      <c r="E294" s="629">
        <f t="shared" si="258"/>
        <v>-0.5</v>
      </c>
      <c r="F294" s="629">
        <f t="shared" si="258"/>
        <v>0.3</v>
      </c>
      <c r="G294" s="589"/>
      <c r="H294" s="1558"/>
      <c r="I294" s="628">
        <v>6</v>
      </c>
      <c r="J294" s="629">
        <f>I63</f>
        <v>60</v>
      </c>
      <c r="K294" s="629">
        <f t="shared" ref="K294:M294" si="259">J63</f>
        <v>-6.4</v>
      </c>
      <c r="L294" s="629">
        <f t="shared" si="259"/>
        <v>1.1000000000000001</v>
      </c>
      <c r="M294" s="629">
        <f t="shared" si="259"/>
        <v>3.75</v>
      </c>
      <c r="N294" s="589"/>
      <c r="O294" s="1558"/>
      <c r="P294" s="628">
        <v>6</v>
      </c>
      <c r="Q294" s="629">
        <f>O63</f>
        <v>900</v>
      </c>
      <c r="R294" s="629">
        <f t="shared" ref="R294:T294" si="260">P63</f>
        <v>0.9</v>
      </c>
      <c r="S294" s="629">
        <f t="shared" si="260"/>
        <v>0.7</v>
      </c>
      <c r="T294" s="630">
        <f t="shared" si="260"/>
        <v>0.10000000000000003</v>
      </c>
    </row>
    <row r="295" spans="1:23" ht="13" hidden="1">
      <c r="A295" s="1555"/>
      <c r="B295" s="628">
        <v>7</v>
      </c>
      <c r="C295" s="629">
        <f>C74</f>
        <v>30</v>
      </c>
      <c r="D295" s="629">
        <f t="shared" ref="D295:F295" si="261">D74</f>
        <v>9.9999999999999995E-7</v>
      </c>
      <c r="E295" s="629">
        <f t="shared" si="261"/>
        <v>-0.6</v>
      </c>
      <c r="F295" s="629">
        <f t="shared" si="261"/>
        <v>0.3000005</v>
      </c>
      <c r="G295" s="589"/>
      <c r="H295" s="1558"/>
      <c r="I295" s="628">
        <v>7</v>
      </c>
      <c r="J295" s="629">
        <f>I74</f>
        <v>60</v>
      </c>
      <c r="K295" s="629">
        <f t="shared" ref="K295:M295" si="262">J74</f>
        <v>-2.1</v>
      </c>
      <c r="L295" s="629">
        <f t="shared" si="262"/>
        <v>0.7</v>
      </c>
      <c r="M295" s="629">
        <f t="shared" si="262"/>
        <v>1.4</v>
      </c>
      <c r="N295" s="589"/>
      <c r="O295" s="1558"/>
      <c r="P295" s="628">
        <v>7</v>
      </c>
      <c r="Q295" s="629">
        <f>O74</f>
        <v>900</v>
      </c>
      <c r="R295" s="629">
        <f t="shared" ref="R295:T295" si="263">P74</f>
        <v>9.9999999999999995E-7</v>
      </c>
      <c r="S295" s="629">
        <f t="shared" si="263"/>
        <v>1</v>
      </c>
      <c r="T295" s="630">
        <f t="shared" si="263"/>
        <v>0.49999949999999999</v>
      </c>
    </row>
    <row r="296" spans="1:23" ht="13" hidden="1">
      <c r="A296" s="1555"/>
      <c r="B296" s="628">
        <v>8</v>
      </c>
      <c r="C296" s="629">
        <f>C85</f>
        <v>30</v>
      </c>
      <c r="D296" s="629">
        <f t="shared" ref="D296:F296" si="264">D85</f>
        <v>-0.2</v>
      </c>
      <c r="E296" s="629">
        <f t="shared" si="264"/>
        <v>-0.4</v>
      </c>
      <c r="F296" s="629">
        <f t="shared" si="264"/>
        <v>0.1</v>
      </c>
      <c r="G296" s="589"/>
      <c r="H296" s="1558"/>
      <c r="I296" s="628">
        <v>8</v>
      </c>
      <c r="J296" s="629">
        <f>I85</f>
        <v>60</v>
      </c>
      <c r="K296" s="629">
        <f t="shared" ref="K296:M296" si="265">J85</f>
        <v>-3.9</v>
      </c>
      <c r="L296" s="629">
        <f t="shared" si="265"/>
        <v>-1.1000000000000001</v>
      </c>
      <c r="M296" s="629">
        <f t="shared" si="265"/>
        <v>1.4</v>
      </c>
      <c r="N296" s="589"/>
      <c r="O296" s="1558"/>
      <c r="P296" s="628">
        <v>8</v>
      </c>
      <c r="Q296" s="629">
        <f>O85</f>
        <v>900</v>
      </c>
      <c r="R296" s="629">
        <f t="shared" ref="R296:T296" si="266">P85</f>
        <v>-4.4000000000000004</v>
      </c>
      <c r="S296" s="629">
        <f t="shared" si="266"/>
        <v>9.9999999999999995E-7</v>
      </c>
      <c r="T296" s="630">
        <f t="shared" si="266"/>
        <v>2.2000005000000002</v>
      </c>
    </row>
    <row r="297" spans="1:23" ht="13" hidden="1">
      <c r="A297" s="1555"/>
      <c r="B297" s="628">
        <v>9</v>
      </c>
      <c r="C297" s="629">
        <f>C96</f>
        <v>30</v>
      </c>
      <c r="D297" s="629">
        <f t="shared" ref="D297:F297" si="267">D96</f>
        <v>-0.5</v>
      </c>
      <c r="E297" s="629" t="str">
        <f t="shared" si="267"/>
        <v>-</v>
      </c>
      <c r="F297" s="629">
        <f t="shared" si="267"/>
        <v>0</v>
      </c>
      <c r="G297" s="589"/>
      <c r="H297" s="1558"/>
      <c r="I297" s="628">
        <v>9</v>
      </c>
      <c r="J297" s="629">
        <f>I96</f>
        <v>60</v>
      </c>
      <c r="K297" s="629">
        <f t="shared" ref="K297:M297" si="268">J96</f>
        <v>-0.8</v>
      </c>
      <c r="L297" s="629" t="str">
        <f t="shared" si="268"/>
        <v>-</v>
      </c>
      <c r="M297" s="629">
        <f t="shared" si="268"/>
        <v>0</v>
      </c>
      <c r="N297" s="589"/>
      <c r="O297" s="1558"/>
      <c r="P297" s="628">
        <v>9</v>
      </c>
      <c r="Q297" s="629">
        <f>O96</f>
        <v>900</v>
      </c>
      <c r="R297" s="629">
        <f t="shared" ref="R297:T297" si="269">P96</f>
        <v>9.9999999999999995E-7</v>
      </c>
      <c r="S297" s="629" t="str">
        <f t="shared" si="269"/>
        <v>-</v>
      </c>
      <c r="T297" s="630">
        <f t="shared" si="269"/>
        <v>0</v>
      </c>
    </row>
    <row r="298" spans="1:23" ht="13" hidden="1">
      <c r="A298" s="1555"/>
      <c r="B298" s="628">
        <v>10</v>
      </c>
      <c r="C298" s="629">
        <f>C107</f>
        <v>30</v>
      </c>
      <c r="D298" s="629">
        <f t="shared" ref="D298:F298" si="270">D107</f>
        <v>0.1</v>
      </c>
      <c r="E298" s="629">
        <f t="shared" si="270"/>
        <v>0.2</v>
      </c>
      <c r="F298" s="629">
        <f t="shared" si="270"/>
        <v>0.05</v>
      </c>
      <c r="G298" s="589"/>
      <c r="H298" s="1558"/>
      <c r="I298" s="628">
        <v>10</v>
      </c>
      <c r="J298" s="629">
        <f>I107</f>
        <v>60</v>
      </c>
      <c r="K298" s="629">
        <f t="shared" ref="K298:M298" si="271">J107</f>
        <v>-2.1</v>
      </c>
      <c r="L298" s="629">
        <f t="shared" si="271"/>
        <v>-5.6</v>
      </c>
      <c r="M298" s="629">
        <f t="shared" si="271"/>
        <v>1.7499999999999998</v>
      </c>
      <c r="N298" s="589"/>
      <c r="O298" s="1558"/>
      <c r="P298" s="628">
        <v>10</v>
      </c>
      <c r="Q298" s="629">
        <f>O107</f>
        <v>900</v>
      </c>
      <c r="R298" s="629" t="str">
        <f t="shared" ref="R298:T298" si="272">P107</f>
        <v>-</v>
      </c>
      <c r="S298" s="629" t="str">
        <f t="shared" si="272"/>
        <v>-</v>
      </c>
      <c r="T298" s="630">
        <f t="shared" si="272"/>
        <v>0</v>
      </c>
    </row>
    <row r="299" spans="1:23" ht="13" hidden="1">
      <c r="A299" s="1555"/>
      <c r="B299" s="628">
        <v>11</v>
      </c>
      <c r="C299" s="629">
        <f>C118</f>
        <v>30</v>
      </c>
      <c r="D299" s="629">
        <f t="shared" ref="D299:F299" si="273">D118</f>
        <v>0.5</v>
      </c>
      <c r="E299" s="629">
        <f t="shared" si="273"/>
        <v>0.4</v>
      </c>
      <c r="F299" s="629">
        <f t="shared" si="273"/>
        <v>4.9999999999999989E-2</v>
      </c>
      <c r="G299" s="589"/>
      <c r="H299" s="1558"/>
      <c r="I299" s="628">
        <v>11</v>
      </c>
      <c r="J299" s="629">
        <f>I118</f>
        <v>60</v>
      </c>
      <c r="K299" s="629">
        <f t="shared" ref="K299:M299" si="274">J118</f>
        <v>-4.8</v>
      </c>
      <c r="L299" s="629">
        <f t="shared" si="274"/>
        <v>-4.5</v>
      </c>
      <c r="M299" s="629">
        <f t="shared" si="274"/>
        <v>0.14999999999999991</v>
      </c>
      <c r="N299" s="589"/>
      <c r="O299" s="1558"/>
      <c r="P299" s="628">
        <v>11</v>
      </c>
      <c r="Q299" s="629">
        <f>O118</f>
        <v>900</v>
      </c>
      <c r="R299" s="629" t="str">
        <f t="shared" ref="R299:T299" si="275">P118</f>
        <v>-</v>
      </c>
      <c r="S299" s="629" t="str">
        <f t="shared" si="275"/>
        <v>-</v>
      </c>
      <c r="T299" s="630">
        <f t="shared" si="275"/>
        <v>0</v>
      </c>
    </row>
    <row r="300" spans="1:23" ht="13" hidden="1">
      <c r="A300" s="1555"/>
      <c r="B300" s="628">
        <v>12</v>
      </c>
      <c r="C300" s="629">
        <f>C129</f>
        <v>30</v>
      </c>
      <c r="D300" s="629">
        <f t="shared" ref="D300:F300" si="276">D129</f>
        <v>-0.1</v>
      </c>
      <c r="E300" s="629" t="str">
        <f t="shared" si="276"/>
        <v>-</v>
      </c>
      <c r="F300" s="629">
        <f t="shared" si="276"/>
        <v>0</v>
      </c>
      <c r="G300" s="589"/>
      <c r="H300" s="1558"/>
      <c r="I300" s="628">
        <v>12</v>
      </c>
      <c r="J300" s="629">
        <f>I129</f>
        <v>60</v>
      </c>
      <c r="K300" s="629">
        <f t="shared" ref="K300:M300" si="277">J129</f>
        <v>9.9999999999999995E-7</v>
      </c>
      <c r="L300" s="629" t="str">
        <f t="shared" si="277"/>
        <v>-</v>
      </c>
      <c r="M300" s="629">
        <f t="shared" si="277"/>
        <v>0</v>
      </c>
      <c r="N300" s="589"/>
      <c r="O300" s="1558"/>
      <c r="P300" s="628">
        <v>12</v>
      </c>
      <c r="Q300" s="629">
        <f>O129</f>
        <v>950</v>
      </c>
      <c r="R300" s="629">
        <f t="shared" ref="R300:T300" si="278">P129</f>
        <v>-0.7</v>
      </c>
      <c r="S300" s="629" t="str">
        <f t="shared" si="278"/>
        <v>-</v>
      </c>
      <c r="T300" s="630">
        <f t="shared" si="278"/>
        <v>0</v>
      </c>
    </row>
    <row r="301" spans="1:23" ht="13" hidden="1">
      <c r="A301" s="1555"/>
      <c r="B301" s="628">
        <v>13</v>
      </c>
      <c r="C301" s="629">
        <f>C151</f>
        <v>30</v>
      </c>
      <c r="D301" s="629">
        <f t="shared" ref="D301:F301" si="279">D151</f>
        <v>-0.3</v>
      </c>
      <c r="E301" s="629" t="str">
        <f t="shared" si="279"/>
        <v>-</v>
      </c>
      <c r="F301" s="629">
        <f t="shared" si="279"/>
        <v>0</v>
      </c>
      <c r="G301" s="589"/>
      <c r="H301" s="1558"/>
      <c r="I301" s="628">
        <v>13</v>
      </c>
      <c r="J301" s="629">
        <f>I140</f>
        <v>60</v>
      </c>
      <c r="K301" s="629">
        <f t="shared" ref="K301:M301" si="280">J140</f>
        <v>-1.5</v>
      </c>
      <c r="L301" s="629" t="str">
        <f t="shared" si="280"/>
        <v>-</v>
      </c>
      <c r="M301" s="629">
        <f t="shared" si="280"/>
        <v>0</v>
      </c>
      <c r="N301" s="589"/>
      <c r="O301" s="1558"/>
      <c r="P301" s="628">
        <v>13</v>
      </c>
      <c r="Q301" s="629">
        <f>O140</f>
        <v>990</v>
      </c>
      <c r="R301" s="629">
        <f t="shared" ref="R301:T301" si="281">P140</f>
        <v>1.1000000000000001</v>
      </c>
      <c r="S301" s="629" t="str">
        <f t="shared" si="281"/>
        <v>-</v>
      </c>
      <c r="T301" s="630">
        <f t="shared" si="281"/>
        <v>0</v>
      </c>
    </row>
    <row r="302" spans="1:23" ht="13" hidden="1">
      <c r="A302" s="1555"/>
      <c r="B302" s="628">
        <v>14</v>
      </c>
      <c r="C302" s="629">
        <f>C151</f>
        <v>30</v>
      </c>
      <c r="D302" s="629">
        <f t="shared" ref="D302:F302" si="282">D151</f>
        <v>-0.3</v>
      </c>
      <c r="E302" s="629" t="str">
        <f t="shared" si="282"/>
        <v>-</v>
      </c>
      <c r="F302" s="629">
        <f t="shared" si="282"/>
        <v>0</v>
      </c>
      <c r="G302" s="589"/>
      <c r="H302" s="1558"/>
      <c r="I302" s="628">
        <v>14</v>
      </c>
      <c r="J302" s="629">
        <f>I151</f>
        <v>60</v>
      </c>
      <c r="K302" s="629">
        <f t="shared" ref="K302:M302" si="283">J151</f>
        <v>-0.6</v>
      </c>
      <c r="L302" s="629" t="str">
        <f t="shared" si="283"/>
        <v>-</v>
      </c>
      <c r="M302" s="629">
        <f t="shared" si="283"/>
        <v>0</v>
      </c>
      <c r="N302" s="589"/>
      <c r="O302" s="1558"/>
      <c r="P302" s="628">
        <v>14</v>
      </c>
      <c r="Q302" s="629">
        <f>O151</f>
        <v>990</v>
      </c>
      <c r="R302" s="629">
        <f t="shared" ref="R302:T302" si="284">P151</f>
        <v>1.1000000000000001</v>
      </c>
      <c r="S302" s="629" t="str">
        <f t="shared" si="284"/>
        <v>-</v>
      </c>
      <c r="T302" s="630">
        <f t="shared" si="284"/>
        <v>0</v>
      </c>
    </row>
    <row r="303" spans="1:23" ht="13" hidden="1">
      <c r="A303" s="1555"/>
      <c r="B303" s="628">
        <v>15</v>
      </c>
      <c r="C303" s="629">
        <f>C162</f>
        <v>30</v>
      </c>
      <c r="D303" s="629">
        <f t="shared" ref="D303:F303" si="285">D162</f>
        <v>-0.2</v>
      </c>
      <c r="E303" s="629" t="str">
        <f t="shared" si="285"/>
        <v>-</v>
      </c>
      <c r="F303" s="629">
        <f t="shared" si="285"/>
        <v>0</v>
      </c>
      <c r="G303" s="589"/>
      <c r="H303" s="1558"/>
      <c r="I303" s="628">
        <v>15</v>
      </c>
      <c r="J303" s="629">
        <f>I162</f>
        <v>60</v>
      </c>
      <c r="K303" s="629">
        <f t="shared" ref="K303:M303" si="286">J162</f>
        <v>-0.5</v>
      </c>
      <c r="L303" s="629" t="str">
        <f t="shared" si="286"/>
        <v>-</v>
      </c>
      <c r="M303" s="629">
        <f t="shared" si="286"/>
        <v>0</v>
      </c>
      <c r="N303" s="589"/>
      <c r="O303" s="1558"/>
      <c r="P303" s="628">
        <v>15</v>
      </c>
      <c r="Q303" s="629">
        <f>O162</f>
        <v>990</v>
      </c>
      <c r="R303" s="629">
        <f t="shared" ref="R303:T303" si="287">P162</f>
        <v>1.1000000000000001</v>
      </c>
      <c r="S303" s="629" t="str">
        <f t="shared" si="287"/>
        <v>-</v>
      </c>
      <c r="T303" s="630">
        <f t="shared" si="287"/>
        <v>0</v>
      </c>
    </row>
    <row r="304" spans="1:23" ht="13" hidden="1">
      <c r="A304" s="1555"/>
      <c r="B304" s="628">
        <v>16</v>
      </c>
      <c r="C304" s="629">
        <f>C173</f>
        <v>30</v>
      </c>
      <c r="D304" s="629">
        <f t="shared" ref="D304:F304" si="288">D173</f>
        <v>0.2</v>
      </c>
      <c r="E304" s="629" t="str">
        <f t="shared" si="288"/>
        <v>-</v>
      </c>
      <c r="F304" s="629">
        <f t="shared" si="288"/>
        <v>0</v>
      </c>
      <c r="G304" s="589"/>
      <c r="H304" s="1558"/>
      <c r="I304" s="628">
        <v>16</v>
      </c>
      <c r="J304" s="629">
        <f>I173</f>
        <v>60</v>
      </c>
      <c r="K304" s="629">
        <f t="shared" ref="K304:M304" si="289">J173</f>
        <v>-1.5</v>
      </c>
      <c r="L304" s="629" t="str">
        <f t="shared" si="289"/>
        <v>-</v>
      </c>
      <c r="M304" s="629">
        <f t="shared" si="289"/>
        <v>0</v>
      </c>
      <c r="N304" s="589"/>
      <c r="O304" s="1558"/>
      <c r="P304" s="628">
        <v>16</v>
      </c>
      <c r="Q304" s="629">
        <f>O173</f>
        <v>950</v>
      </c>
      <c r="R304" s="629">
        <f t="shared" ref="R304:T304" si="290">P173</f>
        <v>-1.1000000000000001</v>
      </c>
      <c r="S304" s="629" t="str">
        <f t="shared" si="290"/>
        <v>-</v>
      </c>
      <c r="T304" s="630">
        <f t="shared" si="290"/>
        <v>0</v>
      </c>
    </row>
    <row r="305" spans="1:20" ht="13" hidden="1">
      <c r="A305" s="1555"/>
      <c r="B305" s="628">
        <v>17</v>
      </c>
      <c r="C305" s="629">
        <f>C184</f>
        <v>30</v>
      </c>
      <c r="D305" s="629">
        <f t="shared" ref="D305:F305" si="291">D184</f>
        <v>-0.2</v>
      </c>
      <c r="E305" s="629" t="str">
        <f t="shared" si="291"/>
        <v>-</v>
      </c>
      <c r="F305" s="629">
        <f t="shared" si="291"/>
        <v>0</v>
      </c>
      <c r="G305" s="589"/>
      <c r="H305" s="1558"/>
      <c r="I305" s="628">
        <v>17</v>
      </c>
      <c r="J305" s="629">
        <f>I184</f>
        <v>60</v>
      </c>
      <c r="K305" s="629">
        <f t="shared" ref="K305:M305" si="292">J184</f>
        <v>9.9999999999999995E-7</v>
      </c>
      <c r="L305" s="629" t="str">
        <f t="shared" si="292"/>
        <v>-</v>
      </c>
      <c r="M305" s="629">
        <f t="shared" si="292"/>
        <v>0</v>
      </c>
      <c r="N305" s="589"/>
      <c r="O305" s="1558"/>
      <c r="P305" s="628">
        <v>17</v>
      </c>
      <c r="Q305" s="629">
        <f>O184</f>
        <v>990</v>
      </c>
      <c r="R305" s="629">
        <f t="shared" ref="R305:T305" si="293">P184</f>
        <v>-0.6</v>
      </c>
      <c r="S305" s="629" t="str">
        <f t="shared" si="293"/>
        <v>-</v>
      </c>
      <c r="T305" s="630">
        <f t="shared" si="293"/>
        <v>0</v>
      </c>
    </row>
    <row r="306" spans="1:20" ht="13" hidden="1">
      <c r="A306" s="1555"/>
      <c r="B306" s="628">
        <v>18</v>
      </c>
      <c r="C306" s="629">
        <f>C195</f>
        <v>30</v>
      </c>
      <c r="D306" s="629">
        <f t="shared" ref="D306:F306" si="294">D195</f>
        <v>-0.2</v>
      </c>
      <c r="E306" s="629" t="str">
        <f t="shared" si="294"/>
        <v>-</v>
      </c>
      <c r="F306" s="629">
        <f t="shared" si="294"/>
        <v>0</v>
      </c>
      <c r="G306" s="589"/>
      <c r="H306" s="1558"/>
      <c r="I306" s="628">
        <v>18</v>
      </c>
      <c r="J306" s="629">
        <f>I195</f>
        <v>60</v>
      </c>
      <c r="K306" s="629">
        <f t="shared" ref="K306:M306" si="295">J195</f>
        <v>-0.2</v>
      </c>
      <c r="L306" s="629" t="str">
        <f t="shared" si="295"/>
        <v>-</v>
      </c>
      <c r="M306" s="629">
        <f t="shared" si="295"/>
        <v>0</v>
      </c>
      <c r="N306" s="589"/>
      <c r="O306" s="1558"/>
      <c r="P306" s="628">
        <v>18</v>
      </c>
      <c r="Q306" s="629">
        <f>O195</f>
        <v>950</v>
      </c>
      <c r="R306" s="629">
        <f t="shared" ref="R306:T306" si="296">P195</f>
        <v>-0.9</v>
      </c>
      <c r="S306" s="629" t="str">
        <f t="shared" si="296"/>
        <v>-</v>
      </c>
      <c r="T306" s="630">
        <f t="shared" si="296"/>
        <v>0</v>
      </c>
    </row>
    <row r="307" spans="1:20" ht="13" hidden="1">
      <c r="A307" s="1555"/>
      <c r="B307" s="628">
        <v>19</v>
      </c>
      <c r="C307" s="629">
        <f>C206</f>
        <v>30</v>
      </c>
      <c r="D307" s="629">
        <f t="shared" ref="D307:F307" si="297">D206</f>
        <v>-0.1</v>
      </c>
      <c r="E307" s="629" t="str">
        <f t="shared" si="297"/>
        <v>-</v>
      </c>
      <c r="F307" s="629">
        <f t="shared" si="297"/>
        <v>0</v>
      </c>
      <c r="G307" s="589"/>
      <c r="H307" s="1558"/>
      <c r="I307" s="628">
        <v>19</v>
      </c>
      <c r="J307" s="629">
        <f>I206</f>
        <v>60</v>
      </c>
      <c r="K307" s="629">
        <f t="shared" ref="K307:M307" si="298">J206</f>
        <v>0.4</v>
      </c>
      <c r="L307" s="629" t="str">
        <f t="shared" si="298"/>
        <v>-</v>
      </c>
      <c r="M307" s="629">
        <f t="shared" si="298"/>
        <v>0</v>
      </c>
      <c r="N307" s="589"/>
      <c r="O307" s="1558"/>
      <c r="P307" s="628">
        <v>19</v>
      </c>
      <c r="Q307" s="629">
        <f>O206</f>
        <v>900</v>
      </c>
      <c r="R307" s="629">
        <f t="shared" ref="R307:T307" si="299">P206</f>
        <v>2.2999999999999998</v>
      </c>
      <c r="S307" s="629" t="str">
        <f t="shared" si="299"/>
        <v>-</v>
      </c>
      <c r="T307" s="630">
        <f t="shared" si="299"/>
        <v>0</v>
      </c>
    </row>
    <row r="308" spans="1:20" ht="13.5" hidden="1" thickBot="1">
      <c r="A308" s="1556"/>
      <c r="B308" s="639">
        <v>20</v>
      </c>
      <c r="C308" s="656">
        <f>C217</f>
        <v>29.5</v>
      </c>
      <c r="D308" s="656">
        <f t="shared" ref="D308:F308" si="300">D217</f>
        <v>9.9999999999999995E-7</v>
      </c>
      <c r="E308" s="656" t="str">
        <f t="shared" si="300"/>
        <v>-</v>
      </c>
      <c r="F308" s="656">
        <f t="shared" si="300"/>
        <v>0</v>
      </c>
      <c r="G308" s="641"/>
      <c r="H308" s="1559"/>
      <c r="I308" s="639">
        <v>20</v>
      </c>
      <c r="J308" s="656">
        <f>I217</f>
        <v>71.5</v>
      </c>
      <c r="K308" s="656">
        <f t="shared" ref="K308:M308" si="301">J217</f>
        <v>9.9999999999999995E-7</v>
      </c>
      <c r="L308" s="656" t="str">
        <f t="shared" si="301"/>
        <v>-</v>
      </c>
      <c r="M308" s="656">
        <f t="shared" si="301"/>
        <v>0</v>
      </c>
      <c r="N308" s="641"/>
      <c r="O308" s="1559"/>
      <c r="P308" s="639">
        <v>20</v>
      </c>
      <c r="Q308" s="656">
        <f>O217</f>
        <v>900</v>
      </c>
      <c r="R308" s="656" t="str">
        <f t="shared" ref="R308:T308" si="302">P217</f>
        <v>-</v>
      </c>
      <c r="S308" s="656" t="str">
        <f t="shared" si="302"/>
        <v>-</v>
      </c>
      <c r="T308" s="657">
        <f t="shared" si="302"/>
        <v>0</v>
      </c>
    </row>
    <row r="309" spans="1:20" ht="13" hidden="1">
      <c r="A309" s="644"/>
      <c r="B309" s="645"/>
      <c r="C309" s="658"/>
      <c r="D309" s="658"/>
      <c r="E309" s="658"/>
      <c r="F309" s="659"/>
      <c r="G309" s="648"/>
      <c r="H309" s="644"/>
      <c r="I309" s="663"/>
      <c r="J309" s="658"/>
      <c r="K309" s="658"/>
      <c r="L309" s="658"/>
      <c r="M309" s="659"/>
      <c r="N309" s="589"/>
      <c r="O309" s="644"/>
      <c r="P309" s="663"/>
      <c r="Q309" s="658"/>
      <c r="R309" s="658"/>
      <c r="S309" s="658"/>
      <c r="T309" s="659"/>
    </row>
    <row r="310" spans="1:20" ht="13" hidden="1">
      <c r="A310" s="1554">
        <v>5</v>
      </c>
      <c r="B310" s="651">
        <v>1</v>
      </c>
      <c r="C310" s="660">
        <f>C9</f>
        <v>35</v>
      </c>
      <c r="D310" s="660">
        <f t="shared" ref="D310:F310" si="303">D9</f>
        <v>-0.1</v>
      </c>
      <c r="E310" s="660">
        <f t="shared" si="303"/>
        <v>-0.5</v>
      </c>
      <c r="F310" s="660">
        <f t="shared" si="303"/>
        <v>0.2</v>
      </c>
      <c r="G310" s="653"/>
      <c r="H310" s="1557">
        <v>5</v>
      </c>
      <c r="I310" s="651">
        <v>1</v>
      </c>
      <c r="J310" s="660">
        <f>I20</f>
        <v>70</v>
      </c>
      <c r="K310" s="660">
        <f t="shared" ref="K310:M310" si="304">J20</f>
        <v>-2.4</v>
      </c>
      <c r="L310" s="660">
        <f t="shared" si="304"/>
        <v>-1.1000000000000001</v>
      </c>
      <c r="M310" s="660">
        <f t="shared" si="304"/>
        <v>0.64999999999999991</v>
      </c>
      <c r="N310" s="653"/>
      <c r="O310" s="1557">
        <v>5</v>
      </c>
      <c r="P310" s="651">
        <v>1</v>
      </c>
      <c r="Q310" s="660">
        <f>O9</f>
        <v>1000</v>
      </c>
      <c r="R310" s="660" t="str">
        <f t="shared" ref="R310:T310" si="305">P9</f>
        <v>-</v>
      </c>
      <c r="S310" s="660" t="str">
        <f t="shared" si="305"/>
        <v>-</v>
      </c>
      <c r="T310" s="661">
        <f t="shared" si="305"/>
        <v>0</v>
      </c>
    </row>
    <row r="311" spans="1:20" ht="13" hidden="1">
      <c r="A311" s="1555"/>
      <c r="B311" s="628">
        <v>2</v>
      </c>
      <c r="C311" s="629">
        <f>C20</f>
        <v>35</v>
      </c>
      <c r="D311" s="629">
        <f t="shared" ref="D311:F311" si="306">D20</f>
        <v>-0.1</v>
      </c>
      <c r="E311" s="629">
        <f t="shared" si="306"/>
        <v>-0.3</v>
      </c>
      <c r="F311" s="629">
        <f t="shared" si="306"/>
        <v>9.9999999999999992E-2</v>
      </c>
      <c r="G311" s="589"/>
      <c r="H311" s="1558"/>
      <c r="I311" s="628">
        <v>2</v>
      </c>
      <c r="J311" s="629">
        <f>I20</f>
        <v>70</v>
      </c>
      <c r="K311" s="629">
        <f t="shared" ref="K311:M311" si="307">J20</f>
        <v>-2.4</v>
      </c>
      <c r="L311" s="629">
        <f t="shared" si="307"/>
        <v>-1.1000000000000001</v>
      </c>
      <c r="M311" s="629">
        <f t="shared" si="307"/>
        <v>0.64999999999999991</v>
      </c>
      <c r="N311" s="589"/>
      <c r="O311" s="1558"/>
      <c r="P311" s="628">
        <v>2</v>
      </c>
      <c r="Q311" s="629">
        <f>O20</f>
        <v>1000</v>
      </c>
      <c r="R311" s="629" t="str">
        <f t="shared" ref="R311:T311" si="308">P20</f>
        <v>-</v>
      </c>
      <c r="S311" s="629" t="str">
        <f t="shared" si="308"/>
        <v>-</v>
      </c>
      <c r="T311" s="630">
        <f t="shared" si="308"/>
        <v>0</v>
      </c>
    </row>
    <row r="312" spans="1:20" ht="13" hidden="1">
      <c r="A312" s="1555"/>
      <c r="B312" s="628">
        <v>3</v>
      </c>
      <c r="C312" s="629">
        <f>C31</f>
        <v>35</v>
      </c>
      <c r="D312" s="629">
        <f t="shared" ref="D312:F312" si="309">D31</f>
        <v>-0.3</v>
      </c>
      <c r="E312" s="629">
        <f t="shared" si="309"/>
        <v>-0.5</v>
      </c>
      <c r="F312" s="629">
        <f t="shared" si="309"/>
        <v>0.1</v>
      </c>
      <c r="G312" s="589"/>
      <c r="H312" s="1558"/>
      <c r="I312" s="628">
        <v>3</v>
      </c>
      <c r="J312" s="629">
        <f>I31</f>
        <v>70</v>
      </c>
      <c r="K312" s="629">
        <f t="shared" ref="K312:M312" si="310">J31</f>
        <v>-2</v>
      </c>
      <c r="L312" s="629">
        <f t="shared" si="310"/>
        <v>-3.6</v>
      </c>
      <c r="M312" s="629">
        <f t="shared" si="310"/>
        <v>0.8</v>
      </c>
      <c r="N312" s="589"/>
      <c r="O312" s="1558"/>
      <c r="P312" s="628">
        <v>3</v>
      </c>
      <c r="Q312" s="629">
        <f>O31</f>
        <v>1000</v>
      </c>
      <c r="R312" s="629" t="str">
        <f t="shared" ref="R312:T312" si="311">P31</f>
        <v>-</v>
      </c>
      <c r="S312" s="629" t="str">
        <f t="shared" si="311"/>
        <v>-</v>
      </c>
      <c r="T312" s="630">
        <f t="shared" si="311"/>
        <v>0</v>
      </c>
    </row>
    <row r="313" spans="1:20" ht="13" hidden="1">
      <c r="A313" s="1555"/>
      <c r="B313" s="628">
        <v>4</v>
      </c>
      <c r="C313" s="629">
        <f>C42</f>
        <v>35</v>
      </c>
      <c r="D313" s="629">
        <f t="shared" ref="D313:F313" si="312">D42</f>
        <v>-0.3</v>
      </c>
      <c r="E313" s="629">
        <f t="shared" si="312"/>
        <v>-0.6</v>
      </c>
      <c r="F313" s="629">
        <f t="shared" si="312"/>
        <v>0.15</v>
      </c>
      <c r="G313" s="589"/>
      <c r="H313" s="1558"/>
      <c r="I313" s="628">
        <v>4</v>
      </c>
      <c r="J313" s="629">
        <f>I42</f>
        <v>70</v>
      </c>
      <c r="K313" s="629">
        <f t="shared" ref="K313:M313" si="313">J42</f>
        <v>-4</v>
      </c>
      <c r="L313" s="629">
        <f t="shared" si="313"/>
        <v>0.7</v>
      </c>
      <c r="M313" s="629">
        <f t="shared" si="313"/>
        <v>2.35</v>
      </c>
      <c r="N313" s="589"/>
      <c r="O313" s="1558"/>
      <c r="P313" s="628">
        <v>4</v>
      </c>
      <c r="Q313" s="629">
        <f>O42</f>
        <v>1000</v>
      </c>
      <c r="R313" s="629" t="str">
        <f t="shared" ref="R313:T313" si="314">P42</f>
        <v>-</v>
      </c>
      <c r="S313" s="629" t="str">
        <f t="shared" si="314"/>
        <v>-</v>
      </c>
      <c r="T313" s="630">
        <f t="shared" si="314"/>
        <v>0</v>
      </c>
    </row>
    <row r="314" spans="1:20" ht="13" hidden="1">
      <c r="A314" s="1555"/>
      <c r="B314" s="628">
        <v>5</v>
      </c>
      <c r="C314" s="629">
        <f>C53</f>
        <v>35</v>
      </c>
      <c r="D314" s="629">
        <f t="shared" ref="D314:F314" si="315">D53</f>
        <v>0.7</v>
      </c>
      <c r="E314" s="629">
        <f t="shared" si="315"/>
        <v>9.9999999999999995E-7</v>
      </c>
      <c r="F314" s="629">
        <f t="shared" si="315"/>
        <v>0.34999949999999996</v>
      </c>
      <c r="G314" s="589"/>
      <c r="H314" s="1558"/>
      <c r="I314" s="628">
        <v>5</v>
      </c>
      <c r="J314" s="629">
        <f>I53</f>
        <v>70</v>
      </c>
      <c r="K314" s="629">
        <f t="shared" ref="K314:M314" si="316">J53</f>
        <v>-4.0999999999999996</v>
      </c>
      <c r="L314" s="629">
        <f t="shared" si="316"/>
        <v>-2.1</v>
      </c>
      <c r="M314" s="629">
        <f t="shared" si="316"/>
        <v>0.99999999999999978</v>
      </c>
      <c r="N314" s="589"/>
      <c r="O314" s="1558"/>
      <c r="P314" s="628">
        <v>5</v>
      </c>
      <c r="Q314" s="629">
        <f>O53</f>
        <v>1000</v>
      </c>
      <c r="R314" s="629" t="str">
        <f t="shared" ref="R314:T314" si="317">P53</f>
        <v>-</v>
      </c>
      <c r="S314" s="629" t="str">
        <f t="shared" si="317"/>
        <v>-</v>
      </c>
      <c r="T314" s="630">
        <f t="shared" si="317"/>
        <v>0</v>
      </c>
    </row>
    <row r="315" spans="1:20" ht="13" hidden="1">
      <c r="A315" s="1555"/>
      <c r="B315" s="628">
        <v>6</v>
      </c>
      <c r="C315" s="629">
        <f>C64</f>
        <v>35</v>
      </c>
      <c r="D315" s="629">
        <f t="shared" ref="D315:F315" si="318">D64</f>
        <v>0.1</v>
      </c>
      <c r="E315" s="629">
        <f t="shared" si="318"/>
        <v>-0.9</v>
      </c>
      <c r="F315" s="629">
        <f t="shared" si="318"/>
        <v>0.5</v>
      </c>
      <c r="G315" s="589"/>
      <c r="H315" s="1558"/>
      <c r="I315" s="628">
        <v>6</v>
      </c>
      <c r="J315" s="629">
        <f>I64</f>
        <v>70</v>
      </c>
      <c r="K315" s="629">
        <f t="shared" ref="K315:M315" si="319">J64</f>
        <v>-6.7</v>
      </c>
      <c r="L315" s="629">
        <f t="shared" si="319"/>
        <v>0.9</v>
      </c>
      <c r="M315" s="629">
        <f t="shared" si="319"/>
        <v>3.8000000000000003</v>
      </c>
      <c r="N315" s="589"/>
      <c r="O315" s="1558"/>
      <c r="P315" s="628">
        <v>6</v>
      </c>
      <c r="Q315" s="629">
        <f>O64</f>
        <v>1000</v>
      </c>
      <c r="R315" s="629">
        <f t="shared" ref="R315:T315" si="320">P64</f>
        <v>0.9</v>
      </c>
      <c r="S315" s="629">
        <f t="shared" si="320"/>
        <v>-0.3</v>
      </c>
      <c r="T315" s="630">
        <f t="shared" si="320"/>
        <v>0.6</v>
      </c>
    </row>
    <row r="316" spans="1:20" ht="13" hidden="1">
      <c r="A316" s="1555"/>
      <c r="B316" s="628">
        <v>7</v>
      </c>
      <c r="C316" s="629">
        <f>C75</f>
        <v>35</v>
      </c>
      <c r="D316" s="629">
        <f t="shared" ref="D316:F316" si="321">D75</f>
        <v>9.9999999999999995E-7</v>
      </c>
      <c r="E316" s="629">
        <f t="shared" si="321"/>
        <v>-1.1000000000000001</v>
      </c>
      <c r="F316" s="629">
        <f t="shared" si="321"/>
        <v>0.5500005</v>
      </c>
      <c r="G316" s="589"/>
      <c r="H316" s="1558"/>
      <c r="I316" s="628">
        <v>7</v>
      </c>
      <c r="J316" s="629">
        <f>I75</f>
        <v>70</v>
      </c>
      <c r="K316" s="629">
        <f t="shared" ref="K316:M316" si="322">J75</f>
        <v>-2.2999999999999998</v>
      </c>
      <c r="L316" s="629">
        <f t="shared" si="322"/>
        <v>0.9</v>
      </c>
      <c r="M316" s="629">
        <f t="shared" si="322"/>
        <v>1.5999999999999999</v>
      </c>
      <c r="N316" s="589"/>
      <c r="O316" s="1558"/>
      <c r="P316" s="628">
        <v>7</v>
      </c>
      <c r="Q316" s="629">
        <f>O75</f>
        <v>1000</v>
      </c>
      <c r="R316" s="629">
        <f t="shared" ref="R316:T316" si="323">P75</f>
        <v>-3.9</v>
      </c>
      <c r="S316" s="629">
        <f t="shared" si="323"/>
        <v>-0.4</v>
      </c>
      <c r="T316" s="630">
        <f t="shared" si="323"/>
        <v>1.75</v>
      </c>
    </row>
    <row r="317" spans="1:20" ht="13" hidden="1">
      <c r="A317" s="1555"/>
      <c r="B317" s="628">
        <v>8</v>
      </c>
      <c r="C317" s="629">
        <f>C86</f>
        <v>35</v>
      </c>
      <c r="D317" s="629">
        <f t="shared" ref="D317:F317" si="324">D86</f>
        <v>-0.1</v>
      </c>
      <c r="E317" s="629">
        <f t="shared" si="324"/>
        <v>-0.5</v>
      </c>
      <c r="F317" s="629">
        <f t="shared" si="324"/>
        <v>0.2</v>
      </c>
      <c r="G317" s="589"/>
      <c r="H317" s="1558"/>
      <c r="I317" s="628">
        <v>8</v>
      </c>
      <c r="J317" s="629">
        <f>I86</f>
        <v>70</v>
      </c>
      <c r="K317" s="629">
        <f t="shared" ref="K317:M317" si="325">J86</f>
        <v>-4.0999999999999996</v>
      </c>
      <c r="L317" s="629">
        <f t="shared" si="325"/>
        <v>-1.2</v>
      </c>
      <c r="M317" s="629">
        <f t="shared" si="325"/>
        <v>1.4499999999999997</v>
      </c>
      <c r="N317" s="589"/>
      <c r="O317" s="1558"/>
      <c r="P317" s="628">
        <v>8</v>
      </c>
      <c r="Q317" s="629">
        <f>O86</f>
        <v>1000</v>
      </c>
      <c r="R317" s="629">
        <f t="shared" ref="R317:T317" si="326">P86</f>
        <v>-3.5</v>
      </c>
      <c r="S317" s="629">
        <f t="shared" si="326"/>
        <v>0.2</v>
      </c>
      <c r="T317" s="630">
        <f t="shared" si="326"/>
        <v>1.85</v>
      </c>
    </row>
    <row r="318" spans="1:20" ht="13" hidden="1">
      <c r="A318" s="1555"/>
      <c r="B318" s="628">
        <v>9</v>
      </c>
      <c r="C318" s="629">
        <f>C97</f>
        <v>35</v>
      </c>
      <c r="D318" s="629">
        <f t="shared" ref="D318:F318" si="327">D97</f>
        <v>-0.5</v>
      </c>
      <c r="E318" s="629" t="str">
        <f t="shared" si="327"/>
        <v>-</v>
      </c>
      <c r="F318" s="629">
        <f t="shared" si="327"/>
        <v>0</v>
      </c>
      <c r="G318" s="589"/>
      <c r="H318" s="1558"/>
      <c r="I318" s="628">
        <v>9</v>
      </c>
      <c r="J318" s="629">
        <f>I97</f>
        <v>70</v>
      </c>
      <c r="K318" s="629">
        <f t="shared" ref="K318:M318" si="328">J97</f>
        <v>-0.6</v>
      </c>
      <c r="L318" s="629" t="str">
        <f t="shared" si="328"/>
        <v>-</v>
      </c>
      <c r="M318" s="629">
        <f t="shared" si="328"/>
        <v>0</v>
      </c>
      <c r="N318" s="589"/>
      <c r="O318" s="1558"/>
      <c r="P318" s="628">
        <v>9</v>
      </c>
      <c r="Q318" s="629">
        <f>O97</f>
        <v>1000</v>
      </c>
      <c r="R318" s="629">
        <f t="shared" ref="R318:T318" si="329">P97</f>
        <v>0.2</v>
      </c>
      <c r="S318" s="629" t="str">
        <f t="shared" si="329"/>
        <v>-</v>
      </c>
      <c r="T318" s="630">
        <f t="shared" si="329"/>
        <v>0</v>
      </c>
    </row>
    <row r="319" spans="1:20" ht="13" hidden="1">
      <c r="A319" s="1555"/>
      <c r="B319" s="628">
        <v>10</v>
      </c>
      <c r="C319" s="629">
        <f>C108</f>
        <v>35</v>
      </c>
      <c r="D319" s="629">
        <f t="shared" ref="D319:F319" si="330">D108</f>
        <v>0.2</v>
      </c>
      <c r="E319" s="629">
        <f t="shared" si="330"/>
        <v>0.8</v>
      </c>
      <c r="F319" s="629">
        <f t="shared" si="330"/>
        <v>0.30000000000000004</v>
      </c>
      <c r="G319" s="589"/>
      <c r="H319" s="1558"/>
      <c r="I319" s="628">
        <v>10</v>
      </c>
      <c r="J319" s="629">
        <f>I108</f>
        <v>70</v>
      </c>
      <c r="K319" s="629">
        <f t="shared" ref="K319:M319" si="331">J108</f>
        <v>-0.3</v>
      </c>
      <c r="L319" s="629">
        <f t="shared" si="331"/>
        <v>-5.0999999999999996</v>
      </c>
      <c r="M319" s="629">
        <f t="shared" si="331"/>
        <v>2.4</v>
      </c>
      <c r="N319" s="589"/>
      <c r="O319" s="1558"/>
      <c r="P319" s="628">
        <v>10</v>
      </c>
      <c r="Q319" s="629">
        <f>O108</f>
        <v>1000</v>
      </c>
      <c r="R319" s="629" t="str">
        <f t="shared" ref="R319:T319" si="332">P108</f>
        <v>-</v>
      </c>
      <c r="S319" s="629" t="str">
        <f t="shared" si="332"/>
        <v>-</v>
      </c>
      <c r="T319" s="630">
        <f t="shared" si="332"/>
        <v>0</v>
      </c>
    </row>
    <row r="320" spans="1:20" ht="13" hidden="1">
      <c r="A320" s="1555"/>
      <c r="B320" s="628">
        <v>11</v>
      </c>
      <c r="C320" s="629">
        <f>C119</f>
        <v>35</v>
      </c>
      <c r="D320" s="629">
        <f t="shared" ref="D320:F320" si="333">D119</f>
        <v>0.5</v>
      </c>
      <c r="E320" s="629">
        <f t="shared" si="333"/>
        <v>0.4</v>
      </c>
      <c r="F320" s="629">
        <f t="shared" si="333"/>
        <v>4.9999999999999989E-2</v>
      </c>
      <c r="G320" s="589"/>
      <c r="H320" s="1558"/>
      <c r="I320" s="628">
        <v>11</v>
      </c>
      <c r="J320" s="629">
        <f>I119</f>
        <v>70</v>
      </c>
      <c r="K320" s="629">
        <f t="shared" ref="K320:M320" si="334">J119</f>
        <v>-3.4</v>
      </c>
      <c r="L320" s="629">
        <f t="shared" si="334"/>
        <v>-1.7</v>
      </c>
      <c r="M320" s="629">
        <f t="shared" si="334"/>
        <v>0.85</v>
      </c>
      <c r="N320" s="589"/>
      <c r="O320" s="1558"/>
      <c r="P320" s="628">
        <v>11</v>
      </c>
      <c r="Q320" s="629">
        <f>O119</f>
        <v>1000</v>
      </c>
      <c r="R320" s="629" t="str">
        <f t="shared" ref="R320:T320" si="335">P119</f>
        <v>-</v>
      </c>
      <c r="S320" s="629" t="str">
        <f t="shared" si="335"/>
        <v>-</v>
      </c>
      <c r="T320" s="630">
        <f t="shared" si="335"/>
        <v>0</v>
      </c>
    </row>
    <row r="321" spans="1:20" ht="13" hidden="1">
      <c r="A321" s="1555"/>
      <c r="B321" s="628">
        <v>12</v>
      </c>
      <c r="C321" s="629">
        <f>C130</f>
        <v>35</v>
      </c>
      <c r="D321" s="629">
        <f t="shared" ref="D321:F321" si="336">D130</f>
        <v>-0.2</v>
      </c>
      <c r="E321" s="629" t="str">
        <f t="shared" si="336"/>
        <v>-</v>
      </c>
      <c r="F321" s="629">
        <f t="shared" si="336"/>
        <v>0</v>
      </c>
      <c r="G321" s="589"/>
      <c r="H321" s="1558"/>
      <c r="I321" s="628">
        <v>12</v>
      </c>
      <c r="J321" s="629">
        <f>I130</f>
        <v>70</v>
      </c>
      <c r="K321" s="629">
        <f t="shared" ref="K321:M321" si="337">J130</f>
        <v>-0.1</v>
      </c>
      <c r="L321" s="629" t="str">
        <f t="shared" si="337"/>
        <v>-</v>
      </c>
      <c r="M321" s="629">
        <f t="shared" si="337"/>
        <v>0</v>
      </c>
      <c r="N321" s="589"/>
      <c r="O321" s="1558"/>
      <c r="P321" s="628">
        <v>12</v>
      </c>
      <c r="Q321" s="629">
        <f>O130</f>
        <v>1000</v>
      </c>
      <c r="R321" s="629">
        <f t="shared" ref="R321:T321" si="338">P130</f>
        <v>-0.8</v>
      </c>
      <c r="S321" s="629" t="str">
        <f t="shared" si="338"/>
        <v>-</v>
      </c>
      <c r="T321" s="630">
        <f t="shared" si="338"/>
        <v>0</v>
      </c>
    </row>
    <row r="322" spans="1:20" ht="13" hidden="1">
      <c r="A322" s="1555"/>
      <c r="B322" s="628">
        <v>13</v>
      </c>
      <c r="C322" s="629">
        <f>C141</f>
        <v>35</v>
      </c>
      <c r="D322" s="629">
        <f t="shared" ref="D322:F322" si="339">D141</f>
        <v>0.3</v>
      </c>
      <c r="E322" s="629" t="str">
        <f t="shared" si="339"/>
        <v>-</v>
      </c>
      <c r="F322" s="629">
        <f t="shared" si="339"/>
        <v>0</v>
      </c>
      <c r="G322" s="589"/>
      <c r="H322" s="1558"/>
      <c r="I322" s="628">
        <v>13</v>
      </c>
      <c r="J322" s="629">
        <f>I141</f>
        <v>70</v>
      </c>
      <c r="K322" s="629">
        <f t="shared" ref="K322:M322" si="340">J141</f>
        <v>-1.9</v>
      </c>
      <c r="L322" s="629" t="str">
        <f t="shared" si="340"/>
        <v>-</v>
      </c>
      <c r="M322" s="629">
        <f t="shared" si="340"/>
        <v>0</v>
      </c>
      <c r="N322" s="589"/>
      <c r="O322" s="1558"/>
      <c r="P322" s="628">
        <v>13</v>
      </c>
      <c r="Q322" s="629">
        <f>O141</f>
        <v>1000</v>
      </c>
      <c r="R322" s="629">
        <f t="shared" ref="R322:T322" si="341">P141</f>
        <v>1.1000000000000001</v>
      </c>
      <c r="S322" s="629" t="str">
        <f t="shared" si="341"/>
        <v>-</v>
      </c>
      <c r="T322" s="630">
        <f t="shared" si="341"/>
        <v>0</v>
      </c>
    </row>
    <row r="323" spans="1:20" ht="13" hidden="1">
      <c r="A323" s="1555"/>
      <c r="B323" s="628">
        <v>14</v>
      </c>
      <c r="C323" s="629">
        <f>C152</f>
        <v>35</v>
      </c>
      <c r="D323" s="629">
        <f t="shared" ref="D323:F323" si="342">D152</f>
        <v>-0.6</v>
      </c>
      <c r="E323" s="629" t="str">
        <f t="shared" si="342"/>
        <v>-</v>
      </c>
      <c r="F323" s="629">
        <f t="shared" si="342"/>
        <v>0</v>
      </c>
      <c r="G323" s="589"/>
      <c r="H323" s="1558"/>
      <c r="I323" s="628">
        <v>14</v>
      </c>
      <c r="J323" s="629">
        <f>I152</f>
        <v>70</v>
      </c>
      <c r="K323" s="629">
        <f t="shared" ref="K323:M323" si="343">J152</f>
        <v>-0.8</v>
      </c>
      <c r="L323" s="629" t="str">
        <f t="shared" si="343"/>
        <v>-</v>
      </c>
      <c r="M323" s="629">
        <f t="shared" si="343"/>
        <v>0</v>
      </c>
      <c r="N323" s="589"/>
      <c r="O323" s="1558"/>
      <c r="P323" s="628">
        <v>14</v>
      </c>
      <c r="Q323" s="629">
        <f>O152</f>
        <v>1000</v>
      </c>
      <c r="R323" s="629">
        <f t="shared" ref="R323:T323" si="344">P152</f>
        <v>1.1000000000000001</v>
      </c>
      <c r="S323" s="629" t="str">
        <f t="shared" si="344"/>
        <v>-</v>
      </c>
      <c r="T323" s="630">
        <f t="shared" si="344"/>
        <v>0</v>
      </c>
    </row>
    <row r="324" spans="1:20" ht="13" hidden="1">
      <c r="A324" s="1555"/>
      <c r="B324" s="628">
        <v>15</v>
      </c>
      <c r="C324" s="629">
        <f>C163</f>
        <v>35</v>
      </c>
      <c r="D324" s="629">
        <f t="shared" ref="D324:F324" si="345">D163</f>
        <v>-0.1</v>
      </c>
      <c r="E324" s="629" t="str">
        <f t="shared" si="345"/>
        <v>-</v>
      </c>
      <c r="F324" s="629">
        <f t="shared" si="345"/>
        <v>0</v>
      </c>
      <c r="G324" s="589"/>
      <c r="H324" s="1558"/>
      <c r="I324" s="628">
        <v>15</v>
      </c>
      <c r="J324" s="629">
        <f>I163</f>
        <v>70</v>
      </c>
      <c r="K324" s="629">
        <f t="shared" ref="K324:M324" si="346">J163</f>
        <v>-0.8</v>
      </c>
      <c r="L324" s="629" t="str">
        <f t="shared" si="346"/>
        <v>-</v>
      </c>
      <c r="M324" s="629">
        <f t="shared" si="346"/>
        <v>0</v>
      </c>
      <c r="N324" s="589"/>
      <c r="O324" s="1558"/>
      <c r="P324" s="628">
        <v>15</v>
      </c>
      <c r="Q324" s="629">
        <f>O163</f>
        <v>1000</v>
      </c>
      <c r="R324" s="629">
        <f t="shared" ref="R324:T324" si="347">P163</f>
        <v>1.1000000000000001</v>
      </c>
      <c r="S324" s="629" t="str">
        <f t="shared" si="347"/>
        <v>-</v>
      </c>
      <c r="T324" s="630">
        <f t="shared" si="347"/>
        <v>0</v>
      </c>
    </row>
    <row r="325" spans="1:20" ht="13" hidden="1">
      <c r="A325" s="1555"/>
      <c r="B325" s="628">
        <v>16</v>
      </c>
      <c r="C325" s="629">
        <f>C174</f>
        <v>35</v>
      </c>
      <c r="D325" s="629">
        <f t="shared" ref="D325:F325" si="348">D174</f>
        <v>0.1</v>
      </c>
      <c r="E325" s="629" t="str">
        <f t="shared" si="348"/>
        <v>-</v>
      </c>
      <c r="F325" s="629">
        <f t="shared" si="348"/>
        <v>0</v>
      </c>
      <c r="G325" s="589"/>
      <c r="H325" s="1558"/>
      <c r="I325" s="628">
        <v>16</v>
      </c>
      <c r="J325" s="629">
        <f>I174</f>
        <v>70</v>
      </c>
      <c r="K325" s="629">
        <f t="shared" ref="K325:M325" si="349">J174</f>
        <v>-1.8</v>
      </c>
      <c r="L325" s="629" t="str">
        <f t="shared" si="349"/>
        <v>-</v>
      </c>
      <c r="M325" s="629">
        <f t="shared" si="349"/>
        <v>0</v>
      </c>
      <c r="N325" s="589"/>
      <c r="O325" s="1558"/>
      <c r="P325" s="628">
        <v>16</v>
      </c>
      <c r="Q325" s="629">
        <f>O174</f>
        <v>1000</v>
      </c>
      <c r="R325" s="629">
        <f t="shared" ref="R325:T325" si="350">P174</f>
        <v>-0.4</v>
      </c>
      <c r="S325" s="629" t="str">
        <f t="shared" si="350"/>
        <v>-</v>
      </c>
      <c r="T325" s="630">
        <f t="shared" si="350"/>
        <v>0</v>
      </c>
    </row>
    <row r="326" spans="1:20" ht="13" hidden="1">
      <c r="A326" s="1555"/>
      <c r="B326" s="628">
        <v>17</v>
      </c>
      <c r="C326" s="629">
        <f>C185</f>
        <v>35</v>
      </c>
      <c r="D326" s="629">
        <f t="shared" ref="D326:F326" si="351">D185</f>
        <v>-0.5</v>
      </c>
      <c r="E326" s="629" t="str">
        <f t="shared" si="351"/>
        <v>-</v>
      </c>
      <c r="F326" s="629">
        <f t="shared" si="351"/>
        <v>0</v>
      </c>
      <c r="G326" s="589"/>
      <c r="H326" s="1558"/>
      <c r="I326" s="628">
        <v>17</v>
      </c>
      <c r="J326" s="629">
        <f>I185</f>
        <v>70</v>
      </c>
      <c r="K326" s="629">
        <f t="shared" ref="K326:M326" si="352">J185</f>
        <v>-0.3</v>
      </c>
      <c r="L326" s="629" t="str">
        <f t="shared" si="352"/>
        <v>-</v>
      </c>
      <c r="M326" s="629">
        <f t="shared" si="352"/>
        <v>0</v>
      </c>
      <c r="N326" s="589"/>
      <c r="O326" s="1558"/>
      <c r="P326" s="628">
        <v>17</v>
      </c>
      <c r="Q326" s="629">
        <f>O185</f>
        <v>1000</v>
      </c>
      <c r="R326" s="629">
        <f t="shared" ref="R326:T326" si="353">P185</f>
        <v>-0.6</v>
      </c>
      <c r="S326" s="629" t="str">
        <f t="shared" si="353"/>
        <v>-</v>
      </c>
      <c r="T326" s="630">
        <f t="shared" si="353"/>
        <v>0</v>
      </c>
    </row>
    <row r="327" spans="1:20" ht="13" hidden="1">
      <c r="A327" s="1555"/>
      <c r="B327" s="628">
        <v>18</v>
      </c>
      <c r="C327" s="629">
        <f>C196</f>
        <v>35</v>
      </c>
      <c r="D327" s="629">
        <f t="shared" ref="D327:F327" si="354">D196</f>
        <v>-0.3</v>
      </c>
      <c r="E327" s="629" t="str">
        <f t="shared" si="354"/>
        <v>-</v>
      </c>
      <c r="F327" s="629">
        <f t="shared" si="354"/>
        <v>0</v>
      </c>
      <c r="G327" s="589"/>
      <c r="H327" s="1558"/>
      <c r="I327" s="628">
        <v>18</v>
      </c>
      <c r="J327" s="629">
        <f>I196</f>
        <v>70</v>
      </c>
      <c r="K327" s="629">
        <f t="shared" ref="K327:M327" si="355">J196</f>
        <v>-0.3</v>
      </c>
      <c r="L327" s="629" t="str">
        <f t="shared" si="355"/>
        <v>-</v>
      </c>
      <c r="M327" s="629">
        <f t="shared" si="355"/>
        <v>0</v>
      </c>
      <c r="N327" s="589"/>
      <c r="O327" s="1558"/>
      <c r="P327" s="628">
        <v>18</v>
      </c>
      <c r="Q327" s="629">
        <f>O196</f>
        <v>1000</v>
      </c>
      <c r="R327" s="629">
        <f t="shared" ref="R327:T327" si="356">P196</f>
        <v>-0.8</v>
      </c>
      <c r="S327" s="629" t="str">
        <f t="shared" si="356"/>
        <v>-</v>
      </c>
      <c r="T327" s="630">
        <f t="shared" si="356"/>
        <v>0</v>
      </c>
    </row>
    <row r="328" spans="1:20" ht="13" hidden="1">
      <c r="A328" s="1555"/>
      <c r="B328" s="628">
        <v>19</v>
      </c>
      <c r="C328" s="629">
        <f>C207</f>
        <v>35</v>
      </c>
      <c r="D328" s="629">
        <f t="shared" ref="D328:F328" si="357">D207</f>
        <v>-0.1</v>
      </c>
      <c r="E328" s="629" t="str">
        <f t="shared" si="357"/>
        <v>-</v>
      </c>
      <c r="F328" s="629">
        <f t="shared" si="357"/>
        <v>0</v>
      </c>
      <c r="G328" s="589"/>
      <c r="H328" s="1558"/>
      <c r="I328" s="628">
        <v>19</v>
      </c>
      <c r="J328" s="629">
        <f>I207</f>
        <v>70</v>
      </c>
      <c r="K328" s="629">
        <f t="shared" ref="K328:M328" si="358">J207</f>
        <v>-0.7</v>
      </c>
      <c r="L328" s="629" t="str">
        <f t="shared" si="358"/>
        <v>-</v>
      </c>
      <c r="M328" s="629">
        <f t="shared" si="358"/>
        <v>0</v>
      </c>
      <c r="N328" s="589"/>
      <c r="O328" s="1558"/>
      <c r="P328" s="628">
        <v>19</v>
      </c>
      <c r="Q328" s="629">
        <f>O207</f>
        <v>1000</v>
      </c>
      <c r="R328" s="629">
        <f t="shared" ref="R328:T328" si="359">P207</f>
        <v>2.2000000000000002</v>
      </c>
      <c r="S328" s="629" t="str">
        <f t="shared" si="359"/>
        <v>-</v>
      </c>
      <c r="T328" s="630">
        <f t="shared" si="359"/>
        <v>0</v>
      </c>
    </row>
    <row r="329" spans="1:20" ht="13.5" hidden="1" thickBot="1">
      <c r="A329" s="1556"/>
      <c r="B329" s="639">
        <v>20</v>
      </c>
      <c r="C329" s="656">
        <f>C218</f>
        <v>34.5</v>
      </c>
      <c r="D329" s="656">
        <f t="shared" ref="D329:F329" si="360">D218</f>
        <v>9.9999999999999995E-7</v>
      </c>
      <c r="E329" s="656" t="str">
        <f t="shared" si="360"/>
        <v>-</v>
      </c>
      <c r="F329" s="656">
        <f t="shared" si="360"/>
        <v>0</v>
      </c>
      <c r="G329" s="641"/>
      <c r="H329" s="1559"/>
      <c r="I329" s="639">
        <v>20</v>
      </c>
      <c r="J329" s="656">
        <f>I218</f>
        <v>80.8</v>
      </c>
      <c r="K329" s="656">
        <f t="shared" ref="K329:M329" si="361">J218</f>
        <v>9.9999999999999995E-7</v>
      </c>
      <c r="L329" s="656" t="str">
        <f t="shared" si="361"/>
        <v>-</v>
      </c>
      <c r="M329" s="656">
        <f t="shared" si="361"/>
        <v>0</v>
      </c>
      <c r="N329" s="641"/>
      <c r="O329" s="1559"/>
      <c r="P329" s="639">
        <v>20</v>
      </c>
      <c r="Q329" s="656">
        <f>O218</f>
        <v>1000</v>
      </c>
      <c r="R329" s="656" t="str">
        <f t="shared" ref="R329:T329" si="362">P218</f>
        <v>-</v>
      </c>
      <c r="S329" s="656" t="str">
        <f t="shared" si="362"/>
        <v>-</v>
      </c>
      <c r="T329" s="657">
        <f t="shared" si="362"/>
        <v>0</v>
      </c>
    </row>
    <row r="330" spans="1:20" ht="13" hidden="1">
      <c r="A330" s="644"/>
      <c r="B330" s="645"/>
      <c r="C330" s="658"/>
      <c r="D330" s="658"/>
      <c r="E330" s="658"/>
      <c r="F330" s="659"/>
      <c r="G330" s="648"/>
      <c r="H330" s="644"/>
      <c r="I330" s="645"/>
      <c r="J330" s="658"/>
      <c r="K330" s="658"/>
      <c r="L330" s="658"/>
      <c r="M330" s="659"/>
      <c r="N330" s="589"/>
      <c r="O330" s="644"/>
      <c r="P330" s="645"/>
      <c r="Q330" s="658"/>
      <c r="R330" s="658"/>
      <c r="S330" s="658"/>
      <c r="T330" s="659"/>
    </row>
    <row r="331" spans="1:20" ht="13" hidden="1">
      <c r="A331" s="1554">
        <v>6</v>
      </c>
      <c r="B331" s="651">
        <v>1</v>
      </c>
      <c r="C331" s="660">
        <f>C10</f>
        <v>37</v>
      </c>
      <c r="D331" s="660">
        <f t="shared" ref="D331:F331" si="363">D10</f>
        <v>-0.2</v>
      </c>
      <c r="E331" s="660">
        <f t="shared" si="363"/>
        <v>-0.6</v>
      </c>
      <c r="F331" s="660">
        <f t="shared" si="363"/>
        <v>0.19999999999999998</v>
      </c>
      <c r="G331" s="653"/>
      <c r="H331" s="1557">
        <v>6</v>
      </c>
      <c r="I331" s="651">
        <v>1</v>
      </c>
      <c r="J331" s="660">
        <f>I10</f>
        <v>80</v>
      </c>
      <c r="K331" s="660">
        <f t="shared" ref="K331:M331" si="364">J10</f>
        <v>-3.2</v>
      </c>
      <c r="L331" s="660">
        <f t="shared" si="364"/>
        <v>0.7</v>
      </c>
      <c r="M331" s="660">
        <f t="shared" si="364"/>
        <v>1.9500000000000002</v>
      </c>
      <c r="N331" s="653"/>
      <c r="O331" s="1557">
        <v>6</v>
      </c>
      <c r="P331" s="651">
        <v>1</v>
      </c>
      <c r="Q331" s="660">
        <f>O10</f>
        <v>1005</v>
      </c>
      <c r="R331" s="660" t="str">
        <f t="shared" ref="R331:T331" si="365">P10</f>
        <v>-</v>
      </c>
      <c r="S331" s="660" t="str">
        <f t="shared" si="365"/>
        <v>-</v>
      </c>
      <c r="T331" s="661">
        <f t="shared" si="365"/>
        <v>0</v>
      </c>
    </row>
    <row r="332" spans="1:20" ht="13" hidden="1">
      <c r="A332" s="1555"/>
      <c r="B332" s="628">
        <v>2</v>
      </c>
      <c r="C332" s="629">
        <f>C21</f>
        <v>37</v>
      </c>
      <c r="D332" s="629">
        <f t="shared" ref="D332:F332" si="366">D21</f>
        <v>-0.2</v>
      </c>
      <c r="E332" s="629">
        <f t="shared" si="366"/>
        <v>-0.3</v>
      </c>
      <c r="F332" s="629">
        <f t="shared" si="366"/>
        <v>4.9999999999999989E-2</v>
      </c>
      <c r="G332" s="589"/>
      <c r="H332" s="1558"/>
      <c r="I332" s="628">
        <v>2</v>
      </c>
      <c r="J332" s="629">
        <f>I21</f>
        <v>80</v>
      </c>
      <c r="K332" s="629">
        <f t="shared" ref="K332:M332" si="367">J21</f>
        <v>-0.5</v>
      </c>
      <c r="L332" s="629">
        <f t="shared" si="367"/>
        <v>-0.7</v>
      </c>
      <c r="M332" s="629">
        <f t="shared" si="367"/>
        <v>9.9999999999999978E-2</v>
      </c>
      <c r="N332" s="589"/>
      <c r="O332" s="1558"/>
      <c r="P332" s="628">
        <v>2</v>
      </c>
      <c r="Q332" s="629">
        <f>O21</f>
        <v>1005</v>
      </c>
      <c r="R332" s="629" t="str">
        <f t="shared" ref="R332:T332" si="368">P21</f>
        <v>-</v>
      </c>
      <c r="S332" s="629" t="str">
        <f t="shared" si="368"/>
        <v>-</v>
      </c>
      <c r="T332" s="630">
        <f t="shared" si="368"/>
        <v>0</v>
      </c>
    </row>
    <row r="333" spans="1:20" ht="13" hidden="1">
      <c r="A333" s="1555"/>
      <c r="B333" s="628">
        <v>3</v>
      </c>
      <c r="C333" s="629">
        <f>C32</f>
        <v>37</v>
      </c>
      <c r="D333" s="629">
        <f t="shared" ref="D333:F333" si="369">D32</f>
        <v>-0.2</v>
      </c>
      <c r="E333" s="629">
        <f t="shared" si="369"/>
        <v>-0.6</v>
      </c>
      <c r="F333" s="629">
        <f t="shared" si="369"/>
        <v>0.19999999999999998</v>
      </c>
      <c r="G333" s="589"/>
      <c r="H333" s="1558"/>
      <c r="I333" s="628">
        <v>3</v>
      </c>
      <c r="J333" s="629">
        <f>I32</f>
        <v>80</v>
      </c>
      <c r="K333" s="629">
        <f t="shared" ref="K333:M333" si="370">J32</f>
        <v>-0.8</v>
      </c>
      <c r="L333" s="629">
        <f t="shared" si="370"/>
        <v>-2.9</v>
      </c>
      <c r="M333" s="629">
        <f t="shared" si="370"/>
        <v>1.0499999999999998</v>
      </c>
      <c r="N333" s="589"/>
      <c r="O333" s="1558"/>
      <c r="P333" s="628">
        <v>3</v>
      </c>
      <c r="Q333" s="629">
        <f>O32</f>
        <v>1005</v>
      </c>
      <c r="R333" s="629" t="str">
        <f t="shared" ref="R333:T333" si="371">P32</f>
        <v>-</v>
      </c>
      <c r="S333" s="629" t="str">
        <f t="shared" si="371"/>
        <v>-</v>
      </c>
      <c r="T333" s="630">
        <f t="shared" si="371"/>
        <v>0</v>
      </c>
    </row>
    <row r="334" spans="1:20" ht="13" hidden="1">
      <c r="A334" s="1555"/>
      <c r="B334" s="628">
        <v>4</v>
      </c>
      <c r="C334" s="629">
        <f>C43</f>
        <v>37</v>
      </c>
      <c r="D334" s="629">
        <f t="shared" ref="D334:F334" si="372">D43</f>
        <v>-0.4</v>
      </c>
      <c r="E334" s="629">
        <f t="shared" si="372"/>
        <v>-0.6</v>
      </c>
      <c r="F334" s="629">
        <f t="shared" si="372"/>
        <v>9.9999999999999978E-2</v>
      </c>
      <c r="G334" s="589"/>
      <c r="H334" s="1558"/>
      <c r="I334" s="628">
        <v>4</v>
      </c>
      <c r="J334" s="629">
        <f>I43</f>
        <v>80</v>
      </c>
      <c r="K334" s="629">
        <f t="shared" ref="K334:M334" si="373">J43</f>
        <v>-3.8</v>
      </c>
      <c r="L334" s="629">
        <f t="shared" si="373"/>
        <v>1.9</v>
      </c>
      <c r="M334" s="629">
        <f t="shared" si="373"/>
        <v>2.8499999999999996</v>
      </c>
      <c r="N334" s="589"/>
      <c r="O334" s="1558"/>
      <c r="P334" s="628">
        <v>4</v>
      </c>
      <c r="Q334" s="629">
        <f>O43</f>
        <v>1005</v>
      </c>
      <c r="R334" s="629" t="str">
        <f t="shared" ref="R334:T334" si="374">P43</f>
        <v>-</v>
      </c>
      <c r="S334" s="629" t="str">
        <f t="shared" si="374"/>
        <v>-</v>
      </c>
      <c r="T334" s="630">
        <f t="shared" si="374"/>
        <v>0</v>
      </c>
    </row>
    <row r="335" spans="1:20" ht="13" hidden="1">
      <c r="A335" s="1555"/>
      <c r="B335" s="628">
        <v>5</v>
      </c>
      <c r="C335" s="629">
        <f>C54</f>
        <v>37</v>
      </c>
      <c r="D335" s="629">
        <f t="shared" ref="D335:F335" si="375">D54</f>
        <v>0.7</v>
      </c>
      <c r="E335" s="629">
        <f t="shared" si="375"/>
        <v>9.9999999999999995E-7</v>
      </c>
      <c r="F335" s="629">
        <f t="shared" si="375"/>
        <v>0.34999949999999996</v>
      </c>
      <c r="G335" s="589"/>
      <c r="H335" s="1558"/>
      <c r="I335" s="628">
        <v>5</v>
      </c>
      <c r="J335" s="629">
        <f>I54</f>
        <v>80</v>
      </c>
      <c r="K335" s="629">
        <f t="shared" ref="K335:M335" si="376">J54</f>
        <v>-3</v>
      </c>
      <c r="L335" s="629">
        <f t="shared" si="376"/>
        <v>0.2</v>
      </c>
      <c r="M335" s="629">
        <f t="shared" si="376"/>
        <v>1.6</v>
      </c>
      <c r="N335" s="589"/>
      <c r="O335" s="1558"/>
      <c r="P335" s="628">
        <v>5</v>
      </c>
      <c r="Q335" s="629">
        <f>O54</f>
        <v>1005</v>
      </c>
      <c r="R335" s="629" t="str">
        <f t="shared" ref="R335:T335" si="377">P54</f>
        <v>-</v>
      </c>
      <c r="S335" s="629" t="str">
        <f t="shared" si="377"/>
        <v>-</v>
      </c>
      <c r="T335" s="630">
        <f t="shared" si="377"/>
        <v>0</v>
      </c>
    </row>
    <row r="336" spans="1:20" ht="13" hidden="1">
      <c r="A336" s="1555"/>
      <c r="B336" s="628">
        <v>6</v>
      </c>
      <c r="C336" s="629">
        <f>C65</f>
        <v>37</v>
      </c>
      <c r="D336" s="629">
        <f t="shared" ref="D336:F336" si="378">D65</f>
        <v>0.1</v>
      </c>
      <c r="E336" s="629">
        <f t="shared" si="378"/>
        <v>-1.1000000000000001</v>
      </c>
      <c r="F336" s="629">
        <f t="shared" si="378"/>
        <v>0.60000000000000009</v>
      </c>
      <c r="G336" s="589"/>
      <c r="H336" s="1558"/>
      <c r="I336" s="628">
        <v>6</v>
      </c>
      <c r="J336" s="629">
        <f>I65</f>
        <v>80</v>
      </c>
      <c r="K336" s="629">
        <f t="shared" ref="K336:M336" si="379">J65</f>
        <v>-6.3</v>
      </c>
      <c r="L336" s="629">
        <f t="shared" si="379"/>
        <v>0.8</v>
      </c>
      <c r="M336" s="629">
        <f t="shared" si="379"/>
        <v>3.55</v>
      </c>
      <c r="N336" s="589"/>
      <c r="O336" s="1558"/>
      <c r="P336" s="628">
        <v>6</v>
      </c>
      <c r="Q336" s="629">
        <f>O65</f>
        <v>1005</v>
      </c>
      <c r="R336" s="629">
        <f t="shared" ref="R336:T336" si="380">P65</f>
        <v>0.9</v>
      </c>
      <c r="S336" s="629">
        <f t="shared" si="380"/>
        <v>-0.3</v>
      </c>
      <c r="T336" s="630">
        <f t="shared" si="380"/>
        <v>0.6</v>
      </c>
    </row>
    <row r="337" spans="1:20" ht="13" hidden="1">
      <c r="A337" s="1555"/>
      <c r="B337" s="628">
        <v>7</v>
      </c>
      <c r="C337" s="629">
        <f>C76</f>
        <v>37</v>
      </c>
      <c r="D337" s="629">
        <f t="shared" ref="D337:F337" si="381">D76</f>
        <v>9.9999999999999995E-7</v>
      </c>
      <c r="E337" s="629">
        <f t="shared" si="381"/>
        <v>-1.4</v>
      </c>
      <c r="F337" s="629">
        <f t="shared" si="381"/>
        <v>0.70000049999999991</v>
      </c>
      <c r="G337" s="589"/>
      <c r="H337" s="1558"/>
      <c r="I337" s="628">
        <v>7</v>
      </c>
      <c r="J337" s="629">
        <f>I76</f>
        <v>80</v>
      </c>
      <c r="K337" s="629">
        <f t="shared" ref="K337:M337" si="382">J76</f>
        <v>-2.6</v>
      </c>
      <c r="L337" s="629">
        <f t="shared" si="382"/>
        <v>1.2</v>
      </c>
      <c r="M337" s="629">
        <f t="shared" si="382"/>
        <v>1.9</v>
      </c>
      <c r="N337" s="589"/>
      <c r="O337" s="1558"/>
      <c r="P337" s="628">
        <v>7</v>
      </c>
      <c r="Q337" s="629">
        <f>O76</f>
        <v>1005</v>
      </c>
      <c r="R337" s="629">
        <f t="shared" ref="R337:T337" si="383">P76</f>
        <v>-3.8</v>
      </c>
      <c r="S337" s="629">
        <f t="shared" si="383"/>
        <v>-0.5</v>
      </c>
      <c r="T337" s="630">
        <f t="shared" si="383"/>
        <v>1.65</v>
      </c>
    </row>
    <row r="338" spans="1:20" ht="13" hidden="1">
      <c r="A338" s="1555"/>
      <c r="B338" s="628">
        <v>8</v>
      </c>
      <c r="C338" s="629">
        <f>C87</f>
        <v>37</v>
      </c>
      <c r="D338" s="629">
        <f t="shared" ref="D338:F338" si="384">D87</f>
        <v>-0.1</v>
      </c>
      <c r="E338" s="629">
        <f t="shared" si="384"/>
        <v>-0.5</v>
      </c>
      <c r="F338" s="629">
        <f t="shared" si="384"/>
        <v>0.2</v>
      </c>
      <c r="G338" s="589"/>
      <c r="H338" s="1558"/>
      <c r="I338" s="628">
        <v>8</v>
      </c>
      <c r="J338" s="629">
        <f>I87</f>
        <v>80</v>
      </c>
      <c r="K338" s="629">
        <f t="shared" ref="K338:M338" si="385">J87</f>
        <v>-4.5</v>
      </c>
      <c r="L338" s="629">
        <f t="shared" si="385"/>
        <v>-1.2</v>
      </c>
      <c r="M338" s="629">
        <f t="shared" si="385"/>
        <v>1.65</v>
      </c>
      <c r="N338" s="589"/>
      <c r="O338" s="1558"/>
      <c r="P338" s="628">
        <v>8</v>
      </c>
      <c r="Q338" s="629">
        <f>O87</f>
        <v>1005</v>
      </c>
      <c r="R338" s="629">
        <f t="shared" ref="R338:T338" si="386">P87</f>
        <v>-3.4</v>
      </c>
      <c r="S338" s="629">
        <f t="shared" si="386"/>
        <v>0.2</v>
      </c>
      <c r="T338" s="630">
        <f t="shared" si="386"/>
        <v>1.8</v>
      </c>
    </row>
    <row r="339" spans="1:20" ht="13" hidden="1">
      <c r="A339" s="1555"/>
      <c r="B339" s="628">
        <v>9</v>
      </c>
      <c r="C339" s="629">
        <f>C98</f>
        <v>37</v>
      </c>
      <c r="D339" s="629">
        <f t="shared" ref="D339:F339" si="387">D98</f>
        <v>-0.5</v>
      </c>
      <c r="E339" s="629" t="str">
        <f t="shared" si="387"/>
        <v>-</v>
      </c>
      <c r="F339" s="629">
        <f t="shared" si="387"/>
        <v>0</v>
      </c>
      <c r="G339" s="589"/>
      <c r="H339" s="1558"/>
      <c r="I339" s="628">
        <v>9</v>
      </c>
      <c r="J339" s="629">
        <f>I98</f>
        <v>80</v>
      </c>
      <c r="K339" s="629">
        <f t="shared" ref="K339:M339" si="388">J98</f>
        <v>-0.5</v>
      </c>
      <c r="L339" s="629" t="str">
        <f t="shared" si="388"/>
        <v>-</v>
      </c>
      <c r="M339" s="629">
        <f t="shared" si="388"/>
        <v>0</v>
      </c>
      <c r="N339" s="589"/>
      <c r="O339" s="1558"/>
      <c r="P339" s="628">
        <v>9</v>
      </c>
      <c r="Q339" s="629">
        <f>O98</f>
        <v>1005</v>
      </c>
      <c r="R339" s="629">
        <f t="shared" ref="R339:T339" si="389">P98</f>
        <v>0.2</v>
      </c>
      <c r="S339" s="629" t="str">
        <f t="shared" si="389"/>
        <v>-</v>
      </c>
      <c r="T339" s="630">
        <f t="shared" si="389"/>
        <v>0</v>
      </c>
    </row>
    <row r="340" spans="1:20" ht="13" hidden="1">
      <c r="A340" s="1555"/>
      <c r="B340" s="628">
        <v>10</v>
      </c>
      <c r="C340" s="629">
        <f>C109</f>
        <v>37</v>
      </c>
      <c r="D340" s="629">
        <f t="shared" ref="D340:F340" si="390">D109</f>
        <v>0.2</v>
      </c>
      <c r="E340" s="629">
        <f t="shared" si="390"/>
        <v>0.4</v>
      </c>
      <c r="F340" s="629">
        <f t="shared" si="390"/>
        <v>0.1</v>
      </c>
      <c r="G340" s="589"/>
      <c r="H340" s="1558"/>
      <c r="I340" s="628">
        <v>10</v>
      </c>
      <c r="J340" s="629">
        <f>I109</f>
        <v>80</v>
      </c>
      <c r="K340" s="629">
        <f t="shared" ref="K340:M340" si="391">J109</f>
        <v>2.2000000000000002</v>
      </c>
      <c r="L340" s="629">
        <f t="shared" si="391"/>
        <v>-4.7</v>
      </c>
      <c r="M340" s="629">
        <f t="shared" si="391"/>
        <v>3.45</v>
      </c>
      <c r="N340" s="589"/>
      <c r="O340" s="1558"/>
      <c r="P340" s="628">
        <v>10</v>
      </c>
      <c r="Q340" s="629">
        <f>O109</f>
        <v>1005</v>
      </c>
      <c r="R340" s="629" t="str">
        <f t="shared" ref="R340:T340" si="392">P109</f>
        <v>-</v>
      </c>
      <c r="S340" s="629" t="str">
        <f t="shared" si="392"/>
        <v>-</v>
      </c>
      <c r="T340" s="630">
        <f t="shared" si="392"/>
        <v>0</v>
      </c>
    </row>
    <row r="341" spans="1:20" ht="13" hidden="1">
      <c r="A341" s="1555"/>
      <c r="B341" s="628">
        <v>11</v>
      </c>
      <c r="C341" s="629">
        <f>C120</f>
        <v>37</v>
      </c>
      <c r="D341" s="629">
        <f t="shared" ref="D341:F341" si="393">D120</f>
        <v>0.5</v>
      </c>
      <c r="E341" s="629">
        <f t="shared" si="393"/>
        <v>0.5</v>
      </c>
      <c r="F341" s="629">
        <f t="shared" si="393"/>
        <v>0</v>
      </c>
      <c r="G341" s="589"/>
      <c r="H341" s="1558"/>
      <c r="I341" s="628">
        <v>11</v>
      </c>
      <c r="J341" s="629">
        <f>I120</f>
        <v>80</v>
      </c>
      <c r="K341" s="629">
        <f t="shared" ref="K341:M341" si="394">J120</f>
        <v>-1.4</v>
      </c>
      <c r="L341" s="629">
        <f t="shared" si="394"/>
        <v>2.6</v>
      </c>
      <c r="M341" s="629">
        <f t="shared" si="394"/>
        <v>2</v>
      </c>
      <c r="N341" s="589"/>
      <c r="O341" s="1558"/>
      <c r="P341" s="628">
        <v>11</v>
      </c>
      <c r="Q341" s="629">
        <f>O120</f>
        <v>1005</v>
      </c>
      <c r="R341" s="629" t="str">
        <f t="shared" ref="R341:T341" si="395">P120</f>
        <v>-</v>
      </c>
      <c r="S341" s="629" t="str">
        <f t="shared" si="395"/>
        <v>-</v>
      </c>
      <c r="T341" s="630">
        <f t="shared" si="395"/>
        <v>0</v>
      </c>
    </row>
    <row r="342" spans="1:20" ht="13" hidden="1">
      <c r="A342" s="1555"/>
      <c r="B342" s="628">
        <v>12</v>
      </c>
      <c r="C342" s="629">
        <f>C131</f>
        <v>37</v>
      </c>
      <c r="D342" s="629">
        <f t="shared" ref="D342:F342" si="396">D131</f>
        <v>-0.3</v>
      </c>
      <c r="E342" s="629" t="str">
        <f t="shared" si="396"/>
        <v>-</v>
      </c>
      <c r="F342" s="629">
        <f t="shared" si="396"/>
        <v>0</v>
      </c>
      <c r="G342" s="589"/>
      <c r="H342" s="1558"/>
      <c r="I342" s="628">
        <v>12</v>
      </c>
      <c r="J342" s="629">
        <f>I131</f>
        <v>80</v>
      </c>
      <c r="K342" s="629">
        <f t="shared" ref="K342:M342" si="397">J131</f>
        <v>-0.5</v>
      </c>
      <c r="L342" s="629" t="str">
        <f t="shared" si="397"/>
        <v>-</v>
      </c>
      <c r="M342" s="629">
        <f t="shared" si="397"/>
        <v>0</v>
      </c>
      <c r="N342" s="589"/>
      <c r="O342" s="1558"/>
      <c r="P342" s="628">
        <v>12</v>
      </c>
      <c r="Q342" s="629">
        <f>O131</f>
        <v>1005</v>
      </c>
      <c r="R342" s="629">
        <f t="shared" ref="R342:T342" si="398">P131</f>
        <v>-0.8</v>
      </c>
      <c r="S342" s="629" t="str">
        <f t="shared" si="398"/>
        <v>-</v>
      </c>
      <c r="T342" s="630">
        <f t="shared" si="398"/>
        <v>0</v>
      </c>
    </row>
    <row r="343" spans="1:20" ht="13" hidden="1">
      <c r="A343" s="1555"/>
      <c r="B343" s="628">
        <v>13</v>
      </c>
      <c r="C343" s="629">
        <f>C142</f>
        <v>37</v>
      </c>
      <c r="D343" s="629">
        <f t="shared" ref="D343:F343" si="399">D142</f>
        <v>0.4</v>
      </c>
      <c r="E343" s="629" t="str">
        <f t="shared" si="399"/>
        <v>-</v>
      </c>
      <c r="F343" s="629">
        <f t="shared" si="399"/>
        <v>0</v>
      </c>
      <c r="G343" s="589"/>
      <c r="H343" s="1558"/>
      <c r="I343" s="628">
        <v>13</v>
      </c>
      <c r="J343" s="629">
        <f>I142</f>
        <v>80</v>
      </c>
      <c r="K343" s="629">
        <f t="shared" ref="K343:M343" si="400">J142</f>
        <v>-2.5</v>
      </c>
      <c r="L343" s="629" t="str">
        <f t="shared" si="400"/>
        <v>-</v>
      </c>
      <c r="M343" s="629">
        <f t="shared" si="400"/>
        <v>0</v>
      </c>
      <c r="N343" s="589"/>
      <c r="O343" s="1558"/>
      <c r="P343" s="628">
        <v>13</v>
      </c>
      <c r="Q343" s="629">
        <f>O142</f>
        <v>1005</v>
      </c>
      <c r="R343" s="629">
        <f t="shared" ref="R343:T343" si="401">P142</f>
        <v>1.1000000000000001</v>
      </c>
      <c r="S343" s="629" t="str">
        <f t="shared" si="401"/>
        <v>-</v>
      </c>
      <c r="T343" s="630">
        <f t="shared" si="401"/>
        <v>0</v>
      </c>
    </row>
    <row r="344" spans="1:20" ht="13" hidden="1">
      <c r="A344" s="1555"/>
      <c r="B344" s="628">
        <v>14</v>
      </c>
      <c r="C344" s="629">
        <f>C153</f>
        <v>37</v>
      </c>
      <c r="D344" s="629">
        <f t="shared" ref="D344:F344" si="402">D153</f>
        <v>-0.8</v>
      </c>
      <c r="E344" s="629" t="str">
        <f t="shared" si="402"/>
        <v>-</v>
      </c>
      <c r="F344" s="629">
        <f t="shared" si="402"/>
        <v>0</v>
      </c>
      <c r="G344" s="589"/>
      <c r="H344" s="1558"/>
      <c r="I344" s="628">
        <v>14</v>
      </c>
      <c r="J344" s="629">
        <f>I153</f>
        <v>80</v>
      </c>
      <c r="K344" s="629">
        <f t="shared" ref="K344:M344" si="403">J153</f>
        <v>-0.9</v>
      </c>
      <c r="L344" s="629" t="str">
        <f t="shared" si="403"/>
        <v>-</v>
      </c>
      <c r="M344" s="629">
        <f t="shared" si="403"/>
        <v>0</v>
      </c>
      <c r="N344" s="589"/>
      <c r="O344" s="1558"/>
      <c r="P344" s="628">
        <v>14</v>
      </c>
      <c r="Q344" s="629">
        <f>O153</f>
        <v>1005</v>
      </c>
      <c r="R344" s="629">
        <f t="shared" ref="R344:T344" si="404">P153</f>
        <v>1.1000000000000001</v>
      </c>
      <c r="S344" s="629" t="str">
        <f t="shared" si="404"/>
        <v>-</v>
      </c>
      <c r="T344" s="630">
        <f t="shared" si="404"/>
        <v>0</v>
      </c>
    </row>
    <row r="345" spans="1:20" ht="13" hidden="1">
      <c r="A345" s="1555"/>
      <c r="B345" s="628">
        <v>15</v>
      </c>
      <c r="C345" s="629">
        <f>C164</f>
        <v>37</v>
      </c>
      <c r="D345" s="629">
        <f t="shared" ref="D345:F345" si="405">D164</f>
        <v>-0.1</v>
      </c>
      <c r="E345" s="629" t="str">
        <f t="shared" si="405"/>
        <v>-</v>
      </c>
      <c r="F345" s="629">
        <f t="shared" si="405"/>
        <v>0</v>
      </c>
      <c r="G345" s="589"/>
      <c r="H345" s="1558"/>
      <c r="I345" s="628">
        <v>15</v>
      </c>
      <c r="J345" s="629">
        <f>I164</f>
        <v>80</v>
      </c>
      <c r="K345" s="629">
        <f t="shared" ref="K345:M345" si="406">J164</f>
        <v>-1.3</v>
      </c>
      <c r="L345" s="629" t="str">
        <f t="shared" si="406"/>
        <v>-</v>
      </c>
      <c r="M345" s="629">
        <f t="shared" si="406"/>
        <v>0</v>
      </c>
      <c r="N345" s="589"/>
      <c r="O345" s="1558"/>
      <c r="P345" s="628">
        <v>15</v>
      </c>
      <c r="Q345" s="629">
        <f>O164</f>
        <v>1005</v>
      </c>
      <c r="R345" s="629">
        <f t="shared" ref="R345:T345" si="407">P164</f>
        <v>1.1000000000000001</v>
      </c>
      <c r="S345" s="629" t="str">
        <f t="shared" si="407"/>
        <v>-</v>
      </c>
      <c r="T345" s="630">
        <f t="shared" si="407"/>
        <v>0</v>
      </c>
    </row>
    <row r="346" spans="1:20" ht="13" hidden="1">
      <c r="A346" s="1555"/>
      <c r="B346" s="628">
        <v>16</v>
      </c>
      <c r="C346" s="629">
        <f>C175</f>
        <v>37</v>
      </c>
      <c r="D346" s="629">
        <f t="shared" ref="D346:F346" si="408">D175</f>
        <v>9.9999999999999995E-7</v>
      </c>
      <c r="E346" s="629" t="str">
        <f t="shared" si="408"/>
        <v>-</v>
      </c>
      <c r="F346" s="629">
        <f t="shared" si="408"/>
        <v>0</v>
      </c>
      <c r="G346" s="589"/>
      <c r="H346" s="1558"/>
      <c r="I346" s="628">
        <v>16</v>
      </c>
      <c r="J346" s="629">
        <f>I175</f>
        <v>80</v>
      </c>
      <c r="K346" s="629">
        <f t="shared" ref="K346:M346" si="409">J175</f>
        <v>-2.2999999999999998</v>
      </c>
      <c r="L346" s="629" t="str">
        <f t="shared" si="409"/>
        <v>-</v>
      </c>
      <c r="M346" s="629">
        <f t="shared" si="409"/>
        <v>0</v>
      </c>
      <c r="N346" s="589"/>
      <c r="O346" s="1558"/>
      <c r="P346" s="628">
        <v>16</v>
      </c>
      <c r="Q346" s="629">
        <f>O175</f>
        <v>1005</v>
      </c>
      <c r="R346" s="629">
        <f t="shared" ref="R346:T346" si="410">P175</f>
        <v>-0.4</v>
      </c>
      <c r="S346" s="629" t="str">
        <f t="shared" si="410"/>
        <v>-</v>
      </c>
      <c r="T346" s="630">
        <f t="shared" si="410"/>
        <v>0</v>
      </c>
    </row>
    <row r="347" spans="1:20" ht="13" hidden="1">
      <c r="A347" s="1555"/>
      <c r="B347" s="628">
        <v>17</v>
      </c>
      <c r="C347" s="629">
        <f>C186</f>
        <v>37</v>
      </c>
      <c r="D347" s="629">
        <f t="shared" ref="D347:F347" si="411">D186</f>
        <v>-0.6</v>
      </c>
      <c r="E347" s="629" t="str">
        <f t="shared" si="411"/>
        <v>-</v>
      </c>
      <c r="F347" s="629">
        <f t="shared" si="411"/>
        <v>0</v>
      </c>
      <c r="G347" s="589"/>
      <c r="H347" s="1558"/>
      <c r="I347" s="628">
        <v>17</v>
      </c>
      <c r="J347" s="629">
        <f>I186</f>
        <v>80</v>
      </c>
      <c r="K347" s="629">
        <f t="shared" ref="K347:M347" si="412">J186</f>
        <v>-0.8</v>
      </c>
      <c r="L347" s="629" t="str">
        <f t="shared" si="412"/>
        <v>-</v>
      </c>
      <c r="M347" s="629">
        <f t="shared" si="412"/>
        <v>0</v>
      </c>
      <c r="N347" s="589"/>
      <c r="O347" s="1558"/>
      <c r="P347" s="628">
        <v>17</v>
      </c>
      <c r="Q347" s="629">
        <f>O186</f>
        <v>1005</v>
      </c>
      <c r="R347" s="629">
        <f t="shared" ref="R347:T347" si="413">P186</f>
        <v>-0.6</v>
      </c>
      <c r="S347" s="629" t="str">
        <f t="shared" si="413"/>
        <v>-</v>
      </c>
      <c r="T347" s="630">
        <f t="shared" si="413"/>
        <v>0</v>
      </c>
    </row>
    <row r="348" spans="1:20" ht="13" hidden="1">
      <c r="A348" s="1555"/>
      <c r="B348" s="628">
        <v>18</v>
      </c>
      <c r="C348" s="629">
        <f>C197</f>
        <v>37</v>
      </c>
      <c r="D348" s="629">
        <f t="shared" ref="D348:F348" si="414">D197</f>
        <v>-0.3</v>
      </c>
      <c r="E348" s="629" t="str">
        <f t="shared" si="414"/>
        <v>-</v>
      </c>
      <c r="F348" s="629">
        <f t="shared" si="414"/>
        <v>0</v>
      </c>
      <c r="G348" s="589"/>
      <c r="H348" s="1558"/>
      <c r="I348" s="628">
        <v>18</v>
      </c>
      <c r="J348" s="629">
        <f>I197</f>
        <v>80</v>
      </c>
      <c r="K348" s="629">
        <f t="shared" ref="K348:M348" si="415">J197</f>
        <v>-0.5</v>
      </c>
      <c r="L348" s="629" t="str">
        <f t="shared" si="415"/>
        <v>-</v>
      </c>
      <c r="M348" s="629">
        <f t="shared" si="415"/>
        <v>0</v>
      </c>
      <c r="N348" s="589"/>
      <c r="O348" s="1558"/>
      <c r="P348" s="628">
        <v>18</v>
      </c>
      <c r="Q348" s="629">
        <f>O197</f>
        <v>1005</v>
      </c>
      <c r="R348" s="629">
        <f t="shared" ref="R348:T348" si="416">P197</f>
        <v>-0.7</v>
      </c>
      <c r="S348" s="629" t="str">
        <f t="shared" si="416"/>
        <v>-</v>
      </c>
      <c r="T348" s="630">
        <f t="shared" si="416"/>
        <v>0</v>
      </c>
    </row>
    <row r="349" spans="1:20" ht="13" hidden="1">
      <c r="A349" s="1555"/>
      <c r="B349" s="628">
        <v>19</v>
      </c>
      <c r="C349" s="629">
        <f>C208</f>
        <v>37</v>
      </c>
      <c r="D349" s="629">
        <f t="shared" ref="D349:F349" si="417">D208</f>
        <v>9.9999999999999995E-7</v>
      </c>
      <c r="E349" s="629" t="str">
        <f t="shared" si="417"/>
        <v>-</v>
      </c>
      <c r="F349" s="629">
        <f t="shared" si="417"/>
        <v>0</v>
      </c>
      <c r="G349" s="589"/>
      <c r="H349" s="1558"/>
      <c r="I349" s="628">
        <v>19</v>
      </c>
      <c r="J349" s="629">
        <f>I208</f>
        <v>80</v>
      </c>
      <c r="K349" s="629">
        <f t="shared" ref="K349:M349" si="418">J208</f>
        <v>-0.9</v>
      </c>
      <c r="L349" s="629" t="str">
        <f t="shared" si="418"/>
        <v>-</v>
      </c>
      <c r="M349" s="629">
        <f t="shared" si="418"/>
        <v>0</v>
      </c>
      <c r="N349" s="589"/>
      <c r="O349" s="1558"/>
      <c r="P349" s="628">
        <v>19</v>
      </c>
      <c r="Q349" s="629">
        <f>O208</f>
        <v>1005</v>
      </c>
      <c r="R349" s="629">
        <f t="shared" ref="R349:T349" si="419">P208</f>
        <v>2.2000000000000002</v>
      </c>
      <c r="S349" s="629" t="str">
        <f t="shared" si="419"/>
        <v>-</v>
      </c>
      <c r="T349" s="630">
        <f t="shared" si="419"/>
        <v>0</v>
      </c>
    </row>
    <row r="350" spans="1:20" ht="13.5" hidden="1" thickBot="1">
      <c r="A350" s="1556"/>
      <c r="B350" s="639">
        <v>20</v>
      </c>
      <c r="C350" s="656">
        <f>C219</f>
        <v>39.5</v>
      </c>
      <c r="D350" s="656">
        <f t="shared" ref="D350:F350" si="420">D219</f>
        <v>9.9999999999999995E-7</v>
      </c>
      <c r="E350" s="656" t="str">
        <f t="shared" si="420"/>
        <v>-</v>
      </c>
      <c r="F350" s="656">
        <f t="shared" si="420"/>
        <v>0</v>
      </c>
      <c r="G350" s="641"/>
      <c r="H350" s="1559"/>
      <c r="I350" s="639">
        <v>20</v>
      </c>
      <c r="J350" s="656">
        <f>I219</f>
        <v>88.7</v>
      </c>
      <c r="K350" s="656">
        <f t="shared" ref="K350:M350" si="421">J219</f>
        <v>9.9999999999999995E-7</v>
      </c>
      <c r="L350" s="656" t="str">
        <f t="shared" si="421"/>
        <v>-</v>
      </c>
      <c r="M350" s="656">
        <f t="shared" si="421"/>
        <v>0</v>
      </c>
      <c r="N350" s="641"/>
      <c r="O350" s="1559"/>
      <c r="P350" s="639">
        <v>20</v>
      </c>
      <c r="Q350" s="656">
        <f>O219</f>
        <v>1005</v>
      </c>
      <c r="R350" s="656" t="str">
        <f t="shared" ref="R350:T350" si="422">P219</f>
        <v>-</v>
      </c>
      <c r="S350" s="656" t="str">
        <f t="shared" si="422"/>
        <v>-</v>
      </c>
      <c r="T350" s="657">
        <f t="shared" si="422"/>
        <v>0</v>
      </c>
    </row>
    <row r="351" spans="1:20" ht="13" hidden="1">
      <c r="A351" s="644"/>
      <c r="B351" s="645"/>
      <c r="C351" s="658"/>
      <c r="D351" s="658"/>
      <c r="E351" s="658"/>
      <c r="F351" s="659"/>
      <c r="G351" s="648"/>
      <c r="H351" s="664"/>
      <c r="I351" s="645"/>
      <c r="J351" s="658"/>
      <c r="K351" s="658"/>
      <c r="L351" s="658"/>
      <c r="M351" s="659"/>
      <c r="N351" s="589"/>
      <c r="O351" s="664"/>
      <c r="P351" s="645"/>
      <c r="Q351" s="658"/>
      <c r="R351" s="658"/>
      <c r="S351" s="658"/>
      <c r="T351" s="659"/>
    </row>
    <row r="352" spans="1:20" ht="13" hidden="1">
      <c r="A352" s="1566">
        <v>7</v>
      </c>
      <c r="B352" s="651">
        <v>1</v>
      </c>
      <c r="C352" s="660">
        <f>C11</f>
        <v>40</v>
      </c>
      <c r="D352" s="660">
        <f t="shared" ref="D352:F352" si="423">D11</f>
        <v>-0.3</v>
      </c>
      <c r="E352" s="660">
        <f t="shared" si="423"/>
        <v>-0.8</v>
      </c>
      <c r="F352" s="660">
        <f t="shared" si="423"/>
        <v>0.25</v>
      </c>
      <c r="G352" s="653"/>
      <c r="H352" s="1567">
        <v>7</v>
      </c>
      <c r="I352" s="651">
        <v>1</v>
      </c>
      <c r="J352" s="660">
        <f>I11</f>
        <v>90</v>
      </c>
      <c r="K352" s="660">
        <f t="shared" ref="K352:M352" si="424">J11</f>
        <v>-1.6</v>
      </c>
      <c r="L352" s="660">
        <f t="shared" si="424"/>
        <v>4.5</v>
      </c>
      <c r="M352" s="660">
        <f t="shared" si="424"/>
        <v>3.05</v>
      </c>
      <c r="N352" s="653"/>
      <c r="O352" s="1567">
        <v>7</v>
      </c>
      <c r="P352" s="651">
        <v>1</v>
      </c>
      <c r="Q352" s="660">
        <f>O11</f>
        <v>1020</v>
      </c>
      <c r="R352" s="660" t="str">
        <f t="shared" ref="R352:T352" si="425">P11</f>
        <v>-</v>
      </c>
      <c r="S352" s="660" t="str">
        <f t="shared" si="425"/>
        <v>-</v>
      </c>
      <c r="T352" s="661">
        <f t="shared" si="425"/>
        <v>0</v>
      </c>
    </row>
    <row r="353" spans="1:20" ht="13" hidden="1">
      <c r="A353" s="1561"/>
      <c r="B353" s="628">
        <v>2</v>
      </c>
      <c r="C353" s="629">
        <f>C22</f>
        <v>40</v>
      </c>
      <c r="D353" s="629">
        <f t="shared" ref="D353:F353" si="426">D22</f>
        <v>-0.1</v>
      </c>
      <c r="E353" s="629">
        <f t="shared" si="426"/>
        <v>-0.3</v>
      </c>
      <c r="F353" s="629">
        <f t="shared" si="426"/>
        <v>9.9999999999999992E-2</v>
      </c>
      <c r="G353" s="589"/>
      <c r="H353" s="1564"/>
      <c r="I353" s="628">
        <v>2</v>
      </c>
      <c r="J353" s="629">
        <f>I22</f>
        <v>90</v>
      </c>
      <c r="K353" s="629">
        <f t="shared" ref="K353:M353" si="427">J22</f>
        <v>1.7</v>
      </c>
      <c r="L353" s="629">
        <f t="shared" si="427"/>
        <v>-0.3</v>
      </c>
      <c r="M353" s="629">
        <f t="shared" si="427"/>
        <v>1</v>
      </c>
      <c r="N353" s="589"/>
      <c r="O353" s="1564"/>
      <c r="P353" s="628">
        <v>2</v>
      </c>
      <c r="Q353" s="629">
        <f>O22</f>
        <v>1020</v>
      </c>
      <c r="R353" s="629" t="str">
        <f t="shared" ref="R353:T353" si="428">P22</f>
        <v>-</v>
      </c>
      <c r="S353" s="629" t="str">
        <f t="shared" si="428"/>
        <v>-</v>
      </c>
      <c r="T353" s="630">
        <f t="shared" si="428"/>
        <v>0</v>
      </c>
    </row>
    <row r="354" spans="1:20" ht="13" hidden="1">
      <c r="A354" s="1561"/>
      <c r="B354" s="628">
        <v>3</v>
      </c>
      <c r="C354" s="629">
        <f>C33</f>
        <v>40</v>
      </c>
      <c r="D354" s="629">
        <f t="shared" ref="D354:F354" si="429">D33</f>
        <v>0.2</v>
      </c>
      <c r="E354" s="629">
        <f t="shared" si="429"/>
        <v>-0.7</v>
      </c>
      <c r="F354" s="629">
        <f t="shared" si="429"/>
        <v>0.44999999999999996</v>
      </c>
      <c r="G354" s="589"/>
      <c r="H354" s="1564"/>
      <c r="I354" s="628">
        <v>3</v>
      </c>
      <c r="J354" s="629">
        <f>I33</f>
        <v>90</v>
      </c>
      <c r="K354" s="629">
        <f t="shared" ref="K354:M354" si="430">J33</f>
        <v>0.3</v>
      </c>
      <c r="L354" s="629">
        <f t="shared" si="430"/>
        <v>-2</v>
      </c>
      <c r="M354" s="629">
        <f t="shared" si="430"/>
        <v>1.1499999999999999</v>
      </c>
      <c r="N354" s="589"/>
      <c r="O354" s="1564"/>
      <c r="P354" s="628">
        <v>3</v>
      </c>
      <c r="Q354" s="629">
        <f>O33</f>
        <v>1020</v>
      </c>
      <c r="R354" s="629" t="str">
        <f t="shared" ref="R354:T354" si="431">P33</f>
        <v>-</v>
      </c>
      <c r="S354" s="629" t="str">
        <f t="shared" si="431"/>
        <v>-</v>
      </c>
      <c r="T354" s="630">
        <f t="shared" si="431"/>
        <v>0</v>
      </c>
    </row>
    <row r="355" spans="1:20" ht="13" hidden="1">
      <c r="A355" s="1561"/>
      <c r="B355" s="628">
        <v>4</v>
      </c>
      <c r="C355" s="629">
        <f>C44</f>
        <v>40</v>
      </c>
      <c r="D355" s="629">
        <f t="shared" ref="D355:F355" si="432">D44</f>
        <v>-0.5</v>
      </c>
      <c r="E355" s="629">
        <f t="shared" si="432"/>
        <v>-0.6</v>
      </c>
      <c r="F355" s="629">
        <f t="shared" si="432"/>
        <v>4.9999999999999989E-2</v>
      </c>
      <c r="G355" s="589"/>
      <c r="H355" s="1564"/>
      <c r="I355" s="628">
        <v>4</v>
      </c>
      <c r="J355" s="629">
        <f>I44</f>
        <v>90</v>
      </c>
      <c r="K355" s="629">
        <f t="shared" ref="K355:M355" si="433">J44</f>
        <v>-3.5</v>
      </c>
      <c r="L355" s="629">
        <f t="shared" si="433"/>
        <v>3.3</v>
      </c>
      <c r="M355" s="629">
        <f t="shared" si="433"/>
        <v>3.4</v>
      </c>
      <c r="N355" s="589"/>
      <c r="O355" s="1564"/>
      <c r="P355" s="628">
        <v>4</v>
      </c>
      <c r="Q355" s="629">
        <f>O44</f>
        <v>1020</v>
      </c>
      <c r="R355" s="629" t="str">
        <f t="shared" ref="R355:T355" si="434">P44</f>
        <v>-</v>
      </c>
      <c r="S355" s="629" t="str">
        <f t="shared" si="434"/>
        <v>-</v>
      </c>
      <c r="T355" s="630">
        <f t="shared" si="434"/>
        <v>0</v>
      </c>
    </row>
    <row r="356" spans="1:20" ht="13" hidden="1">
      <c r="A356" s="1561"/>
      <c r="B356" s="628">
        <v>5</v>
      </c>
      <c r="C356" s="629">
        <f>C55</f>
        <v>40</v>
      </c>
      <c r="D356" s="629">
        <f t="shared" ref="D356:F356" si="435">D55</f>
        <v>0.7</v>
      </c>
      <c r="E356" s="629">
        <f t="shared" si="435"/>
        <v>-0.1</v>
      </c>
      <c r="F356" s="629">
        <f t="shared" si="435"/>
        <v>0.39999999999999997</v>
      </c>
      <c r="G356" s="589"/>
      <c r="H356" s="1564"/>
      <c r="I356" s="628">
        <v>5</v>
      </c>
      <c r="J356" s="629">
        <f>I55</f>
        <v>90</v>
      </c>
      <c r="K356" s="629">
        <f t="shared" ref="K356:M356" si="436">J55</f>
        <v>-1.8</v>
      </c>
      <c r="L356" s="629">
        <f t="shared" si="436"/>
        <v>2.7</v>
      </c>
      <c r="M356" s="629">
        <f t="shared" si="436"/>
        <v>2.25</v>
      </c>
      <c r="N356" s="589"/>
      <c r="O356" s="1564"/>
      <c r="P356" s="628">
        <v>5</v>
      </c>
      <c r="Q356" s="629">
        <f>O55</f>
        <v>1020</v>
      </c>
      <c r="R356" s="629" t="str">
        <f t="shared" ref="R356:T356" si="437">P55</f>
        <v>-</v>
      </c>
      <c r="S356" s="629" t="str">
        <f t="shared" si="437"/>
        <v>-</v>
      </c>
      <c r="T356" s="630">
        <f t="shared" si="437"/>
        <v>0</v>
      </c>
    </row>
    <row r="357" spans="1:20" ht="13" hidden="1">
      <c r="A357" s="1561"/>
      <c r="B357" s="628">
        <v>6</v>
      </c>
      <c r="C357" s="629">
        <f>C66</f>
        <v>40</v>
      </c>
      <c r="D357" s="629">
        <f t="shared" ref="D357:F357" si="438">D66</f>
        <v>0.1</v>
      </c>
      <c r="E357" s="629">
        <f t="shared" si="438"/>
        <v>-1.4</v>
      </c>
      <c r="F357" s="629">
        <f t="shared" si="438"/>
        <v>0.75</v>
      </c>
      <c r="G357" s="589"/>
      <c r="H357" s="1564"/>
      <c r="I357" s="628">
        <v>6</v>
      </c>
      <c r="J357" s="629">
        <f>I66</f>
        <v>90</v>
      </c>
      <c r="K357" s="629">
        <f t="shared" ref="K357:M357" si="439">J66</f>
        <v>-5.2</v>
      </c>
      <c r="L357" s="629">
        <f t="shared" si="439"/>
        <v>0.7</v>
      </c>
      <c r="M357" s="629">
        <f t="shared" si="439"/>
        <v>2.95</v>
      </c>
      <c r="N357" s="589"/>
      <c r="O357" s="1564"/>
      <c r="P357" s="628">
        <v>6</v>
      </c>
      <c r="Q357" s="629">
        <f>O66</f>
        <v>1020</v>
      </c>
      <c r="R357" s="629">
        <f t="shared" ref="R357:T357" si="440">P66</f>
        <v>0.9</v>
      </c>
      <c r="S357" s="629">
        <f t="shared" si="440"/>
        <v>9.9999999999999995E-7</v>
      </c>
      <c r="T357" s="630">
        <f t="shared" si="440"/>
        <v>0.4499995</v>
      </c>
    </row>
    <row r="358" spans="1:20" ht="13" hidden="1">
      <c r="A358" s="1561"/>
      <c r="B358" s="628">
        <v>7</v>
      </c>
      <c r="C358" s="629">
        <f>C77</f>
        <v>40</v>
      </c>
      <c r="D358" s="629">
        <f t="shared" ref="D358:F358" si="441">D77</f>
        <v>0.1</v>
      </c>
      <c r="E358" s="629">
        <f t="shared" si="441"/>
        <v>-1.7</v>
      </c>
      <c r="F358" s="629">
        <f t="shared" si="441"/>
        <v>0.9</v>
      </c>
      <c r="G358" s="589"/>
      <c r="H358" s="1564"/>
      <c r="I358" s="628">
        <v>7</v>
      </c>
      <c r="J358" s="629">
        <f>I77</f>
        <v>90</v>
      </c>
      <c r="K358" s="629">
        <f t="shared" ref="K358:M358" si="442">J77</f>
        <v>-3</v>
      </c>
      <c r="L358" s="629">
        <f t="shared" si="442"/>
        <v>1.8</v>
      </c>
      <c r="M358" s="629">
        <f t="shared" si="442"/>
        <v>2.4</v>
      </c>
      <c r="N358" s="589"/>
      <c r="O358" s="1564"/>
      <c r="P358" s="628">
        <v>7</v>
      </c>
      <c r="Q358" s="629">
        <f>O77</f>
        <v>1020</v>
      </c>
      <c r="R358" s="629">
        <f t="shared" ref="R358:T358" si="443">P77</f>
        <v>-3.8</v>
      </c>
      <c r="S358" s="629">
        <f t="shared" si="443"/>
        <v>9.9999999999999995E-7</v>
      </c>
      <c r="T358" s="630">
        <f t="shared" si="443"/>
        <v>1.9000005</v>
      </c>
    </row>
    <row r="359" spans="1:20" ht="13" hidden="1">
      <c r="A359" s="1561"/>
      <c r="B359" s="628">
        <v>8</v>
      </c>
      <c r="C359" s="629">
        <f>C88</f>
        <v>40</v>
      </c>
      <c r="D359" s="629">
        <f t="shared" ref="D359:F359" si="444">D88</f>
        <v>9.9999999999999995E-7</v>
      </c>
      <c r="E359" s="629">
        <f t="shared" si="444"/>
        <v>-0.4</v>
      </c>
      <c r="F359" s="629">
        <f t="shared" si="444"/>
        <v>0.2000005</v>
      </c>
      <c r="G359" s="589"/>
      <c r="H359" s="1564"/>
      <c r="I359" s="628">
        <v>8</v>
      </c>
      <c r="J359" s="629">
        <f>I88</f>
        <v>90</v>
      </c>
      <c r="K359" s="629">
        <f t="shared" ref="K359:M359" si="445">J88</f>
        <v>-4.9000000000000004</v>
      </c>
      <c r="L359" s="629">
        <f t="shared" si="445"/>
        <v>-1.3</v>
      </c>
      <c r="M359" s="629">
        <f t="shared" si="445"/>
        <v>1.8000000000000003</v>
      </c>
      <c r="N359" s="589"/>
      <c r="O359" s="1564"/>
      <c r="P359" s="628">
        <v>8</v>
      </c>
      <c r="Q359" s="629">
        <f>O88</f>
        <v>1020</v>
      </c>
      <c r="R359" s="629">
        <f t="shared" ref="R359:T359" si="446">P88</f>
        <v>-3.4</v>
      </c>
      <c r="S359" s="629">
        <f t="shared" si="446"/>
        <v>9.9999999999999995E-7</v>
      </c>
      <c r="T359" s="630">
        <f t="shared" si="446"/>
        <v>1.7000005</v>
      </c>
    </row>
    <row r="360" spans="1:20" ht="13" hidden="1">
      <c r="A360" s="1561"/>
      <c r="B360" s="628">
        <v>9</v>
      </c>
      <c r="C360" s="629">
        <f>C99</f>
        <v>40</v>
      </c>
      <c r="D360" s="629">
        <f t="shared" ref="D360:F360" si="447">D99</f>
        <v>-0.4</v>
      </c>
      <c r="E360" s="629" t="str">
        <f t="shared" si="447"/>
        <v>-</v>
      </c>
      <c r="F360" s="629">
        <f t="shared" si="447"/>
        <v>0</v>
      </c>
      <c r="G360" s="589"/>
      <c r="H360" s="1564"/>
      <c r="I360" s="628">
        <v>9</v>
      </c>
      <c r="J360" s="629">
        <f>I99</f>
        <v>90</v>
      </c>
      <c r="K360" s="629">
        <f t="shared" ref="K360:M360" si="448">J99</f>
        <v>-0.2</v>
      </c>
      <c r="L360" s="629" t="str">
        <f t="shared" si="448"/>
        <v>-</v>
      </c>
      <c r="M360" s="629">
        <f t="shared" si="448"/>
        <v>0</v>
      </c>
      <c r="N360" s="589"/>
      <c r="O360" s="1564"/>
      <c r="P360" s="628">
        <v>9</v>
      </c>
      <c r="Q360" s="629">
        <f>O99</f>
        <v>1020</v>
      </c>
      <c r="R360" s="629">
        <f t="shared" ref="R360:T360" si="449">P99</f>
        <v>9.9999999999999995E-7</v>
      </c>
      <c r="S360" s="629" t="str">
        <f t="shared" si="449"/>
        <v>-</v>
      </c>
      <c r="T360" s="630">
        <f t="shared" si="449"/>
        <v>0</v>
      </c>
    </row>
    <row r="361" spans="1:20" ht="13" hidden="1">
      <c r="A361" s="1561"/>
      <c r="B361" s="628">
        <v>10</v>
      </c>
      <c r="C361" s="629">
        <f>C110</f>
        <v>40</v>
      </c>
      <c r="D361" s="629">
        <f t="shared" ref="D361:F361" si="450">D110</f>
        <v>0.2</v>
      </c>
      <c r="E361" s="629">
        <f t="shared" si="450"/>
        <v>9.9999999999999995E-7</v>
      </c>
      <c r="F361" s="629">
        <f t="shared" si="450"/>
        <v>9.9999500000000005E-2</v>
      </c>
      <c r="G361" s="589"/>
      <c r="H361" s="1564"/>
      <c r="I361" s="628">
        <v>10</v>
      </c>
      <c r="J361" s="629">
        <f>I110</f>
        <v>90</v>
      </c>
      <c r="K361" s="629">
        <f t="shared" ref="K361:M361" si="451">J110</f>
        <v>5.4</v>
      </c>
      <c r="L361" s="629">
        <f t="shared" si="451"/>
        <v>0</v>
      </c>
      <c r="M361" s="629">
        <f t="shared" si="451"/>
        <v>2.7</v>
      </c>
      <c r="N361" s="589"/>
      <c r="O361" s="1564"/>
      <c r="P361" s="628">
        <v>10</v>
      </c>
      <c r="Q361" s="629">
        <f>O110</f>
        <v>1020</v>
      </c>
      <c r="R361" s="629" t="str">
        <f t="shared" ref="R361:T361" si="452">P110</f>
        <v>-</v>
      </c>
      <c r="S361" s="629" t="str">
        <f t="shared" si="452"/>
        <v>-</v>
      </c>
      <c r="T361" s="630">
        <f t="shared" si="452"/>
        <v>0</v>
      </c>
    </row>
    <row r="362" spans="1:20" ht="13" hidden="1">
      <c r="A362" s="1561"/>
      <c r="B362" s="628">
        <v>11</v>
      </c>
      <c r="C362" s="629">
        <f>C121</f>
        <v>40</v>
      </c>
      <c r="D362" s="629">
        <f t="shared" ref="D362:F362" si="453">D121</f>
        <v>0.5</v>
      </c>
      <c r="E362" s="629">
        <f t="shared" si="453"/>
        <v>9.9999999999999995E-7</v>
      </c>
      <c r="F362" s="629">
        <f t="shared" si="453"/>
        <v>0.24999950000000001</v>
      </c>
      <c r="G362" s="589"/>
      <c r="H362" s="1564"/>
      <c r="I362" s="628">
        <v>11</v>
      </c>
      <c r="J362" s="629">
        <f>I121</f>
        <v>90</v>
      </c>
      <c r="K362" s="629">
        <f t="shared" ref="K362:M362" si="454">J121</f>
        <v>1.3</v>
      </c>
      <c r="L362" s="629">
        <f t="shared" si="454"/>
        <v>0</v>
      </c>
      <c r="M362" s="629">
        <f t="shared" si="454"/>
        <v>0.65</v>
      </c>
      <c r="N362" s="589"/>
      <c r="O362" s="1564"/>
      <c r="P362" s="628">
        <v>11</v>
      </c>
      <c r="Q362" s="629">
        <f>O121</f>
        <v>1020</v>
      </c>
      <c r="R362" s="629" t="str">
        <f t="shared" ref="R362:T362" si="455">P121</f>
        <v>-</v>
      </c>
      <c r="S362" s="629" t="str">
        <f t="shared" si="455"/>
        <v>-</v>
      </c>
      <c r="T362" s="630">
        <f t="shared" si="455"/>
        <v>0</v>
      </c>
    </row>
    <row r="363" spans="1:20" ht="13" hidden="1">
      <c r="A363" s="1561"/>
      <c r="B363" s="628">
        <v>12</v>
      </c>
      <c r="C363" s="629">
        <f>C132</f>
        <v>40</v>
      </c>
      <c r="D363" s="629">
        <f t="shared" ref="D363:F363" si="456">D132</f>
        <v>-0.4</v>
      </c>
      <c r="E363" s="629" t="str">
        <f t="shared" si="456"/>
        <v>-</v>
      </c>
      <c r="F363" s="629">
        <f t="shared" si="456"/>
        <v>0</v>
      </c>
      <c r="G363" s="589"/>
      <c r="H363" s="1564"/>
      <c r="I363" s="628">
        <v>12</v>
      </c>
      <c r="J363" s="629">
        <f>I132</f>
        <v>90</v>
      </c>
      <c r="K363" s="629">
        <f t="shared" ref="K363:M363" si="457">J132</f>
        <v>-0.9</v>
      </c>
      <c r="L363" s="629" t="str">
        <f t="shared" si="457"/>
        <v>-</v>
      </c>
      <c r="M363" s="629">
        <f t="shared" si="457"/>
        <v>0</v>
      </c>
      <c r="N363" s="589"/>
      <c r="O363" s="1564"/>
      <c r="P363" s="628">
        <v>12</v>
      </c>
      <c r="Q363" s="629">
        <f>O132</f>
        <v>1020</v>
      </c>
      <c r="R363" s="629">
        <f t="shared" ref="R363:T363" si="458">P132</f>
        <v>9.9999999999999995E-7</v>
      </c>
      <c r="S363" s="629" t="str">
        <f t="shared" si="458"/>
        <v>-</v>
      </c>
      <c r="T363" s="630">
        <f t="shared" si="458"/>
        <v>0</v>
      </c>
    </row>
    <row r="364" spans="1:20" ht="13" hidden="1">
      <c r="A364" s="1561"/>
      <c r="B364" s="628">
        <v>13</v>
      </c>
      <c r="C364" s="629">
        <f>C143</f>
        <v>40</v>
      </c>
      <c r="D364" s="629">
        <f t="shared" ref="D364:F364" si="459">D143</f>
        <v>0.5</v>
      </c>
      <c r="E364" s="629" t="str">
        <f t="shared" si="459"/>
        <v>-</v>
      </c>
      <c r="F364" s="629">
        <f t="shared" si="459"/>
        <v>0</v>
      </c>
      <c r="G364" s="589"/>
      <c r="H364" s="1564"/>
      <c r="I364" s="628">
        <v>13</v>
      </c>
      <c r="J364" s="629">
        <f>I143</f>
        <v>90</v>
      </c>
      <c r="K364" s="629">
        <f t="shared" ref="K364:M364" si="460">J143</f>
        <v>-3.2</v>
      </c>
      <c r="L364" s="629" t="str">
        <f t="shared" si="460"/>
        <v>-</v>
      </c>
      <c r="M364" s="629">
        <f t="shared" si="460"/>
        <v>0</v>
      </c>
      <c r="N364" s="589"/>
      <c r="O364" s="1564"/>
      <c r="P364" s="628">
        <v>13</v>
      </c>
      <c r="Q364" s="629">
        <f>O143</f>
        <v>1020</v>
      </c>
      <c r="R364" s="629">
        <f t="shared" ref="R364:T364" si="461">P143</f>
        <v>9.9999999999999995E-7</v>
      </c>
      <c r="S364" s="629" t="str">
        <f t="shared" si="461"/>
        <v>-</v>
      </c>
      <c r="T364" s="630">
        <f t="shared" si="461"/>
        <v>0</v>
      </c>
    </row>
    <row r="365" spans="1:20" ht="13" hidden="1">
      <c r="A365" s="1561"/>
      <c r="B365" s="628">
        <v>14</v>
      </c>
      <c r="C365" s="629">
        <f>C154</f>
        <v>40</v>
      </c>
      <c r="D365" s="629">
        <f t="shared" ref="D365:F365" si="462">D154</f>
        <v>-1.1000000000000001</v>
      </c>
      <c r="E365" s="629" t="str">
        <f t="shared" si="462"/>
        <v>-</v>
      </c>
      <c r="F365" s="629">
        <f t="shared" si="462"/>
        <v>0</v>
      </c>
      <c r="G365" s="589"/>
      <c r="H365" s="1564"/>
      <c r="I365" s="628">
        <v>14</v>
      </c>
      <c r="J365" s="629">
        <f>I154</f>
        <v>90</v>
      </c>
      <c r="K365" s="629">
        <f t="shared" ref="K365:M365" si="463">J154</f>
        <v>-0.8</v>
      </c>
      <c r="L365" s="629" t="str">
        <f t="shared" si="463"/>
        <v>-</v>
      </c>
      <c r="M365" s="629">
        <f t="shared" si="463"/>
        <v>0</v>
      </c>
      <c r="N365" s="589"/>
      <c r="O365" s="1564"/>
      <c r="P365" s="628">
        <v>14</v>
      </c>
      <c r="Q365" s="629">
        <f>O154</f>
        <v>1020</v>
      </c>
      <c r="R365" s="629">
        <f t="shared" ref="R365:T365" si="464">P154</f>
        <v>9.9999999999999995E-7</v>
      </c>
      <c r="S365" s="629" t="str">
        <f t="shared" si="464"/>
        <v>-</v>
      </c>
      <c r="T365" s="630">
        <f t="shared" si="464"/>
        <v>0</v>
      </c>
    </row>
    <row r="366" spans="1:20" ht="13" hidden="1">
      <c r="A366" s="1561"/>
      <c r="B366" s="628">
        <v>15</v>
      </c>
      <c r="C366" s="629">
        <f>C165</f>
        <v>40</v>
      </c>
      <c r="D366" s="629">
        <f t="shared" ref="D366:F366" si="465">D165</f>
        <v>9.9999999999999995E-7</v>
      </c>
      <c r="E366" s="629" t="str">
        <f t="shared" si="465"/>
        <v>-</v>
      </c>
      <c r="F366" s="629">
        <f t="shared" si="465"/>
        <v>0</v>
      </c>
      <c r="G366" s="589"/>
      <c r="H366" s="1564"/>
      <c r="I366" s="628">
        <v>15</v>
      </c>
      <c r="J366" s="629">
        <f>I165</f>
        <v>90</v>
      </c>
      <c r="K366" s="629">
        <f t="shared" ref="K366:M366" si="466">J165</f>
        <v>-2</v>
      </c>
      <c r="L366" s="629" t="str">
        <f t="shared" si="466"/>
        <v>-</v>
      </c>
      <c r="M366" s="629">
        <f t="shared" si="466"/>
        <v>0</v>
      </c>
      <c r="N366" s="589"/>
      <c r="O366" s="1564"/>
      <c r="P366" s="628">
        <v>15</v>
      </c>
      <c r="Q366" s="629">
        <f>O165</f>
        <v>1020</v>
      </c>
      <c r="R366" s="629">
        <f t="shared" ref="R366:T366" si="467">P165</f>
        <v>9.9999999999999995E-7</v>
      </c>
      <c r="S366" s="629" t="str">
        <f t="shared" si="467"/>
        <v>-</v>
      </c>
      <c r="T366" s="630">
        <f t="shared" si="467"/>
        <v>0</v>
      </c>
    </row>
    <row r="367" spans="1:20" ht="13" hidden="1">
      <c r="A367" s="1561"/>
      <c r="B367" s="628">
        <v>16</v>
      </c>
      <c r="C367" s="629">
        <f>C176</f>
        <v>40</v>
      </c>
      <c r="D367" s="629">
        <f t="shared" ref="D367:F367" si="468">D176</f>
        <v>9.9999999999999995E-7</v>
      </c>
      <c r="E367" s="629" t="str">
        <f t="shared" si="468"/>
        <v>-</v>
      </c>
      <c r="F367" s="629">
        <f t="shared" si="468"/>
        <v>0</v>
      </c>
      <c r="G367" s="589"/>
      <c r="H367" s="1564"/>
      <c r="I367" s="628">
        <v>16</v>
      </c>
      <c r="J367" s="629">
        <f>I176</f>
        <v>90</v>
      </c>
      <c r="K367" s="629">
        <f t="shared" ref="K367:M367" si="469">J176</f>
        <v>-3</v>
      </c>
      <c r="L367" s="629" t="str">
        <f t="shared" si="469"/>
        <v>-</v>
      </c>
      <c r="M367" s="629">
        <f t="shared" si="469"/>
        <v>0</v>
      </c>
      <c r="N367" s="589"/>
      <c r="O367" s="1564"/>
      <c r="P367" s="628">
        <v>16</v>
      </c>
      <c r="Q367" s="629">
        <f>O176</f>
        <v>1020</v>
      </c>
      <c r="R367" s="629">
        <f t="shared" ref="R367:T367" si="470">P176</f>
        <v>9.9999999999999995E-7</v>
      </c>
      <c r="S367" s="629" t="str">
        <f t="shared" si="470"/>
        <v>-</v>
      </c>
      <c r="T367" s="630">
        <f t="shared" si="470"/>
        <v>0</v>
      </c>
    </row>
    <row r="368" spans="1:20" ht="13" hidden="1">
      <c r="A368" s="1561"/>
      <c r="B368" s="628">
        <v>17</v>
      </c>
      <c r="C368" s="629">
        <f>C187</f>
        <v>40</v>
      </c>
      <c r="D368" s="629">
        <f t="shared" ref="D368:F368" si="471">D187</f>
        <v>-0.8</v>
      </c>
      <c r="E368" s="629" t="str">
        <f t="shared" si="471"/>
        <v>-</v>
      </c>
      <c r="F368" s="629">
        <f t="shared" si="471"/>
        <v>0</v>
      </c>
      <c r="G368" s="589"/>
      <c r="H368" s="1564"/>
      <c r="I368" s="628">
        <v>17</v>
      </c>
      <c r="J368" s="629">
        <f>I187</f>
        <v>90</v>
      </c>
      <c r="K368" s="629">
        <f t="shared" ref="K368:M368" si="472">J187</f>
        <v>-1.4</v>
      </c>
      <c r="L368" s="629" t="str">
        <f t="shared" si="472"/>
        <v>-</v>
      </c>
      <c r="M368" s="629">
        <f t="shared" si="472"/>
        <v>0</v>
      </c>
      <c r="N368" s="589"/>
      <c r="O368" s="1564"/>
      <c r="P368" s="628">
        <v>17</v>
      </c>
      <c r="Q368" s="629">
        <f>O187</f>
        <v>1020</v>
      </c>
      <c r="R368" s="629">
        <f t="shared" ref="R368:T368" si="473">P187</f>
        <v>9.9999999999999995E-7</v>
      </c>
      <c r="S368" s="629" t="str">
        <f t="shared" si="473"/>
        <v>-</v>
      </c>
      <c r="T368" s="630">
        <f t="shared" si="473"/>
        <v>0</v>
      </c>
    </row>
    <row r="369" spans="1:20" ht="13" hidden="1">
      <c r="A369" s="1561"/>
      <c r="B369" s="628">
        <v>18</v>
      </c>
      <c r="C369" s="629">
        <f>C198</f>
        <v>40</v>
      </c>
      <c r="D369" s="629">
        <f t="shared" ref="D369:F369" si="474">D198</f>
        <v>-0.4</v>
      </c>
      <c r="E369" s="629" t="str">
        <f t="shared" si="474"/>
        <v>-</v>
      </c>
      <c r="F369" s="629">
        <f t="shared" si="474"/>
        <v>0</v>
      </c>
      <c r="G369" s="589"/>
      <c r="H369" s="1564"/>
      <c r="I369" s="628">
        <v>18</v>
      </c>
      <c r="J369" s="629">
        <f>I198</f>
        <v>90</v>
      </c>
      <c r="K369" s="629">
        <f t="shared" ref="K369:M369" si="475">J198</f>
        <v>-0.8</v>
      </c>
      <c r="L369" s="629" t="str">
        <f t="shared" si="475"/>
        <v>-</v>
      </c>
      <c r="M369" s="629">
        <f t="shared" si="475"/>
        <v>0</v>
      </c>
      <c r="N369" s="589"/>
      <c r="O369" s="1564"/>
      <c r="P369" s="628">
        <v>18</v>
      </c>
      <c r="Q369" s="629">
        <f>O198</f>
        <v>1020</v>
      </c>
      <c r="R369" s="629">
        <f t="shared" ref="R369:T369" si="476">P198</f>
        <v>9.9999999999999995E-7</v>
      </c>
      <c r="S369" s="629" t="str">
        <f t="shared" si="476"/>
        <v>-</v>
      </c>
      <c r="T369" s="630">
        <f t="shared" si="476"/>
        <v>0</v>
      </c>
    </row>
    <row r="370" spans="1:20" ht="13" hidden="1">
      <c r="A370" s="1561"/>
      <c r="B370" s="628">
        <v>19</v>
      </c>
      <c r="C370" s="629">
        <f>C209</f>
        <v>40</v>
      </c>
      <c r="D370" s="629">
        <f t="shared" ref="D370:F370" si="477">D209</f>
        <v>0.2</v>
      </c>
      <c r="E370" s="629" t="str">
        <f t="shared" si="477"/>
        <v>-</v>
      </c>
      <c r="F370" s="629">
        <f t="shared" si="477"/>
        <v>0</v>
      </c>
      <c r="G370" s="589"/>
      <c r="H370" s="1564"/>
      <c r="I370" s="628">
        <v>19</v>
      </c>
      <c r="J370" s="629">
        <f>I209</f>
        <v>90</v>
      </c>
      <c r="K370" s="629">
        <f t="shared" ref="K370:M370" si="478">J209</f>
        <v>-0.6</v>
      </c>
      <c r="L370" s="629" t="str">
        <f t="shared" si="478"/>
        <v>-</v>
      </c>
      <c r="M370" s="629">
        <f t="shared" si="478"/>
        <v>0</v>
      </c>
      <c r="N370" s="589"/>
      <c r="O370" s="1564"/>
      <c r="P370" s="628">
        <v>19</v>
      </c>
      <c r="Q370" s="629">
        <f>O209</f>
        <v>1020</v>
      </c>
      <c r="R370" s="629">
        <f t="shared" ref="R370:T370" si="479">P209</f>
        <v>2.2999999999999998</v>
      </c>
      <c r="S370" s="629" t="str">
        <f t="shared" si="479"/>
        <v>-</v>
      </c>
      <c r="T370" s="630">
        <f t="shared" si="479"/>
        <v>0</v>
      </c>
    </row>
    <row r="371" spans="1:20" ht="13.5" hidden="1" thickBot="1">
      <c r="A371" s="1562"/>
      <c r="B371" s="639">
        <v>20</v>
      </c>
      <c r="C371" s="656">
        <f>C220</f>
        <v>40</v>
      </c>
      <c r="D371" s="656">
        <f t="shared" ref="D371:F371" si="480">D220</f>
        <v>9.9999999999999995E-7</v>
      </c>
      <c r="E371" s="656" t="str">
        <f t="shared" si="480"/>
        <v>-</v>
      </c>
      <c r="F371" s="656">
        <f t="shared" si="480"/>
        <v>0</v>
      </c>
      <c r="G371" s="641"/>
      <c r="H371" s="1565"/>
      <c r="I371" s="639">
        <v>20</v>
      </c>
      <c r="J371" s="656">
        <f>I220</f>
        <v>90</v>
      </c>
      <c r="K371" s="656">
        <f t="shared" ref="K371:M371" si="481">J220</f>
        <v>9.9999999999999995E-7</v>
      </c>
      <c r="L371" s="656" t="str">
        <f t="shared" si="481"/>
        <v>-</v>
      </c>
      <c r="M371" s="656">
        <f t="shared" si="481"/>
        <v>0</v>
      </c>
      <c r="N371" s="641"/>
      <c r="O371" s="1565"/>
      <c r="P371" s="639">
        <v>20</v>
      </c>
      <c r="Q371" s="656">
        <f>O220</f>
        <v>1020</v>
      </c>
      <c r="R371" s="656" t="str">
        <f t="shared" ref="R371:T371" si="482">P220</f>
        <v>-</v>
      </c>
      <c r="S371" s="656" t="str">
        <f t="shared" si="482"/>
        <v>-</v>
      </c>
      <c r="T371" s="657">
        <f t="shared" si="482"/>
        <v>0</v>
      </c>
    </row>
    <row r="372" spans="1:20" ht="13.5" thickBot="1">
      <c r="A372" s="665"/>
      <c r="B372" s="666"/>
      <c r="C372" s="648"/>
      <c r="D372" s="648"/>
      <c r="E372" s="648"/>
      <c r="F372" s="648"/>
      <c r="G372" s="648"/>
      <c r="H372" s="589"/>
      <c r="I372" s="643"/>
      <c r="J372" s="666"/>
      <c r="K372" s="648"/>
      <c r="L372" s="648"/>
      <c r="M372" s="648"/>
      <c r="N372" s="648"/>
      <c r="O372" s="648"/>
      <c r="P372" s="589"/>
    </row>
    <row r="373" spans="1:20" ht="29.25" customHeight="1">
      <c r="A373" s="190">
        <f>A413</f>
        <v>4</v>
      </c>
      <c r="B373" s="1573" t="str">
        <f>A392</f>
        <v>Thermohygrolight, Merek : KIMO, Model : KH-210-AO, SN : 15062872</v>
      </c>
      <c r="C373" s="1573"/>
      <c r="D373" s="1574"/>
      <c r="E373" s="191"/>
      <c r="F373" s="190">
        <f>A373</f>
        <v>4</v>
      </c>
      <c r="G373" s="1573" t="str">
        <f>B373</f>
        <v>Thermohygrolight, Merek : KIMO, Model : KH-210-AO, SN : 15062872</v>
      </c>
      <c r="H373" s="1573"/>
      <c r="I373" s="1574"/>
      <c r="J373" s="191"/>
      <c r="K373" s="190">
        <f>F373</f>
        <v>4</v>
      </c>
      <c r="L373" s="1573" t="str">
        <f>G373</f>
        <v>Thermohygrolight, Merek : KIMO, Model : KH-210-AO, SN : 15062872</v>
      </c>
      <c r="M373" s="1573"/>
      <c r="N373" s="1574"/>
      <c r="O373" s="94"/>
      <c r="P373" s="190">
        <f>A373</f>
        <v>4</v>
      </c>
      <c r="Q373" s="1573" t="str">
        <f>G373</f>
        <v>Thermohygrolight, Merek : KIMO, Model : KH-210-AO, SN : 15062872</v>
      </c>
      <c r="R373" s="1573"/>
      <c r="S373" s="1573"/>
      <c r="T373" s="1574"/>
    </row>
    <row r="374" spans="1:20" ht="13.5">
      <c r="A374" s="667" t="s">
        <v>216</v>
      </c>
      <c r="B374" s="1575" t="s">
        <v>93</v>
      </c>
      <c r="C374" s="1575"/>
      <c r="D374" s="1576" t="s">
        <v>92</v>
      </c>
      <c r="E374" s="648"/>
      <c r="F374" s="667" t="s">
        <v>217</v>
      </c>
      <c r="G374" s="1575" t="s">
        <v>93</v>
      </c>
      <c r="H374" s="1575"/>
      <c r="I374" s="1576" t="s">
        <v>92</v>
      </c>
      <c r="J374" s="648"/>
      <c r="K374" s="667" t="s">
        <v>402</v>
      </c>
      <c r="L374" s="1575" t="s">
        <v>93</v>
      </c>
      <c r="M374" s="1575"/>
      <c r="N374" s="1576" t="s">
        <v>92</v>
      </c>
      <c r="P374" s="1591"/>
      <c r="Q374" s="1568" t="s">
        <v>232</v>
      </c>
      <c r="R374" s="1568" t="s">
        <v>233</v>
      </c>
      <c r="S374" s="1568" t="s">
        <v>30</v>
      </c>
      <c r="T374" s="1569" t="s">
        <v>99</v>
      </c>
    </row>
    <row r="375" spans="1:20" ht="14">
      <c r="A375" s="192" t="s">
        <v>230</v>
      </c>
      <c r="B375" s="668">
        <f>VLOOKUP(B373,A393:K412,9,FALSE)</f>
        <v>2019</v>
      </c>
      <c r="C375" s="668">
        <f>VLOOKUP(B373,A393:K412,10,FALSE)</f>
        <v>2017</v>
      </c>
      <c r="D375" s="1576"/>
      <c r="E375" s="648"/>
      <c r="F375" s="193" t="s">
        <v>94</v>
      </c>
      <c r="G375" s="668">
        <f>B375</f>
        <v>2019</v>
      </c>
      <c r="H375" s="668">
        <f>C375</f>
        <v>2017</v>
      </c>
      <c r="I375" s="1576"/>
      <c r="J375" s="648"/>
      <c r="K375" s="193" t="s">
        <v>403</v>
      </c>
      <c r="L375" s="668">
        <f>G375</f>
        <v>2019</v>
      </c>
      <c r="M375" s="668">
        <f>H375</f>
        <v>2017</v>
      </c>
      <c r="N375" s="1576"/>
      <c r="P375" s="1591"/>
      <c r="Q375" s="1568"/>
      <c r="R375" s="1568"/>
      <c r="S375" s="1568"/>
      <c r="T375" s="1569"/>
    </row>
    <row r="376" spans="1:20" ht="13">
      <c r="A376" s="669">
        <f>VLOOKUP($A$373,$B$226:$F$245,2,FALSE)</f>
        <v>15</v>
      </c>
      <c r="B376" s="670">
        <f>VLOOKUP($A$373,$B$226:$F$245,3,FALSE)</f>
        <v>-0.2</v>
      </c>
      <c r="C376" s="670">
        <f>VLOOKUP($A$373,$B$226:$F$245,4,FALSE)</f>
        <v>-0.1</v>
      </c>
      <c r="D376" s="671">
        <f>VLOOKUP($A$373,$B$226:$F$245,5,FALSE)</f>
        <v>0.05</v>
      </c>
      <c r="E376" s="648"/>
      <c r="F376" s="669">
        <f>VLOOKUP($F$373,$I$226:$M$245,2,FALSE)</f>
        <v>35</v>
      </c>
      <c r="G376" s="670">
        <f>VLOOKUP($F$373,$I$226:$M$245,3,FALSE)</f>
        <v>-4.5</v>
      </c>
      <c r="H376" s="670">
        <f>VLOOKUP($F$373,$I$226:$M$245,4,FALSE)</f>
        <v>-1.7</v>
      </c>
      <c r="I376" s="671">
        <f>VLOOKUP($F$373,$I$226:$M$245,5,FALSE)</f>
        <v>1.4</v>
      </c>
      <c r="J376" s="648"/>
      <c r="K376" s="669">
        <f>VLOOKUP($K$373,$P$226:$T$245,2,FALSE)</f>
        <v>750</v>
      </c>
      <c r="L376" s="670" t="str">
        <f>VLOOKUP($K$373,$P$226:$T$245,3,FALSE)</f>
        <v>-</v>
      </c>
      <c r="M376" s="670" t="str">
        <f>VLOOKUP($K$373,$P$226:$T$245,4,FALSE)</f>
        <v>-</v>
      </c>
      <c r="N376" s="671">
        <f>VLOOKUP($K$373,$P$226:$T$245,5,FALSE)</f>
        <v>0</v>
      </c>
      <c r="P376" s="1591"/>
      <c r="Q376" s="1568"/>
      <c r="R376" s="1568"/>
      <c r="S376" s="1568"/>
      <c r="T376" s="1569"/>
    </row>
    <row r="377" spans="1:20" ht="13">
      <c r="A377" s="669">
        <f>VLOOKUP($A$373,$B$247:$F$266,2,FALSE)</f>
        <v>20</v>
      </c>
      <c r="B377" s="670">
        <f>VLOOKUP($A$373,$B$247:$F$266,3,FALSE)</f>
        <v>-0.1</v>
      </c>
      <c r="C377" s="670">
        <f>VLOOKUP($A$373,$B$247:$F$266,4,FALSE)</f>
        <v>-0.3</v>
      </c>
      <c r="D377" s="671">
        <f>VLOOKUP($A$373,$B$247:$F$266,5,FALSE)</f>
        <v>9.9999999999999992E-2</v>
      </c>
      <c r="E377" s="648"/>
      <c r="F377" s="669">
        <f>VLOOKUP($F$373,$I$247:$M$266,2,FALSE)</f>
        <v>40</v>
      </c>
      <c r="G377" s="670">
        <f>VLOOKUP($F$373,$I$247:$M$266,3,FALSE)</f>
        <v>-4.4000000000000004</v>
      </c>
      <c r="H377" s="670">
        <f>VLOOKUP($F$373,$I$247:$M$266,4,FALSE)</f>
        <v>-1.5</v>
      </c>
      <c r="I377" s="671">
        <f>VLOOKUP($F$373,$I$247:$M$266,5,FALSE)</f>
        <v>1.4500000000000002</v>
      </c>
      <c r="J377" s="648"/>
      <c r="K377" s="669">
        <f>VLOOKUP($K$373,$P$247:$T$266,2,FALSE)</f>
        <v>800</v>
      </c>
      <c r="L377" s="670" t="str">
        <f>VLOOKUP($K$373,$P$247:$T$266,3,FALSE)</f>
        <v>-</v>
      </c>
      <c r="M377" s="670" t="str">
        <f>VLOOKUP($K$373,$P$247:$T$266,4,FALSE)</f>
        <v>-</v>
      </c>
      <c r="N377" s="671">
        <f>VLOOKUP($K$373,$P$247:$T$266,5,FALSE)</f>
        <v>0</v>
      </c>
      <c r="P377" s="672" t="s">
        <v>216</v>
      </c>
      <c r="Q377" s="673">
        <f>AVERAGE(ID!F15:G15)</f>
        <v>26.7</v>
      </c>
      <c r="R377" s="674">
        <f>Q377+E386</f>
        <v>26.485394006659266</v>
      </c>
      <c r="S377" s="673"/>
      <c r="T377" s="280">
        <f>IF($P$373=$A$2,U3,IF($P$373=$A$13,U14,IF($P$373=A24,U25,IF($P$373=$A$35,U37,IF($P$373=$A$46,U47,IF($P$373=$A$57,U58,IF($P$373=$A$68,U69,IF($P$373=$A$79,U80,IF($P$373=$A$90,U91,IF($P$373=$A$101,U102,IF($P$373=$A$112,U113,IF($P$373=$A$123,U124,IF($P$373=$A$134,U135,IF($P$373=$A$145,U146,IF($P$373=$A$156,U157,IF($P$373=$A$167,U168,IF($P$373=$A$178,U179,IF($P$373=$A$189,U190,IF($P$373=$A$200,U201,IF($P$373=$A$211,U212))))))))))))))))))))</f>
        <v>0.3</v>
      </c>
    </row>
    <row r="378" spans="1:20" ht="13">
      <c r="A378" s="669">
        <f>VLOOKUP($A$373,$B$268:$F$287,2,FALSE)</f>
        <v>25</v>
      </c>
      <c r="B378" s="670">
        <f>VLOOKUP($A$373,$B$268:$F$287,3,FALSE)</f>
        <v>-0.1</v>
      </c>
      <c r="C378" s="670">
        <f>VLOOKUP($A$373,$B$268:$F$287,4,FALSE)</f>
        <v>-0.5</v>
      </c>
      <c r="D378" s="671">
        <f>VLOOKUP($A$373,$B$268:$F$287,5,FALSE)</f>
        <v>0.2</v>
      </c>
      <c r="E378" s="648"/>
      <c r="F378" s="669">
        <f>VLOOKUP($F$373,$I$268:$M$287,2,FALSE)</f>
        <v>50</v>
      </c>
      <c r="G378" s="670">
        <f>VLOOKUP($F$373,$I$268:$M$287,3,FALSE)</f>
        <v>-4.3</v>
      </c>
      <c r="H378" s="670">
        <f>VLOOKUP($F$373,$I$268:$M$287,4,FALSE)</f>
        <v>-1</v>
      </c>
      <c r="I378" s="671">
        <f>VLOOKUP($F$373,$I$268:$M$287,5,FALSE)</f>
        <v>1.65</v>
      </c>
      <c r="J378" s="648"/>
      <c r="K378" s="669">
        <f>VLOOKUP($K$373,$P$268:$T$287,2,FALSE)</f>
        <v>850</v>
      </c>
      <c r="L378" s="670" t="str">
        <f>VLOOKUP($K$373,$P$268:$T$287,3,FALSE)</f>
        <v>-</v>
      </c>
      <c r="M378" s="670" t="str">
        <f>VLOOKUP($K$373,$P$268:$T$287,4,FALSE)</f>
        <v>-</v>
      </c>
      <c r="N378" s="671">
        <f>VLOOKUP($K$373,$P$268:$T$287,5,FALSE)</f>
        <v>0</v>
      </c>
      <c r="P378" s="672" t="s">
        <v>94</v>
      </c>
      <c r="Q378" s="673">
        <f>AVERAGE(ID!F16:G16)</f>
        <v>66.400000000000006</v>
      </c>
      <c r="R378" s="674">
        <f>Q378+J386</f>
        <v>62.39696317280454</v>
      </c>
      <c r="S378" s="673"/>
      <c r="T378" s="280">
        <f>IF($P$373=$A$2,U4,IF($P$373=$A$13,U15,IF($P$373=A25,U26,IF($P$373=$A$35,U38,IF($P$373=$A$46,U48,IF($P$373=$A$57,U59,IF($P$373=$A$68,U70,IF($P$373=$A$79,U81,IF($P$373=$A$90,U92,IF($P$373=$A$101,U103,IF($P$373=$A$112,U114,IF($P$373=$A$123,U125,IF($P$373=$A$134,U136,IF($P$373=$A$145,U147,IF($P$373=$A$156,U158,IF($P$373=$A$167,U169,IF($P$373=$A$178,U180,IF($P$373=$A$189,U191,IF($P$373=$A$200,U202,IF($P$373=$A$211,U213))))))))))))))))))))</f>
        <v>1.3</v>
      </c>
    </row>
    <row r="379" spans="1:20" ht="13.5" thickBot="1">
      <c r="A379" s="669">
        <f>VLOOKUP($A$373,$B$289:$F$308,2,FALSE)</f>
        <v>30</v>
      </c>
      <c r="B379" s="670">
        <f>VLOOKUP($A$373,$B$289:$F$308,3,FALSE)</f>
        <v>-0.1</v>
      </c>
      <c r="C379" s="670">
        <f>VLOOKUP($A$373,$B$289:$F$308,4,FALSE)</f>
        <v>-0.6</v>
      </c>
      <c r="D379" s="671">
        <f>VLOOKUP($A$373,$B$289:$F$308,5,FALSE)</f>
        <v>0.25</v>
      </c>
      <c r="E379" s="648"/>
      <c r="F379" s="669">
        <f>VLOOKUP($F$373,$I$289:$M$308,2,FALSE)</f>
        <v>60</v>
      </c>
      <c r="G379" s="670">
        <f>VLOOKUP($F$373,$I$289:$M$308,3,FALSE)</f>
        <v>-4.2</v>
      </c>
      <c r="H379" s="670">
        <f>VLOOKUP($F$373,$I$289:$M$308,4,FALSE)</f>
        <v>-0.3</v>
      </c>
      <c r="I379" s="671">
        <f>VLOOKUP($F$373,$I$289:$M$308,5,FALSE)</f>
        <v>1.9500000000000002</v>
      </c>
      <c r="J379" s="648"/>
      <c r="K379" s="669">
        <f>VLOOKUP($K$373,$P$289:$T$308,2,FALSE)</f>
        <v>900</v>
      </c>
      <c r="L379" s="670" t="str">
        <f>VLOOKUP($K$373,$P$289:$T$308,3,FALSE)</f>
        <v>-</v>
      </c>
      <c r="M379" s="670" t="str">
        <f>VLOOKUP($K$373,$P$289:$T$308,4,FALSE)</f>
        <v>-</v>
      </c>
      <c r="N379" s="671">
        <f>VLOOKUP($K$373,$P$289:$T$308,5,FALSE)</f>
        <v>0</v>
      </c>
      <c r="O379" s="675"/>
      <c r="P379" s="676" t="s">
        <v>403</v>
      </c>
      <c r="Q379" s="677"/>
      <c r="R379" s="678">
        <f>Q379+M386</f>
        <v>0</v>
      </c>
      <c r="S379" s="677"/>
      <c r="T379" s="280">
        <f t="shared" ref="T379" si="483">IF($P$373=$A$2,U5,IF($P$373=$A$13,U16,IF($P$373=A26,U27,IF($P$373=$A$35,U39,IF($P$373=$A$46,U49,IF($P$373=$A$57,U60,IF($P$373=$A$68,U71,IF($P$373=$A$79,U82,IF($P$373=$A$90,U93,IF($P$373=$A$101,U104,IF($P$373=$A$112,U115,IF($P$373=$A$123,U126,IF($P$373=$A$134,U137,IF($P$373=$A$145,U148,IF($P$373=$A$156,U159,IF($P$373=$A$167,U170,IF($P$373=$A$178,U181,IF($P$373=$A$189,U192,IF($P$373=$A$200,U203,IF($P$373=$A$211,U214))))))))))))))))))))</f>
        <v>0</v>
      </c>
    </row>
    <row r="380" spans="1:20" ht="13.5" thickBot="1">
      <c r="A380" s="669">
        <f>VLOOKUP($A$373,$B$310:$F$329,2,FALSE)</f>
        <v>35</v>
      </c>
      <c r="B380" s="670">
        <f>VLOOKUP($A$373,$B$310:$F$329,3,FALSE)</f>
        <v>-0.3</v>
      </c>
      <c r="C380" s="670">
        <f>VLOOKUP($A$373,$B$310:$F$329,4,FALSE)</f>
        <v>-0.6</v>
      </c>
      <c r="D380" s="671">
        <f>VLOOKUP($A$373,$B$310:$F$329,5,FALSE)</f>
        <v>0.15</v>
      </c>
      <c r="E380" s="648"/>
      <c r="F380" s="669">
        <f>VLOOKUP($F$373,$I$310:$M$329,2,FALSE)</f>
        <v>70</v>
      </c>
      <c r="G380" s="670">
        <f>VLOOKUP($F$373,$I$310:$M$329,3,FALSE)</f>
        <v>-4</v>
      </c>
      <c r="H380" s="670">
        <f>VLOOKUP($F$373,$I$310:$M$329,4,FALSE)</f>
        <v>0.7</v>
      </c>
      <c r="I380" s="671">
        <f>VLOOKUP($F$373,$I$310:$M$329,5,FALSE)</f>
        <v>2.35</v>
      </c>
      <c r="J380" s="648"/>
      <c r="K380" s="669">
        <f>VLOOKUP($K$373,$P$310:$T$329,2,FALSE)</f>
        <v>1000</v>
      </c>
      <c r="L380" s="670" t="str">
        <f>VLOOKUP($K$373,$P$310:$T$329,3,FALSE)</f>
        <v>-</v>
      </c>
      <c r="M380" s="670" t="str">
        <f>VLOOKUP($K$373,$P$310:$T$329,4,FALSE)</f>
        <v>-</v>
      </c>
      <c r="N380" s="671">
        <f>VLOOKUP($K$373,$P$310:$T$329,5,FALSE)</f>
        <v>0</v>
      </c>
      <c r="O380" s="209"/>
      <c r="P380" s="94"/>
      <c r="T380" s="69"/>
    </row>
    <row r="381" spans="1:20" ht="14">
      <c r="A381" s="669">
        <f>VLOOKUP($A$373,$B$331:$F$350,2,FALSE)</f>
        <v>37</v>
      </c>
      <c r="B381" s="670">
        <f>VLOOKUP($A$373,$B$331:$F$350,3,FALSE)</f>
        <v>-0.4</v>
      </c>
      <c r="C381" s="670">
        <f>VLOOKUP($A$373,$B$331:$F$350,4,FALSE)</f>
        <v>-0.6</v>
      </c>
      <c r="D381" s="671">
        <f>VLOOKUP($A$373,$B$331:$F$350,5,FALSE)</f>
        <v>9.9999999999999978E-2</v>
      </c>
      <c r="E381" s="648"/>
      <c r="F381" s="669">
        <f>VLOOKUP($F$373,$I$331:$M$350,2,FALSE)</f>
        <v>80</v>
      </c>
      <c r="G381" s="670">
        <f>VLOOKUP($F$373,$I$331:$M$350,3,FALSE)</f>
        <v>-3.8</v>
      </c>
      <c r="H381" s="670">
        <f>VLOOKUP($F$373,$I$331:$M$350,4,FALSE)</f>
        <v>1.9</v>
      </c>
      <c r="I381" s="671">
        <f>VLOOKUP($F$373,$I$331:$M$350,5,FALSE)</f>
        <v>2.8499999999999996</v>
      </c>
      <c r="J381" s="648"/>
      <c r="K381" s="669">
        <f>VLOOKUP($K$373,$P$331:$T$350,2,FALSE)</f>
        <v>1005</v>
      </c>
      <c r="L381" s="670" t="str">
        <f>VLOOKUP($K$373,$P$331:$T$350,3,FALSE)</f>
        <v>-</v>
      </c>
      <c r="M381" s="670" t="str">
        <f>VLOOKUP($K$373,$P$331:$T$350,4,FALSE)</f>
        <v>-</v>
      </c>
      <c r="N381" s="671">
        <f>VLOOKUP($K$373,$P$331:$T$350,5,FALSE)</f>
        <v>0</v>
      </c>
      <c r="O381" s="196"/>
      <c r="P381" s="1570" t="s">
        <v>329</v>
      </c>
      <c r="Q381" s="679" t="str">
        <f>M396&amp;M393&amp;N396&amp;N393&amp;O396&amp;O393</f>
        <v>( 26.5 ± 0.3 ) °C</v>
      </c>
      <c r="R381" s="680"/>
      <c r="T381" s="69"/>
    </row>
    <row r="382" spans="1:20" ht="14.5" thickBot="1">
      <c r="A382" s="681">
        <f>VLOOKUP($A$373,$B$352:$F$371,2,FALSE)</f>
        <v>40</v>
      </c>
      <c r="B382" s="682">
        <f>VLOOKUP($A$373,$B$352:$F$371,3,FALSE)</f>
        <v>-0.5</v>
      </c>
      <c r="C382" s="682">
        <f>VLOOKUP($A$373,$B$352:$F$371,4,FALSE)</f>
        <v>-0.6</v>
      </c>
      <c r="D382" s="683">
        <f>VLOOKUP($A$373,$B$352:$F$371,5,FALSE)</f>
        <v>4.9999999999999989E-2</v>
      </c>
      <c r="E382" s="648"/>
      <c r="F382" s="681">
        <f>VLOOKUP($F$373,$I$352:$M$371,2,FALSE)</f>
        <v>90</v>
      </c>
      <c r="G382" s="682">
        <f>VLOOKUP($F$373,$I$352:$M$371,3,FALSE)</f>
        <v>-3.5</v>
      </c>
      <c r="H382" s="682">
        <f>VLOOKUP($F$373,$I$352:$M$371,4,FALSE)</f>
        <v>3.3</v>
      </c>
      <c r="I382" s="683">
        <f>VLOOKUP($F$373,$I$352:$M$371,5,FALSE)</f>
        <v>3.4</v>
      </c>
      <c r="J382" s="648"/>
      <c r="K382" s="681">
        <f>VLOOKUP($K$373,$P$352:$T$371,2,FALSE)</f>
        <v>1020</v>
      </c>
      <c r="L382" s="682" t="str">
        <f>VLOOKUP($K$373,$P$352:$T$371,3,FALSE)</f>
        <v>-</v>
      </c>
      <c r="M382" s="682" t="str">
        <f>VLOOKUP($K$373,$P$352:$T$371,4,FALSE)</f>
        <v>-</v>
      </c>
      <c r="N382" s="683">
        <f>VLOOKUP($K$373,$P$352:$T$371,5,FALSE)</f>
        <v>0</v>
      </c>
      <c r="O382" s="196"/>
      <c r="P382" s="1571"/>
      <c r="Q382" s="684" t="str">
        <f>M396&amp;M394&amp;N396&amp;N394&amp;O396&amp;O394</f>
        <v>( 62.4 ± 1.3 ) %RH</v>
      </c>
      <c r="R382" s="685"/>
      <c r="T382" s="69"/>
    </row>
    <row r="383" spans="1:20" ht="14.5" thickBot="1">
      <c r="A383" s="686"/>
      <c r="B383" s="648"/>
      <c r="C383" s="648"/>
      <c r="D383" s="648"/>
      <c r="E383" s="648"/>
      <c r="F383" s="648"/>
      <c r="G383" s="648"/>
      <c r="H383" s="648"/>
      <c r="I383" s="648"/>
      <c r="J383" s="648"/>
      <c r="K383" s="648"/>
      <c r="L383" s="648"/>
      <c r="M383" s="648"/>
      <c r="N383" s="648"/>
      <c r="O383" s="196"/>
      <c r="P383" s="1572"/>
      <c r="Q383" s="687" t="str">
        <f>M396&amp;M395&amp;N396&amp;N395&amp;O396&amp;O395</f>
        <v>( 0.0 ± 0.0 ) hPa</v>
      </c>
      <c r="R383" s="688"/>
      <c r="T383" s="69"/>
    </row>
    <row r="384" spans="1:20" ht="14.5" thickBot="1">
      <c r="A384" s="1577" t="s">
        <v>211</v>
      </c>
      <c r="B384" s="1578"/>
      <c r="C384" s="1578"/>
      <c r="D384" s="1579"/>
      <c r="E384" s="195"/>
      <c r="F384" s="1577" t="s">
        <v>240</v>
      </c>
      <c r="G384" s="1578"/>
      <c r="H384" s="1578"/>
      <c r="I384" s="1579"/>
      <c r="J384" s="648"/>
      <c r="K384" s="1577" t="s">
        <v>405</v>
      </c>
      <c r="L384" s="1578"/>
      <c r="M384" s="1578"/>
      <c r="N384" s="1579"/>
      <c r="O384" s="196"/>
      <c r="P384" s="281"/>
      <c r="T384" s="69"/>
    </row>
    <row r="385" spans="1:20" ht="13.5">
      <c r="A385" s="689"/>
      <c r="B385" s="690"/>
      <c r="C385" s="690"/>
      <c r="D385" s="691"/>
      <c r="E385" s="692"/>
      <c r="F385" s="693"/>
      <c r="G385" s="690"/>
      <c r="H385" s="690"/>
      <c r="I385" s="691"/>
      <c r="J385" s="648"/>
      <c r="K385" s="693"/>
      <c r="L385" s="690"/>
      <c r="M385" s="690"/>
      <c r="N385" s="691"/>
      <c r="O385" s="648"/>
      <c r="T385" s="69"/>
    </row>
    <row r="386" spans="1:20" ht="13">
      <c r="A386" s="694">
        <f>Q377</f>
        <v>26.7</v>
      </c>
      <c r="B386" s="695"/>
      <c r="C386" s="695"/>
      <c r="D386" s="696"/>
      <c r="E386" s="697">
        <f>(FORECAST(A386,B376:B382,A376:A382))</f>
        <v>-0.21460599334073255</v>
      </c>
      <c r="F386" s="694">
        <f>Q378</f>
        <v>66.400000000000006</v>
      </c>
      <c r="G386" s="695"/>
      <c r="H386" s="695"/>
      <c r="I386" s="696"/>
      <c r="J386" s="698">
        <f>(FORECAST(F386,G376:G382,F376:F382))</f>
        <v>-4.0030368271954675</v>
      </c>
      <c r="K386" s="694">
        <f>Q379</f>
        <v>0</v>
      </c>
      <c r="L386" s="695"/>
      <c r="M386" s="695"/>
      <c r="N386" s="696"/>
      <c r="O386" s="698"/>
      <c r="T386" s="69"/>
    </row>
    <row r="387" spans="1:20" ht="13.5" thickBot="1">
      <c r="A387" s="699"/>
      <c r="B387" s="700"/>
      <c r="C387" s="701"/>
      <c r="D387" s="702"/>
      <c r="E387" s="703"/>
      <c r="F387" s="699"/>
      <c r="G387" s="700"/>
      <c r="H387" s="701"/>
      <c r="I387" s="702"/>
      <c r="J387" s="704"/>
      <c r="K387" s="699"/>
      <c r="L387" s="700"/>
      <c r="M387" s="701"/>
      <c r="N387" s="702"/>
      <c r="O387" s="704"/>
      <c r="P387" s="705"/>
      <c r="Q387" s="71"/>
      <c r="R387" s="71"/>
      <c r="S387" s="71"/>
      <c r="T387" s="72"/>
    </row>
    <row r="391" spans="1:20" ht="13" thickBot="1"/>
    <row r="392" spans="1:20" ht="13.5" thickBot="1">
      <c r="A392" s="1580" t="str">
        <f>ID!B60</f>
        <v>Thermohygrolight, Merek : KIMO, Model : KH-210-AO, SN : 15062872</v>
      </c>
      <c r="B392" s="1581"/>
      <c r="C392" s="1581"/>
      <c r="D392" s="1581"/>
      <c r="E392" s="1581"/>
      <c r="F392" s="1581"/>
      <c r="G392" s="1581"/>
      <c r="H392" s="1581"/>
      <c r="I392" s="1582"/>
      <c r="J392" s="1582"/>
      <c r="K392" s="1583"/>
      <c r="M392" s="1584" t="s">
        <v>234</v>
      </c>
      <c r="N392" s="1585"/>
      <c r="O392" s="1586"/>
    </row>
    <row r="393" spans="1:20" ht="15.5">
      <c r="A393" s="706" t="s">
        <v>406</v>
      </c>
      <c r="B393" s="707"/>
      <c r="C393" s="707"/>
      <c r="D393" s="708"/>
      <c r="E393" s="708"/>
      <c r="F393" s="708"/>
      <c r="G393" s="709"/>
      <c r="H393" s="710"/>
      <c r="I393" s="711">
        <f>D4</f>
        <v>2020</v>
      </c>
      <c r="J393" s="712">
        <f>E4</f>
        <v>2017</v>
      </c>
      <c r="K393" s="713">
        <v>1</v>
      </c>
      <c r="M393" s="214" t="str">
        <f>TEXT(R377,"0.0")</f>
        <v>26.5</v>
      </c>
      <c r="N393" s="194" t="str">
        <f>TEXT(T377,"0.0")</f>
        <v>0.3</v>
      </c>
      <c r="O393" s="714" t="s">
        <v>235</v>
      </c>
    </row>
    <row r="394" spans="1:20" ht="15.5">
      <c r="A394" s="706" t="s">
        <v>407</v>
      </c>
      <c r="B394" s="707"/>
      <c r="C394" s="707"/>
      <c r="D394" s="708"/>
      <c r="E394" s="708"/>
      <c r="F394" s="708"/>
      <c r="G394" s="709"/>
      <c r="H394" s="710"/>
      <c r="I394" s="715">
        <f>D15</f>
        <v>2021</v>
      </c>
      <c r="J394" s="716">
        <f>E15</f>
        <v>2018</v>
      </c>
      <c r="K394" s="713">
        <v>2</v>
      </c>
      <c r="M394" s="214" t="str">
        <f>TEXT(R378,"0.0")</f>
        <v>62.4</v>
      </c>
      <c r="N394" s="194" t="str">
        <f>TEXT(T378,"0.0")</f>
        <v>1.3</v>
      </c>
      <c r="O394" s="714" t="s">
        <v>236</v>
      </c>
    </row>
    <row r="395" spans="1:20" ht="15.5">
      <c r="A395" s="706" t="s">
        <v>243</v>
      </c>
      <c r="B395" s="707"/>
      <c r="C395" s="707"/>
      <c r="D395" s="708"/>
      <c r="E395" s="708"/>
      <c r="F395" s="708"/>
      <c r="G395" s="709"/>
      <c r="H395" s="710"/>
      <c r="I395" s="715">
        <f>D26</f>
        <v>2021</v>
      </c>
      <c r="J395" s="716">
        <f>E26</f>
        <v>2018</v>
      </c>
      <c r="K395" s="713">
        <v>3</v>
      </c>
      <c r="M395" s="214" t="str">
        <f>TEXT(R379,"0.0")</f>
        <v>0.0</v>
      </c>
      <c r="N395" s="194" t="str">
        <f>TEXT(T379,"0.0")</f>
        <v>0.0</v>
      </c>
      <c r="O395" s="717" t="s">
        <v>408</v>
      </c>
    </row>
    <row r="396" spans="1:20" ht="16" thickBot="1">
      <c r="A396" s="706" t="s">
        <v>409</v>
      </c>
      <c r="B396" s="707"/>
      <c r="C396" s="707"/>
      <c r="D396" s="708"/>
      <c r="E396" s="708"/>
      <c r="F396" s="708"/>
      <c r="G396" s="709"/>
      <c r="H396" s="710"/>
      <c r="I396" s="715">
        <f>D37</f>
        <v>2019</v>
      </c>
      <c r="J396" s="716">
        <f>E37</f>
        <v>2017</v>
      </c>
      <c r="K396" s="713">
        <v>4</v>
      </c>
      <c r="M396" s="718" t="s">
        <v>237</v>
      </c>
      <c r="N396" s="719" t="s">
        <v>238</v>
      </c>
      <c r="O396" s="720" t="s">
        <v>239</v>
      </c>
    </row>
    <row r="397" spans="1:20" ht="13">
      <c r="A397" s="706" t="s">
        <v>410</v>
      </c>
      <c r="B397" s="707"/>
      <c r="C397" s="707"/>
      <c r="D397" s="708"/>
      <c r="E397" s="708"/>
      <c r="F397" s="708"/>
      <c r="G397" s="709"/>
      <c r="H397" s="710"/>
      <c r="I397" s="715">
        <f>D48</f>
        <v>2020</v>
      </c>
      <c r="J397" s="716">
        <f>E48</f>
        <v>2017</v>
      </c>
      <c r="K397" s="713">
        <v>5</v>
      </c>
    </row>
    <row r="398" spans="1:20" ht="13">
      <c r="A398" s="706" t="s">
        <v>246</v>
      </c>
      <c r="B398" s="707"/>
      <c r="C398" s="707"/>
      <c r="D398" s="708"/>
      <c r="E398" s="708"/>
      <c r="F398" s="708"/>
      <c r="G398" s="709"/>
      <c r="H398" s="710"/>
      <c r="I398" s="715">
        <f>D59</f>
        <v>2019</v>
      </c>
      <c r="J398" s="716">
        <f>E59</f>
        <v>2018</v>
      </c>
      <c r="K398" s="713">
        <v>6</v>
      </c>
    </row>
    <row r="399" spans="1:20" ht="13">
      <c r="A399" s="706" t="s">
        <v>247</v>
      </c>
      <c r="B399" s="707"/>
      <c r="C399" s="707"/>
      <c r="D399" s="708"/>
      <c r="E399" s="708"/>
      <c r="F399" s="708"/>
      <c r="G399" s="709"/>
      <c r="H399" s="710"/>
      <c r="I399" s="715">
        <f>D70</f>
        <v>2021</v>
      </c>
      <c r="J399" s="716">
        <f>E70</f>
        <v>2018</v>
      </c>
      <c r="K399" s="713">
        <v>7</v>
      </c>
    </row>
    <row r="400" spans="1:20" ht="13">
      <c r="A400" s="706" t="s">
        <v>330</v>
      </c>
      <c r="B400" s="707"/>
      <c r="C400" s="707"/>
      <c r="D400" s="708"/>
      <c r="E400" s="708"/>
      <c r="F400" s="708"/>
      <c r="G400" s="709"/>
      <c r="H400" s="710"/>
      <c r="I400" s="715">
        <f>D81</f>
        <v>2021</v>
      </c>
      <c r="J400" s="716">
        <f>E81</f>
        <v>2019</v>
      </c>
      <c r="K400" s="713">
        <v>8</v>
      </c>
    </row>
    <row r="401" spans="1:11" ht="13">
      <c r="A401" s="706" t="s">
        <v>248</v>
      </c>
      <c r="B401" s="707"/>
      <c r="C401" s="707"/>
      <c r="D401" s="708"/>
      <c r="E401" s="708"/>
      <c r="F401" s="708"/>
      <c r="G401" s="709"/>
      <c r="H401" s="710"/>
      <c r="I401" s="715">
        <f>D92</f>
        <v>2019</v>
      </c>
      <c r="J401" s="716" t="str">
        <f>E92</f>
        <v>-</v>
      </c>
      <c r="K401" s="713">
        <v>9</v>
      </c>
    </row>
    <row r="402" spans="1:11" ht="13">
      <c r="A402" s="706" t="s">
        <v>249</v>
      </c>
      <c r="B402" s="707"/>
      <c r="C402" s="707"/>
      <c r="D402" s="708"/>
      <c r="E402" s="708"/>
      <c r="F402" s="708"/>
      <c r="G402" s="709"/>
      <c r="H402" s="710"/>
      <c r="I402" s="715">
        <f>D103</f>
        <v>2019</v>
      </c>
      <c r="J402" s="716">
        <f>E103</f>
        <v>2016</v>
      </c>
      <c r="K402" s="713">
        <v>10</v>
      </c>
    </row>
    <row r="403" spans="1:11" ht="13">
      <c r="A403" s="706" t="s">
        <v>250</v>
      </c>
      <c r="B403" s="707"/>
      <c r="C403" s="707"/>
      <c r="D403" s="708"/>
      <c r="E403" s="708"/>
      <c r="F403" s="708"/>
      <c r="G403" s="709"/>
      <c r="H403" s="710"/>
      <c r="I403" s="715">
        <f>D114</f>
        <v>2020</v>
      </c>
      <c r="J403" s="716">
        <f>E114</f>
        <v>2016</v>
      </c>
      <c r="K403" s="713">
        <v>11</v>
      </c>
    </row>
    <row r="404" spans="1:11" ht="13">
      <c r="A404" s="706" t="s">
        <v>337</v>
      </c>
      <c r="B404" s="707"/>
      <c r="C404" s="707"/>
      <c r="D404" s="708"/>
      <c r="E404" s="708"/>
      <c r="F404" s="708"/>
      <c r="G404" s="709"/>
      <c r="H404" s="710"/>
      <c r="I404" s="715">
        <f>D125</f>
        <v>2020</v>
      </c>
      <c r="J404" s="716" t="str">
        <f>E125</f>
        <v>-</v>
      </c>
      <c r="K404" s="713">
        <v>12</v>
      </c>
    </row>
    <row r="405" spans="1:11" ht="13">
      <c r="A405" s="706" t="s">
        <v>333</v>
      </c>
      <c r="B405" s="721"/>
      <c r="C405" s="721"/>
      <c r="D405" s="722"/>
      <c r="E405" s="722"/>
      <c r="F405" s="722"/>
      <c r="G405" s="723"/>
      <c r="H405" s="724"/>
      <c r="I405" s="715">
        <f>D136</f>
        <v>2020</v>
      </c>
      <c r="J405" s="716" t="str">
        <f>E136</f>
        <v>-</v>
      </c>
      <c r="K405" s="713">
        <v>13</v>
      </c>
    </row>
    <row r="406" spans="1:11" ht="13">
      <c r="A406" s="706" t="s">
        <v>332</v>
      </c>
      <c r="B406" s="721"/>
      <c r="C406" s="721"/>
      <c r="D406" s="722"/>
      <c r="E406" s="722"/>
      <c r="F406" s="722"/>
      <c r="G406" s="723"/>
      <c r="H406" s="724"/>
      <c r="I406" s="715">
        <f>D147</f>
        <v>2020</v>
      </c>
      <c r="J406" s="716" t="str">
        <f>E147</f>
        <v>-</v>
      </c>
      <c r="K406" s="713">
        <v>14</v>
      </c>
    </row>
    <row r="407" spans="1:11" ht="13">
      <c r="A407" s="706" t="s">
        <v>331</v>
      </c>
      <c r="B407" s="721"/>
      <c r="C407" s="721"/>
      <c r="D407" s="722"/>
      <c r="E407" s="722"/>
      <c r="F407" s="722"/>
      <c r="G407" s="723"/>
      <c r="H407" s="724"/>
      <c r="I407" s="715">
        <f>D158</f>
        <v>2020</v>
      </c>
      <c r="J407" s="716" t="str">
        <f>E158</f>
        <v>-</v>
      </c>
      <c r="K407" s="713">
        <v>15</v>
      </c>
    </row>
    <row r="408" spans="1:11" ht="13">
      <c r="A408" s="706" t="s">
        <v>335</v>
      </c>
      <c r="B408" s="721"/>
      <c r="C408" s="721"/>
      <c r="D408" s="722"/>
      <c r="E408" s="722"/>
      <c r="F408" s="722"/>
      <c r="G408" s="723"/>
      <c r="H408" s="724"/>
      <c r="I408" s="715">
        <f>D169</f>
        <v>2020</v>
      </c>
      <c r="J408" s="716" t="str">
        <f>E169</f>
        <v>-</v>
      </c>
      <c r="K408" s="713">
        <v>16</v>
      </c>
    </row>
    <row r="409" spans="1:11" ht="13">
      <c r="A409" s="706" t="s">
        <v>334</v>
      </c>
      <c r="B409" s="721"/>
      <c r="C409" s="721"/>
      <c r="D409" s="722"/>
      <c r="E409" s="722"/>
      <c r="F409" s="722"/>
      <c r="G409" s="723"/>
      <c r="H409" s="724"/>
      <c r="I409" s="715">
        <f>D180</f>
        <v>2020</v>
      </c>
      <c r="J409" s="716" t="str">
        <f>E180</f>
        <v>-</v>
      </c>
      <c r="K409" s="713">
        <v>17</v>
      </c>
    </row>
    <row r="410" spans="1:11" ht="13">
      <c r="A410" s="706" t="s">
        <v>336</v>
      </c>
      <c r="B410" s="721"/>
      <c r="C410" s="721"/>
      <c r="D410" s="722"/>
      <c r="E410" s="722"/>
      <c r="F410" s="722"/>
      <c r="G410" s="723"/>
      <c r="H410" s="724"/>
      <c r="I410" s="715">
        <f>D191</f>
        <v>2020</v>
      </c>
      <c r="J410" s="716" t="str">
        <f>E191</f>
        <v>-</v>
      </c>
      <c r="K410" s="713">
        <v>18</v>
      </c>
    </row>
    <row r="411" spans="1:11" ht="13">
      <c r="A411" s="706" t="s">
        <v>411</v>
      </c>
      <c r="B411" s="721"/>
      <c r="C411" s="721"/>
      <c r="D411" s="722"/>
      <c r="E411" s="722"/>
      <c r="F411" s="722"/>
      <c r="G411" s="723"/>
      <c r="H411" s="724"/>
      <c r="I411" s="715">
        <v>2021</v>
      </c>
      <c r="J411" s="716" t="str">
        <f>E202</f>
        <v>-</v>
      </c>
      <c r="K411" s="713">
        <v>19</v>
      </c>
    </row>
    <row r="412" spans="1:11" ht="13.5" thickBot="1">
      <c r="A412" s="725">
        <v>20</v>
      </c>
      <c r="B412" s="721"/>
      <c r="C412" s="721"/>
      <c r="D412" s="722"/>
      <c r="E412" s="722"/>
      <c r="F412" s="722"/>
      <c r="G412" s="723"/>
      <c r="H412" s="724"/>
      <c r="I412" s="726">
        <f>D213</f>
        <v>2017</v>
      </c>
      <c r="J412" s="727" t="str">
        <f>E213</f>
        <v>-</v>
      </c>
      <c r="K412" s="713">
        <v>20</v>
      </c>
    </row>
    <row r="413" spans="1:11" ht="13.5" thickBot="1">
      <c r="A413" s="1587">
        <f>VLOOKUP(A392,A393:K412,11,(FALSE))</f>
        <v>4</v>
      </c>
      <c r="B413" s="1588"/>
      <c r="C413" s="1588"/>
      <c r="D413" s="1588"/>
      <c r="E413" s="1588"/>
      <c r="F413" s="1588"/>
      <c r="G413" s="1588"/>
      <c r="H413" s="1588"/>
      <c r="I413" s="1589"/>
      <c r="J413" s="1589"/>
      <c r="K413" s="1590"/>
    </row>
  </sheetData>
  <sheetProtection formatCells="0" formatColumns="0" formatRows="0" insertColumns="0" insertRows="0" insertHyperlinks="0" deleteColumns="0" deleteRows="0" sort="0" autoFilter="0" pivotTables="0"/>
  <mergeCells count="406">
    <mergeCell ref="A384:D384"/>
    <mergeCell ref="F384:I384"/>
    <mergeCell ref="K384:N384"/>
    <mergeCell ref="A392:K392"/>
    <mergeCell ref="M392:O392"/>
    <mergeCell ref="A413:K413"/>
    <mergeCell ref="P374:P376"/>
    <mergeCell ref="Q374:Q376"/>
    <mergeCell ref="R374:R376"/>
    <mergeCell ref="S374:S376"/>
    <mergeCell ref="T374:T376"/>
    <mergeCell ref="P381:P383"/>
    <mergeCell ref="B373:D373"/>
    <mergeCell ref="G373:I373"/>
    <mergeCell ref="L373:N373"/>
    <mergeCell ref="Q373:T373"/>
    <mergeCell ref="B374:C374"/>
    <mergeCell ref="D374:D375"/>
    <mergeCell ref="G374:H374"/>
    <mergeCell ref="I374:I375"/>
    <mergeCell ref="L374:M374"/>
    <mergeCell ref="N374:N375"/>
    <mergeCell ref="A331:A350"/>
    <mergeCell ref="H331:H350"/>
    <mergeCell ref="O331:O350"/>
    <mergeCell ref="A352:A371"/>
    <mergeCell ref="H352:H371"/>
    <mergeCell ref="O352:O371"/>
    <mergeCell ref="A289:A308"/>
    <mergeCell ref="H289:H308"/>
    <mergeCell ref="O289:O308"/>
    <mergeCell ref="A310:A329"/>
    <mergeCell ref="H310:H329"/>
    <mergeCell ref="O310:O329"/>
    <mergeCell ref="V247:W247"/>
    <mergeCell ref="V248:W248"/>
    <mergeCell ref="A268:A287"/>
    <mergeCell ref="H268:H287"/>
    <mergeCell ref="O268:O287"/>
    <mergeCell ref="V271:W271"/>
    <mergeCell ref="V272:W272"/>
    <mergeCell ref="A226:A245"/>
    <mergeCell ref="H226:H245"/>
    <mergeCell ref="O226:O245"/>
    <mergeCell ref="A247:A266"/>
    <mergeCell ref="H247:H266"/>
    <mergeCell ref="O247:O266"/>
    <mergeCell ref="T211:U211"/>
    <mergeCell ref="B212:C212"/>
    <mergeCell ref="D212:E212"/>
    <mergeCell ref="F212:F213"/>
    <mergeCell ref="H212:I212"/>
    <mergeCell ref="J212:K212"/>
    <mergeCell ref="V223:W223"/>
    <mergeCell ref="D224:E224"/>
    <mergeCell ref="F224:F225"/>
    <mergeCell ref="K224:L224"/>
    <mergeCell ref="M224:M225"/>
    <mergeCell ref="R224:S224"/>
    <mergeCell ref="T224:T225"/>
    <mergeCell ref="V224:W224"/>
    <mergeCell ref="B221:U221"/>
    <mergeCell ref="L212:L213"/>
    <mergeCell ref="N212:O212"/>
    <mergeCell ref="P212:Q212"/>
    <mergeCell ref="R212:R213"/>
    <mergeCell ref="B213:C213"/>
    <mergeCell ref="H213:I213"/>
    <mergeCell ref="N213:O213"/>
    <mergeCell ref="A223:A225"/>
    <mergeCell ref="B223:B225"/>
    <mergeCell ref="C223:F223"/>
    <mergeCell ref="H223:H225"/>
    <mergeCell ref="I223:I225"/>
    <mergeCell ref="J223:M223"/>
    <mergeCell ref="O223:O225"/>
    <mergeCell ref="P223:P225"/>
    <mergeCell ref="Q223:T223"/>
    <mergeCell ref="A211:A220"/>
    <mergeCell ref="B211:F211"/>
    <mergeCell ref="H211:L211"/>
    <mergeCell ref="N211:R211"/>
    <mergeCell ref="T189:U189"/>
    <mergeCell ref="B190:C190"/>
    <mergeCell ref="D190:E190"/>
    <mergeCell ref="F190:F191"/>
    <mergeCell ref="H190:I190"/>
    <mergeCell ref="J190:K190"/>
    <mergeCell ref="L201:L202"/>
    <mergeCell ref="N201:O201"/>
    <mergeCell ref="P201:Q201"/>
    <mergeCell ref="R201:R202"/>
    <mergeCell ref="B202:C202"/>
    <mergeCell ref="H202:I202"/>
    <mergeCell ref="N202:O202"/>
    <mergeCell ref="A200:A209"/>
    <mergeCell ref="B200:F200"/>
    <mergeCell ref="H200:L200"/>
    <mergeCell ref="N200:R200"/>
    <mergeCell ref="T200:U200"/>
    <mergeCell ref="B201:C201"/>
    <mergeCell ref="D201:E201"/>
    <mergeCell ref="F201:F202"/>
    <mergeCell ref="H201:I201"/>
    <mergeCell ref="J201:K201"/>
    <mergeCell ref="L190:L191"/>
    <mergeCell ref="N190:O190"/>
    <mergeCell ref="P190:Q190"/>
    <mergeCell ref="R190:R191"/>
    <mergeCell ref="B191:C191"/>
    <mergeCell ref="H191:I191"/>
    <mergeCell ref="N191:O191"/>
    <mergeCell ref="A189:A198"/>
    <mergeCell ref="B189:F189"/>
    <mergeCell ref="H189:L189"/>
    <mergeCell ref="N189:R189"/>
    <mergeCell ref="T167:U167"/>
    <mergeCell ref="B168:C168"/>
    <mergeCell ref="D168:E168"/>
    <mergeCell ref="F168:F169"/>
    <mergeCell ref="H168:I168"/>
    <mergeCell ref="J168:K168"/>
    <mergeCell ref="L179:L180"/>
    <mergeCell ref="N179:O179"/>
    <mergeCell ref="P179:Q179"/>
    <mergeCell ref="R179:R180"/>
    <mergeCell ref="B180:C180"/>
    <mergeCell ref="H180:I180"/>
    <mergeCell ref="N180:O180"/>
    <mergeCell ref="A178:A187"/>
    <mergeCell ref="B178:F178"/>
    <mergeCell ref="H178:L178"/>
    <mergeCell ref="N178:R178"/>
    <mergeCell ref="T178:U178"/>
    <mergeCell ref="B179:C179"/>
    <mergeCell ref="D179:E179"/>
    <mergeCell ref="F179:F180"/>
    <mergeCell ref="H179:I179"/>
    <mergeCell ref="J179:K179"/>
    <mergeCell ref="L168:L169"/>
    <mergeCell ref="N168:O168"/>
    <mergeCell ref="P168:Q168"/>
    <mergeCell ref="R168:R169"/>
    <mergeCell ref="B169:C169"/>
    <mergeCell ref="H169:I169"/>
    <mergeCell ref="N169:O169"/>
    <mergeCell ref="A167:A176"/>
    <mergeCell ref="B167:F167"/>
    <mergeCell ref="H167:L167"/>
    <mergeCell ref="N167:R167"/>
    <mergeCell ref="T145:U145"/>
    <mergeCell ref="B146:C146"/>
    <mergeCell ref="D146:E146"/>
    <mergeCell ref="F146:F147"/>
    <mergeCell ref="H146:I146"/>
    <mergeCell ref="J146:K146"/>
    <mergeCell ref="L157:L158"/>
    <mergeCell ref="N157:O157"/>
    <mergeCell ref="P157:Q157"/>
    <mergeCell ref="R157:R158"/>
    <mergeCell ref="B158:C158"/>
    <mergeCell ref="H158:I158"/>
    <mergeCell ref="N158:O158"/>
    <mergeCell ref="A156:A165"/>
    <mergeCell ref="B156:F156"/>
    <mergeCell ref="H156:L156"/>
    <mergeCell ref="N156:R156"/>
    <mergeCell ref="T156:U156"/>
    <mergeCell ref="B157:C157"/>
    <mergeCell ref="D157:E157"/>
    <mergeCell ref="F157:F158"/>
    <mergeCell ref="H157:I157"/>
    <mergeCell ref="J157:K157"/>
    <mergeCell ref="L146:L147"/>
    <mergeCell ref="N146:O146"/>
    <mergeCell ref="P146:Q146"/>
    <mergeCell ref="R146:R147"/>
    <mergeCell ref="B147:C147"/>
    <mergeCell ref="H147:I147"/>
    <mergeCell ref="N147:O147"/>
    <mergeCell ref="A145:A154"/>
    <mergeCell ref="B145:F145"/>
    <mergeCell ref="H145:L145"/>
    <mergeCell ref="N145:R145"/>
    <mergeCell ref="T123:U123"/>
    <mergeCell ref="B124:C124"/>
    <mergeCell ref="D124:E124"/>
    <mergeCell ref="F124:F125"/>
    <mergeCell ref="H124:I124"/>
    <mergeCell ref="J124:K124"/>
    <mergeCell ref="L135:L136"/>
    <mergeCell ref="N135:O135"/>
    <mergeCell ref="P135:Q135"/>
    <mergeCell ref="R135:R136"/>
    <mergeCell ref="B136:C136"/>
    <mergeCell ref="H136:I136"/>
    <mergeCell ref="N136:O136"/>
    <mergeCell ref="A134:A143"/>
    <mergeCell ref="B134:F134"/>
    <mergeCell ref="H134:L134"/>
    <mergeCell ref="N134:R134"/>
    <mergeCell ref="T134:U134"/>
    <mergeCell ref="B135:C135"/>
    <mergeCell ref="D135:E135"/>
    <mergeCell ref="F135:F136"/>
    <mergeCell ref="H135:I135"/>
    <mergeCell ref="J135:K135"/>
    <mergeCell ref="L124:L125"/>
    <mergeCell ref="N124:O124"/>
    <mergeCell ref="P124:Q124"/>
    <mergeCell ref="R124:R125"/>
    <mergeCell ref="B125:C125"/>
    <mergeCell ref="H125:I125"/>
    <mergeCell ref="N125:O125"/>
    <mergeCell ref="A123:A132"/>
    <mergeCell ref="B123:F123"/>
    <mergeCell ref="H123:L123"/>
    <mergeCell ref="N123:R123"/>
    <mergeCell ref="T101:U101"/>
    <mergeCell ref="B102:C102"/>
    <mergeCell ref="D102:E102"/>
    <mergeCell ref="F102:F103"/>
    <mergeCell ref="H102:I102"/>
    <mergeCell ref="J102:K102"/>
    <mergeCell ref="L113:L114"/>
    <mergeCell ref="N113:O113"/>
    <mergeCell ref="P113:Q113"/>
    <mergeCell ref="R113:R114"/>
    <mergeCell ref="B114:C114"/>
    <mergeCell ref="H114:I114"/>
    <mergeCell ref="N114:O114"/>
    <mergeCell ref="A112:A121"/>
    <mergeCell ref="B112:F112"/>
    <mergeCell ref="H112:L112"/>
    <mergeCell ref="N112:R112"/>
    <mergeCell ref="T112:U112"/>
    <mergeCell ref="B113:C113"/>
    <mergeCell ref="D113:E113"/>
    <mergeCell ref="F113:F114"/>
    <mergeCell ref="H113:I113"/>
    <mergeCell ref="J113:K113"/>
    <mergeCell ref="L102:L103"/>
    <mergeCell ref="N102:O102"/>
    <mergeCell ref="P102:Q102"/>
    <mergeCell ref="R102:R103"/>
    <mergeCell ref="B103:C103"/>
    <mergeCell ref="H103:I103"/>
    <mergeCell ref="N103:O103"/>
    <mergeCell ref="A101:A110"/>
    <mergeCell ref="B101:F101"/>
    <mergeCell ref="H101:L101"/>
    <mergeCell ref="N101:R101"/>
    <mergeCell ref="T79:U79"/>
    <mergeCell ref="B80:C80"/>
    <mergeCell ref="D80:E80"/>
    <mergeCell ref="F80:F81"/>
    <mergeCell ref="H80:I80"/>
    <mergeCell ref="J80:K80"/>
    <mergeCell ref="L91:L92"/>
    <mergeCell ref="N91:O91"/>
    <mergeCell ref="P91:Q91"/>
    <mergeCell ref="R91:R92"/>
    <mergeCell ref="B92:C92"/>
    <mergeCell ref="H92:I92"/>
    <mergeCell ref="N92:O92"/>
    <mergeCell ref="A90:A99"/>
    <mergeCell ref="B90:F90"/>
    <mergeCell ref="H90:L90"/>
    <mergeCell ref="N90:R90"/>
    <mergeCell ref="T90:U90"/>
    <mergeCell ref="B91:C91"/>
    <mergeCell ref="D91:E91"/>
    <mergeCell ref="F91:F92"/>
    <mergeCell ref="H91:I91"/>
    <mergeCell ref="J91:K91"/>
    <mergeCell ref="L80:L81"/>
    <mergeCell ref="N80:O80"/>
    <mergeCell ref="P80:Q80"/>
    <mergeCell ref="R80:R81"/>
    <mergeCell ref="B81:C81"/>
    <mergeCell ref="H81:I81"/>
    <mergeCell ref="N81:O81"/>
    <mergeCell ref="A79:A88"/>
    <mergeCell ref="B79:F79"/>
    <mergeCell ref="H79:L79"/>
    <mergeCell ref="N79:R79"/>
    <mergeCell ref="T57:U57"/>
    <mergeCell ref="B58:C58"/>
    <mergeCell ref="D58:E58"/>
    <mergeCell ref="F58:F59"/>
    <mergeCell ref="H58:I58"/>
    <mergeCell ref="J58:K58"/>
    <mergeCell ref="L69:L70"/>
    <mergeCell ref="N69:O69"/>
    <mergeCell ref="P69:Q69"/>
    <mergeCell ref="R69:R70"/>
    <mergeCell ref="B70:C70"/>
    <mergeCell ref="H70:I70"/>
    <mergeCell ref="N70:O70"/>
    <mergeCell ref="A68:A77"/>
    <mergeCell ref="B68:F68"/>
    <mergeCell ref="H68:L68"/>
    <mergeCell ref="N68:R68"/>
    <mergeCell ref="T68:U68"/>
    <mergeCell ref="B69:C69"/>
    <mergeCell ref="D69:E69"/>
    <mergeCell ref="F69:F70"/>
    <mergeCell ref="H69:I69"/>
    <mergeCell ref="J69:K69"/>
    <mergeCell ref="L58:L59"/>
    <mergeCell ref="N58:O58"/>
    <mergeCell ref="P58:Q58"/>
    <mergeCell ref="R58:R59"/>
    <mergeCell ref="B59:C59"/>
    <mergeCell ref="H59:I59"/>
    <mergeCell ref="N59:O59"/>
    <mergeCell ref="A57:A66"/>
    <mergeCell ref="B57:F57"/>
    <mergeCell ref="H57:L57"/>
    <mergeCell ref="N57:R57"/>
    <mergeCell ref="A46:A55"/>
    <mergeCell ref="B46:F46"/>
    <mergeCell ref="H46:L46"/>
    <mergeCell ref="N46:R46"/>
    <mergeCell ref="T46:U46"/>
    <mergeCell ref="B47:C47"/>
    <mergeCell ref="D47:E47"/>
    <mergeCell ref="F47:F48"/>
    <mergeCell ref="H47:I47"/>
    <mergeCell ref="J47:K47"/>
    <mergeCell ref="L47:L48"/>
    <mergeCell ref="N47:O47"/>
    <mergeCell ref="P47:Q47"/>
    <mergeCell ref="R47:R48"/>
    <mergeCell ref="B48:C48"/>
    <mergeCell ref="H48:I48"/>
    <mergeCell ref="N48:O48"/>
    <mergeCell ref="A24:A33"/>
    <mergeCell ref="B24:F24"/>
    <mergeCell ref="H24:L24"/>
    <mergeCell ref="N24:R24"/>
    <mergeCell ref="N36:O36"/>
    <mergeCell ref="P36:Q36"/>
    <mergeCell ref="R36:R37"/>
    <mergeCell ref="T36:U36"/>
    <mergeCell ref="B37:C37"/>
    <mergeCell ref="H37:I37"/>
    <mergeCell ref="N37:O37"/>
    <mergeCell ref="A35:A44"/>
    <mergeCell ref="B35:F35"/>
    <mergeCell ref="H35:L35"/>
    <mergeCell ref="N35:R35"/>
    <mergeCell ref="B36:C36"/>
    <mergeCell ref="D36:E36"/>
    <mergeCell ref="F36:F37"/>
    <mergeCell ref="H36:I36"/>
    <mergeCell ref="J36:K36"/>
    <mergeCell ref="L36:L37"/>
    <mergeCell ref="T24:U24"/>
    <mergeCell ref="B25:C25"/>
    <mergeCell ref="D25:E25"/>
    <mergeCell ref="F25:F26"/>
    <mergeCell ref="H25:I25"/>
    <mergeCell ref="J25:K25"/>
    <mergeCell ref="L14:L15"/>
    <mergeCell ref="N14:O14"/>
    <mergeCell ref="P14:Q14"/>
    <mergeCell ref="R14:R15"/>
    <mergeCell ref="B15:C15"/>
    <mergeCell ref="H15:I15"/>
    <mergeCell ref="N15:O15"/>
    <mergeCell ref="L25:L26"/>
    <mergeCell ref="N25:O25"/>
    <mergeCell ref="P25:Q25"/>
    <mergeCell ref="R25:R26"/>
    <mergeCell ref="B26:C26"/>
    <mergeCell ref="H26:I26"/>
    <mergeCell ref="N26:O26"/>
    <mergeCell ref="A13:A22"/>
    <mergeCell ref="B13:F13"/>
    <mergeCell ref="H13:L13"/>
    <mergeCell ref="N13:R13"/>
    <mergeCell ref="T13:U13"/>
    <mergeCell ref="B14:C14"/>
    <mergeCell ref="D14:E14"/>
    <mergeCell ref="F14:F15"/>
    <mergeCell ref="H14:I14"/>
    <mergeCell ref="J14:K14"/>
    <mergeCell ref="J3:K3"/>
    <mergeCell ref="L3:L4"/>
    <mergeCell ref="N3:O3"/>
    <mergeCell ref="P3:Q3"/>
    <mergeCell ref="R3:R4"/>
    <mergeCell ref="B4:C4"/>
    <mergeCell ref="H4:I4"/>
    <mergeCell ref="N4:O4"/>
    <mergeCell ref="A1:U1"/>
    <mergeCell ref="A2:A11"/>
    <mergeCell ref="B2:F2"/>
    <mergeCell ref="H2:L2"/>
    <mergeCell ref="N2:R2"/>
    <mergeCell ref="T2:U2"/>
    <mergeCell ref="B3:C3"/>
    <mergeCell ref="D3:E3"/>
    <mergeCell ref="F3:F4"/>
    <mergeCell ref="H3:I3"/>
  </mergeCell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CF84-FB55-49EF-81B8-E0429C43C219}">
  <sheetPr>
    <tabColor rgb="FF00B050"/>
  </sheetPr>
  <dimension ref="A1:O61"/>
  <sheetViews>
    <sheetView topLeftCell="A10" zoomScale="88" zoomScaleNormal="88" zoomScaleSheetLayoutView="90" workbookViewId="0">
      <selection activeCell="H2" sqref="H2"/>
    </sheetView>
  </sheetViews>
  <sheetFormatPr defaultColWidth="9.26953125" defaultRowHeight="12.5"/>
  <cols>
    <col min="1" max="1" width="18.26953125" style="962" customWidth="1"/>
    <col min="2" max="2" width="26.26953125" style="962" customWidth="1"/>
    <col min="3" max="3" width="3.26953125" style="962" customWidth="1"/>
    <col min="4" max="4" width="11.54296875" style="962" customWidth="1"/>
    <col min="5" max="5" width="9.453125" style="962" customWidth="1"/>
    <col min="6" max="6" width="22.54296875" style="962" customWidth="1"/>
    <col min="7" max="7" width="9.26953125" style="962"/>
    <col min="8" max="8" width="18.7265625" style="962" customWidth="1"/>
    <col min="9" max="9" width="12.26953125" style="962" customWidth="1"/>
    <col min="10" max="16384" width="9.26953125" style="962"/>
  </cols>
  <sheetData>
    <row r="1" spans="1:15" ht="18.5">
      <c r="H1" s="963" t="str">
        <f>IF(Penyelia!K68&lt;70,"TIDAK LAIK","LAIK")</f>
        <v>LAIK</v>
      </c>
      <c r="I1" s="964"/>
      <c r="J1" s="964"/>
    </row>
    <row r="2" spans="1:15" ht="30">
      <c r="A2" s="1240" t="s">
        <v>436</v>
      </c>
      <c r="B2" s="1240"/>
      <c r="C2" s="1240"/>
      <c r="D2" s="1240"/>
      <c r="E2" s="1240"/>
      <c r="F2" s="1240"/>
      <c r="H2" s="965"/>
      <c r="I2" s="1241"/>
      <c r="J2" s="1242"/>
    </row>
    <row r="3" spans="1:15" ht="14">
      <c r="A3" s="1243" t="str">
        <f>"Nomor : 18 /"&amp;" "&amp;[1]ID!I2</f>
        <v>Nomor : 18 / 1 / VIII - 22 / E - 008.27 DL</v>
      </c>
      <c r="B3" s="1243"/>
      <c r="C3" s="1243"/>
      <c r="D3" s="1243"/>
      <c r="E3" s="1243"/>
      <c r="F3" s="1243"/>
    </row>
    <row r="4" spans="1:15" ht="13">
      <c r="C4" s="962" t="s">
        <v>437</v>
      </c>
      <c r="D4" s="1244" t="str">
        <f>[1]ID!E11</f>
        <v>-</v>
      </c>
      <c r="E4" s="1244"/>
      <c r="F4" s="1244"/>
      <c r="H4" s="966"/>
      <c r="I4" s="966"/>
      <c r="J4" s="966"/>
    </row>
    <row r="5" spans="1:15" ht="14.5">
      <c r="H5" s="1245"/>
      <c r="I5" s="1245"/>
      <c r="J5" s="1245"/>
    </row>
    <row r="6" spans="1:15" ht="14">
      <c r="A6" s="967" t="s">
        <v>438</v>
      </c>
      <c r="B6" s="968" t="s">
        <v>439</v>
      </c>
      <c r="C6" s="969"/>
      <c r="D6" s="1226" t="s">
        <v>440</v>
      </c>
      <c r="E6" s="1227"/>
      <c r="F6" s="970" t="str">
        <f>MID(A3,SEARCH("E - ",A3),LEN(A3))</f>
        <v>E - 008.27 DL</v>
      </c>
    </row>
    <row r="7" spans="1:15" ht="14">
      <c r="A7" s="971"/>
      <c r="B7" s="971"/>
      <c r="C7" s="971"/>
    </row>
    <row r="8" spans="1:15" ht="14">
      <c r="A8" s="1220" t="s">
        <v>20</v>
      </c>
      <c r="B8" s="1220"/>
      <c r="C8" s="972" t="s">
        <v>63</v>
      </c>
      <c r="D8" s="1236" t="str">
        <f>[2]Input!F4</f>
        <v>Philips</v>
      </c>
      <c r="E8" s="1220"/>
      <c r="F8" s="1220"/>
      <c r="I8" s="1237"/>
      <c r="J8" s="1237"/>
    </row>
    <row r="9" spans="1:15" ht="14.25" customHeight="1">
      <c r="A9" s="1220" t="s">
        <v>441</v>
      </c>
      <c r="B9" s="1220"/>
      <c r="C9" s="972" t="s">
        <v>63</v>
      </c>
      <c r="D9" s="1236" t="str">
        <f>[2]Input!F5</f>
        <v>xxx</v>
      </c>
      <c r="E9" s="1220"/>
      <c r="F9" s="1220"/>
      <c r="I9" s="1237"/>
      <c r="J9" s="1237"/>
    </row>
    <row r="10" spans="1:15" ht="15" customHeight="1">
      <c r="A10" s="1220" t="s">
        <v>442</v>
      </c>
      <c r="B10" s="1220"/>
      <c r="C10" s="972" t="s">
        <v>63</v>
      </c>
      <c r="D10" s="1236">
        <f>[2]Input!F6</f>
        <v>123456</v>
      </c>
      <c r="E10" s="1220"/>
      <c r="F10" s="1220"/>
      <c r="I10" s="1238"/>
      <c r="J10" s="1228"/>
      <c r="O10" s="973"/>
    </row>
    <row r="11" spans="1:15" s="964" customFormat="1" ht="14.5" hidden="1">
      <c r="A11" s="1239" t="s">
        <v>443</v>
      </c>
      <c r="B11" s="1239"/>
      <c r="C11" s="974" t="s">
        <v>63</v>
      </c>
      <c r="D11" s="975" t="str">
        <f>I11&amp;"    "&amp;J11&amp;""</f>
        <v xml:space="preserve">    </v>
      </c>
      <c r="E11" s="975"/>
      <c r="F11" s="976">
        <f>J11</f>
        <v>0</v>
      </c>
      <c r="I11" s="977"/>
      <c r="J11" s="978"/>
      <c r="O11" s="978"/>
    </row>
    <row r="12" spans="1:15" s="964" customFormat="1" ht="14.5" hidden="1">
      <c r="A12" s="1239" t="s">
        <v>177</v>
      </c>
      <c r="B12" s="1239"/>
      <c r="C12" s="974" t="s">
        <v>63</v>
      </c>
      <c r="D12" s="979"/>
      <c r="E12" s="979"/>
      <c r="F12" s="976"/>
      <c r="I12" s="980"/>
      <c r="J12" s="978"/>
      <c r="O12" s="978"/>
    </row>
    <row r="13" spans="1:15" ht="14.5">
      <c r="A13" s="981"/>
      <c r="B13" s="981"/>
      <c r="C13" s="971"/>
      <c r="I13" s="1235"/>
      <c r="J13" s="1235"/>
      <c r="O13" s="973"/>
    </row>
    <row r="14" spans="1:15" ht="28.5" customHeight="1">
      <c r="A14" s="982" t="s">
        <v>444</v>
      </c>
      <c r="B14" s="983"/>
      <c r="C14" s="971"/>
      <c r="D14" s="1226" t="s">
        <v>445</v>
      </c>
      <c r="E14" s="1227"/>
      <c r="F14" s="984"/>
      <c r="I14" s="1228"/>
      <c r="J14" s="1228"/>
      <c r="O14" s="973"/>
    </row>
    <row r="15" spans="1:15" ht="14.5">
      <c r="A15" s="985"/>
      <c r="B15" s="971"/>
      <c r="C15" s="971"/>
      <c r="D15" s="971"/>
      <c r="E15" s="971"/>
      <c r="I15" s="1229"/>
      <c r="J15" s="1229"/>
    </row>
    <row r="16" spans="1:15" s="964" customFormat="1" ht="42.75" customHeight="1">
      <c r="A16" s="1230" t="s">
        <v>446</v>
      </c>
      <c r="B16" s="1230"/>
      <c r="C16" s="986" t="s">
        <v>63</v>
      </c>
      <c r="D16" s="1231" t="s">
        <v>447</v>
      </c>
      <c r="E16" s="1231"/>
      <c r="F16" s="1231"/>
      <c r="H16" s="987"/>
      <c r="I16" s="1232"/>
      <c r="J16" s="1233"/>
    </row>
    <row r="17" spans="1:10" ht="14.5">
      <c r="A17" s="1220" t="str">
        <f>"Nama Ruang "</f>
        <v xml:space="preserve">Nama Ruang </v>
      </c>
      <c r="B17" s="1220"/>
      <c r="C17" s="972" t="s">
        <v>63</v>
      </c>
      <c r="D17" s="1222" t="str">
        <f>[2]Input!F10</f>
        <v>x3</v>
      </c>
      <c r="E17" s="1223"/>
      <c r="F17" s="1223"/>
      <c r="H17" s="1234"/>
      <c r="I17" s="1234"/>
      <c r="J17" s="1234"/>
    </row>
    <row r="18" spans="1:10" ht="14.5">
      <c r="A18" s="1220" t="s">
        <v>415</v>
      </c>
      <c r="B18" s="1220"/>
      <c r="C18" s="972" t="s">
        <v>63</v>
      </c>
      <c r="D18" s="1225">
        <f>[2]Input!F7</f>
        <v>21</v>
      </c>
      <c r="E18" s="1225"/>
      <c r="F18" s="1225"/>
      <c r="H18" s="988"/>
      <c r="I18" s="988"/>
      <c r="J18" s="988"/>
    </row>
    <row r="19" spans="1:10" ht="14.25" customHeight="1">
      <c r="A19" s="1220" t="str">
        <f>"Tanggal "&amp;B50</f>
        <v>Tanggal Pengujian</v>
      </c>
      <c r="B19" s="1220"/>
      <c r="C19" s="972" t="s">
        <v>63</v>
      </c>
      <c r="D19" s="1225" t="str">
        <f>[2]Input!F8</f>
        <v>x1</v>
      </c>
      <c r="E19" s="1225"/>
      <c r="F19" s="1225"/>
    </row>
    <row r="20" spans="1:10" ht="14">
      <c r="A20" s="1220" t="str">
        <f>"Penanggungjawab "&amp;B50</f>
        <v>Penanggungjawab Pengujian</v>
      </c>
      <c r="B20" s="1220"/>
      <c r="C20" s="972" t="s">
        <v>63</v>
      </c>
      <c r="D20" s="1220" t="e">
        <f>[1]LH!#REF!</f>
        <v>#REF!</v>
      </c>
      <c r="E20" s="1220"/>
      <c r="F20" s="1220"/>
    </row>
    <row r="21" spans="1:10" ht="14.5">
      <c r="A21" s="1220" t="str">
        <f>"Lokasi "&amp;B50</f>
        <v>Lokasi Pengujian</v>
      </c>
      <c r="B21" s="1220"/>
      <c r="C21" s="972" t="s">
        <v>63</v>
      </c>
      <c r="D21" s="1222" t="str">
        <f>[2]Input!F9</f>
        <v>x2</v>
      </c>
      <c r="E21" s="1223"/>
      <c r="F21" s="1223"/>
      <c r="H21" s="989"/>
    </row>
    <row r="22" spans="1:10" ht="31.5" customHeight="1">
      <c r="A22" s="1223" t="str">
        <f>"Hasil "&amp;B50</f>
        <v>Hasil Pengujian</v>
      </c>
      <c r="B22" s="1223"/>
      <c r="C22" s="990" t="s">
        <v>63</v>
      </c>
      <c r="D22" s="1224" t="s">
        <v>448</v>
      </c>
      <c r="E22" s="1224"/>
      <c r="F22" s="1224"/>
    </row>
    <row r="23" spans="1:10" ht="14">
      <c r="A23" s="1220" t="s">
        <v>80</v>
      </c>
      <c r="B23" s="1220"/>
      <c r="C23" s="972" t="s">
        <v>63</v>
      </c>
      <c r="D23" s="1220" t="str">
        <f>[2]LK!E11</f>
        <v>MK.087-19</v>
      </c>
      <c r="E23" s="1220"/>
      <c r="F23" s="1220"/>
    </row>
    <row r="26" spans="1:10" ht="26.25" customHeight="1">
      <c r="D26" s="991" t="s">
        <v>449</v>
      </c>
      <c r="E26" s="1221">
        <f ca="1">TODAY()</f>
        <v>45188</v>
      </c>
      <c r="F26" s="1221"/>
    </row>
    <row r="27" spans="1:10" ht="14">
      <c r="D27" s="1220" t="s">
        <v>450</v>
      </c>
      <c r="E27" s="1220"/>
      <c r="F27" s="1220"/>
    </row>
    <row r="28" spans="1:10" ht="14">
      <c r="D28" s="1220" t="s">
        <v>451</v>
      </c>
      <c r="E28" s="1220"/>
      <c r="F28" s="1220"/>
    </row>
    <row r="29" spans="1:10" ht="14">
      <c r="D29" s="992"/>
      <c r="E29" s="992"/>
    </row>
    <row r="30" spans="1:10" ht="14">
      <c r="D30" s="992"/>
      <c r="E30" s="992"/>
    </row>
    <row r="31" spans="1:10" ht="14">
      <c r="D31" s="992"/>
      <c r="E31" s="992"/>
    </row>
    <row r="32" spans="1:10" ht="14">
      <c r="D32" s="1220" t="s">
        <v>452</v>
      </c>
      <c r="E32" s="1220"/>
      <c r="F32" s="1220"/>
    </row>
    <row r="33" spans="1:6" ht="14">
      <c r="D33" s="1219" t="s">
        <v>453</v>
      </c>
      <c r="E33" s="1219"/>
      <c r="F33" s="1219"/>
    </row>
    <row r="36" spans="1:6" ht="13">
      <c r="A36" s="993"/>
      <c r="B36" s="993"/>
      <c r="C36" s="993"/>
      <c r="D36" s="993"/>
      <c r="E36" s="993"/>
      <c r="F36" s="993"/>
    </row>
    <row r="42" spans="1:6" ht="13" thickBot="1"/>
    <row r="43" spans="1:6" ht="31.5" customHeight="1">
      <c r="A43" s="994" t="s">
        <v>454</v>
      </c>
      <c r="B43" s="995" t="str">
        <f>MID([1]ID!I2,SEARCH("E - ",[1]ID!I2),LEN([1]ID!I2))</f>
        <v>E - 008.27 DL</v>
      </c>
    </row>
    <row r="44" spans="1:6">
      <c r="A44" s="996"/>
      <c r="B44" s="997"/>
    </row>
    <row r="45" spans="1:6" ht="24" customHeight="1">
      <c r="A45" s="998" t="s">
        <v>455</v>
      </c>
      <c r="B45" s="999" t="str">
        <f>[1]ID!A1</f>
        <v>INPUT DATA KALIBRASI HEART RATE MONITOR</v>
      </c>
    </row>
    <row r="46" spans="1:6" ht="39" customHeight="1">
      <c r="A46" s="998" t="s">
        <v>456</v>
      </c>
      <c r="B46" s="1000" t="str">
        <f>IF(B45="INPUT DATA PENGUJIAN DENTAL UNIT",B47,B48)</f>
        <v>SERTIFIKAT PENGUJIAN</v>
      </c>
    </row>
    <row r="47" spans="1:6" ht="22.5" customHeight="1">
      <c r="A47" s="998" t="s">
        <v>457</v>
      </c>
      <c r="B47" s="997" t="s">
        <v>458</v>
      </c>
    </row>
    <row r="48" spans="1:6">
      <c r="A48" s="996"/>
      <c r="B48" s="997" t="s">
        <v>436</v>
      </c>
    </row>
    <row r="49" spans="1:2">
      <c r="A49" s="996"/>
      <c r="B49" s="997"/>
    </row>
    <row r="50" spans="1:2" ht="48" customHeight="1">
      <c r="A50" s="998" t="s">
        <v>459</v>
      </c>
      <c r="B50" s="997" t="str">
        <f>IF(RIGHT(A2,10)=" KALIBRASI","Kalibrasi","Pengujian")</f>
        <v>Pengujian</v>
      </c>
    </row>
    <row r="51" spans="1:2">
      <c r="A51" s="996"/>
      <c r="B51" s="997"/>
    </row>
    <row r="52" spans="1:2" s="1002" customFormat="1" ht="34.5" customHeight="1">
      <c r="A52" s="998" t="s">
        <v>460</v>
      </c>
      <c r="B52" s="1001" t="s">
        <v>154</v>
      </c>
    </row>
    <row r="53" spans="1:2">
      <c r="A53" s="996"/>
      <c r="B53" s="997"/>
    </row>
    <row r="54" spans="1:2" ht="50.25" customHeight="1">
      <c r="A54" s="1003" t="s">
        <v>461</v>
      </c>
      <c r="B54" s="1004" t="e">
        <f>DATE(YEAR(D19)+1,MONTH(D19),DAY(D19))</f>
        <v>#VALUE!</v>
      </c>
    </row>
    <row r="55" spans="1:2" ht="27" customHeight="1">
      <c r="A55" s="998" t="s">
        <v>462</v>
      </c>
      <c r="B55" s="1005" t="e">
        <f>TEXT(B54,"d mmmm yyyy")</f>
        <v>#VALUE!</v>
      </c>
    </row>
    <row r="56" spans="1:2">
      <c r="A56" s="996"/>
      <c r="B56" s="997"/>
    </row>
    <row r="57" spans="1:2" ht="30" customHeight="1">
      <c r="A57" s="1003" t="s">
        <v>463</v>
      </c>
      <c r="B57" s="1006" t="e">
        <f>IF(B46=B47,B58,B59)</f>
        <v>#VALUE!</v>
      </c>
    </row>
    <row r="58" spans="1:2" ht="14">
      <c r="A58" s="996" t="s">
        <v>464</v>
      </c>
      <c r="B58" s="1007" t="e">
        <f>CONCATENATE(B60,B55)</f>
        <v>#VALUE!</v>
      </c>
    </row>
    <row r="59" spans="1:2" ht="14">
      <c r="A59" s="996"/>
      <c r="B59" s="1007" t="e">
        <f>CONCATENATE(B61,B55)</f>
        <v>#VALUE!</v>
      </c>
    </row>
    <row r="60" spans="1:2" ht="42" customHeight="1">
      <c r="A60" s="1008" t="s">
        <v>457</v>
      </c>
      <c r="B60" s="1007" t="s">
        <v>465</v>
      </c>
    </row>
    <row r="61" spans="1:2" ht="39.75" customHeight="1" thickBot="1">
      <c r="A61" s="1009"/>
      <c r="B61" s="1010" t="s">
        <v>466</v>
      </c>
    </row>
  </sheetData>
  <sheetProtection formatRows="0"/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A2:F2" xr:uid="{189E2DA8-0F11-4C8D-8856-97B1B9AFEBA7}">
      <formula1>"SERTIFIKAT KALIBRASI,SERTIFIKAT PENGUJIAN"</formula1>
    </dataValidation>
    <dataValidation type="list" allowBlank="1" showInputMessage="1" showErrorMessage="1" sqref="J11" xr:uid="{428E13F0-3D0C-4E84-85C3-70D420BE9755}">
      <formula1>$M$2:$M$22</formula1>
    </dataValidation>
    <dataValidation type="list" allowBlank="1" showInputMessage="1" showErrorMessage="1" sqref="J12" xr:uid="{A709A326-7F38-462C-96D6-E00244916724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BFD5-B916-4F36-9FA1-D85C1529E0D8}">
  <sheetPr>
    <tabColor rgb="FF00B050"/>
  </sheetPr>
  <dimension ref="A1:AX220"/>
  <sheetViews>
    <sheetView topLeftCell="A128" zoomScale="78" zoomScaleNormal="78" zoomScaleSheetLayoutView="77" workbookViewId="0">
      <selection activeCell="I136" sqref="I136:L136"/>
    </sheetView>
  </sheetViews>
  <sheetFormatPr defaultColWidth="9" defaultRowHeight="12.5"/>
  <cols>
    <col min="1" max="1" width="9.7265625" style="197" customWidth="1"/>
    <col min="2" max="7" width="9.81640625" style="197" customWidth="1"/>
    <col min="8" max="8" width="9.81640625" style="456" customWidth="1"/>
    <col min="9" max="14" width="9.81640625" style="197" customWidth="1"/>
    <col min="15" max="15" width="14" style="197" customWidth="1"/>
    <col min="16" max="16" width="9.81640625" style="456" customWidth="1"/>
    <col min="17" max="23" width="9.81640625" style="197" customWidth="1"/>
    <col min="24" max="24" width="9" style="456"/>
    <col min="25" max="16384" width="9" style="197"/>
  </cols>
  <sheetData>
    <row r="1" spans="1:25" ht="48" customHeight="1">
      <c r="A1" s="1252" t="s">
        <v>251</v>
      </c>
      <c r="B1" s="1253"/>
      <c r="C1" s="1253"/>
      <c r="D1" s="1253"/>
      <c r="E1" s="1253"/>
      <c r="F1" s="1253"/>
      <c r="G1" s="1253"/>
      <c r="H1" s="1253"/>
      <c r="I1" s="1253"/>
      <c r="J1" s="1253"/>
      <c r="K1" s="1253"/>
      <c r="L1" s="1253"/>
      <c r="M1" s="1253"/>
      <c r="N1" s="1253"/>
      <c r="O1" s="1253"/>
      <c r="P1" s="1253"/>
      <c r="Q1" s="1253"/>
      <c r="R1" s="1253"/>
      <c r="S1" s="1253"/>
      <c r="T1" s="1253"/>
      <c r="U1" s="1253"/>
      <c r="V1" s="1253"/>
      <c r="W1" s="1254"/>
      <c r="Y1" s="197" t="s">
        <v>122</v>
      </c>
    </row>
    <row r="2" spans="1:25" ht="25.5" customHeight="1">
      <c r="A2" s="1255">
        <v>1</v>
      </c>
      <c r="B2" s="1258" t="str">
        <f>A167</f>
        <v>Electrical Safety Analyzer, Merek : Fluke, Model : ESA 620, SN : 1837056</v>
      </c>
      <c r="C2" s="1258"/>
      <c r="D2" s="1258"/>
      <c r="E2" s="1258"/>
      <c r="F2" s="1258"/>
      <c r="G2" s="1258"/>
      <c r="H2" s="457"/>
      <c r="I2" s="1255">
        <v>2</v>
      </c>
      <c r="J2" s="1258" t="str">
        <f>A168</f>
        <v>Electrical Safety Analyzer, Merek : Fluke, Model : ESA 620, SN : 1834020</v>
      </c>
      <c r="K2" s="1258"/>
      <c r="L2" s="1258"/>
      <c r="M2" s="1258"/>
      <c r="N2" s="1258"/>
      <c r="O2" s="1258"/>
      <c r="P2" s="457"/>
      <c r="Q2" s="1255">
        <v>3</v>
      </c>
      <c r="R2" s="1258" t="str">
        <f>A169</f>
        <v>Electrical Safety Analyzer, Merek : Fluke, Model : ESA 615, SN : 2853077</v>
      </c>
      <c r="S2" s="1258"/>
      <c r="T2" s="1258"/>
      <c r="U2" s="1258"/>
      <c r="V2" s="1258"/>
      <c r="W2" s="1258"/>
    </row>
    <row r="3" spans="1:25" ht="15" customHeight="1">
      <c r="A3" s="1256"/>
      <c r="B3" s="1259" t="s">
        <v>86</v>
      </c>
      <c r="C3" s="1259"/>
      <c r="D3" s="1259"/>
      <c r="E3" s="1259"/>
      <c r="F3" s="458"/>
      <c r="G3" s="458"/>
      <c r="H3" s="459"/>
      <c r="I3" s="1256"/>
      <c r="J3" s="1259" t="s">
        <v>86</v>
      </c>
      <c r="K3" s="1259"/>
      <c r="L3" s="1259"/>
      <c r="M3" s="1259"/>
      <c r="N3" s="458"/>
      <c r="O3" s="458"/>
      <c r="P3" s="459"/>
      <c r="Q3" s="1256"/>
      <c r="R3" s="1259" t="s">
        <v>86</v>
      </c>
      <c r="S3" s="1259"/>
      <c r="T3" s="1259"/>
      <c r="U3" s="1259"/>
      <c r="V3" s="460"/>
      <c r="W3" s="460"/>
    </row>
    <row r="4" spans="1:25" ht="12.75" customHeight="1">
      <c r="A4" s="1256"/>
      <c r="B4" s="1246" t="s">
        <v>252</v>
      </c>
      <c r="C4" s="1247"/>
      <c r="D4" s="1247"/>
      <c r="E4" s="1248"/>
      <c r="F4" s="461" t="s">
        <v>253</v>
      </c>
      <c r="G4" s="461" t="s">
        <v>99</v>
      </c>
      <c r="H4" s="462"/>
      <c r="I4" s="1256"/>
      <c r="J4" s="1246" t="s">
        <v>252</v>
      </c>
      <c r="K4" s="1247"/>
      <c r="L4" s="1247"/>
      <c r="M4" s="1248"/>
      <c r="N4" s="461" t="s">
        <v>253</v>
      </c>
      <c r="O4" s="461" t="s">
        <v>99</v>
      </c>
      <c r="P4" s="462"/>
      <c r="Q4" s="1256"/>
      <c r="R4" s="1246" t="s">
        <v>252</v>
      </c>
      <c r="S4" s="1247"/>
      <c r="T4" s="1247"/>
      <c r="U4" s="1248"/>
      <c r="V4" s="461" t="s">
        <v>253</v>
      </c>
      <c r="W4" s="461" t="s">
        <v>99</v>
      </c>
    </row>
    <row r="5" spans="1:25" ht="15" customHeight="1">
      <c r="A5" s="1256"/>
      <c r="B5" s="460" t="s">
        <v>87</v>
      </c>
      <c r="C5" s="742">
        <v>2022</v>
      </c>
      <c r="D5" s="742">
        <v>2020</v>
      </c>
      <c r="E5" s="742">
        <v>2019</v>
      </c>
      <c r="F5" s="461"/>
      <c r="G5" s="461"/>
      <c r="H5" s="462"/>
      <c r="I5" s="1256"/>
      <c r="J5" s="460" t="s">
        <v>87</v>
      </c>
      <c r="K5" s="742">
        <v>2022</v>
      </c>
      <c r="L5" s="742">
        <v>2019</v>
      </c>
      <c r="M5" s="744">
        <v>2017</v>
      </c>
      <c r="N5" s="461"/>
      <c r="O5" s="461"/>
      <c r="P5" s="462"/>
      <c r="Q5" s="1256"/>
      <c r="R5" s="460" t="s">
        <v>87</v>
      </c>
      <c r="S5" s="461">
        <v>2018</v>
      </c>
      <c r="T5" s="461">
        <v>2021</v>
      </c>
      <c r="U5" s="461">
        <v>2022</v>
      </c>
      <c r="V5" s="461"/>
      <c r="W5" s="461"/>
    </row>
    <row r="6" spans="1:25" ht="15" customHeight="1">
      <c r="A6" s="1256"/>
      <c r="B6" s="463">
        <v>150</v>
      </c>
      <c r="C6" s="358">
        <v>0.35</v>
      </c>
      <c r="D6" s="358">
        <v>0.31</v>
      </c>
      <c r="E6" s="358">
        <v>0.76</v>
      </c>
      <c r="F6" s="465">
        <f t="shared" ref="F6:F11" si="0">0.5*(MAX(C6:E6)-MIN(C6:E6))</f>
        <v>0.22500000000000001</v>
      </c>
      <c r="G6" s="466">
        <f>B6*$H$6</f>
        <v>1.8</v>
      </c>
      <c r="H6" s="462">
        <f>1.2/100</f>
        <v>1.2E-2</v>
      </c>
      <c r="I6" s="1256"/>
      <c r="J6" s="463">
        <v>150</v>
      </c>
      <c r="K6" s="745">
        <v>0.22</v>
      </c>
      <c r="L6" s="746">
        <v>0.15</v>
      </c>
      <c r="M6" s="746">
        <v>0.23</v>
      </c>
      <c r="N6" s="465">
        <f t="shared" ref="N6:N11" si="1">0.5*(MAX(K6:M6)-MIN(K6:M6))</f>
        <v>4.0000000000000008E-2</v>
      </c>
      <c r="O6" s="466">
        <f>J6*$P$6</f>
        <v>1.8</v>
      </c>
      <c r="P6" s="462">
        <f>1.2/100</f>
        <v>1.2E-2</v>
      </c>
      <c r="Q6" s="1256"/>
      <c r="R6" s="468">
        <v>150</v>
      </c>
      <c r="S6" s="467">
        <v>-7.0000000000000007E-2</v>
      </c>
      <c r="T6" s="467">
        <v>-1.6</v>
      </c>
      <c r="U6" s="467">
        <v>-1.43</v>
      </c>
      <c r="V6" s="465">
        <f t="shared" ref="V6:V11" si="2">0.5*(MAX(S6:U6)-MIN(S6:U6))</f>
        <v>0.76500000000000001</v>
      </c>
      <c r="W6" s="469">
        <f>R6*$X$6</f>
        <v>1.8</v>
      </c>
      <c r="X6" s="456">
        <f>1.2/100</f>
        <v>1.2E-2</v>
      </c>
    </row>
    <row r="7" spans="1:25" ht="12.75" customHeight="1">
      <c r="A7" s="1256"/>
      <c r="B7" s="463">
        <v>180</v>
      </c>
      <c r="C7" s="358">
        <v>-0.1</v>
      </c>
      <c r="D7" s="358">
        <v>0.1</v>
      </c>
      <c r="E7" s="358">
        <v>-0.03</v>
      </c>
      <c r="F7" s="465">
        <f t="shared" si="0"/>
        <v>0.1</v>
      </c>
      <c r="G7" s="466">
        <f t="shared" ref="G7:G11" si="3">B7*$H$6</f>
        <v>2.16</v>
      </c>
      <c r="H7" s="462"/>
      <c r="I7" s="1256"/>
      <c r="J7" s="463">
        <v>180</v>
      </c>
      <c r="K7" s="745">
        <v>0.1</v>
      </c>
      <c r="L7" s="746">
        <v>0.12</v>
      </c>
      <c r="M7" s="746">
        <v>-0.06</v>
      </c>
      <c r="N7" s="465">
        <f t="shared" si="1"/>
        <v>0.09</v>
      </c>
      <c r="O7" s="466">
        <f t="shared" ref="O7:O11" si="4">J7*$P$6</f>
        <v>2.16</v>
      </c>
      <c r="P7" s="462"/>
      <c r="Q7" s="1256"/>
      <c r="R7" s="471">
        <v>180</v>
      </c>
      <c r="S7" s="467">
        <v>-0.13</v>
      </c>
      <c r="T7" s="467">
        <v>-1.9</v>
      </c>
      <c r="U7" s="467">
        <v>-1.81</v>
      </c>
      <c r="V7" s="465">
        <f t="shared" si="2"/>
        <v>0.88500000000000001</v>
      </c>
      <c r="W7" s="469">
        <f t="shared" ref="W7:W11" si="5">R7*$X$6</f>
        <v>2.16</v>
      </c>
    </row>
    <row r="8" spans="1:25" ht="12.75" customHeight="1">
      <c r="A8" s="1256"/>
      <c r="B8" s="463">
        <v>200</v>
      </c>
      <c r="C8" s="358">
        <v>-0.17</v>
      </c>
      <c r="D8" s="358">
        <v>-0.04</v>
      </c>
      <c r="E8" s="358">
        <v>-0.16</v>
      </c>
      <c r="F8" s="465">
        <f t="shared" si="0"/>
        <v>6.5000000000000002E-2</v>
      </c>
      <c r="G8" s="466">
        <f t="shared" si="3"/>
        <v>2.4</v>
      </c>
      <c r="H8" s="462"/>
      <c r="I8" s="1256"/>
      <c r="J8" s="463">
        <v>200</v>
      </c>
      <c r="K8" s="745">
        <v>0.09</v>
      </c>
      <c r="L8" s="746">
        <v>0.06</v>
      </c>
      <c r="M8" s="746">
        <v>-0.18</v>
      </c>
      <c r="N8" s="465">
        <f t="shared" si="1"/>
        <v>0.13500000000000001</v>
      </c>
      <c r="O8" s="466">
        <f t="shared" si="4"/>
        <v>2.4</v>
      </c>
      <c r="P8" s="462"/>
      <c r="Q8" s="1256"/>
      <c r="R8" s="471">
        <v>200</v>
      </c>
      <c r="S8" s="467">
        <v>-0.26</v>
      </c>
      <c r="T8" s="467">
        <v>-2.14</v>
      </c>
      <c r="U8" s="467">
        <v>-2.0499999999999998</v>
      </c>
      <c r="V8" s="465">
        <f t="shared" si="2"/>
        <v>0.94000000000000006</v>
      </c>
      <c r="W8" s="469">
        <f t="shared" si="5"/>
        <v>2.4</v>
      </c>
    </row>
    <row r="9" spans="1:25" ht="12.75" customHeight="1">
      <c r="A9" s="1256"/>
      <c r="B9" s="463">
        <v>220</v>
      </c>
      <c r="C9" s="358">
        <v>-0.27</v>
      </c>
      <c r="D9" s="358">
        <v>-0.28000000000000003</v>
      </c>
      <c r="E9" s="358">
        <v>-0.18</v>
      </c>
      <c r="F9" s="465">
        <f t="shared" si="0"/>
        <v>5.0000000000000017E-2</v>
      </c>
      <c r="G9" s="466">
        <f t="shared" si="3"/>
        <v>2.64</v>
      </c>
      <c r="H9" s="462"/>
      <c r="I9" s="1256"/>
      <c r="J9" s="463">
        <v>220</v>
      </c>
      <c r="K9" s="745">
        <v>0.53</v>
      </c>
      <c r="L9" s="746">
        <v>0.05</v>
      </c>
      <c r="M9" s="746">
        <v>-0.03</v>
      </c>
      <c r="N9" s="465">
        <f t="shared" si="1"/>
        <v>0.28000000000000003</v>
      </c>
      <c r="O9" s="466">
        <f t="shared" si="4"/>
        <v>2.64</v>
      </c>
      <c r="P9" s="462"/>
      <c r="Q9" s="1256"/>
      <c r="R9" s="471">
        <v>220</v>
      </c>
      <c r="S9" s="467">
        <v>-0.28999999999999998</v>
      </c>
      <c r="T9" s="467">
        <v>-3.44</v>
      </c>
      <c r="U9" s="467">
        <v>-2.29</v>
      </c>
      <c r="V9" s="465">
        <f t="shared" si="2"/>
        <v>1.575</v>
      </c>
      <c r="W9" s="469">
        <f t="shared" si="5"/>
        <v>2.64</v>
      </c>
    </row>
    <row r="10" spans="1:25" ht="12.75" customHeight="1">
      <c r="A10" s="1256"/>
      <c r="B10" s="463">
        <v>230</v>
      </c>
      <c r="C10" s="358">
        <v>0.64</v>
      </c>
      <c r="D10" s="358">
        <v>-0.2</v>
      </c>
      <c r="E10" s="358">
        <v>-0.26</v>
      </c>
      <c r="F10" s="465">
        <f t="shared" si="0"/>
        <v>0.45</v>
      </c>
      <c r="G10" s="466">
        <f t="shared" si="3"/>
        <v>2.7600000000000002</v>
      </c>
      <c r="H10" s="462"/>
      <c r="I10" s="1256"/>
      <c r="J10" s="463">
        <v>230</v>
      </c>
      <c r="K10" s="745">
        <v>1.08</v>
      </c>
      <c r="L10" s="358">
        <v>9.9999999999999995E-7</v>
      </c>
      <c r="M10" s="358">
        <v>0.05</v>
      </c>
      <c r="N10" s="465">
        <f t="shared" si="1"/>
        <v>0.53999950000000008</v>
      </c>
      <c r="O10" s="466">
        <f t="shared" si="4"/>
        <v>2.7600000000000002</v>
      </c>
      <c r="P10" s="462"/>
      <c r="Q10" s="1256"/>
      <c r="R10" s="471">
        <v>230</v>
      </c>
      <c r="S10" s="467">
        <v>-0.23</v>
      </c>
      <c r="T10" s="467">
        <v>-2.52</v>
      </c>
      <c r="U10" s="467">
        <v>-11.79</v>
      </c>
      <c r="V10" s="465">
        <f t="shared" si="2"/>
        <v>5.7799999999999994</v>
      </c>
      <c r="W10" s="469">
        <f t="shared" si="5"/>
        <v>2.7600000000000002</v>
      </c>
    </row>
    <row r="11" spans="1:25" ht="12.75" customHeight="1">
      <c r="A11" s="1256"/>
      <c r="B11" s="463">
        <v>250</v>
      </c>
      <c r="C11" s="358">
        <v>-0.36</v>
      </c>
      <c r="D11" s="358">
        <v>-0.32</v>
      </c>
      <c r="E11" s="358">
        <v>9.9999999999999995E-7</v>
      </c>
      <c r="F11" s="465">
        <f t="shared" si="0"/>
        <v>0.18000049999999998</v>
      </c>
      <c r="G11" s="466">
        <f t="shared" si="3"/>
        <v>3</v>
      </c>
      <c r="H11" s="462"/>
      <c r="I11" s="1256"/>
      <c r="J11" s="463">
        <v>250</v>
      </c>
      <c r="K11" s="745">
        <v>-0.01</v>
      </c>
      <c r="L11" s="358">
        <v>9.9999999999999995E-7</v>
      </c>
      <c r="M11" s="358">
        <v>9.9999999999999995E-7</v>
      </c>
      <c r="N11" s="465">
        <f t="shared" si="1"/>
        <v>5.0004999999999997E-3</v>
      </c>
      <c r="O11" s="466">
        <f t="shared" si="4"/>
        <v>3</v>
      </c>
      <c r="P11" s="462"/>
      <c r="Q11" s="1256"/>
      <c r="R11" s="471">
        <v>250</v>
      </c>
      <c r="S11" s="467">
        <v>9.9999999999999995E-7</v>
      </c>
      <c r="T11" s="472">
        <v>9.9999999999999995E-7</v>
      </c>
      <c r="U11" s="472">
        <v>9.9999999999999995E-7</v>
      </c>
      <c r="V11" s="465">
        <f t="shared" si="2"/>
        <v>0</v>
      </c>
      <c r="W11" s="469">
        <f t="shared" si="5"/>
        <v>3</v>
      </c>
    </row>
    <row r="12" spans="1:25" ht="12.75" customHeight="1">
      <c r="A12" s="1256"/>
      <c r="B12" s="1249" t="s">
        <v>254</v>
      </c>
      <c r="C12" s="1250"/>
      <c r="D12" s="1250"/>
      <c r="E12" s="1251"/>
      <c r="F12" s="461" t="s">
        <v>253</v>
      </c>
      <c r="G12" s="461" t="s">
        <v>99</v>
      </c>
      <c r="H12" s="462"/>
      <c r="I12" s="1256"/>
      <c r="J12" s="1249" t="s">
        <v>254</v>
      </c>
      <c r="K12" s="1250"/>
      <c r="L12" s="1250"/>
      <c r="M12" s="1251"/>
      <c r="N12" s="461" t="s">
        <v>253</v>
      </c>
      <c r="O12" s="461" t="s">
        <v>99</v>
      </c>
      <c r="P12" s="462"/>
      <c r="Q12" s="1256"/>
      <c r="R12" s="1249" t="s">
        <v>254</v>
      </c>
      <c r="S12" s="1250"/>
      <c r="T12" s="1250"/>
      <c r="U12" s="1251"/>
      <c r="V12" s="461" t="s">
        <v>253</v>
      </c>
      <c r="W12" s="461" t="s">
        <v>99</v>
      </c>
    </row>
    <row r="13" spans="1:25" ht="15" customHeight="1">
      <c r="A13" s="1256"/>
      <c r="B13" s="460" t="s">
        <v>88</v>
      </c>
      <c r="C13" s="461">
        <f>C5</f>
        <v>2022</v>
      </c>
      <c r="D13" s="461">
        <f>D5</f>
        <v>2020</v>
      </c>
      <c r="E13" s="461">
        <f>E5</f>
        <v>2019</v>
      </c>
      <c r="F13" s="461"/>
      <c r="G13" s="461"/>
      <c r="H13" s="462"/>
      <c r="I13" s="1256"/>
      <c r="J13" s="460" t="s">
        <v>88</v>
      </c>
      <c r="K13" s="461">
        <f>K5</f>
        <v>2022</v>
      </c>
      <c r="L13" s="461">
        <f>L5</f>
        <v>2019</v>
      </c>
      <c r="M13" s="461">
        <f>M5</f>
        <v>2017</v>
      </c>
      <c r="N13" s="461"/>
      <c r="O13" s="461"/>
      <c r="P13" s="462"/>
      <c r="Q13" s="1256"/>
      <c r="R13" s="460" t="s">
        <v>88</v>
      </c>
      <c r="S13" s="461">
        <f>S5</f>
        <v>2018</v>
      </c>
      <c r="T13" s="461">
        <f>T5</f>
        <v>2021</v>
      </c>
      <c r="U13" s="461">
        <f>U5</f>
        <v>2022</v>
      </c>
      <c r="V13" s="461"/>
      <c r="W13" s="461"/>
    </row>
    <row r="14" spans="1:25" ht="12.75" customHeight="1">
      <c r="A14" s="1256"/>
      <c r="B14" s="473">
        <v>9.9999999999999995E-7</v>
      </c>
      <c r="C14" s="473">
        <v>9.9999999999999995E-7</v>
      </c>
      <c r="D14" s="473">
        <v>9.9999999999999995E-7</v>
      </c>
      <c r="E14" s="474">
        <v>0</v>
      </c>
      <c r="F14" s="465">
        <f t="shared" ref="F14:F19" si="6">0.5*(MAX(C14:E14)-MIN(C14:E14))</f>
        <v>4.9999999999999998E-7</v>
      </c>
      <c r="G14" s="475">
        <f>B14*$H$14</f>
        <v>5.8999999999999999E-9</v>
      </c>
      <c r="H14" s="462">
        <f>0.59/100</f>
        <v>5.8999999999999999E-3</v>
      </c>
      <c r="I14" s="1256"/>
      <c r="J14" s="476">
        <v>9.9999999999999995E-7</v>
      </c>
      <c r="K14" s="467">
        <v>9.9999999999999995E-7</v>
      </c>
      <c r="L14" s="467">
        <v>9.9999999999999995E-7</v>
      </c>
      <c r="M14" s="470">
        <v>9.9999999999999995E-7</v>
      </c>
      <c r="N14" s="465">
        <f t="shared" ref="N14:N19" si="7">0.5*(MAX(K14:M14)-MIN(K14:M14))</f>
        <v>0</v>
      </c>
      <c r="O14" s="475">
        <f>J14*$P$14</f>
        <v>5.8999999999999999E-9</v>
      </c>
      <c r="P14" s="462">
        <f>0.59/100</f>
        <v>5.8999999999999999E-3</v>
      </c>
      <c r="Q14" s="1256"/>
      <c r="R14" s="467">
        <v>9.9999999999999995E-7</v>
      </c>
      <c r="S14" s="466">
        <v>9.9999999999999995E-7</v>
      </c>
      <c r="T14" s="470">
        <v>9.9999999999999995E-7</v>
      </c>
      <c r="U14" s="470">
        <v>9.9999999999999995E-7</v>
      </c>
      <c r="V14" s="465">
        <f t="shared" ref="V14:V19" si="8">0.5*(MAX(S14:U14)-MIN(S14:U14))</f>
        <v>0</v>
      </c>
      <c r="W14" s="475">
        <f>R14*$X$14</f>
        <v>5.8999999999999999E-9</v>
      </c>
      <c r="X14" s="456">
        <f>0.59/100</f>
        <v>5.8999999999999999E-3</v>
      </c>
    </row>
    <row r="15" spans="1:25" ht="12.75" customHeight="1">
      <c r="A15" s="1256"/>
      <c r="B15" s="471">
        <v>50</v>
      </c>
      <c r="C15" s="358">
        <v>4</v>
      </c>
      <c r="D15" s="358">
        <v>0.1</v>
      </c>
      <c r="E15" s="358">
        <v>-0.06</v>
      </c>
      <c r="F15" s="465">
        <f t="shared" si="6"/>
        <v>2.0299999999999998</v>
      </c>
      <c r="G15" s="475">
        <f t="shared" ref="G15:G19" si="9">B15*$H$14</f>
        <v>0.29499999999999998</v>
      </c>
      <c r="H15" s="462"/>
      <c r="I15" s="1256"/>
      <c r="J15" s="471">
        <v>50</v>
      </c>
      <c r="K15" s="745">
        <v>1</v>
      </c>
      <c r="L15" s="746">
        <v>-0.08</v>
      </c>
      <c r="M15" s="746">
        <v>0.1</v>
      </c>
      <c r="N15" s="465">
        <f t="shared" si="7"/>
        <v>0.54</v>
      </c>
      <c r="O15" s="475">
        <f>J15*$P$14</f>
        <v>0.29499999999999998</v>
      </c>
      <c r="P15" s="462"/>
      <c r="Q15" s="1256"/>
      <c r="R15" s="471">
        <v>50</v>
      </c>
      <c r="S15" s="467">
        <v>2</v>
      </c>
      <c r="T15" s="467">
        <v>2.1</v>
      </c>
      <c r="U15" s="467">
        <v>9.1</v>
      </c>
      <c r="V15" s="465">
        <f t="shared" si="8"/>
        <v>3.55</v>
      </c>
      <c r="W15" s="475">
        <f t="shared" ref="W15:W19" si="10">R15*$X$14</f>
        <v>0.29499999999999998</v>
      </c>
    </row>
    <row r="16" spans="1:25" ht="12.75" customHeight="1">
      <c r="A16" s="1256"/>
      <c r="B16" s="471">
        <v>100</v>
      </c>
      <c r="C16" s="358">
        <v>3.6</v>
      </c>
      <c r="D16" s="358">
        <v>0.2</v>
      </c>
      <c r="E16" s="358">
        <v>-0.06</v>
      </c>
      <c r="F16" s="465">
        <f t="shared" si="6"/>
        <v>1.83</v>
      </c>
      <c r="G16" s="475">
        <f t="shared" si="9"/>
        <v>0.59</v>
      </c>
      <c r="H16" s="462"/>
      <c r="I16" s="1256"/>
      <c r="J16" s="471">
        <v>100</v>
      </c>
      <c r="K16" s="745">
        <v>-0.9</v>
      </c>
      <c r="L16" s="358">
        <v>-7.0000000000000007E-2</v>
      </c>
      <c r="M16" s="358">
        <v>2.2000000000000002</v>
      </c>
      <c r="N16" s="465">
        <f t="shared" si="7"/>
        <v>1.55</v>
      </c>
      <c r="O16" s="475">
        <f t="shared" ref="O16:O19" si="11">J16*$P$14</f>
        <v>0.59</v>
      </c>
      <c r="P16" s="462"/>
      <c r="Q16" s="1256"/>
      <c r="R16" s="471">
        <v>100</v>
      </c>
      <c r="S16" s="467">
        <v>2</v>
      </c>
      <c r="T16" s="467">
        <v>2.2999999999999998</v>
      </c>
      <c r="U16" s="467">
        <v>6</v>
      </c>
      <c r="V16" s="465">
        <f t="shared" si="8"/>
        <v>2</v>
      </c>
      <c r="W16" s="475">
        <f t="shared" si="10"/>
        <v>0.59</v>
      </c>
    </row>
    <row r="17" spans="1:24" ht="12.75" customHeight="1">
      <c r="A17" s="1256"/>
      <c r="B17" s="471">
        <v>200</v>
      </c>
      <c r="C17" s="358">
        <v>2.2000000000000002</v>
      </c>
      <c r="D17" s="358">
        <v>0.4</v>
      </c>
      <c r="E17" s="358">
        <v>9.9999999999999995E-7</v>
      </c>
      <c r="F17" s="465">
        <f t="shared" si="6"/>
        <v>1.0999995</v>
      </c>
      <c r="G17" s="475">
        <f t="shared" si="9"/>
        <v>1.18</v>
      </c>
      <c r="H17" s="462"/>
      <c r="I17" s="1256"/>
      <c r="J17" s="471">
        <v>200</v>
      </c>
      <c r="K17" s="745">
        <v>-6.4</v>
      </c>
      <c r="L17" s="746">
        <v>-0.1</v>
      </c>
      <c r="M17" s="746">
        <v>3.3</v>
      </c>
      <c r="N17" s="465">
        <f t="shared" si="7"/>
        <v>4.8499999999999996</v>
      </c>
      <c r="O17" s="475">
        <f t="shared" si="11"/>
        <v>1.18</v>
      </c>
      <c r="P17" s="462"/>
      <c r="Q17" s="1256"/>
      <c r="R17" s="471">
        <v>200</v>
      </c>
      <c r="S17" s="467">
        <v>3.6</v>
      </c>
      <c r="T17" s="467">
        <v>2.5</v>
      </c>
      <c r="U17" s="467">
        <v>-3.6</v>
      </c>
      <c r="V17" s="465">
        <f t="shared" si="8"/>
        <v>3.6</v>
      </c>
      <c r="W17" s="475">
        <f t="shared" si="10"/>
        <v>1.18</v>
      </c>
    </row>
    <row r="18" spans="1:24" ht="12.75" customHeight="1">
      <c r="A18" s="1256"/>
      <c r="B18" s="471">
        <v>500</v>
      </c>
      <c r="C18" s="358">
        <v>-2</v>
      </c>
      <c r="D18" s="358">
        <v>3.8</v>
      </c>
      <c r="E18" s="358">
        <v>-0.9</v>
      </c>
      <c r="F18" s="465">
        <f t="shared" si="6"/>
        <v>2.9</v>
      </c>
      <c r="G18" s="475">
        <f t="shared" si="9"/>
        <v>2.9499999999999997</v>
      </c>
      <c r="H18" s="462"/>
      <c r="I18" s="1256"/>
      <c r="J18" s="471">
        <v>500</v>
      </c>
      <c r="K18" s="745">
        <v>-21.7</v>
      </c>
      <c r="L18" s="746">
        <v>0.8</v>
      </c>
      <c r="M18" s="746">
        <v>2</v>
      </c>
      <c r="N18" s="465">
        <f t="shared" si="7"/>
        <v>11.85</v>
      </c>
      <c r="O18" s="475">
        <f t="shared" si="11"/>
        <v>2.9499999999999997</v>
      </c>
      <c r="P18" s="462"/>
      <c r="Q18" s="1256"/>
      <c r="R18" s="471">
        <v>500</v>
      </c>
      <c r="S18" s="467">
        <v>2.9</v>
      </c>
      <c r="T18" s="467">
        <v>4.3</v>
      </c>
      <c r="U18" s="467">
        <v>-18.8</v>
      </c>
      <c r="V18" s="465">
        <f t="shared" si="8"/>
        <v>11.55</v>
      </c>
      <c r="W18" s="475">
        <f t="shared" si="10"/>
        <v>2.9499999999999997</v>
      </c>
    </row>
    <row r="19" spans="1:24" ht="12.75" customHeight="1">
      <c r="A19" s="1256"/>
      <c r="B19" s="471">
        <v>1000</v>
      </c>
      <c r="C19" s="358">
        <v>-26</v>
      </c>
      <c r="D19" s="358">
        <v>9.9999999999999995E-7</v>
      </c>
      <c r="E19" s="358">
        <v>9.9999999999999995E-7</v>
      </c>
      <c r="F19" s="465">
        <f t="shared" si="6"/>
        <v>13.000000500000001</v>
      </c>
      <c r="G19" s="475">
        <f t="shared" si="9"/>
        <v>5.8999999999999995</v>
      </c>
      <c r="H19" s="462"/>
      <c r="I19" s="1256"/>
      <c r="J19" s="471">
        <v>1000</v>
      </c>
      <c r="K19" s="747">
        <v>-6.7000000000000004E-2</v>
      </c>
      <c r="L19" s="358">
        <v>9.9999999999999995E-7</v>
      </c>
      <c r="M19" s="358">
        <v>9.9999999999999995E-7</v>
      </c>
      <c r="N19" s="465">
        <f t="shared" si="7"/>
        <v>3.3500500000000002E-2</v>
      </c>
      <c r="O19" s="475">
        <f t="shared" si="11"/>
        <v>5.8999999999999995</v>
      </c>
      <c r="P19" s="462"/>
      <c r="Q19" s="1256"/>
      <c r="R19" s="471">
        <v>1000</v>
      </c>
      <c r="S19" s="467">
        <v>3</v>
      </c>
      <c r="T19" s="467">
        <v>2</v>
      </c>
      <c r="U19" s="467">
        <v>-47</v>
      </c>
      <c r="V19" s="465">
        <f t="shared" si="8"/>
        <v>25</v>
      </c>
      <c r="W19" s="475">
        <f t="shared" si="10"/>
        <v>5.8999999999999995</v>
      </c>
    </row>
    <row r="20" spans="1:24" ht="12.75" customHeight="1">
      <c r="A20" s="1256"/>
      <c r="B20" s="1249" t="s">
        <v>89</v>
      </c>
      <c r="C20" s="1250"/>
      <c r="D20" s="1250"/>
      <c r="E20" s="1251"/>
      <c r="F20" s="461" t="s">
        <v>253</v>
      </c>
      <c r="G20" s="461" t="s">
        <v>99</v>
      </c>
      <c r="H20" s="462"/>
      <c r="I20" s="1256"/>
      <c r="J20" s="1249" t="str">
        <f>B20</f>
        <v>Main-PE</v>
      </c>
      <c r="K20" s="1250"/>
      <c r="L20" s="1250"/>
      <c r="M20" s="1251"/>
      <c r="N20" s="461" t="s">
        <v>253</v>
      </c>
      <c r="O20" s="461" t="s">
        <v>99</v>
      </c>
      <c r="P20" s="462"/>
      <c r="Q20" s="1256"/>
      <c r="R20" s="1249" t="str">
        <f>B20</f>
        <v>Main-PE</v>
      </c>
      <c r="S20" s="1250"/>
      <c r="T20" s="1250"/>
      <c r="U20" s="1251"/>
      <c r="V20" s="461" t="s">
        <v>253</v>
      </c>
      <c r="W20" s="461" t="s">
        <v>99</v>
      </c>
    </row>
    <row r="21" spans="1:24" ht="15" customHeight="1">
      <c r="A21" s="1256"/>
      <c r="B21" s="460" t="s">
        <v>255</v>
      </c>
      <c r="C21" s="461">
        <v>2019</v>
      </c>
      <c r="D21" s="461">
        <v>2019</v>
      </c>
      <c r="E21" s="461">
        <v>2015</v>
      </c>
      <c r="F21" s="461"/>
      <c r="G21" s="461"/>
      <c r="H21" s="462"/>
      <c r="I21" s="1256"/>
      <c r="J21" s="460" t="s">
        <v>255</v>
      </c>
      <c r="K21" s="461">
        <f>K5</f>
        <v>2022</v>
      </c>
      <c r="L21" s="461">
        <f>L5</f>
        <v>2019</v>
      </c>
      <c r="M21" s="461">
        <f>M5</f>
        <v>2017</v>
      </c>
      <c r="N21" s="461"/>
      <c r="O21" s="461"/>
      <c r="P21" s="462"/>
      <c r="Q21" s="1256"/>
      <c r="R21" s="460" t="s">
        <v>255</v>
      </c>
      <c r="S21" s="461">
        <f>S5</f>
        <v>2018</v>
      </c>
      <c r="T21" s="461">
        <f>T5</f>
        <v>2021</v>
      </c>
      <c r="U21" s="461">
        <f>U5</f>
        <v>2022</v>
      </c>
      <c r="V21" s="461"/>
      <c r="W21" s="461"/>
    </row>
    <row r="22" spans="1:24" ht="12.75" customHeight="1">
      <c r="A22" s="1256"/>
      <c r="B22" s="471">
        <v>10</v>
      </c>
      <c r="C22" s="358">
        <v>9.9999999999999995E-7</v>
      </c>
      <c r="D22" s="358">
        <v>-1E-3</v>
      </c>
      <c r="E22" s="358">
        <v>9.9999999999999995E-7</v>
      </c>
      <c r="F22" s="465">
        <f t="shared" ref="F22:F25" si="12">0.5*(MAX(C22:E22)-MIN(C22:E22))</f>
        <v>5.0049999999999997E-4</v>
      </c>
      <c r="G22" s="476">
        <v>1.4</v>
      </c>
      <c r="H22" s="462"/>
      <c r="I22" s="1256"/>
      <c r="J22" s="471">
        <v>10</v>
      </c>
      <c r="K22" s="745">
        <v>0</v>
      </c>
      <c r="L22" s="358">
        <v>0.1</v>
      </c>
      <c r="M22" s="358">
        <v>9.9999999999999995E-7</v>
      </c>
      <c r="N22" s="465">
        <f t="shared" ref="N22:N25" si="13">0.5*(MAX(K22:M22)-MIN(K22:M22))</f>
        <v>0.05</v>
      </c>
      <c r="O22" s="467">
        <f>J22*$P$22</f>
        <v>5.8999999999999997E-2</v>
      </c>
      <c r="P22" s="462">
        <f>0.59/100</f>
        <v>5.8999999999999999E-3</v>
      </c>
      <c r="Q22" s="1256"/>
      <c r="R22" s="471">
        <v>10</v>
      </c>
      <c r="S22" s="467">
        <v>9.9999999999999995E-7</v>
      </c>
      <c r="T22" s="467">
        <v>0.26</v>
      </c>
      <c r="U22" s="467">
        <v>0</v>
      </c>
      <c r="V22" s="465">
        <f t="shared" ref="V22:V25" si="14">0.5*(MAX(S22:U22)-MIN(S22:U22))</f>
        <v>0.13</v>
      </c>
      <c r="W22" s="476">
        <f>R22*$X$22</f>
        <v>0.17</v>
      </c>
      <c r="X22" s="456">
        <f>1.7/100</f>
        <v>1.7000000000000001E-2</v>
      </c>
    </row>
    <row r="23" spans="1:24" ht="12.75" customHeight="1">
      <c r="A23" s="1256"/>
      <c r="B23" s="471">
        <v>20</v>
      </c>
      <c r="C23" s="358">
        <v>0.1</v>
      </c>
      <c r="D23" s="358">
        <v>9.9999999999999995E-7</v>
      </c>
      <c r="E23" s="358">
        <v>9.9999999999999995E-7</v>
      </c>
      <c r="F23" s="465">
        <f t="shared" si="12"/>
        <v>4.9999500000000002E-2</v>
      </c>
      <c r="G23" s="476">
        <v>1.4</v>
      </c>
      <c r="H23" s="462"/>
      <c r="I23" s="1256"/>
      <c r="J23" s="471">
        <v>20</v>
      </c>
      <c r="K23" s="745">
        <v>0.1</v>
      </c>
      <c r="L23" s="358">
        <v>0.2</v>
      </c>
      <c r="M23" s="358">
        <v>0.1</v>
      </c>
      <c r="N23" s="465">
        <f t="shared" si="13"/>
        <v>0.05</v>
      </c>
      <c r="O23" s="467">
        <f t="shared" ref="O23:O25" si="15">J23*$P$22</f>
        <v>0.11799999999999999</v>
      </c>
      <c r="P23" s="462"/>
      <c r="Q23" s="1256"/>
      <c r="R23" s="471">
        <v>20</v>
      </c>
      <c r="S23" s="467">
        <v>0</v>
      </c>
      <c r="T23" s="472">
        <v>9.9999999999999995E-7</v>
      </c>
      <c r="U23" s="472">
        <v>0</v>
      </c>
      <c r="V23" s="465">
        <f t="shared" si="14"/>
        <v>4.9999999999999998E-7</v>
      </c>
      <c r="W23" s="476">
        <f t="shared" ref="W23:W25" si="16">R23*$X$22</f>
        <v>0.34</v>
      </c>
    </row>
    <row r="24" spans="1:24" ht="12.75" customHeight="1">
      <c r="A24" s="1256"/>
      <c r="B24" s="471">
        <v>50</v>
      </c>
      <c r="C24" s="358">
        <v>0.3</v>
      </c>
      <c r="D24" s="358">
        <v>9.9999999999999995E-7</v>
      </c>
      <c r="E24" s="358">
        <v>9.9999999999999995E-7</v>
      </c>
      <c r="F24" s="465">
        <f t="shared" si="12"/>
        <v>0.14999950000000001</v>
      </c>
      <c r="G24" s="476">
        <v>1.4</v>
      </c>
      <c r="H24" s="462"/>
      <c r="I24" s="1256"/>
      <c r="J24" s="471">
        <v>50</v>
      </c>
      <c r="K24" s="745">
        <v>0.2</v>
      </c>
      <c r="L24" s="358">
        <v>0.3</v>
      </c>
      <c r="M24" s="358">
        <v>0.1</v>
      </c>
      <c r="N24" s="465">
        <f t="shared" si="13"/>
        <v>9.9999999999999992E-2</v>
      </c>
      <c r="O24" s="467">
        <f t="shared" si="15"/>
        <v>0.29499999999999998</v>
      </c>
      <c r="P24" s="462"/>
      <c r="Q24" s="1256"/>
      <c r="R24" s="471">
        <v>50</v>
      </c>
      <c r="S24" s="467">
        <v>0.3</v>
      </c>
      <c r="T24" s="467">
        <v>0.16</v>
      </c>
      <c r="U24" s="467">
        <v>0.1</v>
      </c>
      <c r="V24" s="465">
        <f t="shared" si="14"/>
        <v>9.9999999999999992E-2</v>
      </c>
      <c r="W24" s="476">
        <f t="shared" si="16"/>
        <v>0.85000000000000009</v>
      </c>
    </row>
    <row r="25" spans="1:24" ht="12.75" customHeight="1">
      <c r="A25" s="1256"/>
      <c r="B25" s="471">
        <v>100</v>
      </c>
      <c r="C25" s="358">
        <v>0.4</v>
      </c>
      <c r="D25" s="358">
        <v>9.9999999999999995E-7</v>
      </c>
      <c r="E25" s="358">
        <v>9.9999999999999995E-7</v>
      </c>
      <c r="F25" s="465">
        <f t="shared" si="12"/>
        <v>0.19999950000000002</v>
      </c>
      <c r="G25" s="476">
        <v>1.4</v>
      </c>
      <c r="H25" s="462"/>
      <c r="I25" s="1256"/>
      <c r="J25" s="471">
        <v>100</v>
      </c>
      <c r="K25" s="745">
        <v>0.2</v>
      </c>
      <c r="L25" s="358">
        <v>0.3</v>
      </c>
      <c r="M25" s="358">
        <v>9.9999999999999995E-7</v>
      </c>
      <c r="N25" s="465">
        <f t="shared" si="13"/>
        <v>0.14999950000000001</v>
      </c>
      <c r="O25" s="467">
        <f t="shared" si="15"/>
        <v>0.59</v>
      </c>
      <c r="P25" s="462"/>
      <c r="Q25" s="1256"/>
      <c r="R25" s="471">
        <v>100</v>
      </c>
      <c r="S25" s="467">
        <v>0.6</v>
      </c>
      <c r="T25" s="467">
        <v>0.06</v>
      </c>
      <c r="U25" s="467">
        <v>0.1</v>
      </c>
      <c r="V25" s="465">
        <f t="shared" si="14"/>
        <v>0.27</v>
      </c>
      <c r="W25" s="476">
        <f t="shared" si="16"/>
        <v>1.7000000000000002</v>
      </c>
    </row>
    <row r="26" spans="1:24" ht="12.75" customHeight="1">
      <c r="A26" s="1256"/>
      <c r="B26" s="1249" t="s">
        <v>90</v>
      </c>
      <c r="C26" s="1250"/>
      <c r="D26" s="1250"/>
      <c r="E26" s="1251"/>
      <c r="F26" s="461" t="s">
        <v>253</v>
      </c>
      <c r="G26" s="461" t="s">
        <v>99</v>
      </c>
      <c r="H26" s="462"/>
      <c r="I26" s="1256"/>
      <c r="J26" s="1249" t="str">
        <f>B26</f>
        <v>Resistance</v>
      </c>
      <c r="K26" s="1250"/>
      <c r="L26" s="1250"/>
      <c r="M26" s="1251"/>
      <c r="N26" s="461" t="s">
        <v>253</v>
      </c>
      <c r="O26" s="461" t="s">
        <v>99</v>
      </c>
      <c r="P26" s="462"/>
      <c r="Q26" s="1256"/>
      <c r="R26" s="1249" t="str">
        <f>B26</f>
        <v>Resistance</v>
      </c>
      <c r="S26" s="1250"/>
      <c r="T26" s="1250"/>
      <c r="U26" s="1251"/>
      <c r="V26" s="461" t="s">
        <v>253</v>
      </c>
      <c r="W26" s="461" t="s">
        <v>99</v>
      </c>
    </row>
    <row r="27" spans="1:24" ht="15" customHeight="1">
      <c r="A27" s="1256"/>
      <c r="B27" s="460" t="s">
        <v>256</v>
      </c>
      <c r="C27" s="461">
        <f>C5</f>
        <v>2022</v>
      </c>
      <c r="D27" s="461">
        <f>D5</f>
        <v>2020</v>
      </c>
      <c r="E27" s="461">
        <f>E5</f>
        <v>2019</v>
      </c>
      <c r="F27" s="461"/>
      <c r="G27" s="461"/>
      <c r="H27" s="462"/>
      <c r="I27" s="1256"/>
      <c r="J27" s="460" t="s">
        <v>256</v>
      </c>
      <c r="K27" s="461">
        <f>K5</f>
        <v>2022</v>
      </c>
      <c r="L27" s="461">
        <f>L5</f>
        <v>2019</v>
      </c>
      <c r="M27" s="461">
        <f>M5</f>
        <v>2017</v>
      </c>
      <c r="N27" s="461"/>
      <c r="O27" s="461"/>
      <c r="P27" s="462"/>
      <c r="Q27" s="1256"/>
      <c r="R27" s="460" t="s">
        <v>256</v>
      </c>
      <c r="S27" s="461">
        <f>S5</f>
        <v>2018</v>
      </c>
      <c r="T27" s="461">
        <f>T5</f>
        <v>2021</v>
      </c>
      <c r="U27" s="461">
        <f>U5</f>
        <v>2022</v>
      </c>
      <c r="V27" s="461"/>
      <c r="W27" s="461"/>
    </row>
    <row r="28" spans="1:24" ht="12.75" customHeight="1">
      <c r="A28" s="1256"/>
      <c r="B28" s="471">
        <v>0.01</v>
      </c>
      <c r="C28" s="743">
        <v>-2E-3</v>
      </c>
      <c r="D28" s="743">
        <v>9.9999999999999995E-7</v>
      </c>
      <c r="E28" s="743">
        <v>9.9999999999999995E-7</v>
      </c>
      <c r="F28" s="465">
        <f t="shared" ref="F28:F31" si="17">0.5*(MAX(C28:E28)-MIN(C28:E28))</f>
        <v>1.0005000000000001E-3</v>
      </c>
      <c r="G28" s="471">
        <f>B28*$H$28</f>
        <v>1.2E-4</v>
      </c>
      <c r="H28" s="462">
        <f>1.2/100</f>
        <v>1.2E-2</v>
      </c>
      <c r="I28" s="1256"/>
      <c r="J28" s="471">
        <v>0.01</v>
      </c>
      <c r="K28" s="747">
        <v>0</v>
      </c>
      <c r="L28" s="743">
        <v>9.9999999999999995E-7</v>
      </c>
      <c r="M28" s="743">
        <v>9.9999999999999995E-7</v>
      </c>
      <c r="N28" s="465">
        <f t="shared" ref="N28:N31" si="18">0.5*(MAX(K28:M28)-MIN(K28:M28))</f>
        <v>4.9999999999999998E-7</v>
      </c>
      <c r="O28" s="471">
        <f>J28*$P$28</f>
        <v>1.2E-4</v>
      </c>
      <c r="P28" s="478">
        <f>1.2/100</f>
        <v>1.2E-2</v>
      </c>
      <c r="Q28" s="1256"/>
      <c r="R28" s="471">
        <v>0.01</v>
      </c>
      <c r="S28" s="477">
        <v>9.9999999999999995E-7</v>
      </c>
      <c r="T28" s="472">
        <v>9.9999999999999995E-7</v>
      </c>
      <c r="U28" s="472">
        <v>0</v>
      </c>
      <c r="V28" s="465">
        <f t="shared" ref="V28:V31" si="19">0.5*(MAX(S28:U28)-MIN(S28:U28))</f>
        <v>4.9999999999999998E-7</v>
      </c>
      <c r="W28" s="479">
        <f>R28*$X$28</f>
        <v>1.2E-4</v>
      </c>
      <c r="X28" s="456">
        <f>1.2/100</f>
        <v>1.2E-2</v>
      </c>
    </row>
    <row r="29" spans="1:24" ht="12.75" customHeight="1">
      <c r="A29" s="1256"/>
      <c r="B29" s="471">
        <v>0.1</v>
      </c>
      <c r="C29" s="743">
        <v>1E-3</v>
      </c>
      <c r="D29" s="743">
        <v>-1E-3</v>
      </c>
      <c r="E29" s="743">
        <v>2E-3</v>
      </c>
      <c r="F29" s="465">
        <f t="shared" si="17"/>
        <v>1.5E-3</v>
      </c>
      <c r="G29" s="471">
        <f t="shared" ref="G29:G31" si="20">B29*$H$28</f>
        <v>1.2000000000000001E-3</v>
      </c>
      <c r="H29" s="462"/>
      <c r="I29" s="1256"/>
      <c r="J29" s="471">
        <v>0.1</v>
      </c>
      <c r="K29" s="747">
        <v>5.0000000000000001E-3</v>
      </c>
      <c r="L29" s="743">
        <v>6.0000000000000001E-3</v>
      </c>
      <c r="M29" s="743">
        <v>5.0000000000000001E-3</v>
      </c>
      <c r="N29" s="465">
        <f t="shared" si="18"/>
        <v>5.0000000000000001E-4</v>
      </c>
      <c r="O29" s="471">
        <f t="shared" ref="O29:O31" si="21">J29*$P$28</f>
        <v>1.2000000000000001E-3</v>
      </c>
      <c r="P29" s="462"/>
      <c r="Q29" s="1256"/>
      <c r="R29" s="471">
        <v>0.1</v>
      </c>
      <c r="S29" s="477">
        <v>9.9999999999999995E-7</v>
      </c>
      <c r="T29" s="472">
        <v>9.9999999999999995E-7</v>
      </c>
      <c r="U29" s="472">
        <v>-2E-3</v>
      </c>
      <c r="V29" s="465">
        <f t="shared" si="19"/>
        <v>1.0005000000000001E-3</v>
      </c>
      <c r="W29" s="479">
        <f t="shared" ref="W29:W31" si="22">R29*$X$28</f>
        <v>1.2000000000000001E-3</v>
      </c>
    </row>
    <row r="30" spans="1:24" ht="12.75" customHeight="1">
      <c r="A30" s="1256"/>
      <c r="B30" s="471">
        <v>1</v>
      </c>
      <c r="C30" s="743">
        <v>4.0000000000000001E-3</v>
      </c>
      <c r="D30" s="743">
        <v>4.0000000000000001E-3</v>
      </c>
      <c r="E30" s="743">
        <v>1.2E-2</v>
      </c>
      <c r="F30" s="465">
        <f t="shared" si="17"/>
        <v>4.0000000000000001E-3</v>
      </c>
      <c r="G30" s="471">
        <f t="shared" si="20"/>
        <v>1.2E-2</v>
      </c>
      <c r="H30" s="462"/>
      <c r="I30" s="1256"/>
      <c r="J30" s="471">
        <v>1</v>
      </c>
      <c r="K30" s="747">
        <v>5.8000000000000003E-2</v>
      </c>
      <c r="L30" s="743">
        <v>4.4999999999999998E-2</v>
      </c>
      <c r="M30" s="743">
        <v>5.5E-2</v>
      </c>
      <c r="N30" s="465">
        <f t="shared" si="18"/>
        <v>6.5000000000000023E-3</v>
      </c>
      <c r="O30" s="471">
        <f t="shared" si="21"/>
        <v>1.2E-2</v>
      </c>
      <c r="P30" s="462"/>
      <c r="Q30" s="1256"/>
      <c r="R30" s="471">
        <v>1</v>
      </c>
      <c r="S30" s="477">
        <v>9.9999999999999995E-7</v>
      </c>
      <c r="T30" s="477">
        <v>6.0000000000000001E-3</v>
      </c>
      <c r="U30" s="477">
        <v>-1.2E-2</v>
      </c>
      <c r="V30" s="465">
        <f t="shared" si="19"/>
        <v>9.0000000000000011E-3</v>
      </c>
      <c r="W30" s="479">
        <f t="shared" si="22"/>
        <v>1.2E-2</v>
      </c>
    </row>
    <row r="31" spans="1:24" ht="12.75" customHeight="1">
      <c r="A31" s="1257"/>
      <c r="B31" s="471">
        <v>2</v>
      </c>
      <c r="C31" s="743">
        <v>1.2E-2</v>
      </c>
      <c r="D31" s="743">
        <v>7.0000000000000001E-3</v>
      </c>
      <c r="E31" s="743">
        <v>9.9999999999999995E-7</v>
      </c>
      <c r="F31" s="465">
        <f t="shared" si="17"/>
        <v>5.9995000000000005E-3</v>
      </c>
      <c r="G31" s="471">
        <f t="shared" si="20"/>
        <v>2.4E-2</v>
      </c>
      <c r="H31" s="462"/>
      <c r="I31" s="1257"/>
      <c r="J31" s="471">
        <v>2</v>
      </c>
      <c r="K31" s="747">
        <v>0.113</v>
      </c>
      <c r="L31" s="743">
        <v>9.9999999999999995E-7</v>
      </c>
      <c r="M31" s="743">
        <v>9.9999999999999995E-7</v>
      </c>
      <c r="N31" s="465">
        <f t="shared" si="18"/>
        <v>5.6499500000000001E-2</v>
      </c>
      <c r="O31" s="480">
        <f t="shared" si="21"/>
        <v>2.4E-2</v>
      </c>
      <c r="P31" s="462"/>
      <c r="Q31" s="1257"/>
      <c r="R31" s="471">
        <v>2</v>
      </c>
      <c r="S31" s="477">
        <v>9.9999999999999995E-7</v>
      </c>
      <c r="T31" s="477">
        <v>1.2999999999999999E-2</v>
      </c>
      <c r="U31" s="477">
        <v>-8.0000000000000002E-3</v>
      </c>
      <c r="V31" s="465">
        <f t="shared" si="19"/>
        <v>1.0499999999999999E-2</v>
      </c>
      <c r="W31" s="479">
        <f t="shared" si="22"/>
        <v>2.4E-2</v>
      </c>
    </row>
    <row r="32" spans="1:24" s="204" customFormat="1" ht="19.5" customHeight="1">
      <c r="A32" s="481"/>
      <c r="B32" s="482"/>
      <c r="C32" s="482"/>
      <c r="E32" s="482"/>
      <c r="F32" s="482"/>
      <c r="G32" s="482"/>
      <c r="H32" s="483"/>
      <c r="I32" s="482"/>
      <c r="J32" s="482"/>
      <c r="K32" s="482"/>
      <c r="M32" s="482"/>
      <c r="N32" s="482"/>
      <c r="O32" s="482"/>
      <c r="P32" s="483"/>
      <c r="Q32" s="482"/>
      <c r="R32" s="482"/>
      <c r="S32" s="482"/>
      <c r="U32" s="482"/>
      <c r="V32" s="482"/>
      <c r="W32" s="484"/>
      <c r="X32" s="485"/>
    </row>
    <row r="33" spans="1:24" ht="30" customHeight="1">
      <c r="A33" s="1255">
        <v>4</v>
      </c>
      <c r="B33" s="1260" t="str">
        <f>A170</f>
        <v>Electrical Safety Analyzer, Merek : Fluke, Model : ESA 615, SN : 2853078</v>
      </c>
      <c r="C33" s="1260"/>
      <c r="D33" s="1260"/>
      <c r="E33" s="1260"/>
      <c r="F33" s="1260"/>
      <c r="G33" s="1260"/>
      <c r="H33" s="486"/>
      <c r="I33" s="1255">
        <v>5</v>
      </c>
      <c r="J33" s="1258" t="str">
        <f>A171</f>
        <v>Electrical Safety Analyzer, Merek : Fluke, Model : ESA 615, SN : 3148907</v>
      </c>
      <c r="K33" s="1258"/>
      <c r="L33" s="1258"/>
      <c r="M33" s="1258"/>
      <c r="N33" s="1258"/>
      <c r="O33" s="1258"/>
      <c r="P33" s="457"/>
      <c r="Q33" s="1255">
        <v>6</v>
      </c>
      <c r="R33" s="1260" t="str">
        <f>A172</f>
        <v>Electrical Safety Analyzer, Merek : Fluke, Model : ESA 615, SN : 3148908</v>
      </c>
      <c r="S33" s="1260"/>
      <c r="T33" s="1260"/>
      <c r="U33" s="1260"/>
      <c r="V33" s="1260"/>
      <c r="W33" s="1260"/>
    </row>
    <row r="34" spans="1:24" ht="15" customHeight="1">
      <c r="A34" s="1256"/>
      <c r="B34" s="1261" t="s">
        <v>86</v>
      </c>
      <c r="C34" s="1261"/>
      <c r="D34" s="1261"/>
      <c r="E34" s="1261"/>
      <c r="F34" s="487"/>
      <c r="G34" s="487"/>
      <c r="H34" s="459"/>
      <c r="I34" s="1256"/>
      <c r="J34" s="1261" t="s">
        <v>86</v>
      </c>
      <c r="K34" s="1261"/>
      <c r="L34" s="1261"/>
      <c r="M34" s="1261"/>
      <c r="N34" s="487"/>
      <c r="O34" s="487"/>
      <c r="P34" s="459"/>
      <c r="Q34" s="1256"/>
      <c r="R34" s="1261" t="s">
        <v>86</v>
      </c>
      <c r="S34" s="1261"/>
      <c r="T34" s="1261"/>
      <c r="U34" s="1261"/>
      <c r="V34" s="487"/>
      <c r="W34" s="487"/>
    </row>
    <row r="35" spans="1:24" ht="12.75" customHeight="1">
      <c r="A35" s="1256"/>
      <c r="B35" s="1246" t="s">
        <v>252</v>
      </c>
      <c r="C35" s="1247"/>
      <c r="D35" s="1247"/>
      <c r="E35" s="1248"/>
      <c r="F35" s="461" t="s">
        <v>253</v>
      </c>
      <c r="G35" s="461" t="s">
        <v>99</v>
      </c>
      <c r="H35" s="462"/>
      <c r="I35" s="1256"/>
      <c r="J35" s="1246" t="s">
        <v>252</v>
      </c>
      <c r="K35" s="1247"/>
      <c r="L35" s="1247"/>
      <c r="M35" s="1248"/>
      <c r="N35" s="461" t="s">
        <v>253</v>
      </c>
      <c r="O35" s="461" t="s">
        <v>99</v>
      </c>
      <c r="P35" s="462"/>
      <c r="Q35" s="1256"/>
      <c r="R35" s="1246" t="s">
        <v>252</v>
      </c>
      <c r="S35" s="1247"/>
      <c r="T35" s="1247"/>
      <c r="U35" s="1248"/>
      <c r="V35" s="461" t="s">
        <v>253</v>
      </c>
      <c r="W35" s="461" t="s">
        <v>99</v>
      </c>
    </row>
    <row r="36" spans="1:24" ht="15" customHeight="1">
      <c r="A36" s="1256"/>
      <c r="B36" s="460" t="s">
        <v>87</v>
      </c>
      <c r="C36" s="742">
        <v>2022</v>
      </c>
      <c r="D36" s="742">
        <v>2021</v>
      </c>
      <c r="E36" s="742">
        <v>2019</v>
      </c>
      <c r="F36" s="461"/>
      <c r="G36" s="461"/>
      <c r="H36" s="462"/>
      <c r="I36" s="1256"/>
      <c r="J36" s="460" t="s">
        <v>87</v>
      </c>
      <c r="K36" s="742">
        <v>2022</v>
      </c>
      <c r="L36" s="742">
        <v>2021</v>
      </c>
      <c r="M36" s="742">
        <v>2019</v>
      </c>
      <c r="N36" s="461"/>
      <c r="O36" s="461"/>
      <c r="P36" s="462"/>
      <c r="Q36" s="1256"/>
      <c r="R36" s="488" t="s">
        <v>87</v>
      </c>
      <c r="S36" s="742">
        <v>2023</v>
      </c>
      <c r="T36" s="742">
        <v>2022</v>
      </c>
      <c r="U36" s="742">
        <v>2019</v>
      </c>
      <c r="V36" s="461"/>
      <c r="W36" s="461"/>
    </row>
    <row r="37" spans="1:24" ht="12.75" customHeight="1">
      <c r="A37" s="1256"/>
      <c r="B37" s="471">
        <v>150</v>
      </c>
      <c r="C37" s="745">
        <v>0.08</v>
      </c>
      <c r="D37" s="746">
        <v>-0.05</v>
      </c>
      <c r="E37" s="746">
        <v>0.11</v>
      </c>
      <c r="F37" s="465">
        <f>0.5*(MAX(C37:E37)-MIN(C37:E37))</f>
        <v>0.08</v>
      </c>
      <c r="G37" s="475">
        <f>B37*$H$37</f>
        <v>1.8</v>
      </c>
      <c r="H37" s="462">
        <f>1.2/100</f>
        <v>1.2E-2</v>
      </c>
      <c r="I37" s="1256"/>
      <c r="J37" s="489">
        <v>150</v>
      </c>
      <c r="K37" s="746">
        <v>0.02</v>
      </c>
      <c r="L37" s="746">
        <v>0.25</v>
      </c>
      <c r="M37" s="746">
        <v>0.02</v>
      </c>
      <c r="N37" s="465">
        <f t="shared" ref="N37:N42" si="23">0.5*(MAX(K37:M37)-MIN(K37:M37))</f>
        <v>0.115</v>
      </c>
      <c r="O37" s="475">
        <f>J37*$P$37</f>
        <v>1.8</v>
      </c>
      <c r="P37" s="462">
        <f>1.2/100</f>
        <v>1.2E-2</v>
      </c>
      <c r="Q37" s="1256"/>
      <c r="R37" s="463">
        <v>150</v>
      </c>
      <c r="S37" s="746">
        <v>0.14000000000000001</v>
      </c>
      <c r="T37" s="746">
        <v>0.15</v>
      </c>
      <c r="U37" s="746">
        <v>-0.15</v>
      </c>
      <c r="V37" s="465">
        <f t="shared" ref="V37:V42" si="24">0.5*(MAX(S37:U37)-MIN(S37:U37))</f>
        <v>0.15</v>
      </c>
      <c r="W37" s="469">
        <f>R37*$X$37</f>
        <v>1.8</v>
      </c>
      <c r="X37" s="456">
        <f>1.2/100</f>
        <v>1.2E-2</v>
      </c>
    </row>
    <row r="38" spans="1:24" ht="12.75" customHeight="1">
      <c r="A38" s="1256"/>
      <c r="B38" s="471">
        <v>180</v>
      </c>
      <c r="C38" s="745">
        <v>0.11</v>
      </c>
      <c r="D38" s="746">
        <v>-0.04</v>
      </c>
      <c r="E38" s="746">
        <v>0.03</v>
      </c>
      <c r="F38" s="465">
        <f t="shared" ref="F38:F42" si="25">0.5*(MAX(C38:E38)-MIN(C38:E38))</f>
        <v>7.4999999999999997E-2</v>
      </c>
      <c r="G38" s="475">
        <f t="shared" ref="G38:G42" si="26">B38*$H$37</f>
        <v>2.16</v>
      </c>
      <c r="H38" s="462"/>
      <c r="I38" s="1256"/>
      <c r="J38" s="489">
        <v>180</v>
      </c>
      <c r="K38" s="746">
        <v>-0.08</v>
      </c>
      <c r="L38" s="746">
        <v>0.09</v>
      </c>
      <c r="M38" s="746">
        <v>0.1</v>
      </c>
      <c r="N38" s="465">
        <f t="shared" si="23"/>
        <v>0.09</v>
      </c>
      <c r="O38" s="475">
        <f t="shared" ref="O38:O42" si="27">J38*$P$37</f>
        <v>2.16</v>
      </c>
      <c r="P38" s="462"/>
      <c r="Q38" s="1256"/>
      <c r="R38" s="463">
        <v>180</v>
      </c>
      <c r="S38" s="746">
        <v>0.17</v>
      </c>
      <c r="T38" s="746">
        <v>0.17</v>
      </c>
      <c r="U38" s="746">
        <v>-0.11</v>
      </c>
      <c r="V38" s="465">
        <f t="shared" si="24"/>
        <v>0.14000000000000001</v>
      </c>
      <c r="W38" s="469">
        <f t="shared" ref="W38:W42" si="28">R38*$X$37</f>
        <v>2.16</v>
      </c>
    </row>
    <row r="39" spans="1:24" ht="12.75" customHeight="1">
      <c r="A39" s="1256"/>
      <c r="B39" s="471">
        <v>200</v>
      </c>
      <c r="C39" s="745">
        <v>0.11</v>
      </c>
      <c r="D39" s="746">
        <v>-0.67</v>
      </c>
      <c r="E39" s="746">
        <v>0.05</v>
      </c>
      <c r="F39" s="465">
        <f t="shared" si="25"/>
        <v>0.39</v>
      </c>
      <c r="G39" s="475">
        <f t="shared" si="26"/>
        <v>2.4</v>
      </c>
      <c r="H39" s="462"/>
      <c r="I39" s="1256"/>
      <c r="J39" s="489">
        <v>200</v>
      </c>
      <c r="K39" s="746">
        <v>-0.12</v>
      </c>
      <c r="L39" s="746">
        <v>0.18</v>
      </c>
      <c r="M39" s="746">
        <v>-0.03</v>
      </c>
      <c r="N39" s="465">
        <f t="shared" si="23"/>
        <v>0.15</v>
      </c>
      <c r="O39" s="475">
        <f t="shared" si="27"/>
        <v>2.4</v>
      </c>
      <c r="P39" s="462"/>
      <c r="Q39" s="1256"/>
      <c r="R39" s="463">
        <v>200</v>
      </c>
      <c r="S39" s="746">
        <v>0.08</v>
      </c>
      <c r="T39" s="746">
        <v>0.1</v>
      </c>
      <c r="U39" s="746">
        <v>-0.1</v>
      </c>
      <c r="V39" s="465">
        <f t="shared" si="24"/>
        <v>0.1</v>
      </c>
      <c r="W39" s="469">
        <f t="shared" si="28"/>
        <v>2.4</v>
      </c>
    </row>
    <row r="40" spans="1:24" ht="12.75" customHeight="1">
      <c r="A40" s="1256"/>
      <c r="B40" s="471">
        <v>220</v>
      </c>
      <c r="C40" s="745">
        <v>0.13</v>
      </c>
      <c r="D40" s="746">
        <v>9.9999999999999995E-7</v>
      </c>
      <c r="E40" s="746">
        <v>0.1</v>
      </c>
      <c r="F40" s="465">
        <f t="shared" si="25"/>
        <v>6.4999500000000002E-2</v>
      </c>
      <c r="G40" s="475">
        <f t="shared" si="26"/>
        <v>2.64</v>
      </c>
      <c r="H40" s="462"/>
      <c r="I40" s="1256"/>
      <c r="J40" s="489">
        <v>220</v>
      </c>
      <c r="K40" s="746">
        <v>-0.17</v>
      </c>
      <c r="L40" s="746">
        <v>0.56000000000000005</v>
      </c>
      <c r="M40" s="746">
        <v>0.38</v>
      </c>
      <c r="N40" s="465">
        <f t="shared" si="23"/>
        <v>0.36500000000000005</v>
      </c>
      <c r="O40" s="475">
        <f t="shared" si="27"/>
        <v>2.64</v>
      </c>
      <c r="P40" s="462"/>
      <c r="Q40" s="1256"/>
      <c r="R40" s="463">
        <v>220</v>
      </c>
      <c r="S40" s="746">
        <v>0.06</v>
      </c>
      <c r="T40" s="746">
        <v>7.0000000000000007E-2</v>
      </c>
      <c r="U40" s="746">
        <v>-0.13</v>
      </c>
      <c r="V40" s="465">
        <f t="shared" si="24"/>
        <v>0.1</v>
      </c>
      <c r="W40" s="469">
        <f t="shared" si="28"/>
        <v>2.64</v>
      </c>
    </row>
    <row r="41" spans="1:24" ht="12.75" customHeight="1">
      <c r="A41" s="1256"/>
      <c r="B41" s="471">
        <v>230</v>
      </c>
      <c r="C41" s="745">
        <v>0.11</v>
      </c>
      <c r="D41" s="746">
        <v>-0.11</v>
      </c>
      <c r="E41" s="746">
        <v>1.1100000000000001</v>
      </c>
      <c r="F41" s="465">
        <f t="shared" si="25"/>
        <v>0.6100000000000001</v>
      </c>
      <c r="G41" s="475">
        <f t="shared" si="26"/>
        <v>2.7600000000000002</v>
      </c>
      <c r="H41" s="462"/>
      <c r="I41" s="1256"/>
      <c r="J41" s="489">
        <v>230</v>
      </c>
      <c r="K41" s="746">
        <v>-0.14000000000000001</v>
      </c>
      <c r="L41" s="746">
        <v>0.73</v>
      </c>
      <c r="M41" s="746">
        <v>-0.16</v>
      </c>
      <c r="N41" s="465">
        <f t="shared" si="23"/>
        <v>0.44500000000000001</v>
      </c>
      <c r="O41" s="475">
        <f t="shared" si="27"/>
        <v>2.7600000000000002</v>
      </c>
      <c r="P41" s="462"/>
      <c r="Q41" s="1256"/>
      <c r="R41" s="463">
        <v>230</v>
      </c>
      <c r="S41" s="746">
        <v>0.04</v>
      </c>
      <c r="T41" s="746">
        <v>0.08</v>
      </c>
      <c r="U41" s="746">
        <v>-0.15</v>
      </c>
      <c r="V41" s="465">
        <f t="shared" si="24"/>
        <v>0.11499999999999999</v>
      </c>
      <c r="W41" s="469">
        <f t="shared" si="28"/>
        <v>2.7600000000000002</v>
      </c>
    </row>
    <row r="42" spans="1:24" ht="12.75" customHeight="1">
      <c r="A42" s="1256"/>
      <c r="B42" s="471">
        <v>250</v>
      </c>
      <c r="C42" s="745">
        <v>0</v>
      </c>
      <c r="D42" s="746">
        <v>9.9999999999999995E-7</v>
      </c>
      <c r="E42" s="746">
        <v>9.9999999999999995E-7</v>
      </c>
      <c r="F42" s="465">
        <f t="shared" si="25"/>
        <v>4.9999999999999998E-7</v>
      </c>
      <c r="G42" s="475">
        <f t="shared" si="26"/>
        <v>3</v>
      </c>
      <c r="H42" s="462"/>
      <c r="I42" s="1256"/>
      <c r="J42" s="489">
        <v>250</v>
      </c>
      <c r="K42" s="746">
        <v>-0.31</v>
      </c>
      <c r="L42" s="746">
        <v>9.9999999999999995E-7</v>
      </c>
      <c r="M42" s="746">
        <v>9.9999999999999995E-7</v>
      </c>
      <c r="N42" s="465">
        <f t="shared" si="23"/>
        <v>0.15500049999999999</v>
      </c>
      <c r="O42" s="475">
        <f t="shared" si="27"/>
        <v>3</v>
      </c>
      <c r="P42" s="462"/>
      <c r="Q42" s="1256"/>
      <c r="R42" s="463">
        <v>250</v>
      </c>
      <c r="S42" s="746">
        <v>0</v>
      </c>
      <c r="T42" s="746">
        <v>0</v>
      </c>
      <c r="U42" s="746">
        <v>9.9999999999999995E-7</v>
      </c>
      <c r="V42" s="465">
        <f t="shared" si="24"/>
        <v>4.9999999999999998E-7</v>
      </c>
      <c r="W42" s="469">
        <f t="shared" si="28"/>
        <v>3</v>
      </c>
    </row>
    <row r="43" spans="1:24" ht="12.75" customHeight="1">
      <c r="A43" s="1256"/>
      <c r="B43" s="1249" t="s">
        <v>254</v>
      </c>
      <c r="C43" s="1250"/>
      <c r="D43" s="1250"/>
      <c r="E43" s="1251"/>
      <c r="F43" s="461" t="s">
        <v>253</v>
      </c>
      <c r="G43" s="461" t="s">
        <v>99</v>
      </c>
      <c r="H43" s="462"/>
      <c r="I43" s="1256"/>
      <c r="J43" s="1249" t="s">
        <v>254</v>
      </c>
      <c r="K43" s="1250"/>
      <c r="L43" s="1250"/>
      <c r="M43" s="1251"/>
      <c r="N43" s="461" t="s">
        <v>253</v>
      </c>
      <c r="O43" s="461" t="s">
        <v>99</v>
      </c>
      <c r="P43" s="462"/>
      <c r="Q43" s="1256"/>
      <c r="R43" s="1249" t="s">
        <v>254</v>
      </c>
      <c r="S43" s="1250"/>
      <c r="T43" s="1250"/>
      <c r="U43" s="1251"/>
      <c r="V43" s="461" t="s">
        <v>253</v>
      </c>
      <c r="W43" s="461" t="s">
        <v>99</v>
      </c>
    </row>
    <row r="44" spans="1:24" ht="15" customHeight="1">
      <c r="A44" s="1256"/>
      <c r="B44" s="460" t="s">
        <v>88</v>
      </c>
      <c r="C44" s="461">
        <f>C36</f>
        <v>2022</v>
      </c>
      <c r="D44" s="461">
        <f>D36</f>
        <v>2021</v>
      </c>
      <c r="E44" s="461">
        <f>E36</f>
        <v>2019</v>
      </c>
      <c r="F44" s="461"/>
      <c r="G44" s="461"/>
      <c r="H44" s="462"/>
      <c r="I44" s="1256"/>
      <c r="J44" s="460" t="s">
        <v>88</v>
      </c>
      <c r="K44" s="461">
        <f>K36</f>
        <v>2022</v>
      </c>
      <c r="L44" s="461">
        <f>L36</f>
        <v>2021</v>
      </c>
      <c r="M44" s="461">
        <f>M36</f>
        <v>2019</v>
      </c>
      <c r="N44" s="461"/>
      <c r="O44" s="461"/>
      <c r="P44" s="462"/>
      <c r="Q44" s="1256"/>
      <c r="R44" s="460" t="s">
        <v>88</v>
      </c>
      <c r="S44" s="461">
        <f>S36</f>
        <v>2023</v>
      </c>
      <c r="T44" s="461">
        <f>T36</f>
        <v>2022</v>
      </c>
      <c r="U44" s="461">
        <f>U36</f>
        <v>2019</v>
      </c>
      <c r="V44" s="461"/>
      <c r="W44" s="461"/>
    </row>
    <row r="45" spans="1:24" ht="12.75" customHeight="1">
      <c r="A45" s="1256"/>
      <c r="B45" s="471">
        <v>0</v>
      </c>
      <c r="C45" s="745">
        <v>0</v>
      </c>
      <c r="D45" s="748">
        <v>9.9999999999999995E-7</v>
      </c>
      <c r="E45" s="358">
        <v>9.9999999999999995E-7</v>
      </c>
      <c r="F45" s="465">
        <f>0.5*(MAX(C45:E45)-MIN(C45:E45))</f>
        <v>4.9999999999999998E-7</v>
      </c>
      <c r="G45" s="475">
        <f>B45*$H$45</f>
        <v>0</v>
      </c>
      <c r="H45" s="462">
        <f>0.59/100</f>
        <v>5.8999999999999999E-3</v>
      </c>
      <c r="I45" s="1256"/>
      <c r="J45" s="490">
        <v>1.0000000000000001E-5</v>
      </c>
      <c r="K45" s="748">
        <v>0</v>
      </c>
      <c r="L45" s="748">
        <v>9.9999999999999995E-7</v>
      </c>
      <c r="M45" s="748">
        <v>9.9999999999999995E-7</v>
      </c>
      <c r="N45" s="465">
        <f t="shared" ref="N45:N50" si="29">0.5*(MAX(K45:M45)-MIN(K45:M45))</f>
        <v>4.9999999999999998E-7</v>
      </c>
      <c r="O45" s="475">
        <f>J45*$P$45</f>
        <v>5.9000000000000006E-8</v>
      </c>
      <c r="P45" s="462">
        <f>0.59/100</f>
        <v>5.8999999999999999E-3</v>
      </c>
      <c r="Q45" s="1256"/>
      <c r="R45" s="476">
        <v>9.9999999999999995E-7</v>
      </c>
      <c r="S45" s="469">
        <v>9.9999999999999995E-7</v>
      </c>
      <c r="T45" s="469">
        <v>9.9999999999999995E-7</v>
      </c>
      <c r="U45" s="469">
        <v>9.9999999999999995E-7</v>
      </c>
      <c r="V45" s="465">
        <f t="shared" ref="V45:V50" si="30">0.5*(MAX(S45:U45)-MIN(S45:U45))</f>
        <v>0</v>
      </c>
      <c r="W45" s="475">
        <f>R45*$X$45</f>
        <v>5.8999999999999999E-9</v>
      </c>
      <c r="X45" s="456">
        <f>0.59/100</f>
        <v>5.8999999999999999E-3</v>
      </c>
    </row>
    <row r="46" spans="1:24" ht="12.75" customHeight="1">
      <c r="A46" s="1256"/>
      <c r="B46" s="471">
        <v>50</v>
      </c>
      <c r="C46" s="745">
        <v>2.2999999999999998</v>
      </c>
      <c r="D46" s="746">
        <v>-0.3</v>
      </c>
      <c r="E46" s="746">
        <v>-0.28999999999999998</v>
      </c>
      <c r="F46" s="465">
        <f t="shared" ref="F46:F50" si="31">0.5*(MAX(C46:E46)-MIN(C46:E46))</f>
        <v>1.2999999999999998</v>
      </c>
      <c r="G46" s="475">
        <f t="shared" ref="G46:G50" si="32">B46*$H$45</f>
        <v>0.29499999999999998</v>
      </c>
      <c r="H46" s="462"/>
      <c r="I46" s="1256"/>
      <c r="J46" s="489">
        <v>50</v>
      </c>
      <c r="K46" s="746">
        <v>4.0999999999999996</v>
      </c>
      <c r="L46" s="746">
        <v>0.3</v>
      </c>
      <c r="M46" s="746">
        <v>-0.33</v>
      </c>
      <c r="N46" s="465">
        <f t="shared" si="29"/>
        <v>2.2149999999999999</v>
      </c>
      <c r="O46" s="475">
        <f t="shared" ref="O46:O50" si="33">J46*$P$45</f>
        <v>0.29499999999999998</v>
      </c>
      <c r="P46" s="462"/>
      <c r="Q46" s="1256"/>
      <c r="R46" s="471">
        <v>50</v>
      </c>
      <c r="S46" s="745">
        <v>4.5</v>
      </c>
      <c r="T46" s="746">
        <v>19.100000000000001</v>
      </c>
      <c r="U46" s="746">
        <v>0.02</v>
      </c>
      <c r="V46" s="465">
        <f t="shared" si="30"/>
        <v>9.5400000000000009</v>
      </c>
      <c r="W46" s="475">
        <f t="shared" ref="W46:W50" si="34">R46*$X$45</f>
        <v>0.29499999999999998</v>
      </c>
    </row>
    <row r="47" spans="1:24" ht="12.75" customHeight="1">
      <c r="A47" s="1256"/>
      <c r="B47" s="471">
        <v>100</v>
      </c>
      <c r="C47" s="745">
        <v>4.0999999999999996</v>
      </c>
      <c r="D47" s="746">
        <v>-0.4</v>
      </c>
      <c r="E47" s="746">
        <v>-0.35</v>
      </c>
      <c r="F47" s="465">
        <f t="shared" si="31"/>
        <v>2.25</v>
      </c>
      <c r="G47" s="475">
        <f t="shared" si="32"/>
        <v>0.59</v>
      </c>
      <c r="H47" s="462"/>
      <c r="I47" s="1256"/>
      <c r="J47" s="489">
        <v>100</v>
      </c>
      <c r="K47" s="746">
        <v>5</v>
      </c>
      <c r="L47" s="746">
        <v>-0.1</v>
      </c>
      <c r="M47" s="746">
        <v>-0.42</v>
      </c>
      <c r="N47" s="465">
        <f t="shared" si="29"/>
        <v>2.71</v>
      </c>
      <c r="O47" s="475">
        <f t="shared" si="33"/>
        <v>0.59</v>
      </c>
      <c r="P47" s="462"/>
      <c r="Q47" s="1256"/>
      <c r="R47" s="471">
        <v>100</v>
      </c>
      <c r="S47" s="745">
        <v>6.2</v>
      </c>
      <c r="T47" s="746">
        <v>18.399999999999999</v>
      </c>
      <c r="U47" s="746">
        <v>0.22</v>
      </c>
      <c r="V47" s="465">
        <f t="shared" si="30"/>
        <v>9.09</v>
      </c>
      <c r="W47" s="475">
        <f t="shared" si="34"/>
        <v>0.59</v>
      </c>
    </row>
    <row r="48" spans="1:24" ht="12.75" customHeight="1">
      <c r="A48" s="1256"/>
      <c r="B48" s="471">
        <v>200</v>
      </c>
      <c r="C48" s="745">
        <v>5</v>
      </c>
      <c r="D48" s="746">
        <v>0.3</v>
      </c>
      <c r="E48" s="746">
        <v>0.8</v>
      </c>
      <c r="F48" s="465">
        <f t="shared" si="31"/>
        <v>2.35</v>
      </c>
      <c r="G48" s="475">
        <f t="shared" si="32"/>
        <v>1.18</v>
      </c>
      <c r="H48" s="462"/>
      <c r="I48" s="1256"/>
      <c r="J48" s="489">
        <v>200</v>
      </c>
      <c r="K48" s="746">
        <v>7.7</v>
      </c>
      <c r="L48" s="746">
        <v>1.3</v>
      </c>
      <c r="M48" s="746">
        <v>1.3</v>
      </c>
      <c r="N48" s="465">
        <f t="shared" si="29"/>
        <v>3.2</v>
      </c>
      <c r="O48" s="475">
        <f t="shared" si="33"/>
        <v>1.18</v>
      </c>
      <c r="P48" s="462"/>
      <c r="Q48" s="1256"/>
      <c r="R48" s="471">
        <v>200</v>
      </c>
      <c r="S48" s="745">
        <v>9.4</v>
      </c>
      <c r="T48" s="746">
        <v>14.4</v>
      </c>
      <c r="U48" s="746">
        <v>0.8</v>
      </c>
      <c r="V48" s="465">
        <f t="shared" si="30"/>
        <v>6.8</v>
      </c>
      <c r="W48" s="475">
        <f t="shared" si="34"/>
        <v>1.18</v>
      </c>
    </row>
    <row r="49" spans="1:24" ht="12.75" customHeight="1">
      <c r="A49" s="1256"/>
      <c r="B49" s="471">
        <v>500</v>
      </c>
      <c r="C49" s="745">
        <v>3.5</v>
      </c>
      <c r="D49" s="746">
        <v>0.2</v>
      </c>
      <c r="E49" s="746">
        <v>1.2</v>
      </c>
      <c r="F49" s="465">
        <f t="shared" si="31"/>
        <v>1.65</v>
      </c>
      <c r="G49" s="475">
        <f t="shared" si="32"/>
        <v>2.9499999999999997</v>
      </c>
      <c r="H49" s="462"/>
      <c r="I49" s="1256"/>
      <c r="J49" s="489">
        <v>500</v>
      </c>
      <c r="K49" s="746">
        <v>5.7</v>
      </c>
      <c r="L49" s="746">
        <v>0.7</v>
      </c>
      <c r="M49" s="746">
        <v>0.7</v>
      </c>
      <c r="N49" s="465">
        <f t="shared" si="29"/>
        <v>2.5</v>
      </c>
      <c r="O49" s="475">
        <f t="shared" si="33"/>
        <v>2.9499999999999997</v>
      </c>
      <c r="P49" s="462"/>
      <c r="Q49" s="1256"/>
      <c r="R49" s="471">
        <v>500</v>
      </c>
      <c r="S49" s="745">
        <v>10.8</v>
      </c>
      <c r="T49" s="746">
        <v>6.2</v>
      </c>
      <c r="U49" s="746">
        <v>1.1000000000000001</v>
      </c>
      <c r="V49" s="465">
        <f t="shared" si="30"/>
        <v>4.8500000000000005</v>
      </c>
      <c r="W49" s="475">
        <f t="shared" si="34"/>
        <v>2.9499999999999997</v>
      </c>
    </row>
    <row r="50" spans="1:24" ht="12.75" customHeight="1">
      <c r="A50" s="1256"/>
      <c r="B50" s="471">
        <v>1000</v>
      </c>
      <c r="C50" s="745">
        <v>-1</v>
      </c>
      <c r="D50" s="746">
        <v>2</v>
      </c>
      <c r="E50" s="746">
        <v>2</v>
      </c>
      <c r="F50" s="465">
        <f t="shared" si="31"/>
        <v>1.5</v>
      </c>
      <c r="G50" s="475">
        <f t="shared" si="32"/>
        <v>5.8999999999999995</v>
      </c>
      <c r="H50" s="462"/>
      <c r="I50" s="1256"/>
      <c r="J50" s="489">
        <v>1000</v>
      </c>
      <c r="K50" s="746">
        <v>-88</v>
      </c>
      <c r="L50" s="746">
        <v>9.9999999999999995E-7</v>
      </c>
      <c r="M50" s="746">
        <v>9.9999999999999995E-7</v>
      </c>
      <c r="N50" s="465">
        <f t="shared" si="29"/>
        <v>44.000000499999999</v>
      </c>
      <c r="O50" s="475">
        <f t="shared" si="33"/>
        <v>5.8999999999999995</v>
      </c>
      <c r="P50" s="462"/>
      <c r="Q50" s="1256"/>
      <c r="R50" s="471">
        <v>1000</v>
      </c>
      <c r="S50" s="745">
        <v>-88</v>
      </c>
      <c r="T50" s="746">
        <v>0</v>
      </c>
      <c r="U50" s="746">
        <v>9.9999999999999995E-7</v>
      </c>
      <c r="V50" s="465">
        <f t="shared" si="30"/>
        <v>44.000000499999999</v>
      </c>
      <c r="W50" s="475">
        <f t="shared" si="34"/>
        <v>5.8999999999999995</v>
      </c>
    </row>
    <row r="51" spans="1:24" ht="12.75" customHeight="1">
      <c r="A51" s="1256"/>
      <c r="B51" s="1249" t="str">
        <f>B20</f>
        <v>Main-PE</v>
      </c>
      <c r="C51" s="1250"/>
      <c r="D51" s="1250"/>
      <c r="E51" s="1251"/>
      <c r="F51" s="461" t="s">
        <v>253</v>
      </c>
      <c r="G51" s="461" t="s">
        <v>99</v>
      </c>
      <c r="H51" s="462"/>
      <c r="I51" s="1256"/>
      <c r="J51" s="1249" t="str">
        <f>B51</f>
        <v>Main-PE</v>
      </c>
      <c r="K51" s="1250"/>
      <c r="L51" s="1250"/>
      <c r="M51" s="1251"/>
      <c r="N51" s="461" t="s">
        <v>253</v>
      </c>
      <c r="O51" s="461" t="s">
        <v>99</v>
      </c>
      <c r="P51" s="462"/>
      <c r="Q51" s="1256"/>
      <c r="R51" s="1249" t="str">
        <f>J51</f>
        <v>Main-PE</v>
      </c>
      <c r="S51" s="1250"/>
      <c r="T51" s="1250"/>
      <c r="U51" s="1251"/>
      <c r="V51" s="461" t="s">
        <v>253</v>
      </c>
      <c r="W51" s="461" t="s">
        <v>99</v>
      </c>
    </row>
    <row r="52" spans="1:24" ht="15" customHeight="1">
      <c r="A52" s="1256"/>
      <c r="B52" s="460" t="s">
        <v>255</v>
      </c>
      <c r="C52" s="461">
        <f>C36</f>
        <v>2022</v>
      </c>
      <c r="D52" s="461">
        <f>D36</f>
        <v>2021</v>
      </c>
      <c r="E52" s="461">
        <f>E36</f>
        <v>2019</v>
      </c>
      <c r="F52" s="461"/>
      <c r="G52" s="461"/>
      <c r="H52" s="462"/>
      <c r="I52" s="1256"/>
      <c r="J52" s="460" t="s">
        <v>255</v>
      </c>
      <c r="K52" s="461">
        <f>K36</f>
        <v>2022</v>
      </c>
      <c r="L52" s="461">
        <f>L36</f>
        <v>2021</v>
      </c>
      <c r="M52" s="461">
        <f>M36</f>
        <v>2019</v>
      </c>
      <c r="N52" s="461"/>
      <c r="O52" s="461"/>
      <c r="P52" s="462"/>
      <c r="Q52" s="1256"/>
      <c r="R52" s="460" t="s">
        <v>255</v>
      </c>
      <c r="S52" s="461">
        <f>S36</f>
        <v>2023</v>
      </c>
      <c r="T52" s="461">
        <f>T36</f>
        <v>2022</v>
      </c>
      <c r="U52" s="461">
        <f>U36</f>
        <v>2019</v>
      </c>
      <c r="V52" s="461"/>
      <c r="W52" s="461"/>
    </row>
    <row r="53" spans="1:24" ht="12.75" customHeight="1">
      <c r="A53" s="1256"/>
      <c r="B53" s="471">
        <v>10</v>
      </c>
      <c r="C53" s="745">
        <v>0</v>
      </c>
      <c r="D53" s="746">
        <v>9.9999999999999995E-7</v>
      </c>
      <c r="E53" s="746">
        <v>0.1</v>
      </c>
      <c r="F53" s="465">
        <f>0.5*(MAX(C53:E53)-MIN(C53:E53))</f>
        <v>0.05</v>
      </c>
      <c r="G53" s="476">
        <f>B53*$H$53</f>
        <v>0.17</v>
      </c>
      <c r="H53" s="462">
        <f>1.7/100</f>
        <v>1.7000000000000001E-2</v>
      </c>
      <c r="I53" s="1256"/>
      <c r="J53" s="471">
        <v>10</v>
      </c>
      <c r="K53" s="746">
        <v>0</v>
      </c>
      <c r="L53" s="746">
        <v>9.9999999999999995E-7</v>
      </c>
      <c r="M53" s="746">
        <v>0.1</v>
      </c>
      <c r="N53" s="465">
        <f>0.5*(MAX(K53:M53)-MIN(K53:M53))</f>
        <v>0.05</v>
      </c>
      <c r="O53" s="476">
        <f>J53*$P$53</f>
        <v>0.17</v>
      </c>
      <c r="P53" s="462">
        <f>1.7/100</f>
        <v>1.7000000000000001E-2</v>
      </c>
      <c r="Q53" s="1256"/>
      <c r="R53" s="471">
        <v>9.9999999999999995E-7</v>
      </c>
      <c r="S53" s="745">
        <v>0</v>
      </c>
      <c r="T53" s="746">
        <v>0.1</v>
      </c>
      <c r="U53" s="746">
        <v>0.1</v>
      </c>
      <c r="V53" s="465">
        <f t="shared" ref="V53:V56" si="35">0.5*(MAX(S53:U53)-MIN(S53:U53))</f>
        <v>0.05</v>
      </c>
      <c r="W53" s="476">
        <f>R53*$X$53</f>
        <v>1.7E-8</v>
      </c>
      <c r="X53" s="456">
        <f>1.7/100</f>
        <v>1.7000000000000001E-2</v>
      </c>
    </row>
    <row r="54" spans="1:24" ht="12.75" customHeight="1">
      <c r="A54" s="1256"/>
      <c r="B54" s="471">
        <v>20</v>
      </c>
      <c r="C54" s="745">
        <v>0.1</v>
      </c>
      <c r="D54" s="746">
        <v>0.1</v>
      </c>
      <c r="E54" s="746">
        <v>0.2</v>
      </c>
      <c r="F54" s="465">
        <f t="shared" ref="F54:F56" si="36">0.5*(MAX(C54:E54)-MIN(C54:E54))</f>
        <v>0.05</v>
      </c>
      <c r="G54" s="476">
        <f t="shared" ref="G54:G56" si="37">B54*$H$53</f>
        <v>0.34</v>
      </c>
      <c r="H54" s="462"/>
      <c r="I54" s="1256"/>
      <c r="J54" s="471">
        <v>20</v>
      </c>
      <c r="K54" s="746">
        <v>0.1</v>
      </c>
      <c r="L54" s="746">
        <v>0.1</v>
      </c>
      <c r="M54" s="746">
        <v>0.1</v>
      </c>
      <c r="N54" s="465">
        <f>0.5*(MAX(K54:M54)-MIN(K54:M54))</f>
        <v>0</v>
      </c>
      <c r="O54" s="476">
        <f t="shared" ref="O54:O56" si="38">J54*$P$53</f>
        <v>0.34</v>
      </c>
      <c r="P54" s="462"/>
      <c r="Q54" s="1256"/>
      <c r="R54" s="471">
        <v>20</v>
      </c>
      <c r="S54" s="745">
        <v>0.1</v>
      </c>
      <c r="T54" s="746">
        <v>0.1</v>
      </c>
      <c r="U54" s="746">
        <v>0.1</v>
      </c>
      <c r="V54" s="465">
        <f t="shared" si="35"/>
        <v>0</v>
      </c>
      <c r="W54" s="476">
        <f t="shared" ref="W54:W56" si="39">R54*$X$53</f>
        <v>0.34</v>
      </c>
    </row>
    <row r="55" spans="1:24" ht="12.75" customHeight="1">
      <c r="A55" s="1256"/>
      <c r="B55" s="471">
        <v>50</v>
      </c>
      <c r="C55" s="745">
        <v>0.4</v>
      </c>
      <c r="D55" s="748">
        <v>0.4</v>
      </c>
      <c r="E55" s="748">
        <v>0.5</v>
      </c>
      <c r="F55" s="465">
        <f t="shared" si="36"/>
        <v>4.9999999999999989E-2</v>
      </c>
      <c r="G55" s="476">
        <f t="shared" si="37"/>
        <v>0.85000000000000009</v>
      </c>
      <c r="H55" s="462"/>
      <c r="I55" s="1256"/>
      <c r="J55" s="471">
        <v>50</v>
      </c>
      <c r="K55" s="748">
        <v>0.3</v>
      </c>
      <c r="L55" s="748">
        <v>0.6</v>
      </c>
      <c r="M55" s="748">
        <v>0.4</v>
      </c>
      <c r="N55" s="465">
        <f>0.5*(MAX(K55:M55)-MIN(K55:M55))</f>
        <v>0.15</v>
      </c>
      <c r="O55" s="476">
        <f t="shared" si="38"/>
        <v>0.85000000000000009</v>
      </c>
      <c r="P55" s="462"/>
      <c r="Q55" s="1256"/>
      <c r="R55" s="471">
        <v>50</v>
      </c>
      <c r="S55" s="745">
        <v>0.1</v>
      </c>
      <c r="T55" s="748">
        <v>0.3</v>
      </c>
      <c r="U55" s="748">
        <v>0.3</v>
      </c>
      <c r="V55" s="465">
        <f t="shared" si="35"/>
        <v>9.9999999999999992E-2</v>
      </c>
      <c r="W55" s="476">
        <f t="shared" si="39"/>
        <v>0.85000000000000009</v>
      </c>
    </row>
    <row r="56" spans="1:24" ht="12.75" customHeight="1">
      <c r="A56" s="1256"/>
      <c r="B56" s="471">
        <v>100</v>
      </c>
      <c r="C56" s="745">
        <v>0.8</v>
      </c>
      <c r="D56" s="748">
        <v>1.4</v>
      </c>
      <c r="E56" s="748">
        <v>1</v>
      </c>
      <c r="F56" s="465">
        <f t="shared" si="36"/>
        <v>0.29999999999999993</v>
      </c>
      <c r="G56" s="476">
        <f t="shared" si="37"/>
        <v>1.7000000000000002</v>
      </c>
      <c r="H56" s="462"/>
      <c r="I56" s="1256"/>
      <c r="J56" s="471">
        <v>100</v>
      </c>
      <c r="K56" s="748">
        <v>0.4</v>
      </c>
      <c r="L56" s="748">
        <v>1.5</v>
      </c>
      <c r="M56" s="748">
        <v>0.8</v>
      </c>
      <c r="N56" s="465">
        <f>0.5*(MAX(K56:M56)-MIN(K56:M56))</f>
        <v>0.55000000000000004</v>
      </c>
      <c r="O56" s="476">
        <f t="shared" si="38"/>
        <v>1.7000000000000002</v>
      </c>
      <c r="P56" s="462"/>
      <c r="Q56" s="1256"/>
      <c r="R56" s="471">
        <v>100</v>
      </c>
      <c r="S56" s="745">
        <v>2</v>
      </c>
      <c r="T56" s="748">
        <v>0.6</v>
      </c>
      <c r="U56" s="748">
        <v>0.6</v>
      </c>
      <c r="V56" s="465">
        <f t="shared" si="35"/>
        <v>0.7</v>
      </c>
      <c r="W56" s="476">
        <f t="shared" si="39"/>
        <v>1.7000000000000002</v>
      </c>
    </row>
    <row r="57" spans="1:24" ht="12.75" customHeight="1">
      <c r="A57" s="1256"/>
      <c r="B57" s="1249" t="str">
        <f>B26</f>
        <v>Resistance</v>
      </c>
      <c r="C57" s="1250"/>
      <c r="D57" s="1250"/>
      <c r="E57" s="1251"/>
      <c r="F57" s="461" t="s">
        <v>253</v>
      </c>
      <c r="G57" s="461" t="s">
        <v>99</v>
      </c>
      <c r="H57" s="462"/>
      <c r="I57" s="1256"/>
      <c r="J57" s="1249" t="str">
        <f>B57</f>
        <v>Resistance</v>
      </c>
      <c r="K57" s="1250"/>
      <c r="L57" s="1250"/>
      <c r="M57" s="1251"/>
      <c r="N57" s="461" t="s">
        <v>253</v>
      </c>
      <c r="O57" s="461" t="s">
        <v>99</v>
      </c>
      <c r="P57" s="462"/>
      <c r="Q57" s="1256"/>
      <c r="R57" s="1249" t="str">
        <f>J57</f>
        <v>Resistance</v>
      </c>
      <c r="S57" s="1250"/>
      <c r="T57" s="1250"/>
      <c r="U57" s="1251"/>
      <c r="V57" s="461" t="s">
        <v>253</v>
      </c>
      <c r="W57" s="461" t="s">
        <v>99</v>
      </c>
    </row>
    <row r="58" spans="1:24" ht="15" customHeight="1">
      <c r="A58" s="1256"/>
      <c r="B58" s="460" t="s">
        <v>256</v>
      </c>
      <c r="C58" s="461">
        <f>C36</f>
        <v>2022</v>
      </c>
      <c r="D58" s="461">
        <f>D36</f>
        <v>2021</v>
      </c>
      <c r="E58" s="461">
        <f>E36</f>
        <v>2019</v>
      </c>
      <c r="F58" s="461"/>
      <c r="G58" s="461"/>
      <c r="H58" s="462"/>
      <c r="I58" s="1256"/>
      <c r="J58" s="460" t="s">
        <v>256</v>
      </c>
      <c r="K58" s="461">
        <f>K36</f>
        <v>2022</v>
      </c>
      <c r="L58" s="461">
        <f>L36</f>
        <v>2021</v>
      </c>
      <c r="M58" s="461">
        <f>M36</f>
        <v>2019</v>
      </c>
      <c r="N58" s="461"/>
      <c r="O58" s="461"/>
      <c r="P58" s="462"/>
      <c r="Q58" s="1256"/>
      <c r="R58" s="460" t="s">
        <v>256</v>
      </c>
      <c r="S58" s="461">
        <f>S36</f>
        <v>2023</v>
      </c>
      <c r="T58" s="461">
        <f>T36</f>
        <v>2022</v>
      </c>
      <c r="U58" s="461">
        <f>U36</f>
        <v>2019</v>
      </c>
      <c r="V58" s="461"/>
      <c r="W58" s="461"/>
    </row>
    <row r="59" spans="1:24" ht="12.75" customHeight="1">
      <c r="A59" s="1256"/>
      <c r="B59" s="471">
        <v>0.01</v>
      </c>
      <c r="C59" s="747">
        <v>0</v>
      </c>
      <c r="D59" s="749">
        <v>9.9999999999999995E-7</v>
      </c>
      <c r="E59" s="749">
        <v>9.9999999999999995E-7</v>
      </c>
      <c r="F59" s="465">
        <f>0.5*(MAX(C59:E59)-MIN(C59:E59))</f>
        <v>4.9999999999999998E-7</v>
      </c>
      <c r="G59" s="471">
        <f>B59*$H$59</f>
        <v>1.2E-4</v>
      </c>
      <c r="H59" s="462">
        <f>1.2/100</f>
        <v>1.2E-2</v>
      </c>
      <c r="I59" s="1256"/>
      <c r="J59" s="489">
        <v>0.01</v>
      </c>
      <c r="K59" s="749">
        <v>0</v>
      </c>
      <c r="L59" s="749">
        <v>9.9999999999999995E-7</v>
      </c>
      <c r="M59" s="749">
        <v>9.9999999999999995E-7</v>
      </c>
      <c r="N59" s="465">
        <f>0.5*(MAX(K59:M59)-MIN(K59:M59))</f>
        <v>4.9999999999999998E-7</v>
      </c>
      <c r="O59" s="471">
        <f>J59*$P$59</f>
        <v>1.2E-4</v>
      </c>
      <c r="P59" s="462">
        <f>1.2/100</f>
        <v>1.2E-2</v>
      </c>
      <c r="Q59" s="1256"/>
      <c r="R59" s="471">
        <v>0.01</v>
      </c>
      <c r="S59" s="747">
        <v>0</v>
      </c>
      <c r="T59" s="749">
        <v>0</v>
      </c>
      <c r="U59" s="749">
        <v>9.9999999999999995E-7</v>
      </c>
      <c r="V59" s="465">
        <f t="shared" ref="V59:V62" si="40">0.5*(MAX(S59:U59)-MIN(S59:U59))</f>
        <v>4.9999999999999998E-7</v>
      </c>
      <c r="W59" s="471">
        <f>R59*$X$59</f>
        <v>1.2E-4</v>
      </c>
      <c r="X59" s="491">
        <f>1.2/100</f>
        <v>1.2E-2</v>
      </c>
    </row>
    <row r="60" spans="1:24" ht="12.75" customHeight="1">
      <c r="A60" s="1256"/>
      <c r="B60" s="471">
        <v>0.1</v>
      </c>
      <c r="C60" s="747">
        <v>0</v>
      </c>
      <c r="D60" s="749">
        <v>-2E-3</v>
      </c>
      <c r="E60" s="749">
        <v>9.9999999999999995E-7</v>
      </c>
      <c r="F60" s="465">
        <f t="shared" ref="F60:F62" si="41">0.5*(MAX(C60:E60)-MIN(C60:E60))</f>
        <v>1.0005000000000001E-3</v>
      </c>
      <c r="G60" s="471">
        <f t="shared" ref="G60:G62" si="42">B60*$H$59</f>
        <v>1.2000000000000001E-3</v>
      </c>
      <c r="H60" s="462"/>
      <c r="I60" s="1256"/>
      <c r="J60" s="489">
        <v>0.1</v>
      </c>
      <c r="K60" s="749">
        <v>-6.0000000000000001E-3</v>
      </c>
      <c r="L60" s="749">
        <v>5.0000000000000001E-3</v>
      </c>
      <c r="M60" s="749">
        <v>2E-3</v>
      </c>
      <c r="N60" s="465">
        <f>0.5*(MAX(K60:M60)-MIN(K60:M60))</f>
        <v>5.4999999999999997E-3</v>
      </c>
      <c r="O60" s="471">
        <f t="shared" ref="O60:O62" si="43">J60*$P$59</f>
        <v>1.2000000000000001E-3</v>
      </c>
      <c r="P60" s="462"/>
      <c r="Q60" s="1256"/>
      <c r="R60" s="471">
        <v>0.1</v>
      </c>
      <c r="S60" s="747">
        <v>0</v>
      </c>
      <c r="T60" s="749">
        <v>-3.0000000000000001E-3</v>
      </c>
      <c r="U60" s="749">
        <v>-2E-3</v>
      </c>
      <c r="V60" s="465">
        <f t="shared" si="40"/>
        <v>1.5E-3</v>
      </c>
      <c r="W60" s="471">
        <f t="shared" ref="W60:W62" si="44">R60*$X$59</f>
        <v>1.2000000000000001E-3</v>
      </c>
    </row>
    <row r="61" spans="1:24" ht="12.75" customHeight="1">
      <c r="A61" s="1256"/>
      <c r="B61" s="471">
        <v>1</v>
      </c>
      <c r="C61" s="747">
        <v>-2E-3</v>
      </c>
      <c r="D61" s="749">
        <v>-8.0000000000000002E-3</v>
      </c>
      <c r="E61" s="749">
        <v>-1E-3</v>
      </c>
      <c r="F61" s="465">
        <f t="shared" si="41"/>
        <v>3.5000000000000001E-3</v>
      </c>
      <c r="G61" s="471">
        <f t="shared" si="42"/>
        <v>1.2E-2</v>
      </c>
      <c r="H61" s="462"/>
      <c r="I61" s="1256"/>
      <c r="J61" s="489">
        <v>1</v>
      </c>
      <c r="K61" s="749">
        <v>-2E-3</v>
      </c>
      <c r="L61" s="749">
        <v>1.7999999999999999E-2</v>
      </c>
      <c r="M61" s="749">
        <v>1.2E-2</v>
      </c>
      <c r="N61" s="465">
        <f t="shared" ref="N61:N62" si="45">0.5*(MAX(K61:M61)-MIN(K61:M61))</f>
        <v>9.9999999999999985E-3</v>
      </c>
      <c r="O61" s="471">
        <f t="shared" si="43"/>
        <v>1.2E-2</v>
      </c>
      <c r="P61" s="462"/>
      <c r="Q61" s="1256"/>
      <c r="R61" s="471">
        <v>1</v>
      </c>
      <c r="S61" s="747">
        <v>-6.0000000000000001E-3</v>
      </c>
      <c r="T61" s="749">
        <v>-7.0000000000000001E-3</v>
      </c>
      <c r="U61" s="749">
        <v>-1E-3</v>
      </c>
      <c r="V61" s="465">
        <f t="shared" si="40"/>
        <v>3.0000000000000001E-3</v>
      </c>
      <c r="W61" s="471">
        <f t="shared" si="44"/>
        <v>1.2E-2</v>
      </c>
    </row>
    <row r="62" spans="1:24" ht="12.75" customHeight="1">
      <c r="A62" s="1257"/>
      <c r="B62" s="471">
        <v>2</v>
      </c>
      <c r="C62" s="747">
        <v>-6.0000000000000001E-3</v>
      </c>
      <c r="D62" s="749">
        <v>-7.0000000000000001E-3</v>
      </c>
      <c r="E62" s="749">
        <v>9.9999999999999995E-7</v>
      </c>
      <c r="F62" s="465">
        <f t="shared" si="41"/>
        <v>3.5005000000000001E-3</v>
      </c>
      <c r="G62" s="471">
        <f t="shared" si="42"/>
        <v>2.4E-2</v>
      </c>
      <c r="H62" s="462" t="s">
        <v>122</v>
      </c>
      <c r="I62" s="1257"/>
      <c r="J62" s="489">
        <v>2</v>
      </c>
      <c r="K62" s="750">
        <v>-4.0000000000000001E-3</v>
      </c>
      <c r="L62" s="750">
        <v>0.113</v>
      </c>
      <c r="M62" s="750">
        <v>9.9999999999999995E-7</v>
      </c>
      <c r="N62" s="465">
        <f t="shared" si="45"/>
        <v>5.8500000000000003E-2</v>
      </c>
      <c r="O62" s="471">
        <f t="shared" si="43"/>
        <v>2.4E-2</v>
      </c>
      <c r="P62" s="462"/>
      <c r="Q62" s="1257"/>
      <c r="R62" s="471">
        <v>2</v>
      </c>
      <c r="S62" s="747">
        <v>-7.0000000000000001E-3</v>
      </c>
      <c r="T62" s="749">
        <v>-7.0000000000000001E-3</v>
      </c>
      <c r="U62" s="749">
        <v>9.9999999999999995E-7</v>
      </c>
      <c r="V62" s="465">
        <f t="shared" si="40"/>
        <v>3.5005000000000001E-3</v>
      </c>
      <c r="W62" s="471">
        <f t="shared" si="44"/>
        <v>2.4E-2</v>
      </c>
    </row>
    <row r="63" spans="1:24" s="204" customFormat="1" ht="15.5">
      <c r="A63" s="492"/>
      <c r="B63" s="493"/>
      <c r="C63" s="494"/>
      <c r="E63" s="494"/>
      <c r="F63" s="494"/>
      <c r="G63" s="494"/>
      <c r="H63" s="483"/>
      <c r="I63" s="495"/>
      <c r="J63" s="496"/>
      <c r="K63" s="494"/>
      <c r="M63" s="494"/>
      <c r="N63" s="494"/>
      <c r="O63" s="494"/>
      <c r="P63" s="483"/>
      <c r="Q63" s="495"/>
      <c r="R63" s="493"/>
      <c r="S63" s="494"/>
      <c r="U63" s="482"/>
      <c r="V63" s="482"/>
      <c r="W63" s="484"/>
      <c r="X63" s="485"/>
    </row>
    <row r="64" spans="1:24" ht="30" customHeight="1">
      <c r="A64" s="1255">
        <v>7</v>
      </c>
      <c r="B64" s="1260" t="str">
        <f>A173</f>
        <v>Electrical Safety Analyzer, Merek : Fluke, Model : ESA 615, SN : 3699030</v>
      </c>
      <c r="C64" s="1260"/>
      <c r="D64" s="1260"/>
      <c r="E64" s="1260"/>
      <c r="F64" s="1260"/>
      <c r="G64" s="1260"/>
      <c r="H64" s="457"/>
      <c r="I64" s="1255">
        <v>8</v>
      </c>
      <c r="J64" s="1258" t="str">
        <f>A174</f>
        <v>Electrical Safety Analyzer, Merek : Fluke, Model : ESA 615, SN : 4670010</v>
      </c>
      <c r="K64" s="1258"/>
      <c r="L64" s="1258"/>
      <c r="M64" s="1258"/>
      <c r="N64" s="1258"/>
      <c r="O64" s="1258"/>
      <c r="P64" s="457"/>
      <c r="Q64" s="1255">
        <v>9</v>
      </c>
      <c r="R64" s="1258" t="str">
        <f>A175</f>
        <v>Electrical Safety Analyzer, Merek : Fluke, Model : ESA 615, SN : 4669058</v>
      </c>
      <c r="S64" s="1258"/>
      <c r="T64" s="1258"/>
      <c r="U64" s="1258"/>
      <c r="V64" s="1258"/>
      <c r="W64" s="1258"/>
    </row>
    <row r="65" spans="1:26" ht="15" customHeight="1">
      <c r="A65" s="1256"/>
      <c r="B65" s="1261" t="s">
        <v>86</v>
      </c>
      <c r="C65" s="1261"/>
      <c r="D65" s="1261"/>
      <c r="E65" s="1261"/>
      <c r="F65" s="487"/>
      <c r="G65" s="487"/>
      <c r="H65" s="459"/>
      <c r="I65" s="1256"/>
      <c r="J65" s="1262" t="s">
        <v>86</v>
      </c>
      <c r="K65" s="1263"/>
      <c r="L65" s="1263"/>
      <c r="M65" s="1264"/>
      <c r="N65" s="488"/>
      <c r="O65" s="488"/>
      <c r="P65" s="459"/>
      <c r="Q65" s="1256"/>
      <c r="R65" s="1261" t="s">
        <v>86</v>
      </c>
      <c r="S65" s="1261"/>
      <c r="T65" s="1261"/>
      <c r="U65" s="1261"/>
      <c r="V65" s="488"/>
      <c r="W65" s="488"/>
    </row>
    <row r="66" spans="1:26" ht="12.75" customHeight="1">
      <c r="A66" s="1256"/>
      <c r="B66" s="1246" t="s">
        <v>252</v>
      </c>
      <c r="C66" s="1247"/>
      <c r="D66" s="1247"/>
      <c r="E66" s="1248"/>
      <c r="F66" s="461" t="s">
        <v>253</v>
      </c>
      <c r="G66" s="461" t="s">
        <v>99</v>
      </c>
      <c r="H66" s="462"/>
      <c r="I66" s="1256"/>
      <c r="J66" s="1246" t="s">
        <v>252</v>
      </c>
      <c r="K66" s="1247"/>
      <c r="L66" s="1247"/>
      <c r="M66" s="1248"/>
      <c r="N66" s="461" t="s">
        <v>253</v>
      </c>
      <c r="O66" s="461" t="s">
        <v>99</v>
      </c>
      <c r="P66" s="462"/>
      <c r="Q66" s="1256"/>
      <c r="R66" s="1246" t="s">
        <v>252</v>
      </c>
      <c r="S66" s="1247"/>
      <c r="T66" s="1247"/>
      <c r="U66" s="1248"/>
      <c r="V66" s="461" t="s">
        <v>253</v>
      </c>
      <c r="W66" s="461" t="s">
        <v>99</v>
      </c>
    </row>
    <row r="67" spans="1:26" ht="15" customHeight="1">
      <c r="A67" s="1256"/>
      <c r="B67" s="460" t="s">
        <v>87</v>
      </c>
      <c r="C67" s="742">
        <v>2023</v>
      </c>
      <c r="D67" s="742">
        <v>2022</v>
      </c>
      <c r="E67" s="742">
        <v>2020</v>
      </c>
      <c r="F67" s="461"/>
      <c r="G67" s="461"/>
      <c r="H67" s="462"/>
      <c r="I67" s="1256"/>
      <c r="J67" s="460" t="s">
        <v>87</v>
      </c>
      <c r="K67" s="461">
        <v>2023</v>
      </c>
      <c r="L67" s="742">
        <v>2022</v>
      </c>
      <c r="M67" s="742">
        <v>2020</v>
      </c>
      <c r="N67" s="461"/>
      <c r="O67" s="461"/>
      <c r="P67" s="462"/>
      <c r="Q67" s="1256"/>
      <c r="R67" s="460" t="s">
        <v>87</v>
      </c>
      <c r="S67" s="461">
        <v>2019</v>
      </c>
      <c r="T67" s="742">
        <v>2022</v>
      </c>
      <c r="U67" s="742">
        <v>2020</v>
      </c>
      <c r="V67" s="461"/>
      <c r="W67" s="461"/>
    </row>
    <row r="68" spans="1:26" ht="12.75" customHeight="1">
      <c r="A68" s="1256"/>
      <c r="B68" s="463">
        <v>150</v>
      </c>
      <c r="C68" s="745">
        <v>0.14000000000000001</v>
      </c>
      <c r="D68" s="358">
        <v>0.36</v>
      </c>
      <c r="E68" s="358">
        <v>0.21</v>
      </c>
      <c r="F68" s="465">
        <f t="shared" ref="F68:F73" si="46">0.5*(MAX(C68:E68)-MIN(C68:E68))</f>
        <v>0.10999999999999999</v>
      </c>
      <c r="G68" s="469">
        <f>B68*$H$68</f>
        <v>1.8</v>
      </c>
      <c r="H68" s="462">
        <f>1.2/100</f>
        <v>1.2E-2</v>
      </c>
      <c r="I68" s="1256"/>
      <c r="J68" s="463">
        <v>150</v>
      </c>
      <c r="K68" s="466">
        <v>-0.17</v>
      </c>
      <c r="L68" s="751">
        <v>-0.08</v>
      </c>
      <c r="M68" s="751">
        <v>-0.17</v>
      </c>
      <c r="N68" s="465">
        <f>0.5*(MAX(K68:M68)-MIN(K68:M68))</f>
        <v>4.5000000000000005E-2</v>
      </c>
      <c r="O68" s="465">
        <f>J68*$P$68</f>
        <v>1.8</v>
      </c>
      <c r="P68" s="462">
        <f>1.2/100</f>
        <v>1.2E-2</v>
      </c>
      <c r="Q68" s="1256"/>
      <c r="R68" s="463">
        <v>150</v>
      </c>
      <c r="S68" s="466">
        <v>9.9999999999999995E-7</v>
      </c>
      <c r="T68" s="751">
        <v>-0.17</v>
      </c>
      <c r="U68" s="751">
        <v>-0.24</v>
      </c>
      <c r="V68" s="465">
        <f t="shared" ref="V68:V73" si="47">0.5*(MAX(S68:U68)-MIN(S68:U68))</f>
        <v>0.1200005</v>
      </c>
      <c r="W68" s="465">
        <f>R68*$X$68</f>
        <v>1.8</v>
      </c>
      <c r="X68" s="456">
        <f>1.2/100</f>
        <v>1.2E-2</v>
      </c>
    </row>
    <row r="69" spans="1:26" ht="12.75" customHeight="1">
      <c r="A69" s="1256"/>
      <c r="B69" s="463">
        <v>180</v>
      </c>
      <c r="C69" s="745">
        <v>0.34</v>
      </c>
      <c r="D69" s="358">
        <v>0.46</v>
      </c>
      <c r="E69" s="358">
        <v>0.33</v>
      </c>
      <c r="F69" s="465">
        <f t="shared" si="46"/>
        <v>6.5000000000000002E-2</v>
      </c>
      <c r="G69" s="469">
        <f t="shared" ref="G69:G73" si="48">B69*$H$68</f>
        <v>2.16</v>
      </c>
      <c r="H69" s="462"/>
      <c r="I69" s="1256"/>
      <c r="J69" s="463">
        <v>180</v>
      </c>
      <c r="K69" s="466">
        <v>-0.16</v>
      </c>
      <c r="L69" s="751">
        <v>-0.2</v>
      </c>
      <c r="M69" s="751">
        <v>-0.22</v>
      </c>
      <c r="N69" s="465">
        <f t="shared" ref="N69:N73" si="49">0.5*(MAX(K69:M69)-MIN(K69:M69))</f>
        <v>0.03</v>
      </c>
      <c r="O69" s="465">
        <f t="shared" ref="O69:O73" si="50">J69*$P$68</f>
        <v>2.16</v>
      </c>
      <c r="P69" s="462"/>
      <c r="Q69" s="1256"/>
      <c r="R69" s="463">
        <v>180</v>
      </c>
      <c r="S69" s="466">
        <v>9.9999999999999995E-7</v>
      </c>
      <c r="T69" s="751">
        <v>-0.39</v>
      </c>
      <c r="U69" s="751">
        <v>-0.14000000000000001</v>
      </c>
      <c r="V69" s="465">
        <f t="shared" si="47"/>
        <v>0.19500049999999999</v>
      </c>
      <c r="W69" s="465">
        <f t="shared" ref="W69:W72" si="51">R69*$X$68</f>
        <v>2.16</v>
      </c>
    </row>
    <row r="70" spans="1:26" ht="12.75" customHeight="1">
      <c r="A70" s="1256"/>
      <c r="B70" s="463">
        <v>200</v>
      </c>
      <c r="C70" s="745">
        <v>0.42</v>
      </c>
      <c r="D70" s="358">
        <v>0.52</v>
      </c>
      <c r="E70" s="358">
        <v>0.34</v>
      </c>
      <c r="F70" s="465">
        <f t="shared" si="46"/>
        <v>0.09</v>
      </c>
      <c r="G70" s="469">
        <f t="shared" si="48"/>
        <v>2.4</v>
      </c>
      <c r="H70" s="462"/>
      <c r="I70" s="1256"/>
      <c r="J70" s="463">
        <v>200</v>
      </c>
      <c r="K70" s="466">
        <v>0.1</v>
      </c>
      <c r="L70" s="358">
        <v>-0.25</v>
      </c>
      <c r="M70" s="358">
        <v>-0.33</v>
      </c>
      <c r="N70" s="465">
        <f t="shared" si="49"/>
        <v>0.21500000000000002</v>
      </c>
      <c r="O70" s="465">
        <f t="shared" si="50"/>
        <v>2.4</v>
      </c>
      <c r="P70" s="462"/>
      <c r="Q70" s="1256"/>
      <c r="R70" s="463">
        <v>200</v>
      </c>
      <c r="S70" s="466">
        <v>9.9999999999999995E-7</v>
      </c>
      <c r="T70" s="358">
        <v>-0.23</v>
      </c>
      <c r="U70" s="358">
        <v>-0.33</v>
      </c>
      <c r="V70" s="465">
        <f t="shared" si="47"/>
        <v>0.16500049999999999</v>
      </c>
      <c r="W70" s="465">
        <f t="shared" si="51"/>
        <v>2.4</v>
      </c>
    </row>
    <row r="71" spans="1:26" ht="12.75" customHeight="1">
      <c r="A71" s="1256"/>
      <c r="B71" s="463">
        <v>220</v>
      </c>
      <c r="C71" s="745">
        <v>0.32</v>
      </c>
      <c r="D71" s="358">
        <v>0.57999999999999996</v>
      </c>
      <c r="E71" s="358">
        <v>0.37</v>
      </c>
      <c r="F71" s="465">
        <f t="shared" si="46"/>
        <v>0.12999999999999998</v>
      </c>
      <c r="G71" s="469">
        <f t="shared" si="48"/>
        <v>2.64</v>
      </c>
      <c r="H71" s="462"/>
      <c r="I71" s="1256"/>
      <c r="J71" s="463">
        <v>220</v>
      </c>
      <c r="K71" s="466">
        <v>-0.35</v>
      </c>
      <c r="L71" s="358">
        <v>-0.28999999999999998</v>
      </c>
      <c r="M71" s="358">
        <v>-0.39</v>
      </c>
      <c r="N71" s="465">
        <f t="shared" si="49"/>
        <v>5.0000000000000017E-2</v>
      </c>
      <c r="O71" s="465">
        <f t="shared" si="50"/>
        <v>2.64</v>
      </c>
      <c r="P71" s="462"/>
      <c r="Q71" s="1256"/>
      <c r="R71" s="463">
        <v>220</v>
      </c>
      <c r="S71" s="466">
        <v>9.9999999999999995E-7</v>
      </c>
      <c r="T71" s="358">
        <v>-0.16</v>
      </c>
      <c r="U71" s="358">
        <v>-0.45</v>
      </c>
      <c r="V71" s="465">
        <f t="shared" si="47"/>
        <v>0.22500049999999999</v>
      </c>
      <c r="W71" s="465">
        <f t="shared" si="51"/>
        <v>2.64</v>
      </c>
    </row>
    <row r="72" spans="1:26" ht="12.75" customHeight="1">
      <c r="A72" s="1256"/>
      <c r="B72" s="463">
        <v>230</v>
      </c>
      <c r="C72" s="745">
        <v>0.38</v>
      </c>
      <c r="D72" s="358">
        <v>0.47</v>
      </c>
      <c r="E72" s="358">
        <v>0.47</v>
      </c>
      <c r="F72" s="465">
        <f t="shared" si="46"/>
        <v>4.4999999999999984E-2</v>
      </c>
      <c r="G72" s="469">
        <f t="shared" si="48"/>
        <v>2.7600000000000002</v>
      </c>
      <c r="H72" s="462"/>
      <c r="I72" s="1256"/>
      <c r="J72" s="463">
        <v>230</v>
      </c>
      <c r="K72" s="466">
        <v>-0.37</v>
      </c>
      <c r="L72" s="358">
        <v>-0.34</v>
      </c>
      <c r="M72" s="358">
        <v>-0.39</v>
      </c>
      <c r="N72" s="465">
        <f t="shared" si="49"/>
        <v>2.4999999999999994E-2</v>
      </c>
      <c r="O72" s="465">
        <f t="shared" si="50"/>
        <v>2.7600000000000002</v>
      </c>
      <c r="P72" s="462"/>
      <c r="Q72" s="1256"/>
      <c r="R72" s="463">
        <v>230</v>
      </c>
      <c r="S72" s="466">
        <v>9.9999999999999995E-7</v>
      </c>
      <c r="T72" s="358">
        <v>-0.15</v>
      </c>
      <c r="U72" s="358">
        <v>-0.54</v>
      </c>
      <c r="V72" s="465">
        <f t="shared" si="47"/>
        <v>0.27000050000000003</v>
      </c>
      <c r="W72" s="465">
        <f t="shared" si="51"/>
        <v>2.7600000000000002</v>
      </c>
    </row>
    <row r="73" spans="1:26" ht="12.75" customHeight="1">
      <c r="A73" s="1256"/>
      <c r="B73" s="463">
        <v>250</v>
      </c>
      <c r="C73" s="745">
        <v>0.44</v>
      </c>
      <c r="D73" s="358">
        <v>0</v>
      </c>
      <c r="E73" s="358">
        <v>0.38</v>
      </c>
      <c r="F73" s="465">
        <f t="shared" si="46"/>
        <v>0.22</v>
      </c>
      <c r="G73" s="469">
        <f t="shared" si="48"/>
        <v>3</v>
      </c>
      <c r="H73" s="462"/>
      <c r="I73" s="1256"/>
      <c r="J73" s="463">
        <v>250</v>
      </c>
      <c r="K73" s="466">
        <v>9.9999999999999995E-7</v>
      </c>
      <c r="L73" s="358">
        <v>9.9999999999999995E-7</v>
      </c>
      <c r="M73" s="358">
        <v>-0.39</v>
      </c>
      <c r="N73" s="465">
        <f t="shared" si="49"/>
        <v>0.19500049999999999</v>
      </c>
      <c r="O73" s="465">
        <f t="shared" si="50"/>
        <v>3</v>
      </c>
      <c r="P73" s="462"/>
      <c r="Q73" s="1256"/>
      <c r="R73" s="463">
        <v>250</v>
      </c>
      <c r="S73" s="466">
        <v>9.9999999999999995E-7</v>
      </c>
      <c r="T73" s="358">
        <v>9.9999999999999995E-7</v>
      </c>
      <c r="U73" s="358">
        <v>-0.49</v>
      </c>
      <c r="V73" s="465">
        <f t="shared" si="47"/>
        <v>0.24500049999999998</v>
      </c>
      <c r="W73" s="465" t="s">
        <v>66</v>
      </c>
    </row>
    <row r="74" spans="1:26" ht="12.75" customHeight="1">
      <c r="A74" s="1256"/>
      <c r="B74" s="1249" t="s">
        <v>254</v>
      </c>
      <c r="C74" s="1250"/>
      <c r="D74" s="1250"/>
      <c r="E74" s="1251"/>
      <c r="F74" s="461" t="s">
        <v>253</v>
      </c>
      <c r="G74" s="461" t="s">
        <v>99</v>
      </c>
      <c r="H74" s="462"/>
      <c r="I74" s="1256"/>
      <c r="J74" s="1249" t="s">
        <v>254</v>
      </c>
      <c r="K74" s="1250"/>
      <c r="L74" s="1250"/>
      <c r="M74" s="1251"/>
      <c r="N74" s="461" t="s">
        <v>253</v>
      </c>
      <c r="O74" s="461" t="s">
        <v>99</v>
      </c>
      <c r="P74" s="462"/>
      <c r="Q74" s="1256"/>
      <c r="R74" s="1249" t="s">
        <v>254</v>
      </c>
      <c r="S74" s="1250"/>
      <c r="T74" s="1250"/>
      <c r="U74" s="1251"/>
      <c r="V74" s="461" t="s">
        <v>253</v>
      </c>
      <c r="W74" s="461" t="s">
        <v>99</v>
      </c>
      <c r="Z74" s="202"/>
    </row>
    <row r="75" spans="1:26" ht="15" customHeight="1">
      <c r="A75" s="1256"/>
      <c r="B75" s="460" t="s">
        <v>88</v>
      </c>
      <c r="C75" s="461">
        <f>C67</f>
        <v>2023</v>
      </c>
      <c r="D75" s="461">
        <f>D67</f>
        <v>2022</v>
      </c>
      <c r="E75" s="461">
        <f>E67</f>
        <v>2020</v>
      </c>
      <c r="F75" s="461"/>
      <c r="G75" s="461"/>
      <c r="H75" s="462"/>
      <c r="I75" s="1256"/>
      <c r="J75" s="460" t="s">
        <v>88</v>
      </c>
      <c r="K75" s="461">
        <f>K67</f>
        <v>2023</v>
      </c>
      <c r="L75" s="461">
        <f>L67</f>
        <v>2022</v>
      </c>
      <c r="M75" s="461">
        <f>M67</f>
        <v>2020</v>
      </c>
      <c r="N75" s="461"/>
      <c r="O75" s="461"/>
      <c r="P75" s="462"/>
      <c r="Q75" s="1256"/>
      <c r="R75" s="460" t="s">
        <v>88</v>
      </c>
      <c r="S75" s="461">
        <f>S67</f>
        <v>2019</v>
      </c>
      <c r="T75" s="742">
        <f>T67</f>
        <v>2022</v>
      </c>
      <c r="U75" s="742">
        <f>U67</f>
        <v>2020</v>
      </c>
      <c r="V75" s="461"/>
      <c r="W75" s="461"/>
    </row>
    <row r="76" spans="1:26" ht="12.75" customHeight="1">
      <c r="A76" s="1256"/>
      <c r="B76" s="476">
        <v>9.9999999999999995E-7</v>
      </c>
      <c r="C76" s="745">
        <v>0</v>
      </c>
      <c r="D76" s="358">
        <v>0</v>
      </c>
      <c r="E76" s="358">
        <v>9.9999999999999995E-7</v>
      </c>
      <c r="F76" s="465">
        <f t="shared" ref="F76:F81" si="52">0.5*(MAX(C76:E76)-MIN(C76:E76))</f>
        <v>4.9999999999999998E-7</v>
      </c>
      <c r="G76" s="475">
        <f>B76*$H$76</f>
        <v>5.8999999999999999E-9</v>
      </c>
      <c r="H76" s="462">
        <f>0.59/100</f>
        <v>5.8999999999999999E-3</v>
      </c>
      <c r="I76" s="1256"/>
      <c r="J76" s="476">
        <v>9.9999999999999995E-7</v>
      </c>
      <c r="K76" s="467">
        <v>9.9999999999999995E-7</v>
      </c>
      <c r="L76" s="358">
        <v>0</v>
      </c>
      <c r="M76" s="358">
        <v>9.9999999999999995E-7</v>
      </c>
      <c r="N76" s="465">
        <f t="shared" ref="N76:N81" si="53">0.5*(MAX(K76:M76)-MIN(K76:M76))</f>
        <v>4.9999999999999998E-7</v>
      </c>
      <c r="O76" s="465">
        <f>J76*$P$76</f>
        <v>5.8999999999999999E-9</v>
      </c>
      <c r="P76" s="462">
        <f>0.59/100</f>
        <v>5.8999999999999999E-3</v>
      </c>
      <c r="Q76" s="1256"/>
      <c r="R76" s="476">
        <v>9.9999999999999995E-7</v>
      </c>
      <c r="S76" s="467">
        <v>9.9999999999999995E-7</v>
      </c>
      <c r="T76" s="358">
        <v>9.9999999999999995E-7</v>
      </c>
      <c r="U76" s="358">
        <v>9.9999999999999995E-7</v>
      </c>
      <c r="V76" s="465">
        <f t="shared" ref="V76:V81" si="54">0.5*(MAX(S76:U76)-MIN(S76:U76))</f>
        <v>0</v>
      </c>
      <c r="W76" s="465">
        <f>R76*$X$76</f>
        <v>5.8999999999999999E-9</v>
      </c>
      <c r="X76" s="456">
        <f>0.59/100</f>
        <v>5.8999999999999999E-3</v>
      </c>
    </row>
    <row r="77" spans="1:26" ht="12.75" customHeight="1">
      <c r="A77" s="1256"/>
      <c r="B77" s="471">
        <v>50</v>
      </c>
      <c r="C77" s="745">
        <v>5</v>
      </c>
      <c r="D77" s="358">
        <v>1.9</v>
      </c>
      <c r="E77" s="358">
        <v>1.7</v>
      </c>
      <c r="F77" s="465">
        <f t="shared" si="52"/>
        <v>1.65</v>
      </c>
      <c r="G77" s="475">
        <f t="shared" ref="G77:G81" si="55">B77*$H$76</f>
        <v>0.29499999999999998</v>
      </c>
      <c r="H77" s="462"/>
      <c r="I77" s="1256"/>
      <c r="J77" s="471">
        <v>50</v>
      </c>
      <c r="K77" s="467">
        <v>4.0999999999999996</v>
      </c>
      <c r="L77" s="358">
        <v>4.9000000000000004</v>
      </c>
      <c r="M77" s="358">
        <v>0.8</v>
      </c>
      <c r="N77" s="465">
        <f t="shared" si="53"/>
        <v>2.0500000000000003</v>
      </c>
      <c r="O77" s="465">
        <f t="shared" ref="O77:O81" si="56">J77*$P$76</f>
        <v>0.29499999999999998</v>
      </c>
      <c r="P77" s="462"/>
      <c r="Q77" s="1256"/>
      <c r="R77" s="471">
        <v>50</v>
      </c>
      <c r="S77" s="467">
        <v>9.9999999999999995E-7</v>
      </c>
      <c r="T77" s="752">
        <v>6.6</v>
      </c>
      <c r="U77" s="358">
        <v>0.9</v>
      </c>
      <c r="V77" s="465">
        <f t="shared" si="54"/>
        <v>3.2999994999999998</v>
      </c>
      <c r="W77" s="465">
        <f t="shared" ref="W77:W81" si="57">R77*$X$76</f>
        <v>0.29499999999999998</v>
      </c>
    </row>
    <row r="78" spans="1:26" ht="12.75" customHeight="1">
      <c r="A78" s="1256"/>
      <c r="B78" s="471">
        <v>100</v>
      </c>
      <c r="C78" s="745">
        <v>6.2</v>
      </c>
      <c r="D78" s="358">
        <v>1.7</v>
      </c>
      <c r="E78" s="358">
        <v>1.7</v>
      </c>
      <c r="F78" s="465">
        <f t="shared" si="52"/>
        <v>2.25</v>
      </c>
      <c r="G78" s="475">
        <f t="shared" si="55"/>
        <v>0.59</v>
      </c>
      <c r="H78" s="462"/>
      <c r="I78" s="1256"/>
      <c r="J78" s="471">
        <v>100</v>
      </c>
      <c r="K78" s="467">
        <v>6</v>
      </c>
      <c r="L78" s="752">
        <v>9.1999999999999993</v>
      </c>
      <c r="M78" s="752">
        <v>1.7</v>
      </c>
      <c r="N78" s="465">
        <f t="shared" si="53"/>
        <v>3.7499999999999996</v>
      </c>
      <c r="O78" s="465">
        <f t="shared" si="56"/>
        <v>0.59</v>
      </c>
      <c r="P78" s="462"/>
      <c r="Q78" s="1256"/>
      <c r="R78" s="471">
        <v>100</v>
      </c>
      <c r="S78" s="467">
        <v>9.9999999999999995E-7</v>
      </c>
      <c r="T78" s="752">
        <v>5</v>
      </c>
      <c r="U78" s="752">
        <v>2.1</v>
      </c>
      <c r="V78" s="465">
        <f t="shared" si="54"/>
        <v>2.4999994999999999</v>
      </c>
      <c r="W78" s="465">
        <f t="shared" si="57"/>
        <v>0.59</v>
      </c>
    </row>
    <row r="79" spans="1:26" ht="12.75" customHeight="1">
      <c r="A79" s="1256"/>
      <c r="B79" s="471">
        <v>200</v>
      </c>
      <c r="C79" s="745">
        <v>8.6</v>
      </c>
      <c r="D79" s="358">
        <v>1.5</v>
      </c>
      <c r="E79" s="358">
        <v>0.4</v>
      </c>
      <c r="F79" s="465">
        <f t="shared" si="52"/>
        <v>4.0999999999999996</v>
      </c>
      <c r="G79" s="475">
        <f t="shared" si="55"/>
        <v>1.18</v>
      </c>
      <c r="H79" s="462"/>
      <c r="I79" s="1256"/>
      <c r="J79" s="471">
        <v>500</v>
      </c>
      <c r="K79" s="467">
        <v>9</v>
      </c>
      <c r="L79" s="358">
        <v>-0.2</v>
      </c>
      <c r="M79" s="358">
        <v>3.4</v>
      </c>
      <c r="N79" s="465">
        <f t="shared" si="53"/>
        <v>4.5999999999999996</v>
      </c>
      <c r="O79" s="465">
        <f t="shared" si="56"/>
        <v>2.9499999999999997</v>
      </c>
      <c r="P79" s="462"/>
      <c r="Q79" s="1256"/>
      <c r="R79" s="471">
        <v>500</v>
      </c>
      <c r="S79" s="467">
        <v>9.9999999999999995E-7</v>
      </c>
      <c r="T79" s="358">
        <v>-8.1999999999999993</v>
      </c>
      <c r="U79" s="358">
        <v>3.7</v>
      </c>
      <c r="V79" s="465">
        <f t="shared" si="54"/>
        <v>5.9499999999999993</v>
      </c>
      <c r="W79" s="465">
        <f t="shared" si="57"/>
        <v>2.9499999999999997</v>
      </c>
    </row>
    <row r="80" spans="1:26" ht="12.75" customHeight="1">
      <c r="A80" s="1256"/>
      <c r="B80" s="471">
        <v>500</v>
      </c>
      <c r="C80" s="745">
        <v>9.3000000000000007</v>
      </c>
      <c r="D80" s="358">
        <v>0.9</v>
      </c>
      <c r="E80" s="358">
        <v>3</v>
      </c>
      <c r="F80" s="465">
        <f t="shared" si="52"/>
        <v>4.2</v>
      </c>
      <c r="G80" s="475">
        <f t="shared" si="55"/>
        <v>2.9499999999999997</v>
      </c>
      <c r="H80" s="462"/>
      <c r="I80" s="1256"/>
      <c r="J80" s="471">
        <v>500</v>
      </c>
      <c r="K80" s="467">
        <v>9.5</v>
      </c>
      <c r="L80" s="358">
        <v>-25.1</v>
      </c>
      <c r="M80" s="358">
        <v>7.2</v>
      </c>
      <c r="N80" s="465">
        <f t="shared" si="53"/>
        <v>17.3</v>
      </c>
      <c r="O80" s="465">
        <f t="shared" si="56"/>
        <v>2.9499999999999997</v>
      </c>
      <c r="P80" s="462"/>
      <c r="Q80" s="1256"/>
      <c r="R80" s="471">
        <v>500</v>
      </c>
      <c r="S80" s="467">
        <v>9.9999999999999995E-7</v>
      </c>
      <c r="T80" s="358">
        <v>-31.8</v>
      </c>
      <c r="U80" s="358">
        <v>8.3000000000000007</v>
      </c>
      <c r="V80" s="465">
        <f t="shared" si="54"/>
        <v>20.05</v>
      </c>
      <c r="W80" s="465">
        <f t="shared" si="57"/>
        <v>2.9499999999999997</v>
      </c>
    </row>
    <row r="81" spans="1:24" ht="12.75" customHeight="1">
      <c r="A81" s="1256"/>
      <c r="B81" s="471">
        <v>1000</v>
      </c>
      <c r="C81" s="745">
        <v>-88</v>
      </c>
      <c r="D81" s="358">
        <v>0</v>
      </c>
      <c r="E81" s="358">
        <v>9.9999999999999995E-7</v>
      </c>
      <c r="F81" s="465">
        <f t="shared" si="52"/>
        <v>44.000000499999999</v>
      </c>
      <c r="G81" s="475">
        <f t="shared" si="55"/>
        <v>5.8999999999999995</v>
      </c>
      <c r="H81" s="462"/>
      <c r="I81" s="1256"/>
      <c r="J81" s="471">
        <v>1000</v>
      </c>
      <c r="K81" s="467">
        <v>9.9999999999999995E-7</v>
      </c>
      <c r="L81" s="358">
        <v>-6.6000000000000003E-2</v>
      </c>
      <c r="M81" s="358">
        <v>9.9999999999999995E-7</v>
      </c>
      <c r="N81" s="465">
        <f t="shared" si="53"/>
        <v>3.3000500000000002E-2</v>
      </c>
      <c r="O81" s="465">
        <f t="shared" si="56"/>
        <v>5.8999999999999995</v>
      </c>
      <c r="P81" s="462"/>
      <c r="Q81" s="1256"/>
      <c r="R81" s="471">
        <v>1000</v>
      </c>
      <c r="S81" s="467">
        <v>9.9999999999999995E-7</v>
      </c>
      <c r="T81" s="358">
        <v>-74</v>
      </c>
      <c r="U81" s="358">
        <v>9.9999999999999995E-7</v>
      </c>
      <c r="V81" s="465">
        <f t="shared" si="54"/>
        <v>37.000000499999999</v>
      </c>
      <c r="W81" s="465">
        <f t="shared" si="57"/>
        <v>5.8999999999999995</v>
      </c>
    </row>
    <row r="82" spans="1:24" ht="12.75" customHeight="1">
      <c r="A82" s="1256"/>
      <c r="B82" s="1249" t="s">
        <v>89</v>
      </c>
      <c r="C82" s="1250"/>
      <c r="D82" s="1250"/>
      <c r="E82" s="1251"/>
      <c r="F82" s="461" t="s">
        <v>253</v>
      </c>
      <c r="G82" s="461" t="s">
        <v>99</v>
      </c>
      <c r="H82" s="462"/>
      <c r="I82" s="1256"/>
      <c r="J82" s="1249" t="s">
        <v>89</v>
      </c>
      <c r="K82" s="1250"/>
      <c r="L82" s="1250"/>
      <c r="M82" s="1251"/>
      <c r="N82" s="461" t="s">
        <v>253</v>
      </c>
      <c r="O82" s="461" t="s">
        <v>99</v>
      </c>
      <c r="P82" s="462"/>
      <c r="Q82" s="1256"/>
      <c r="R82" s="1249" t="str">
        <f>B82</f>
        <v>Main-PE</v>
      </c>
      <c r="S82" s="1250"/>
      <c r="T82" s="1250"/>
      <c r="U82" s="1251"/>
      <c r="V82" s="461" t="s">
        <v>253</v>
      </c>
      <c r="W82" s="461" t="s">
        <v>99</v>
      </c>
    </row>
    <row r="83" spans="1:24" ht="15" customHeight="1">
      <c r="A83" s="1256"/>
      <c r="B83" s="460" t="s">
        <v>255</v>
      </c>
      <c r="C83" s="461">
        <f>C75</f>
        <v>2023</v>
      </c>
      <c r="D83" s="461">
        <f>D75</f>
        <v>2022</v>
      </c>
      <c r="E83" s="461">
        <f>E75</f>
        <v>2020</v>
      </c>
      <c r="F83" s="461"/>
      <c r="G83" s="461"/>
      <c r="H83" s="462"/>
      <c r="I83" s="1256"/>
      <c r="J83" s="460" t="s">
        <v>255</v>
      </c>
      <c r="K83" s="461">
        <f>K67</f>
        <v>2023</v>
      </c>
      <c r="L83" s="461">
        <f>L67</f>
        <v>2022</v>
      </c>
      <c r="M83" s="461">
        <f>M67</f>
        <v>2020</v>
      </c>
      <c r="N83" s="461"/>
      <c r="O83" s="461"/>
      <c r="P83" s="462"/>
      <c r="Q83" s="1256"/>
      <c r="R83" s="460" t="s">
        <v>255</v>
      </c>
      <c r="S83" s="461">
        <f>S67</f>
        <v>2019</v>
      </c>
      <c r="T83" s="742">
        <f>T67</f>
        <v>2022</v>
      </c>
      <c r="U83" s="742">
        <f>U67</f>
        <v>2020</v>
      </c>
      <c r="V83" s="461"/>
      <c r="W83" s="461"/>
    </row>
    <row r="84" spans="1:24" ht="12.75" customHeight="1">
      <c r="A84" s="1256"/>
      <c r="B84" s="471">
        <v>10</v>
      </c>
      <c r="C84" s="745">
        <v>0</v>
      </c>
      <c r="D84" s="358">
        <v>0</v>
      </c>
      <c r="E84" s="358">
        <v>9.9999999999999995E-7</v>
      </c>
      <c r="F84" s="465">
        <f t="shared" ref="F84:F87" si="58">0.5*(MAX(C84:E84)-MIN(C84:E84))</f>
        <v>4.9999999999999998E-7</v>
      </c>
      <c r="G84" s="476">
        <f>B84*$H$84</f>
        <v>0.17</v>
      </c>
      <c r="H84" s="462">
        <f>1.7/100</f>
        <v>1.7000000000000001E-2</v>
      </c>
      <c r="I84" s="1256"/>
      <c r="J84" s="471">
        <v>10</v>
      </c>
      <c r="K84" s="467">
        <v>9.9999999999999995E-7</v>
      </c>
      <c r="L84" s="358">
        <v>9.9999999999999995E-7</v>
      </c>
      <c r="M84" s="358">
        <v>9.9999999999999995E-7</v>
      </c>
      <c r="N84" s="465">
        <f t="shared" ref="N84:N87" si="59">0.5*(MAX(K84:M84)-MIN(K84:M84))</f>
        <v>0</v>
      </c>
      <c r="O84" s="465">
        <f>J84*$P$84</f>
        <v>0.17</v>
      </c>
      <c r="P84" s="462">
        <f>1.7/100</f>
        <v>1.7000000000000001E-2</v>
      </c>
      <c r="Q84" s="1256"/>
      <c r="R84" s="471">
        <v>10</v>
      </c>
      <c r="S84" s="467">
        <v>9.9999999999999995E-7</v>
      </c>
      <c r="T84" s="358">
        <v>9.9999999999999995E-7</v>
      </c>
      <c r="U84" s="358">
        <v>9.9999999999999995E-7</v>
      </c>
      <c r="V84" s="465">
        <f t="shared" ref="V84:V87" si="60">0.5*(MAX(S84:U84)-MIN(S84:U84))</f>
        <v>0</v>
      </c>
      <c r="W84" s="465">
        <f>R84*$X$84</f>
        <v>0.17</v>
      </c>
      <c r="X84" s="456">
        <v>1.7000000000000001E-2</v>
      </c>
    </row>
    <row r="85" spans="1:24" ht="12.75" customHeight="1">
      <c r="A85" s="1256"/>
      <c r="B85" s="471">
        <v>20</v>
      </c>
      <c r="C85" s="745">
        <v>0.1</v>
      </c>
      <c r="D85" s="358">
        <v>0.1</v>
      </c>
      <c r="E85" s="358">
        <v>9.9999999999999995E-7</v>
      </c>
      <c r="F85" s="465">
        <f t="shared" si="58"/>
        <v>4.9999500000000002E-2</v>
      </c>
      <c r="G85" s="476">
        <f t="shared" ref="G85:G87" si="61">B85*$H$84</f>
        <v>0.34</v>
      </c>
      <c r="H85" s="462"/>
      <c r="I85" s="1256"/>
      <c r="J85" s="471">
        <v>20</v>
      </c>
      <c r="K85" s="467">
        <v>1E-3</v>
      </c>
      <c r="L85" s="358">
        <v>9.9999999999999995E-7</v>
      </c>
      <c r="M85" s="358">
        <v>9.9999999999999995E-7</v>
      </c>
      <c r="N85" s="465">
        <f t="shared" si="59"/>
        <v>4.9950000000000005E-4</v>
      </c>
      <c r="O85" s="465">
        <f t="shared" ref="O85:O86" si="62">J85*$P$84</f>
        <v>0.34</v>
      </c>
      <c r="P85" s="462"/>
      <c r="Q85" s="1256"/>
      <c r="R85" s="471">
        <v>20</v>
      </c>
      <c r="S85" s="467">
        <v>9.9999999999999995E-7</v>
      </c>
      <c r="T85" s="358">
        <v>9.9999999999999995E-7</v>
      </c>
      <c r="U85" s="358">
        <v>9.9999999999999995E-7</v>
      </c>
      <c r="V85" s="465">
        <f t="shared" si="60"/>
        <v>0</v>
      </c>
      <c r="W85" s="465">
        <f t="shared" ref="W85:W86" si="63">R85*$X$84</f>
        <v>0.34</v>
      </c>
    </row>
    <row r="86" spans="1:24" ht="12.75" customHeight="1">
      <c r="A86" s="1256"/>
      <c r="B86" s="471">
        <v>50</v>
      </c>
      <c r="C86" s="745">
        <v>0.3</v>
      </c>
      <c r="D86" s="358">
        <v>0.5</v>
      </c>
      <c r="E86" s="358">
        <v>9.9999999999999995E-7</v>
      </c>
      <c r="F86" s="465">
        <f t="shared" si="58"/>
        <v>0.24999950000000001</v>
      </c>
      <c r="G86" s="476">
        <f t="shared" si="61"/>
        <v>0.85000000000000009</v>
      </c>
      <c r="H86" s="462"/>
      <c r="I86" s="1256"/>
      <c r="J86" s="471">
        <v>50</v>
      </c>
      <c r="K86" s="467">
        <v>0.2</v>
      </c>
      <c r="L86" s="358">
        <v>0.2</v>
      </c>
      <c r="M86" s="358">
        <v>9.9999999999999995E-7</v>
      </c>
      <c r="N86" s="465">
        <f t="shared" si="59"/>
        <v>9.9999500000000005E-2</v>
      </c>
      <c r="O86" s="465">
        <f t="shared" si="62"/>
        <v>0.85000000000000009</v>
      </c>
      <c r="P86" s="462"/>
      <c r="Q86" s="1256"/>
      <c r="R86" s="471">
        <v>50</v>
      </c>
      <c r="S86" s="467">
        <v>9.9999999999999995E-7</v>
      </c>
      <c r="T86" s="358">
        <v>0.2</v>
      </c>
      <c r="U86" s="358">
        <v>9.9999999999999995E-7</v>
      </c>
      <c r="V86" s="465">
        <f t="shared" si="60"/>
        <v>9.9999500000000005E-2</v>
      </c>
      <c r="W86" s="465">
        <f t="shared" si="63"/>
        <v>0.85000000000000009</v>
      </c>
    </row>
    <row r="87" spans="1:24" ht="12.75" customHeight="1">
      <c r="A87" s="1256"/>
      <c r="B87" s="471">
        <v>100</v>
      </c>
      <c r="C87" s="745">
        <v>0.8</v>
      </c>
      <c r="D87" s="358">
        <v>0.9</v>
      </c>
      <c r="E87" s="358">
        <v>9.9999999999999995E-7</v>
      </c>
      <c r="F87" s="465">
        <f t="shared" si="58"/>
        <v>0.4499995</v>
      </c>
      <c r="G87" s="476">
        <f t="shared" si="61"/>
        <v>1.7000000000000002</v>
      </c>
      <c r="H87" s="462"/>
      <c r="I87" s="1256"/>
      <c r="J87" s="471">
        <v>100</v>
      </c>
      <c r="K87" s="467">
        <v>1.1000000000000001</v>
      </c>
      <c r="L87" s="358">
        <v>0.6</v>
      </c>
      <c r="M87" s="358">
        <v>9.9999999999999995E-7</v>
      </c>
      <c r="N87" s="465">
        <f t="shared" si="59"/>
        <v>0.54999950000000009</v>
      </c>
      <c r="O87" s="465">
        <f>J87*$P$84</f>
        <v>1.7000000000000002</v>
      </c>
      <c r="P87" s="462"/>
      <c r="Q87" s="1256"/>
      <c r="R87" s="471">
        <v>100</v>
      </c>
      <c r="S87" s="467">
        <v>9.9999999999999995E-7</v>
      </c>
      <c r="T87" s="358">
        <v>0.4</v>
      </c>
      <c r="U87" s="358">
        <v>9.9999999999999995E-7</v>
      </c>
      <c r="V87" s="465">
        <f t="shared" si="60"/>
        <v>0.19999950000000002</v>
      </c>
      <c r="W87" s="465">
        <f>R87*$X$84</f>
        <v>1.7000000000000002</v>
      </c>
    </row>
    <row r="88" spans="1:24" ht="12.75" customHeight="1">
      <c r="A88" s="1256"/>
      <c r="B88" s="1249" t="s">
        <v>90</v>
      </c>
      <c r="C88" s="1250"/>
      <c r="D88" s="1250"/>
      <c r="E88" s="1251"/>
      <c r="F88" s="461" t="s">
        <v>253</v>
      </c>
      <c r="G88" s="461" t="s">
        <v>99</v>
      </c>
      <c r="H88" s="462"/>
      <c r="I88" s="1256"/>
      <c r="J88" s="1249" t="s">
        <v>90</v>
      </c>
      <c r="K88" s="1250"/>
      <c r="L88" s="1250"/>
      <c r="M88" s="1251"/>
      <c r="N88" s="461" t="s">
        <v>253</v>
      </c>
      <c r="O88" s="461" t="s">
        <v>99</v>
      </c>
      <c r="P88" s="462"/>
      <c r="Q88" s="1256"/>
      <c r="R88" s="1249" t="str">
        <f>B88</f>
        <v>Resistance</v>
      </c>
      <c r="S88" s="1250"/>
      <c r="T88" s="1250"/>
      <c r="U88" s="1251"/>
      <c r="V88" s="461" t="s">
        <v>253</v>
      </c>
      <c r="W88" s="461" t="s">
        <v>99</v>
      </c>
    </row>
    <row r="89" spans="1:24" ht="15" customHeight="1">
      <c r="A89" s="1256"/>
      <c r="B89" s="460" t="s">
        <v>256</v>
      </c>
      <c r="C89" s="461">
        <f>C67</f>
        <v>2023</v>
      </c>
      <c r="D89" s="461">
        <f>D67</f>
        <v>2022</v>
      </c>
      <c r="E89" s="461">
        <f>E67</f>
        <v>2020</v>
      </c>
      <c r="F89" s="461"/>
      <c r="G89" s="461"/>
      <c r="H89" s="462"/>
      <c r="I89" s="1256"/>
      <c r="J89" s="460" t="s">
        <v>256</v>
      </c>
      <c r="K89" s="461">
        <f>K67</f>
        <v>2023</v>
      </c>
      <c r="L89" s="461">
        <f>L67</f>
        <v>2022</v>
      </c>
      <c r="M89" s="461">
        <f>M67</f>
        <v>2020</v>
      </c>
      <c r="N89" s="461"/>
      <c r="O89" s="461"/>
      <c r="P89" s="462"/>
      <c r="Q89" s="1256"/>
      <c r="R89" s="460" t="s">
        <v>256</v>
      </c>
      <c r="S89" s="461">
        <f>S67</f>
        <v>2019</v>
      </c>
      <c r="T89" s="742">
        <f>T67</f>
        <v>2022</v>
      </c>
      <c r="U89" s="742">
        <f>U67</f>
        <v>2020</v>
      </c>
      <c r="V89" s="461"/>
      <c r="W89" s="461"/>
    </row>
    <row r="90" spans="1:24" ht="12.75" customHeight="1">
      <c r="A90" s="1256"/>
      <c r="B90" s="471">
        <v>0.01</v>
      </c>
      <c r="C90" s="747">
        <v>0</v>
      </c>
      <c r="D90" s="743">
        <v>0</v>
      </c>
      <c r="E90" s="743">
        <v>9.9999999999999995E-7</v>
      </c>
      <c r="F90" s="465">
        <f t="shared" ref="F90:F93" si="64">0.5*(MAX(C90:E90)-MIN(C90:E90))</f>
        <v>4.9999999999999998E-7</v>
      </c>
      <c r="G90" s="471">
        <f>B90*$H$90</f>
        <v>1.2E-4</v>
      </c>
      <c r="H90" s="462">
        <f>1.2/100</f>
        <v>1.2E-2</v>
      </c>
      <c r="I90" s="1256"/>
      <c r="J90" s="471">
        <v>0.01</v>
      </c>
      <c r="K90" s="471">
        <v>9.9999999999999995E-7</v>
      </c>
      <c r="L90" s="472">
        <v>9.9999999999999995E-7</v>
      </c>
      <c r="M90" s="472">
        <v>9.9999999999999995E-7</v>
      </c>
      <c r="N90" s="465">
        <f t="shared" ref="N90:N93" si="65">0.5*(MAX(K90:M90)-MIN(K90:M90))</f>
        <v>0</v>
      </c>
      <c r="O90" s="471">
        <f>J90*$P$90</f>
        <v>1.2E-4</v>
      </c>
      <c r="P90" s="462">
        <f>1.2/100</f>
        <v>1.2E-2</v>
      </c>
      <c r="Q90" s="1256"/>
      <c r="R90" s="471">
        <v>0.01</v>
      </c>
      <c r="S90" s="471">
        <v>9.9999999999999995E-7</v>
      </c>
      <c r="T90" s="753">
        <v>-1E-3</v>
      </c>
      <c r="U90" s="753">
        <v>-1E-3</v>
      </c>
      <c r="V90" s="465">
        <f t="shared" ref="V90:V93" si="66">0.5*(MAX(S90:U90)-MIN(S90:U90))</f>
        <v>5.0049999999999997E-4</v>
      </c>
      <c r="W90" s="471">
        <f>R90*$X$90</f>
        <v>1.2E-4</v>
      </c>
      <c r="X90" s="456">
        <f>1.2/100</f>
        <v>1.2E-2</v>
      </c>
    </row>
    <row r="91" spans="1:24" ht="12.75" customHeight="1">
      <c r="A91" s="1256"/>
      <c r="B91" s="471">
        <v>0.1</v>
      </c>
      <c r="C91" s="747">
        <v>8.0000000000000002E-3</v>
      </c>
      <c r="D91" s="743">
        <v>3.0000000000000001E-3</v>
      </c>
      <c r="E91" s="743">
        <v>9.9999999999999995E-7</v>
      </c>
      <c r="F91" s="465">
        <f t="shared" si="64"/>
        <v>3.9995000000000005E-3</v>
      </c>
      <c r="G91" s="471">
        <f t="shared" ref="G91:G93" si="67">B91*$H$90</f>
        <v>1.2000000000000001E-3</v>
      </c>
      <c r="H91" s="462"/>
      <c r="I91" s="1256"/>
      <c r="J91" s="471">
        <v>0.1</v>
      </c>
      <c r="K91" s="471">
        <v>1E-3</v>
      </c>
      <c r="L91" s="472">
        <v>-2E-3</v>
      </c>
      <c r="M91" s="472">
        <v>1E-3</v>
      </c>
      <c r="N91" s="465">
        <f t="shared" si="65"/>
        <v>1.5E-3</v>
      </c>
      <c r="O91" s="471">
        <f t="shared" ref="O91:O93" si="68">J91*$P$90</f>
        <v>1.2000000000000001E-3</v>
      </c>
      <c r="P91" s="462"/>
      <c r="Q91" s="1256"/>
      <c r="R91" s="471">
        <v>0.1</v>
      </c>
      <c r="S91" s="471">
        <v>9.9999999999999995E-7</v>
      </c>
      <c r="T91" s="743">
        <v>4.0000000000000001E-3</v>
      </c>
      <c r="U91" s="743">
        <v>-3.0000000000000001E-3</v>
      </c>
      <c r="V91" s="465">
        <f t="shared" si="66"/>
        <v>3.5000000000000001E-3</v>
      </c>
      <c r="W91" s="471">
        <f t="shared" ref="W91:W93" si="69">R91*$X$90</f>
        <v>1.2000000000000001E-3</v>
      </c>
    </row>
    <row r="92" spans="1:24" ht="12.75" customHeight="1">
      <c r="A92" s="1256"/>
      <c r="B92" s="471">
        <v>1</v>
      </c>
      <c r="C92" s="747">
        <v>-6.0000000000000001E-3</v>
      </c>
      <c r="D92" s="743">
        <v>2E-3</v>
      </c>
      <c r="E92" s="743">
        <v>-2E-3</v>
      </c>
      <c r="F92" s="465">
        <f t="shared" si="64"/>
        <v>4.0000000000000001E-3</v>
      </c>
      <c r="G92" s="471">
        <f t="shared" si="67"/>
        <v>1.2E-2</v>
      </c>
      <c r="H92" s="462"/>
      <c r="I92" s="1256"/>
      <c r="J92" s="471">
        <v>1</v>
      </c>
      <c r="K92" s="471">
        <v>-5.0000000000000001E-3</v>
      </c>
      <c r="L92" s="472">
        <v>-1E-3</v>
      </c>
      <c r="M92" s="472">
        <v>9.9999999999999995E-7</v>
      </c>
      <c r="N92" s="465">
        <f t="shared" si="65"/>
        <v>2.5005000000000001E-3</v>
      </c>
      <c r="O92" s="471">
        <f t="shared" si="68"/>
        <v>1.2E-2</v>
      </c>
      <c r="P92" s="462"/>
      <c r="Q92" s="1256"/>
      <c r="R92" s="471">
        <v>1</v>
      </c>
      <c r="S92" s="471">
        <v>9.9999999999999995E-7</v>
      </c>
      <c r="T92" s="743">
        <v>5.0000000000000001E-3</v>
      </c>
      <c r="U92" s="743">
        <v>1E-3</v>
      </c>
      <c r="V92" s="465">
        <f t="shared" si="66"/>
        <v>2.4995E-3</v>
      </c>
      <c r="W92" s="471">
        <f t="shared" si="69"/>
        <v>1.2E-2</v>
      </c>
    </row>
    <row r="93" spans="1:24" ht="12.75" customHeight="1">
      <c r="A93" s="1257"/>
      <c r="B93" s="471">
        <v>2</v>
      </c>
      <c r="C93" s="747">
        <v>-8.0000000000000002E-3</v>
      </c>
      <c r="D93" s="743">
        <v>-1E-3</v>
      </c>
      <c r="E93" s="743">
        <v>9.9999999999999995E-7</v>
      </c>
      <c r="F93" s="465">
        <f t="shared" si="64"/>
        <v>4.0004999999999997E-3</v>
      </c>
      <c r="G93" s="471">
        <f t="shared" si="67"/>
        <v>2.4E-2</v>
      </c>
      <c r="H93" s="462"/>
      <c r="I93" s="1257"/>
      <c r="J93" s="471">
        <v>2</v>
      </c>
      <c r="K93" s="471">
        <v>-3.0000000000000001E-3</v>
      </c>
      <c r="L93" s="472">
        <v>-6.0000000000000001E-3</v>
      </c>
      <c r="M93" s="472">
        <v>9.9999999999999995E-7</v>
      </c>
      <c r="N93" s="465">
        <f t="shared" si="65"/>
        <v>3.0005000000000001E-3</v>
      </c>
      <c r="O93" s="471">
        <f t="shared" si="68"/>
        <v>2.4E-2</v>
      </c>
      <c r="P93" s="462"/>
      <c r="Q93" s="1257"/>
      <c r="R93" s="471">
        <v>2</v>
      </c>
      <c r="S93" s="471">
        <v>9.9999999999999995E-7</v>
      </c>
      <c r="T93" s="743">
        <v>5.0000000000000001E-3</v>
      </c>
      <c r="U93" s="743">
        <v>-1E-3</v>
      </c>
      <c r="V93" s="465">
        <f t="shared" si="66"/>
        <v>3.0000000000000001E-3</v>
      </c>
      <c r="W93" s="471">
        <f t="shared" si="69"/>
        <v>2.4E-2</v>
      </c>
    </row>
    <row r="94" spans="1:24" s="204" customFormat="1" ht="15.5">
      <c r="A94" s="492"/>
      <c r="B94" s="493"/>
      <c r="C94" s="494"/>
      <c r="E94" s="494"/>
      <c r="F94" s="494"/>
      <c r="G94" s="494"/>
      <c r="H94" s="483"/>
      <c r="I94" s="495"/>
      <c r="J94" s="496"/>
      <c r="K94" s="494"/>
      <c r="M94" s="494"/>
      <c r="N94" s="494"/>
      <c r="O94" s="494"/>
      <c r="P94" s="483"/>
      <c r="Q94" s="495"/>
      <c r="R94" s="493"/>
      <c r="S94" s="494"/>
      <c r="U94" s="482"/>
      <c r="V94" s="482"/>
      <c r="W94" s="484"/>
      <c r="X94" s="485"/>
    </row>
    <row r="95" spans="1:24" ht="30" customHeight="1">
      <c r="A95" s="1255">
        <v>10</v>
      </c>
      <c r="B95" s="1260" t="str">
        <f>A176</f>
        <v>Electrical Safety Analyzer, Merek : Fluke, Model : ESA 615, SN : 5838068</v>
      </c>
      <c r="C95" s="1260"/>
      <c r="D95" s="1260"/>
      <c r="E95" s="1260"/>
      <c r="F95" s="1260"/>
      <c r="G95" s="1260"/>
      <c r="H95" s="457"/>
      <c r="I95" s="1255">
        <v>11</v>
      </c>
      <c r="J95" s="1265" t="str">
        <f>A177</f>
        <v>Electrical Safety Analyzer 11</v>
      </c>
      <c r="K95" s="1265"/>
      <c r="L95" s="1265"/>
      <c r="M95" s="1265"/>
      <c r="N95" s="1265"/>
      <c r="O95" s="1265"/>
      <c r="P95" s="457"/>
      <c r="Q95" s="1255">
        <v>12</v>
      </c>
      <c r="R95" s="1265" t="str">
        <f>A178</f>
        <v>Electrical Safety Analyzer 12</v>
      </c>
      <c r="S95" s="1265"/>
      <c r="T95" s="1265"/>
      <c r="U95" s="1265"/>
      <c r="V95" s="1265"/>
      <c r="W95" s="1265"/>
    </row>
    <row r="96" spans="1:24" ht="15" customHeight="1">
      <c r="A96" s="1256"/>
      <c r="B96" s="1261" t="s">
        <v>86</v>
      </c>
      <c r="C96" s="1261"/>
      <c r="D96" s="1261"/>
      <c r="E96" s="1261"/>
      <c r="F96" s="487"/>
      <c r="G96" s="487"/>
      <c r="H96" s="459"/>
      <c r="I96" s="1256"/>
      <c r="J96" s="1259" t="s">
        <v>86</v>
      </c>
      <c r="K96" s="1259"/>
      <c r="L96" s="1259"/>
      <c r="M96" s="1259"/>
      <c r="N96" s="488"/>
      <c r="O96" s="488"/>
      <c r="P96" s="459"/>
      <c r="Q96" s="1256"/>
      <c r="R96" s="1261" t="s">
        <v>86</v>
      </c>
      <c r="S96" s="1261"/>
      <c r="T96" s="1261"/>
      <c r="U96" s="1261"/>
      <c r="V96" s="488"/>
      <c r="W96" s="488"/>
    </row>
    <row r="97" spans="1:23" ht="12.75" customHeight="1">
      <c r="A97" s="1256"/>
      <c r="B97" s="1246" t="s">
        <v>252</v>
      </c>
      <c r="C97" s="1247"/>
      <c r="D97" s="1247"/>
      <c r="E97" s="1248"/>
      <c r="F97" s="461" t="s">
        <v>253</v>
      </c>
      <c r="G97" s="461" t="s">
        <v>99</v>
      </c>
      <c r="H97" s="462"/>
      <c r="I97" s="1256"/>
      <c r="J97" s="1266" t="s">
        <v>252</v>
      </c>
      <c r="K97" s="1267"/>
      <c r="L97" s="1267"/>
      <c r="M97" s="1268"/>
      <c r="N97" s="461" t="s">
        <v>253</v>
      </c>
      <c r="O97" s="461" t="s">
        <v>99</v>
      </c>
      <c r="P97" s="462"/>
      <c r="Q97" s="1256"/>
      <c r="R97" s="1246" t="s">
        <v>252</v>
      </c>
      <c r="S97" s="1247"/>
      <c r="T97" s="1247"/>
      <c r="U97" s="1248"/>
      <c r="V97" s="461" t="s">
        <v>253</v>
      </c>
      <c r="W97" s="461" t="s">
        <v>99</v>
      </c>
    </row>
    <row r="98" spans="1:23" ht="15" customHeight="1">
      <c r="A98" s="1256"/>
      <c r="B98" s="460" t="s">
        <v>87</v>
      </c>
      <c r="C98" s="461">
        <v>2023</v>
      </c>
      <c r="D98" s="461">
        <v>2024</v>
      </c>
      <c r="E98" s="461">
        <v>2025</v>
      </c>
      <c r="F98" s="461"/>
      <c r="G98" s="461"/>
      <c r="H98" s="462"/>
      <c r="I98" s="1256"/>
      <c r="J98" s="460" t="s">
        <v>87</v>
      </c>
      <c r="K98" s="461">
        <v>2019</v>
      </c>
      <c r="L98" s="461">
        <v>2019</v>
      </c>
      <c r="M98" s="461">
        <v>2020</v>
      </c>
      <c r="N98" s="461"/>
      <c r="O98" s="461"/>
      <c r="P98" s="462"/>
      <c r="Q98" s="1256"/>
      <c r="R98" s="460" t="s">
        <v>87</v>
      </c>
      <c r="S98" s="461">
        <v>2019</v>
      </c>
      <c r="T98" s="461">
        <v>2019</v>
      </c>
      <c r="U98" s="461">
        <v>2020</v>
      </c>
      <c r="V98" s="461"/>
      <c r="W98" s="461"/>
    </row>
    <row r="99" spans="1:23" ht="12.75" customHeight="1">
      <c r="A99" s="1256"/>
      <c r="B99" s="463">
        <v>150</v>
      </c>
      <c r="C99" s="464">
        <v>9.9999999999999995E-8</v>
      </c>
      <c r="D99" s="464">
        <v>9.9999999999999995E-8</v>
      </c>
      <c r="E99" s="464">
        <v>9.9999999999999995E-8</v>
      </c>
      <c r="F99" s="465">
        <f t="shared" ref="F99:F104" si="70">0.5*(MAX(C99:E99)-MIN(C99:E99))</f>
        <v>0</v>
      </c>
      <c r="G99" s="469">
        <v>1.2</v>
      </c>
      <c r="H99" s="462"/>
      <c r="I99" s="1256"/>
      <c r="J99" s="463">
        <v>150</v>
      </c>
      <c r="K99" s="466">
        <v>9.9999999999999995E-7</v>
      </c>
      <c r="L99" s="466">
        <v>9.9999999999999995E-7</v>
      </c>
      <c r="M99" s="464">
        <v>-0.17</v>
      </c>
      <c r="N99" s="465">
        <f>0.5*(MAX(K99:M99)-MIN(K99:M99))</f>
        <v>8.5000500000000007E-2</v>
      </c>
      <c r="O99" s="464">
        <v>1.2</v>
      </c>
      <c r="P99" s="462"/>
      <c r="Q99" s="1256"/>
      <c r="R99" s="463">
        <v>150</v>
      </c>
      <c r="S99" s="466">
        <v>9.9999999999999995E-7</v>
      </c>
      <c r="T99" s="466">
        <v>9.9999999999999995E-7</v>
      </c>
      <c r="U99" s="464">
        <v>-0.24</v>
      </c>
      <c r="V99" s="465">
        <f t="shared" ref="V99:V104" si="71">0.5*(MAX(S99:U99)-MIN(S99:U99))</f>
        <v>0.1200005</v>
      </c>
      <c r="W99" s="464">
        <v>1.2</v>
      </c>
    </row>
    <row r="100" spans="1:23" ht="12.75" customHeight="1">
      <c r="A100" s="1256"/>
      <c r="B100" s="463">
        <v>180</v>
      </c>
      <c r="C100" s="464">
        <v>9.9999999999999995E-8</v>
      </c>
      <c r="D100" s="464">
        <v>9.9999999999999995E-8</v>
      </c>
      <c r="E100" s="464">
        <v>9.9999999999999995E-8</v>
      </c>
      <c r="F100" s="465">
        <f t="shared" si="70"/>
        <v>0</v>
      </c>
      <c r="G100" s="469">
        <v>1.2</v>
      </c>
      <c r="H100" s="462"/>
      <c r="I100" s="1256"/>
      <c r="J100" s="463">
        <v>180</v>
      </c>
      <c r="K100" s="466">
        <v>9.9999999999999995E-7</v>
      </c>
      <c r="L100" s="466">
        <v>9.9999999999999995E-7</v>
      </c>
      <c r="M100" s="470">
        <v>-0.22</v>
      </c>
      <c r="N100" s="465">
        <f t="shared" ref="N100:N104" si="72">0.5*(MAX(K100:M100)-MIN(K100:M100))</f>
        <v>0.1100005</v>
      </c>
      <c r="O100" s="464">
        <v>1.2</v>
      </c>
      <c r="P100" s="462"/>
      <c r="Q100" s="1256"/>
      <c r="R100" s="463">
        <v>180</v>
      </c>
      <c r="S100" s="466">
        <v>9.9999999999999995E-7</v>
      </c>
      <c r="T100" s="466">
        <v>9.9999999999999995E-7</v>
      </c>
      <c r="U100" s="470">
        <v>-0.14000000000000001</v>
      </c>
      <c r="V100" s="465">
        <f t="shared" si="71"/>
        <v>7.0000500000000007E-2</v>
      </c>
      <c r="W100" s="464">
        <v>1.2</v>
      </c>
    </row>
    <row r="101" spans="1:23" ht="12.75" customHeight="1">
      <c r="A101" s="1256"/>
      <c r="B101" s="463">
        <v>200</v>
      </c>
      <c r="C101" s="464">
        <v>9.9999999999999995E-8</v>
      </c>
      <c r="D101" s="464">
        <v>9.9999999999999995E-8</v>
      </c>
      <c r="E101" s="464">
        <v>9.9999999999999995E-8</v>
      </c>
      <c r="F101" s="465">
        <f t="shared" si="70"/>
        <v>0</v>
      </c>
      <c r="G101" s="469">
        <v>1.2</v>
      </c>
      <c r="H101" s="462"/>
      <c r="I101" s="1256"/>
      <c r="J101" s="463">
        <v>200</v>
      </c>
      <c r="K101" s="466">
        <v>9.9999999999999995E-7</v>
      </c>
      <c r="L101" s="466">
        <v>9.9999999999999995E-7</v>
      </c>
      <c r="M101" s="470">
        <v>-0.33</v>
      </c>
      <c r="N101" s="465">
        <f t="shared" si="72"/>
        <v>0.16500049999999999</v>
      </c>
      <c r="O101" s="464">
        <v>1.2</v>
      </c>
      <c r="P101" s="462"/>
      <c r="Q101" s="1256"/>
      <c r="R101" s="463">
        <v>200</v>
      </c>
      <c r="S101" s="466">
        <v>9.9999999999999995E-7</v>
      </c>
      <c r="T101" s="466">
        <v>9.9999999999999995E-7</v>
      </c>
      <c r="U101" s="470">
        <v>-0.33</v>
      </c>
      <c r="V101" s="465">
        <f t="shared" si="71"/>
        <v>0.16500049999999999</v>
      </c>
      <c r="W101" s="464">
        <v>1.2</v>
      </c>
    </row>
    <row r="102" spans="1:23" ht="12.75" customHeight="1">
      <c r="A102" s="1256"/>
      <c r="B102" s="463">
        <v>220</v>
      </c>
      <c r="C102" s="464">
        <v>9.9999999999999995E-8</v>
      </c>
      <c r="D102" s="464">
        <v>9.9999999999999995E-8</v>
      </c>
      <c r="E102" s="464">
        <v>9.9999999999999995E-8</v>
      </c>
      <c r="F102" s="465">
        <f t="shared" si="70"/>
        <v>0</v>
      </c>
      <c r="G102" s="469">
        <v>1.2</v>
      </c>
      <c r="H102" s="462"/>
      <c r="I102" s="1256"/>
      <c r="J102" s="463">
        <v>220</v>
      </c>
      <c r="K102" s="466">
        <v>9.9999999999999995E-7</v>
      </c>
      <c r="L102" s="466">
        <v>9.9999999999999995E-7</v>
      </c>
      <c r="M102" s="470">
        <v>-0.39</v>
      </c>
      <c r="N102" s="465">
        <f t="shared" si="72"/>
        <v>0.19500049999999999</v>
      </c>
      <c r="O102" s="464">
        <v>1.2</v>
      </c>
      <c r="P102" s="462"/>
      <c r="Q102" s="1256"/>
      <c r="R102" s="463">
        <v>220</v>
      </c>
      <c r="S102" s="466">
        <v>9.9999999999999995E-7</v>
      </c>
      <c r="T102" s="466">
        <v>9.9999999999999995E-7</v>
      </c>
      <c r="U102" s="470">
        <v>-0.45</v>
      </c>
      <c r="V102" s="465">
        <f t="shared" si="71"/>
        <v>0.22500049999999999</v>
      </c>
      <c r="W102" s="464">
        <v>1.2</v>
      </c>
    </row>
    <row r="103" spans="1:23" ht="12.75" customHeight="1">
      <c r="A103" s="1256"/>
      <c r="B103" s="463">
        <v>230</v>
      </c>
      <c r="C103" s="464">
        <v>9.9999999999999995E-8</v>
      </c>
      <c r="D103" s="464">
        <v>9.9999999999999995E-8</v>
      </c>
      <c r="E103" s="464">
        <v>9.9999999999999995E-8</v>
      </c>
      <c r="F103" s="465">
        <f t="shared" si="70"/>
        <v>0</v>
      </c>
      <c r="G103" s="469">
        <v>1.2</v>
      </c>
      <c r="H103" s="462"/>
      <c r="I103" s="1256"/>
      <c r="J103" s="463">
        <v>230</v>
      </c>
      <c r="K103" s="466">
        <v>9.9999999999999995E-7</v>
      </c>
      <c r="L103" s="466">
        <v>9.9999999999999995E-7</v>
      </c>
      <c r="M103" s="470">
        <v>-0.39</v>
      </c>
      <c r="N103" s="465">
        <f t="shared" si="72"/>
        <v>0.19500049999999999</v>
      </c>
      <c r="O103" s="464">
        <v>1.2</v>
      </c>
      <c r="P103" s="462"/>
      <c r="Q103" s="1256"/>
      <c r="R103" s="463">
        <v>230</v>
      </c>
      <c r="S103" s="466">
        <v>9.9999999999999995E-7</v>
      </c>
      <c r="T103" s="466">
        <v>9.9999999999999995E-7</v>
      </c>
      <c r="U103" s="470">
        <v>-0.54</v>
      </c>
      <c r="V103" s="465">
        <f t="shared" si="71"/>
        <v>0.27000050000000003</v>
      </c>
      <c r="W103" s="464">
        <v>1.2</v>
      </c>
    </row>
    <row r="104" spans="1:23" ht="12.75" customHeight="1">
      <c r="A104" s="1256"/>
      <c r="B104" s="463">
        <v>250</v>
      </c>
      <c r="C104" s="464">
        <v>9.9999999999999995E-8</v>
      </c>
      <c r="D104" s="464">
        <v>9.9999999999999995E-8</v>
      </c>
      <c r="E104" s="464">
        <v>9.9999999999999995E-8</v>
      </c>
      <c r="F104" s="465">
        <f t="shared" si="70"/>
        <v>0</v>
      </c>
      <c r="G104" s="469">
        <v>1.2</v>
      </c>
      <c r="H104" s="462"/>
      <c r="I104" s="1256"/>
      <c r="J104" s="463">
        <v>250</v>
      </c>
      <c r="K104" s="466">
        <v>9.9999999999999995E-7</v>
      </c>
      <c r="L104" s="466">
        <v>9.9999999999999995E-7</v>
      </c>
      <c r="M104" s="472">
        <v>9.9999999999999995E-7</v>
      </c>
      <c r="N104" s="465">
        <f t="shared" si="72"/>
        <v>0</v>
      </c>
      <c r="O104" s="464">
        <v>1.2</v>
      </c>
      <c r="P104" s="462"/>
      <c r="Q104" s="1256"/>
      <c r="R104" s="463">
        <v>250</v>
      </c>
      <c r="S104" s="466">
        <v>9.9999999999999995E-7</v>
      </c>
      <c r="T104" s="466">
        <v>9.9999999999999995E-7</v>
      </c>
      <c r="U104" s="472">
        <v>9.9999999999999995E-7</v>
      </c>
      <c r="V104" s="465">
        <f t="shared" si="71"/>
        <v>0</v>
      </c>
      <c r="W104" s="464">
        <v>1.2</v>
      </c>
    </row>
    <row r="105" spans="1:23" ht="12.75" customHeight="1">
      <c r="A105" s="1256"/>
      <c r="B105" s="1249" t="s">
        <v>254</v>
      </c>
      <c r="C105" s="1250"/>
      <c r="D105" s="1250"/>
      <c r="E105" s="1251"/>
      <c r="F105" s="461" t="s">
        <v>253</v>
      </c>
      <c r="G105" s="461" t="s">
        <v>99</v>
      </c>
      <c r="H105" s="462"/>
      <c r="I105" s="1256"/>
      <c r="J105" s="1249" t="s">
        <v>254</v>
      </c>
      <c r="K105" s="1250"/>
      <c r="L105" s="1250"/>
      <c r="M105" s="1251"/>
      <c r="N105" s="461" t="s">
        <v>253</v>
      </c>
      <c r="O105" s="461" t="s">
        <v>99</v>
      </c>
      <c r="P105" s="462"/>
      <c r="Q105" s="1256"/>
      <c r="R105" s="1249" t="s">
        <v>254</v>
      </c>
      <c r="S105" s="1250"/>
      <c r="T105" s="1250"/>
      <c r="U105" s="1251"/>
      <c r="V105" s="461" t="s">
        <v>253</v>
      </c>
      <c r="W105" s="461" t="s">
        <v>99</v>
      </c>
    </row>
    <row r="106" spans="1:23" ht="15" customHeight="1">
      <c r="A106" s="1256"/>
      <c r="B106" s="460" t="s">
        <v>88</v>
      </c>
      <c r="C106" s="461">
        <f>C98</f>
        <v>2023</v>
      </c>
      <c r="D106" s="461">
        <f>D98</f>
        <v>2024</v>
      </c>
      <c r="E106" s="461">
        <f>E98</f>
        <v>2025</v>
      </c>
      <c r="F106" s="461"/>
      <c r="G106" s="461"/>
      <c r="H106" s="462"/>
      <c r="I106" s="1256"/>
      <c r="J106" s="460" t="s">
        <v>88</v>
      </c>
      <c r="K106" s="461">
        <f>K98</f>
        <v>2019</v>
      </c>
      <c r="L106" s="461">
        <f>L98</f>
        <v>2019</v>
      </c>
      <c r="M106" s="461">
        <f>M98</f>
        <v>2020</v>
      </c>
      <c r="N106" s="461"/>
      <c r="O106" s="461"/>
      <c r="P106" s="462"/>
      <c r="Q106" s="1256"/>
      <c r="R106" s="460" t="s">
        <v>88</v>
      </c>
      <c r="S106" s="461">
        <f>S98</f>
        <v>2019</v>
      </c>
      <c r="T106" s="461">
        <f>T98</f>
        <v>2019</v>
      </c>
      <c r="U106" s="461">
        <f>U98</f>
        <v>2020</v>
      </c>
      <c r="V106" s="461"/>
      <c r="W106" s="461"/>
    </row>
    <row r="107" spans="1:23" ht="12.75" customHeight="1">
      <c r="A107" s="1256"/>
      <c r="B107" s="467">
        <v>9.9999999999999995E-7</v>
      </c>
      <c r="C107" s="464">
        <v>9.9999999999999995E-8</v>
      </c>
      <c r="D107" s="464">
        <v>9.9999999999999995E-8</v>
      </c>
      <c r="E107" s="464">
        <v>9.9999999999999995E-8</v>
      </c>
      <c r="F107" s="465">
        <f t="shared" ref="F107:F112" si="73">0.5*(MAX(C107:E107)-MIN(C107:E107))</f>
        <v>0</v>
      </c>
      <c r="G107" s="475">
        <v>0.59</v>
      </c>
      <c r="H107" s="462"/>
      <c r="I107" s="1256"/>
      <c r="J107" s="476">
        <v>9.9999999999999995E-7</v>
      </c>
      <c r="K107" s="467">
        <v>9.9999999999999995E-7</v>
      </c>
      <c r="L107" s="467">
        <v>9.9999999999999995E-7</v>
      </c>
      <c r="M107" s="472">
        <v>9.9999999999999995E-7</v>
      </c>
      <c r="N107" s="465">
        <f t="shared" ref="N107:N112" si="74">0.5*(MAX(K107:M107)-MIN(K107:M107))</f>
        <v>0</v>
      </c>
      <c r="O107" s="474">
        <v>0.59</v>
      </c>
      <c r="P107" s="462"/>
      <c r="Q107" s="1256"/>
      <c r="R107" s="476">
        <v>9.9999999999999995E-7</v>
      </c>
      <c r="S107" s="467">
        <v>9.9999999999999995E-7</v>
      </c>
      <c r="T107" s="467">
        <v>9.9999999999999995E-7</v>
      </c>
      <c r="U107" s="472">
        <v>9.9999999999999995E-7</v>
      </c>
      <c r="V107" s="465">
        <f t="shared" ref="V107:V112" si="75">0.5*(MAX(S107:U107)-MIN(S107:U107))</f>
        <v>0</v>
      </c>
      <c r="W107" s="474">
        <v>0.59</v>
      </c>
    </row>
    <row r="108" spans="1:23" ht="12.75" customHeight="1">
      <c r="A108" s="1256"/>
      <c r="B108" s="471">
        <v>50</v>
      </c>
      <c r="C108" s="464">
        <v>9.9999999999999995E-8</v>
      </c>
      <c r="D108" s="464">
        <v>9.9999999999999995E-8</v>
      </c>
      <c r="E108" s="464">
        <v>9.9999999999999995E-8</v>
      </c>
      <c r="F108" s="465">
        <f t="shared" si="73"/>
        <v>0</v>
      </c>
      <c r="G108" s="475">
        <v>0.59</v>
      </c>
      <c r="H108" s="462"/>
      <c r="I108" s="1256"/>
      <c r="J108" s="471">
        <v>50</v>
      </c>
      <c r="K108" s="467">
        <v>9.9999999999999995E-7</v>
      </c>
      <c r="L108" s="467">
        <v>9.9999999999999995E-7</v>
      </c>
      <c r="M108" s="470">
        <v>1.7</v>
      </c>
      <c r="N108" s="465">
        <f t="shared" si="74"/>
        <v>0.84999950000000002</v>
      </c>
      <c r="O108" s="474">
        <v>0.59</v>
      </c>
      <c r="P108" s="462"/>
      <c r="Q108" s="1256"/>
      <c r="R108" s="471">
        <v>50</v>
      </c>
      <c r="S108" s="467">
        <v>9.9999999999999995E-7</v>
      </c>
      <c r="T108" s="467">
        <v>9.9999999999999995E-7</v>
      </c>
      <c r="U108" s="470">
        <v>2.1</v>
      </c>
      <c r="V108" s="465">
        <f t="shared" si="75"/>
        <v>1.0499995</v>
      </c>
      <c r="W108" s="470">
        <v>0.59</v>
      </c>
    </row>
    <row r="109" spans="1:23" ht="12.75" customHeight="1">
      <c r="A109" s="1256"/>
      <c r="B109" s="471">
        <v>100</v>
      </c>
      <c r="C109" s="464">
        <v>9.9999999999999995E-8</v>
      </c>
      <c r="D109" s="464">
        <v>9.9999999999999995E-8</v>
      </c>
      <c r="E109" s="464">
        <v>9.9999999999999995E-8</v>
      </c>
      <c r="F109" s="465">
        <f t="shared" si="73"/>
        <v>0</v>
      </c>
      <c r="G109" s="475">
        <v>0.59</v>
      </c>
      <c r="H109" s="462"/>
      <c r="I109" s="1256"/>
      <c r="J109" s="471">
        <v>100</v>
      </c>
      <c r="K109" s="467">
        <v>9.9999999999999995E-7</v>
      </c>
      <c r="L109" s="467">
        <v>9.9999999999999995E-7</v>
      </c>
      <c r="M109" s="470">
        <v>3.4</v>
      </c>
      <c r="N109" s="465">
        <f t="shared" si="74"/>
        <v>1.6999994999999999</v>
      </c>
      <c r="O109" s="474">
        <v>0.59</v>
      </c>
      <c r="P109" s="462"/>
      <c r="Q109" s="1256"/>
      <c r="R109" s="471">
        <v>100</v>
      </c>
      <c r="S109" s="467">
        <v>9.9999999999999995E-7</v>
      </c>
      <c r="T109" s="467">
        <v>9.9999999999999995E-7</v>
      </c>
      <c r="U109" s="470">
        <v>3.7</v>
      </c>
      <c r="V109" s="465">
        <f t="shared" si="75"/>
        <v>1.8499995</v>
      </c>
      <c r="W109" s="470">
        <v>0.59</v>
      </c>
    </row>
    <row r="110" spans="1:23" ht="12.75" customHeight="1">
      <c r="A110" s="1256"/>
      <c r="B110" s="471">
        <v>200</v>
      </c>
      <c r="C110" s="464">
        <v>9.9999999999999995E-8</v>
      </c>
      <c r="D110" s="464">
        <v>9.9999999999999995E-8</v>
      </c>
      <c r="E110" s="464">
        <v>9.9999999999999995E-8</v>
      </c>
      <c r="F110" s="465">
        <f t="shared" si="73"/>
        <v>0</v>
      </c>
      <c r="G110" s="475">
        <v>0.59</v>
      </c>
      <c r="H110" s="462"/>
      <c r="I110" s="1256"/>
      <c r="J110" s="471">
        <v>500</v>
      </c>
      <c r="K110" s="467">
        <v>9.9999999999999995E-7</v>
      </c>
      <c r="L110" s="467">
        <v>9.9999999999999995E-7</v>
      </c>
      <c r="M110" s="470">
        <v>7.2</v>
      </c>
      <c r="N110" s="465">
        <f t="shared" si="74"/>
        <v>3.5999995</v>
      </c>
      <c r="O110" s="474">
        <v>0.59</v>
      </c>
      <c r="P110" s="462"/>
      <c r="Q110" s="1256"/>
      <c r="R110" s="471">
        <v>500</v>
      </c>
      <c r="S110" s="467">
        <v>9.9999999999999995E-7</v>
      </c>
      <c r="T110" s="467">
        <v>9.9999999999999995E-7</v>
      </c>
      <c r="U110" s="470">
        <v>8.3000000000000007</v>
      </c>
      <c r="V110" s="465">
        <f t="shared" si="75"/>
        <v>4.1499995000000007</v>
      </c>
      <c r="W110" s="470">
        <v>0.59</v>
      </c>
    </row>
    <row r="111" spans="1:23" ht="12.75" customHeight="1">
      <c r="A111" s="1256"/>
      <c r="B111" s="471">
        <v>500</v>
      </c>
      <c r="C111" s="464">
        <v>9.9999999999999995E-8</v>
      </c>
      <c r="D111" s="464">
        <v>9.9999999999999995E-8</v>
      </c>
      <c r="E111" s="464">
        <v>9.9999999999999995E-8</v>
      </c>
      <c r="F111" s="465">
        <f t="shared" si="73"/>
        <v>0</v>
      </c>
      <c r="G111" s="475">
        <v>0.59</v>
      </c>
      <c r="H111" s="462"/>
      <c r="I111" s="1256"/>
      <c r="J111" s="471">
        <v>500</v>
      </c>
      <c r="K111" s="467">
        <v>9.9999999999999995E-7</v>
      </c>
      <c r="L111" s="467">
        <v>9.9999999999999995E-7</v>
      </c>
      <c r="M111" s="470">
        <v>7.2</v>
      </c>
      <c r="N111" s="465">
        <f t="shared" si="74"/>
        <v>3.5999995</v>
      </c>
      <c r="O111" s="474">
        <v>0.59</v>
      </c>
      <c r="P111" s="462"/>
      <c r="Q111" s="1256"/>
      <c r="R111" s="471">
        <v>500</v>
      </c>
      <c r="S111" s="467">
        <v>9.9999999999999995E-7</v>
      </c>
      <c r="T111" s="467">
        <v>9.9999999999999995E-7</v>
      </c>
      <c r="U111" s="470">
        <v>8.3000000000000007</v>
      </c>
      <c r="V111" s="465">
        <f t="shared" si="75"/>
        <v>4.1499995000000007</v>
      </c>
      <c r="W111" s="470">
        <v>0.59</v>
      </c>
    </row>
    <row r="112" spans="1:23" ht="12.75" customHeight="1">
      <c r="A112" s="1256"/>
      <c r="B112" s="471">
        <v>1000</v>
      </c>
      <c r="C112" s="464">
        <v>9.9999999999999995E-8</v>
      </c>
      <c r="D112" s="464">
        <v>9.9999999999999995E-8</v>
      </c>
      <c r="E112" s="464">
        <v>9.9999999999999995E-8</v>
      </c>
      <c r="F112" s="465">
        <f t="shared" si="73"/>
        <v>0</v>
      </c>
      <c r="G112" s="475">
        <v>0.59</v>
      </c>
      <c r="H112" s="462"/>
      <c r="I112" s="1256"/>
      <c r="J112" s="471">
        <v>1000</v>
      </c>
      <c r="K112" s="467">
        <v>9.9999999999999995E-7</v>
      </c>
      <c r="L112" s="467">
        <v>9.9999999999999995E-7</v>
      </c>
      <c r="M112" s="470">
        <v>80</v>
      </c>
      <c r="N112" s="465">
        <f t="shared" si="74"/>
        <v>39.999999500000001</v>
      </c>
      <c r="O112" s="474">
        <v>0.59</v>
      </c>
      <c r="P112" s="462"/>
      <c r="Q112" s="1256"/>
      <c r="R112" s="471">
        <v>1000</v>
      </c>
      <c r="S112" s="467">
        <v>9.9999999999999995E-7</v>
      </c>
      <c r="T112" s="467">
        <v>9.9999999999999995E-7</v>
      </c>
      <c r="U112" s="470">
        <v>-97</v>
      </c>
      <c r="V112" s="465">
        <f t="shared" si="75"/>
        <v>48.500000499999999</v>
      </c>
      <c r="W112" s="470">
        <v>0.59</v>
      </c>
    </row>
    <row r="113" spans="1:24" ht="12.75" customHeight="1">
      <c r="A113" s="1256"/>
      <c r="B113" s="1249" t="s">
        <v>89</v>
      </c>
      <c r="C113" s="1250"/>
      <c r="D113" s="1250"/>
      <c r="E113" s="1251"/>
      <c r="F113" s="461" t="s">
        <v>253</v>
      </c>
      <c r="G113" s="461" t="s">
        <v>99</v>
      </c>
      <c r="H113" s="462"/>
      <c r="I113" s="1256"/>
      <c r="J113" s="1249" t="s">
        <v>89</v>
      </c>
      <c r="K113" s="1250"/>
      <c r="L113" s="1250"/>
      <c r="M113" s="1251"/>
      <c r="N113" s="461" t="s">
        <v>253</v>
      </c>
      <c r="O113" s="461" t="s">
        <v>99</v>
      </c>
      <c r="P113" s="462"/>
      <c r="Q113" s="1256"/>
      <c r="R113" s="1249" t="s">
        <v>89</v>
      </c>
      <c r="S113" s="1250"/>
      <c r="T113" s="1250"/>
      <c r="U113" s="1251"/>
      <c r="V113" s="461" t="s">
        <v>253</v>
      </c>
      <c r="W113" s="461" t="s">
        <v>99</v>
      </c>
    </row>
    <row r="114" spans="1:24" ht="15" customHeight="1">
      <c r="A114" s="1256"/>
      <c r="B114" s="460" t="s">
        <v>255</v>
      </c>
      <c r="C114" s="461">
        <v>2020</v>
      </c>
      <c r="D114" s="461">
        <v>2021</v>
      </c>
      <c r="E114" s="461">
        <v>2018</v>
      </c>
      <c r="F114" s="461"/>
      <c r="G114" s="461"/>
      <c r="H114" s="462"/>
      <c r="I114" s="1256"/>
      <c r="J114" s="460" t="s">
        <v>255</v>
      </c>
      <c r="K114" s="461">
        <f>K98</f>
        <v>2019</v>
      </c>
      <c r="L114" s="461">
        <f>L98</f>
        <v>2019</v>
      </c>
      <c r="M114" s="461">
        <f>M98</f>
        <v>2020</v>
      </c>
      <c r="N114" s="461"/>
      <c r="O114" s="461"/>
      <c r="P114" s="462"/>
      <c r="Q114" s="1256"/>
      <c r="R114" s="460" t="s">
        <v>255</v>
      </c>
      <c r="S114" s="461">
        <f>S98</f>
        <v>2019</v>
      </c>
      <c r="T114" s="461">
        <f>T98</f>
        <v>2019</v>
      </c>
      <c r="U114" s="461">
        <f>U98</f>
        <v>2020</v>
      </c>
      <c r="V114" s="461"/>
      <c r="W114" s="461"/>
    </row>
    <row r="115" spans="1:24" ht="12.75" customHeight="1">
      <c r="A115" s="1256"/>
      <c r="B115" s="471">
        <v>10</v>
      </c>
      <c r="C115" s="464">
        <v>9.9999999999999995E-8</v>
      </c>
      <c r="D115" s="464">
        <v>9.9999999999999995E-8</v>
      </c>
      <c r="E115" s="464">
        <v>9.9999999999999995E-8</v>
      </c>
      <c r="F115" s="465">
        <f t="shared" ref="F115:F118" si="76">0.5*(MAX(C115:E115)-MIN(C115:E115))</f>
        <v>0</v>
      </c>
      <c r="G115" s="476">
        <v>1.7</v>
      </c>
      <c r="H115" s="462"/>
      <c r="I115" s="1256"/>
      <c r="J115" s="471">
        <v>10</v>
      </c>
      <c r="K115" s="467">
        <v>9.9999999999999995E-7</v>
      </c>
      <c r="L115" s="467">
        <v>9.9999999999999995E-7</v>
      </c>
      <c r="M115" s="467">
        <v>9.9999999999999995E-7</v>
      </c>
      <c r="N115" s="465">
        <f t="shared" ref="N115:N118" si="77">0.5*(MAX(K115:M115)-MIN(K115:M115))</f>
        <v>0</v>
      </c>
      <c r="O115" s="470">
        <v>0</v>
      </c>
      <c r="P115" s="462"/>
      <c r="Q115" s="1256"/>
      <c r="R115" s="471">
        <v>10</v>
      </c>
      <c r="S115" s="467">
        <v>9.9999999999999995E-7</v>
      </c>
      <c r="T115" s="467">
        <v>9.9999999999999995E-7</v>
      </c>
      <c r="U115" s="467">
        <v>9.9999999999999995E-7</v>
      </c>
      <c r="V115" s="465">
        <f t="shared" ref="V115:V118" si="78">0.5*(MAX(S115:U115)-MIN(S115:U115))</f>
        <v>0</v>
      </c>
      <c r="W115" s="470">
        <v>0</v>
      </c>
    </row>
    <row r="116" spans="1:24" ht="12.75" customHeight="1">
      <c r="A116" s="1256"/>
      <c r="B116" s="471">
        <v>20</v>
      </c>
      <c r="C116" s="464">
        <v>9.9999999999999995E-8</v>
      </c>
      <c r="D116" s="464">
        <v>9.9999999999999995E-8</v>
      </c>
      <c r="E116" s="464">
        <v>9.9999999999999995E-8</v>
      </c>
      <c r="F116" s="465">
        <f t="shared" si="76"/>
        <v>0</v>
      </c>
      <c r="G116" s="476">
        <v>1.7</v>
      </c>
      <c r="H116" s="462"/>
      <c r="I116" s="1256"/>
      <c r="J116" s="471">
        <v>20</v>
      </c>
      <c r="K116" s="467">
        <v>9.9999999999999995E-7</v>
      </c>
      <c r="L116" s="467">
        <v>9.9999999999999995E-7</v>
      </c>
      <c r="M116" s="467">
        <v>9.9999999999999995E-7</v>
      </c>
      <c r="N116" s="465">
        <f t="shared" si="77"/>
        <v>0</v>
      </c>
      <c r="O116" s="470">
        <v>0</v>
      </c>
      <c r="P116" s="462"/>
      <c r="Q116" s="1256"/>
      <c r="R116" s="471">
        <v>20</v>
      </c>
      <c r="S116" s="467">
        <v>9.9999999999999995E-7</v>
      </c>
      <c r="T116" s="467">
        <v>9.9999999999999995E-7</v>
      </c>
      <c r="U116" s="467">
        <v>9.9999999999999995E-7</v>
      </c>
      <c r="V116" s="465">
        <f t="shared" si="78"/>
        <v>0</v>
      </c>
      <c r="W116" s="470">
        <v>0</v>
      </c>
    </row>
    <row r="117" spans="1:24" ht="12.75" customHeight="1">
      <c r="A117" s="1256"/>
      <c r="B117" s="471">
        <v>50</v>
      </c>
      <c r="C117" s="464">
        <v>9.9999999999999995E-8</v>
      </c>
      <c r="D117" s="464">
        <v>9.9999999999999995E-8</v>
      </c>
      <c r="E117" s="464">
        <v>9.9999999999999995E-8</v>
      </c>
      <c r="F117" s="465">
        <f t="shared" si="76"/>
        <v>0</v>
      </c>
      <c r="G117" s="476">
        <v>1.7</v>
      </c>
      <c r="H117" s="462"/>
      <c r="I117" s="1256"/>
      <c r="J117" s="471">
        <v>50</v>
      </c>
      <c r="K117" s="467">
        <v>9.9999999999999995E-7</v>
      </c>
      <c r="L117" s="467">
        <v>9.9999999999999995E-7</v>
      </c>
      <c r="M117" s="467">
        <v>9.9999999999999995E-7</v>
      </c>
      <c r="N117" s="465">
        <f t="shared" si="77"/>
        <v>0</v>
      </c>
      <c r="O117" s="470">
        <v>0</v>
      </c>
      <c r="P117" s="462"/>
      <c r="Q117" s="1256"/>
      <c r="R117" s="471">
        <v>50</v>
      </c>
      <c r="S117" s="467">
        <v>9.9999999999999995E-7</v>
      </c>
      <c r="T117" s="467">
        <v>9.9999999999999995E-7</v>
      </c>
      <c r="U117" s="467">
        <v>9.9999999999999995E-7</v>
      </c>
      <c r="V117" s="465">
        <f t="shared" si="78"/>
        <v>0</v>
      </c>
      <c r="W117" s="470">
        <v>0</v>
      </c>
    </row>
    <row r="118" spans="1:24" ht="12.75" customHeight="1">
      <c r="A118" s="1256"/>
      <c r="B118" s="471">
        <v>100</v>
      </c>
      <c r="C118" s="464">
        <v>9.9999999999999995E-8</v>
      </c>
      <c r="D118" s="464">
        <v>9.9999999999999995E-8</v>
      </c>
      <c r="E118" s="464">
        <v>9.9999999999999995E-8</v>
      </c>
      <c r="F118" s="465">
        <f t="shared" si="76"/>
        <v>0</v>
      </c>
      <c r="G118" s="476">
        <v>1.7</v>
      </c>
      <c r="H118" s="462"/>
      <c r="I118" s="1256"/>
      <c r="J118" s="471">
        <v>100</v>
      </c>
      <c r="K118" s="467">
        <v>9.9999999999999995E-7</v>
      </c>
      <c r="L118" s="467">
        <v>9.9999999999999995E-7</v>
      </c>
      <c r="M118" s="467">
        <v>9.9999999999999995E-7</v>
      </c>
      <c r="N118" s="465">
        <f t="shared" si="77"/>
        <v>0</v>
      </c>
      <c r="O118" s="470">
        <v>0</v>
      </c>
      <c r="P118" s="462"/>
      <c r="Q118" s="1256"/>
      <c r="R118" s="471">
        <v>100</v>
      </c>
      <c r="S118" s="467">
        <v>9.9999999999999995E-7</v>
      </c>
      <c r="T118" s="467">
        <v>9.9999999999999995E-7</v>
      </c>
      <c r="U118" s="467">
        <v>9.9999999999999995E-7</v>
      </c>
      <c r="V118" s="465">
        <f t="shared" si="78"/>
        <v>0</v>
      </c>
      <c r="W118" s="470">
        <v>0</v>
      </c>
    </row>
    <row r="119" spans="1:24" ht="12.75" customHeight="1">
      <c r="A119" s="1256"/>
      <c r="B119" s="1249" t="s">
        <v>90</v>
      </c>
      <c r="C119" s="1250"/>
      <c r="D119" s="1250"/>
      <c r="E119" s="1251"/>
      <c r="F119" s="461" t="s">
        <v>253</v>
      </c>
      <c r="G119" s="461" t="s">
        <v>99</v>
      </c>
      <c r="H119" s="462"/>
      <c r="I119" s="1256"/>
      <c r="J119" s="1249" t="s">
        <v>90</v>
      </c>
      <c r="K119" s="1250"/>
      <c r="L119" s="1250"/>
      <c r="M119" s="1251"/>
      <c r="N119" s="461" t="s">
        <v>253</v>
      </c>
      <c r="O119" s="461" t="s">
        <v>99</v>
      </c>
      <c r="P119" s="462"/>
      <c r="Q119" s="1256"/>
      <c r="R119" s="1249" t="str">
        <f>B119</f>
        <v>Resistance</v>
      </c>
      <c r="S119" s="1250"/>
      <c r="T119" s="1250"/>
      <c r="U119" s="1251"/>
      <c r="V119" s="461" t="s">
        <v>253</v>
      </c>
      <c r="W119" s="461" t="s">
        <v>99</v>
      </c>
    </row>
    <row r="120" spans="1:24" ht="15" customHeight="1">
      <c r="A120" s="1256"/>
      <c r="B120" s="460" t="s">
        <v>256</v>
      </c>
      <c r="C120" s="461">
        <f>C98</f>
        <v>2023</v>
      </c>
      <c r="D120" s="461">
        <f>D98</f>
        <v>2024</v>
      </c>
      <c r="E120" s="461">
        <f>E98</f>
        <v>2025</v>
      </c>
      <c r="F120" s="461"/>
      <c r="G120" s="461"/>
      <c r="H120" s="462"/>
      <c r="I120" s="1256"/>
      <c r="J120" s="460" t="s">
        <v>256</v>
      </c>
      <c r="K120" s="461">
        <f>K98</f>
        <v>2019</v>
      </c>
      <c r="L120" s="461">
        <f>L98</f>
        <v>2019</v>
      </c>
      <c r="M120" s="461">
        <f>M98</f>
        <v>2020</v>
      </c>
      <c r="N120" s="461"/>
      <c r="O120" s="461"/>
      <c r="P120" s="462"/>
      <c r="Q120" s="1256"/>
      <c r="R120" s="460" t="s">
        <v>256</v>
      </c>
      <c r="S120" s="461">
        <f>S98</f>
        <v>2019</v>
      </c>
      <c r="T120" s="461">
        <f>T98</f>
        <v>2019</v>
      </c>
      <c r="U120" s="461">
        <f>U98</f>
        <v>2020</v>
      </c>
      <c r="V120" s="461"/>
      <c r="W120" s="461"/>
    </row>
    <row r="121" spans="1:24" ht="12.75" customHeight="1">
      <c r="A121" s="1256"/>
      <c r="B121" s="471">
        <v>0.01</v>
      </c>
      <c r="C121" s="464">
        <v>9.9999999999999995E-8</v>
      </c>
      <c r="D121" s="464">
        <v>9.9999999999999995E-8</v>
      </c>
      <c r="E121" s="464">
        <v>9.9999999999999995E-8</v>
      </c>
      <c r="F121" s="465">
        <f t="shared" ref="F121:F124" si="79">0.5*(MAX(C121:E121)-MIN(C121:E121))</f>
        <v>0</v>
      </c>
      <c r="G121" s="471">
        <v>1.2</v>
      </c>
      <c r="H121" s="462"/>
      <c r="I121" s="1256"/>
      <c r="J121" s="471">
        <v>0.01</v>
      </c>
      <c r="K121" s="471">
        <v>9.9999999999999995E-7</v>
      </c>
      <c r="L121" s="471">
        <v>9.9999999999999995E-7</v>
      </c>
      <c r="M121" s="472">
        <v>9.9999999999999995E-7</v>
      </c>
      <c r="N121" s="465">
        <f t="shared" ref="N121:N124" si="80">0.5*(MAX(K121:M121)-MIN(K121:M121))</f>
        <v>0</v>
      </c>
      <c r="O121" s="497">
        <v>1.2</v>
      </c>
      <c r="P121" s="462"/>
      <c r="Q121" s="1256"/>
      <c r="R121" s="471">
        <v>0.01</v>
      </c>
      <c r="S121" s="471">
        <v>9.9999999999999995E-7</v>
      </c>
      <c r="T121" s="471">
        <v>9.9999999999999995E-7</v>
      </c>
      <c r="U121" s="472">
        <v>9.9999999999999995E-7</v>
      </c>
      <c r="V121" s="465">
        <f t="shared" ref="V121:V124" si="81">0.5*(MAX(S121:U121)-MIN(S121:U121))</f>
        <v>0</v>
      </c>
      <c r="W121" s="498">
        <v>1.2</v>
      </c>
    </row>
    <row r="122" spans="1:24" ht="12.75" customHeight="1">
      <c r="A122" s="1256"/>
      <c r="B122" s="471">
        <v>0.1</v>
      </c>
      <c r="C122" s="464">
        <v>9.9999999999999995E-8</v>
      </c>
      <c r="D122" s="464">
        <v>9.9999999999999995E-8</v>
      </c>
      <c r="E122" s="464">
        <v>9.9999999999999995E-8</v>
      </c>
      <c r="F122" s="465">
        <f t="shared" si="79"/>
        <v>0</v>
      </c>
      <c r="G122" s="471">
        <v>1.2</v>
      </c>
      <c r="H122" s="462"/>
      <c r="I122" s="1256"/>
      <c r="J122" s="471">
        <v>0.1</v>
      </c>
      <c r="K122" s="477">
        <v>9.9999999999999995E-7</v>
      </c>
      <c r="L122" s="477">
        <v>9.9999999999999995E-7</v>
      </c>
      <c r="M122" s="472">
        <v>-2E-3</v>
      </c>
      <c r="N122" s="465">
        <f t="shared" si="80"/>
        <v>1.0005000000000001E-3</v>
      </c>
      <c r="O122" s="497">
        <v>1.2</v>
      </c>
      <c r="P122" s="462"/>
      <c r="Q122" s="1256"/>
      <c r="R122" s="471">
        <v>0.1</v>
      </c>
      <c r="S122" s="471">
        <v>9.9999999999999995E-7</v>
      </c>
      <c r="T122" s="471">
        <v>9.9999999999999995E-7</v>
      </c>
      <c r="U122" s="472">
        <v>-3.0000000000000001E-3</v>
      </c>
      <c r="V122" s="465">
        <f t="shared" si="81"/>
        <v>1.5005000000000001E-3</v>
      </c>
      <c r="W122" s="498">
        <v>1.2</v>
      </c>
    </row>
    <row r="123" spans="1:24" ht="12.75" customHeight="1">
      <c r="A123" s="1256"/>
      <c r="B123" s="471">
        <v>1</v>
      </c>
      <c r="C123" s="464">
        <v>9.9999999999999995E-8</v>
      </c>
      <c r="D123" s="464">
        <v>9.9999999999999995E-8</v>
      </c>
      <c r="E123" s="464">
        <v>9.9999999999999995E-8</v>
      </c>
      <c r="F123" s="465">
        <f t="shared" si="79"/>
        <v>0</v>
      </c>
      <c r="G123" s="471">
        <v>1.2</v>
      </c>
      <c r="H123" s="462"/>
      <c r="I123" s="1256"/>
      <c r="J123" s="471">
        <v>1</v>
      </c>
      <c r="K123" s="477">
        <v>9.9999999999999995E-7</v>
      </c>
      <c r="L123" s="477">
        <v>9.9999999999999995E-7</v>
      </c>
      <c r="M123" s="472">
        <v>-1E-3</v>
      </c>
      <c r="N123" s="465">
        <f t="shared" si="80"/>
        <v>5.0049999999999997E-4</v>
      </c>
      <c r="O123" s="497">
        <v>1.2</v>
      </c>
      <c r="P123" s="462"/>
      <c r="Q123" s="1256"/>
      <c r="R123" s="471">
        <v>1</v>
      </c>
      <c r="S123" s="471">
        <v>9.9999999999999995E-7</v>
      </c>
      <c r="T123" s="471">
        <v>9.9999999999999995E-7</v>
      </c>
      <c r="U123" s="472">
        <v>-1E-3</v>
      </c>
      <c r="V123" s="465">
        <f t="shared" si="81"/>
        <v>5.0049999999999997E-4</v>
      </c>
      <c r="W123" s="498">
        <v>1.2</v>
      </c>
    </row>
    <row r="124" spans="1:24" ht="12.75" customHeight="1">
      <c r="A124" s="1257"/>
      <c r="B124" s="471">
        <v>2</v>
      </c>
      <c r="C124" s="464">
        <v>9.9999999999999995E-8</v>
      </c>
      <c r="D124" s="464">
        <v>9.9999999999999995E-8</v>
      </c>
      <c r="E124" s="464">
        <v>9.9999999999999995E-8</v>
      </c>
      <c r="F124" s="465">
        <f t="shared" si="79"/>
        <v>0</v>
      </c>
      <c r="G124" s="471">
        <v>1.2</v>
      </c>
      <c r="H124" s="462"/>
      <c r="I124" s="1257"/>
      <c r="J124" s="471">
        <v>2</v>
      </c>
      <c r="K124" s="477">
        <v>9.9999999999999995E-7</v>
      </c>
      <c r="L124" s="477">
        <v>9.9999999999999995E-7</v>
      </c>
      <c r="M124" s="472">
        <v>-6.0000000000000001E-3</v>
      </c>
      <c r="N124" s="465">
        <f t="shared" si="80"/>
        <v>3.0005000000000001E-3</v>
      </c>
      <c r="O124" s="497">
        <v>1.2</v>
      </c>
      <c r="P124" s="462"/>
      <c r="Q124" s="1257"/>
      <c r="R124" s="471">
        <v>2</v>
      </c>
      <c r="S124" s="471">
        <v>9.9999999999999995E-7</v>
      </c>
      <c r="T124" s="471">
        <v>9.9999999999999995E-7</v>
      </c>
      <c r="U124" s="472">
        <v>-6.0000000000000001E-3</v>
      </c>
      <c r="V124" s="465">
        <f t="shared" si="81"/>
        <v>3.0005000000000001E-3</v>
      </c>
      <c r="W124" s="498">
        <v>1.2</v>
      </c>
    </row>
    <row r="125" spans="1:24" s="204" customFormat="1" ht="16" thickBot="1">
      <c r="A125" s="492"/>
      <c r="B125" s="493"/>
      <c r="C125" s="494"/>
      <c r="E125" s="494"/>
      <c r="F125" s="494"/>
      <c r="G125" s="494"/>
      <c r="H125" s="483"/>
      <c r="I125" s="495"/>
      <c r="J125" s="496"/>
      <c r="K125" s="494"/>
      <c r="M125" s="494"/>
      <c r="N125" s="494"/>
      <c r="O125" s="494"/>
      <c r="P125" s="483"/>
      <c r="Q125" s="495"/>
      <c r="R125" s="493"/>
      <c r="S125" s="494"/>
      <c r="U125" s="482"/>
      <c r="V125" s="482"/>
      <c r="W125" s="484"/>
      <c r="X125" s="485"/>
    </row>
    <row r="126" spans="1:24" ht="16" thickBot="1">
      <c r="A126" s="282"/>
      <c r="B126" s="283"/>
      <c r="C126" s="283"/>
      <c r="D126" s="499"/>
      <c r="E126" s="283"/>
      <c r="F126" s="283"/>
      <c r="G126" s="283"/>
      <c r="H126" s="500"/>
      <c r="I126" s="283"/>
      <c r="J126" s="283"/>
      <c r="K126" s="283"/>
      <c r="L126" s="499"/>
      <c r="M126" s="283"/>
      <c r="N126" s="283"/>
      <c r="O126" s="283"/>
      <c r="P126" s="500"/>
      <c r="Q126" s="283"/>
      <c r="R126" s="283"/>
      <c r="S126" s="283"/>
      <c r="T126" s="499"/>
      <c r="U126" s="198"/>
      <c r="V126" s="198"/>
      <c r="W126" s="199"/>
    </row>
    <row r="127" spans="1:24">
      <c r="A127" s="200"/>
      <c r="B127" s="201"/>
      <c r="C127" s="201"/>
    </row>
    <row r="128" spans="1:24" ht="15" customHeight="1"/>
    <row r="129" spans="1:19" ht="15.75" customHeight="1"/>
    <row r="131" spans="1:19" ht="16" thickBot="1">
      <c r="S131" s="205"/>
    </row>
    <row r="132" spans="1:19" ht="30" customHeight="1">
      <c r="A132" s="830">
        <f>IF($A$166=$A$167,A2,IF($A$166=$A$168,I2,IF($A$166=$A$169,Q2,IF($A$166=$A$170,A33,IF($A$166=$A$171,I33,IF($A$166=$A$172,Q33,IF($A$166=$A$173,A64,IF($A$166=$A$174,I64,IF($A$166=$A$175,Q64,IF($A$166=$A$176,A95,IF($A$166=$A$177,I95,Q95)))))))))))</f>
        <v>1</v>
      </c>
      <c r="B132" s="1269" t="str">
        <f>IF($A$166=$A$167,B2,IF($A$166=$A$168,J2,IF($A$166=$A$169,R2,IF($A$166=$A$170,B33,IF($A$166=$A$171,J33,IF($A$166=$A$172,R33,IF($A$166=$A$173,B64,IF($A$166=$A$174,J64,IF($A$166=$A$175,R64,IF($A$166=$A$176,B95,IF($A$166=$A$177,J95,R95)))))))))))</f>
        <v>Electrical Safety Analyzer, Merek : Fluke, Model : ESA 620, SN : 1837056</v>
      </c>
      <c r="C132" s="1270"/>
      <c r="D132" s="1270"/>
      <c r="E132" s="1270"/>
      <c r="F132" s="1270"/>
      <c r="G132" s="1271"/>
    </row>
    <row r="133" spans="1:19" ht="15.75" customHeight="1" thickBot="1">
      <c r="A133" s="831"/>
      <c r="B133" s="815" t="str">
        <f t="shared" ref="B133:G148" si="82">IF($A$166=$A$167,B3,IF($A$166=$A$168,J3,IF($A$166=$A$169,R3,IF($A$166=$A$170,B34,IF($A$166=$A$171,J34,IF($A$166=$A$172,R34,IF($A$166=$A$173,B65,IF($A$166=$A$174,J65,IF($A$166=$A$175,R65,IF($A$166=$A$176,B96,IF($A$166=$A$177,J96,R96)))))))))))</f>
        <v>KOREKSI ESA</v>
      </c>
      <c r="C133" s="816"/>
      <c r="D133" s="816"/>
      <c r="E133" s="816"/>
      <c r="F133" s="816"/>
      <c r="G133" s="817"/>
      <c r="I133" s="204"/>
    </row>
    <row r="134" spans="1:19" ht="15.75" customHeight="1">
      <c r="A134" s="831"/>
      <c r="B134" s="818" t="str">
        <f t="shared" si="82"/>
        <v>Setting VAC</v>
      </c>
      <c r="C134" s="819"/>
      <c r="D134" s="819"/>
      <c r="E134" s="820"/>
      <c r="F134" s="501" t="str">
        <f>IF($A$166=$A$167,F4,IF($A$166=$A$168,N4,IF($A$166=$A$169,V4,IF($A$166=$A$170,F35,IF($A$166=$A$171,N35,IF($A$166=$A$172,V35,IF($A$166=$A$173,F66,IF($A$166=$A$174,N66,IF($A$166=$A$175,V66,IF($A$166=$A$176,F97,IF($A$166=$A$177,N97,V97)))))))))))</f>
        <v>Driff</v>
      </c>
      <c r="G134" s="502" t="str">
        <f>IF($A$166=$A$167,G4,IF($A$166=$A$168,O4,IF($A$166=$A$169,W4,IF($A$166=$A$170,G35,IF($A$166=$A$171,O35,IF($A$166=$A$172,W35,IF($A$166=$A$173,G66,IF($A$166=$A$174,O66,IF($A$166=$A$175,W66,IF($A$166=$A$176,G97,IF($A$166=$A$177,O97,W97)))))))))))</f>
        <v>U95</v>
      </c>
      <c r="I134" s="1272" t="s">
        <v>258</v>
      </c>
      <c r="J134" s="1273"/>
      <c r="K134" s="1273"/>
      <c r="L134" s="1274"/>
      <c r="M134" s="203"/>
      <c r="N134" s="821" t="s">
        <v>141</v>
      </c>
      <c r="O134" s="824" t="s">
        <v>259</v>
      </c>
      <c r="P134" s="833" t="s">
        <v>260</v>
      </c>
    </row>
    <row r="135" spans="1:19" ht="12.75" customHeight="1">
      <c r="A135" s="831"/>
      <c r="B135" s="503" t="str">
        <f t="shared" si="82"/>
        <v>( V )</v>
      </c>
      <c r="C135" s="501">
        <f t="shared" si="82"/>
        <v>2022</v>
      </c>
      <c r="D135" s="501">
        <f t="shared" si="82"/>
        <v>2020</v>
      </c>
      <c r="E135" s="501">
        <f t="shared" si="82"/>
        <v>2019</v>
      </c>
      <c r="F135" s="501"/>
      <c r="G135" s="502"/>
      <c r="I135" s="504">
        <f>N137</f>
        <v>224</v>
      </c>
      <c r="J135" s="505"/>
      <c r="K135" s="506">
        <f>IF(I135="-","-",(FORECAST(I135,$E$136:$E$141,$B$136:$B$141)))</f>
        <v>-0.12177578422391844</v>
      </c>
      <c r="L135" s="507"/>
      <c r="M135" s="204"/>
      <c r="N135" s="822"/>
      <c r="O135" s="825"/>
      <c r="P135" s="834"/>
    </row>
    <row r="136" spans="1:19" ht="16.5" customHeight="1" thickBot="1">
      <c r="A136" s="831"/>
      <c r="B136" s="503">
        <f t="shared" si="82"/>
        <v>150</v>
      </c>
      <c r="C136" s="508">
        <f t="shared" si="82"/>
        <v>0.35</v>
      </c>
      <c r="D136" s="508">
        <f t="shared" si="82"/>
        <v>0.31</v>
      </c>
      <c r="E136" s="508">
        <f t="shared" si="82"/>
        <v>0.76</v>
      </c>
      <c r="F136" s="501">
        <f t="shared" si="82"/>
        <v>0.22500000000000001</v>
      </c>
      <c r="G136" s="502">
        <f t="shared" si="82"/>
        <v>1.8</v>
      </c>
      <c r="I136" s="1284" t="s">
        <v>261</v>
      </c>
      <c r="J136" s="1285"/>
      <c r="K136" s="1285"/>
      <c r="L136" s="1286"/>
      <c r="M136" s="204"/>
      <c r="N136" s="823"/>
      <c r="O136" s="825"/>
      <c r="P136" s="835"/>
    </row>
    <row r="137" spans="1:19" ht="15.75" customHeight="1">
      <c r="A137" s="831"/>
      <c r="B137" s="503">
        <f t="shared" si="82"/>
        <v>180</v>
      </c>
      <c r="C137" s="508">
        <f t="shared" si="82"/>
        <v>-0.1</v>
      </c>
      <c r="D137" s="508">
        <f t="shared" si="82"/>
        <v>0.1</v>
      </c>
      <c r="E137" s="508">
        <f t="shared" si="82"/>
        <v>-0.03</v>
      </c>
      <c r="F137" s="501">
        <f t="shared" si="82"/>
        <v>0.1</v>
      </c>
      <c r="G137" s="502">
        <f t="shared" si="82"/>
        <v>2.16</v>
      </c>
      <c r="I137" s="504">
        <f>N138</f>
        <v>11</v>
      </c>
      <c r="J137" s="505"/>
      <c r="K137" s="506">
        <f>IF(I137="-","-",IF(I137="OL","OL",(FORECAST(I137,$E$152:$E$156,$B$152:$B$156))))</f>
        <v>6.6196319018404899E-7</v>
      </c>
      <c r="L137" s="507"/>
      <c r="M137" s="204"/>
      <c r="N137" s="509">
        <f>ID!F17</f>
        <v>224</v>
      </c>
      <c r="O137" s="1015">
        <f>IF(N137="-","-",N137+K135)</f>
        <v>223.87822421577607</v>
      </c>
      <c r="P137" s="1011">
        <f>IF(N137="-","-",O137)</f>
        <v>223.87822421577607</v>
      </c>
      <c r="Q137" s="197" t="str">
        <f>TEXT(P137,"0.0")</f>
        <v>223.9</v>
      </c>
    </row>
    <row r="138" spans="1:19" ht="15.75" customHeight="1">
      <c r="A138" s="831"/>
      <c r="B138" s="503">
        <f t="shared" si="82"/>
        <v>200</v>
      </c>
      <c r="C138" s="508">
        <f t="shared" si="82"/>
        <v>-0.17</v>
      </c>
      <c r="D138" s="508">
        <f t="shared" si="82"/>
        <v>-0.04</v>
      </c>
      <c r="E138" s="508">
        <f t="shared" si="82"/>
        <v>-0.16</v>
      </c>
      <c r="F138" s="501">
        <f t="shared" si="82"/>
        <v>6.5000000000000002E-2</v>
      </c>
      <c r="G138" s="502">
        <f t="shared" si="82"/>
        <v>2.4</v>
      </c>
      <c r="I138" s="1284" t="s">
        <v>262</v>
      </c>
      <c r="J138" s="1285"/>
      <c r="K138" s="1285"/>
      <c r="L138" s="1286"/>
      <c r="M138" s="204"/>
      <c r="N138" s="510">
        <f>ID!J26</f>
        <v>11</v>
      </c>
      <c r="O138" s="1015">
        <f t="shared" ref="O138:O142" si="83">IF(N138="-","-",N138+K136)</f>
        <v>11</v>
      </c>
      <c r="P138" s="1012">
        <f>IF(N138="OL","OL",IF(N138="NC","NC",IF(N138="OR","OR",IF(N138="-","-",O138))))</f>
        <v>11</v>
      </c>
    </row>
    <row r="139" spans="1:19" ht="12.75" customHeight="1">
      <c r="A139" s="831"/>
      <c r="B139" s="503">
        <f t="shared" si="82"/>
        <v>220</v>
      </c>
      <c r="C139" s="508">
        <f t="shared" si="82"/>
        <v>-0.27</v>
      </c>
      <c r="D139" s="508">
        <f t="shared" si="82"/>
        <v>-0.28000000000000003</v>
      </c>
      <c r="E139" s="508">
        <f t="shared" si="82"/>
        <v>-0.18</v>
      </c>
      <c r="F139" s="501">
        <f t="shared" si="82"/>
        <v>5.0000000000000017E-2</v>
      </c>
      <c r="G139" s="502">
        <f t="shared" si="82"/>
        <v>2.64</v>
      </c>
      <c r="I139" s="511">
        <f>N139</f>
        <v>0.122</v>
      </c>
      <c r="J139" s="505"/>
      <c r="K139" s="512">
        <f>IF(I139="-","-",(FORECAST(I139,$E$159:$E$162,$B$159:$B$162)))</f>
        <v>3.1678395821880152E-3</v>
      </c>
      <c r="L139" s="513"/>
      <c r="M139" s="204"/>
      <c r="N139" s="510">
        <f>ID!J27</f>
        <v>0.122</v>
      </c>
      <c r="O139" s="1015">
        <f t="shared" si="83"/>
        <v>0.12200066196319018</v>
      </c>
      <c r="P139" s="1012">
        <f>IF(N139="OL","OL",IF(N139="NC","NC",IF(N139="-","-",O139)))</f>
        <v>0.12200066196319018</v>
      </c>
    </row>
    <row r="140" spans="1:19" ht="12.75" customHeight="1">
      <c r="A140" s="831"/>
      <c r="B140" s="503">
        <f t="shared" si="82"/>
        <v>230</v>
      </c>
      <c r="C140" s="508">
        <f t="shared" si="82"/>
        <v>0.64</v>
      </c>
      <c r="D140" s="508">
        <f t="shared" si="82"/>
        <v>-0.2</v>
      </c>
      <c r="E140" s="508">
        <f t="shared" si="82"/>
        <v>-0.26</v>
      </c>
      <c r="F140" s="501">
        <f t="shared" si="82"/>
        <v>0.45</v>
      </c>
      <c r="G140" s="502">
        <f t="shared" si="82"/>
        <v>2.7600000000000002</v>
      </c>
      <c r="I140" s="1284" t="s">
        <v>263</v>
      </c>
      <c r="J140" s="1285"/>
      <c r="K140" s="1285"/>
      <c r="L140" s="1286"/>
      <c r="M140" s="204"/>
      <c r="N140" s="510">
        <f>ID!J28</f>
        <v>660</v>
      </c>
      <c r="O140" s="1015">
        <f t="shared" si="83"/>
        <v>660</v>
      </c>
      <c r="P140" s="1013">
        <f>IF(N140="-","-",O140)</f>
        <v>660</v>
      </c>
    </row>
    <row r="141" spans="1:19" ht="12.75" customHeight="1" thickBot="1">
      <c r="A141" s="831"/>
      <c r="B141" s="503">
        <f t="shared" si="82"/>
        <v>250</v>
      </c>
      <c r="C141" s="508">
        <f t="shared" si="82"/>
        <v>-0.36</v>
      </c>
      <c r="D141" s="508">
        <f t="shared" si="82"/>
        <v>-0.32</v>
      </c>
      <c r="E141" s="508">
        <f t="shared" si="82"/>
        <v>9.9999999999999995E-7</v>
      </c>
      <c r="F141" s="501">
        <f t="shared" si="82"/>
        <v>0.18000049999999998</v>
      </c>
      <c r="G141" s="502">
        <f t="shared" si="82"/>
        <v>3</v>
      </c>
      <c r="I141" s="514">
        <f>N140</f>
        <v>660</v>
      </c>
      <c r="J141" s="505"/>
      <c r="K141" s="515">
        <f>IF(I141="-","-",(FORECAST(I141,$E$144:$E$149,$B$144:$B$149)))</f>
        <v>-0.23941202157168517</v>
      </c>
      <c r="L141" s="507"/>
      <c r="M141" s="204"/>
      <c r="N141" s="510" t="str">
        <f>ID!J29</f>
        <v>-</v>
      </c>
      <c r="O141" s="1015" t="str">
        <f t="shared" si="83"/>
        <v>-</v>
      </c>
      <c r="P141" s="1013" t="str">
        <f>IF(N141="-","-",O141)</f>
        <v>-</v>
      </c>
    </row>
    <row r="142" spans="1:19" ht="13.5" customHeight="1" thickBot="1">
      <c r="A142" s="831"/>
      <c r="B142" s="818" t="str">
        <f t="shared" si="82"/>
        <v>Current Leakage</v>
      </c>
      <c r="C142" s="819"/>
      <c r="D142" s="819"/>
      <c r="E142" s="820"/>
      <c r="F142" s="501" t="str">
        <f t="shared" si="82"/>
        <v>Driff</v>
      </c>
      <c r="G142" s="502" t="str">
        <f t="shared" si="82"/>
        <v>U95</v>
      </c>
      <c r="I142" s="1284" t="s">
        <v>263</v>
      </c>
      <c r="J142" s="1285"/>
      <c r="K142" s="1285"/>
      <c r="L142" s="1286"/>
      <c r="M142" s="516" t="s">
        <v>320</v>
      </c>
      <c r="N142" s="517">
        <f>ID!Q27</f>
        <v>10</v>
      </c>
      <c r="O142" s="1015">
        <f t="shared" si="83"/>
        <v>10</v>
      </c>
      <c r="P142" s="1013">
        <f>IF(N142="-","-",O142)</f>
        <v>10</v>
      </c>
    </row>
    <row r="143" spans="1:19" ht="12.75" customHeight="1">
      <c r="A143" s="831"/>
      <c r="B143" s="503" t="str">
        <f t="shared" si="82"/>
        <v>( uA )</v>
      </c>
      <c r="C143" s="501">
        <f t="shared" si="82"/>
        <v>2022</v>
      </c>
      <c r="D143" s="501">
        <f t="shared" si="82"/>
        <v>2020</v>
      </c>
      <c r="E143" s="501">
        <f t="shared" si="82"/>
        <v>2019</v>
      </c>
      <c r="F143" s="501"/>
      <c r="G143" s="502"/>
      <c r="I143" s="514" t="str">
        <f>N141</f>
        <v>-</v>
      </c>
      <c r="J143" s="505"/>
      <c r="K143" s="515" t="str">
        <f>IF(I143="-","-",(FORECAST(I143,$E$144:$E$149,$B$144:$B$149)))</f>
        <v>-</v>
      </c>
      <c r="L143" s="507"/>
      <c r="M143" s="826" t="s">
        <v>393</v>
      </c>
      <c r="N143" s="518">
        <f>P137</f>
        <v>223.87822421577607</v>
      </c>
      <c r="O143" s="1016">
        <f>IF(N143="-","-",(FORECAST(N143,G136:G141,B136:B141)))</f>
        <v>2.6865386905893129</v>
      </c>
      <c r="P143" s="1014" t="s">
        <v>273</v>
      </c>
      <c r="Q143" s="197" t="str">
        <f>TEXT(O143,"0.0")</f>
        <v>2.7</v>
      </c>
    </row>
    <row r="144" spans="1:19" ht="15.75" customHeight="1" thickBot="1">
      <c r="A144" s="831"/>
      <c r="B144" s="519">
        <f t="shared" si="82"/>
        <v>9.9999999999999995E-7</v>
      </c>
      <c r="C144" s="520">
        <f t="shared" si="82"/>
        <v>9.9999999999999995E-7</v>
      </c>
      <c r="D144" s="520">
        <f t="shared" si="82"/>
        <v>9.9999999999999995E-7</v>
      </c>
      <c r="E144" s="520">
        <f t="shared" si="82"/>
        <v>0</v>
      </c>
      <c r="F144" s="501">
        <f t="shared" si="82"/>
        <v>4.9999999999999998E-7</v>
      </c>
      <c r="G144" s="502">
        <f t="shared" si="82"/>
        <v>5.8999999999999999E-9</v>
      </c>
      <c r="I144" s="1281" t="s">
        <v>263</v>
      </c>
      <c r="J144" s="1282"/>
      <c r="K144" s="1282"/>
      <c r="L144" s="1283"/>
      <c r="M144" s="827"/>
      <c r="N144" s="521" t="str">
        <f>P144&amp;FIXED(N143,1)&amp;P145&amp;FIXED(O143,1)&amp;P146&amp;P143</f>
        <v>( 223.9 ± 2.7 ) Volt</v>
      </c>
      <c r="O144" s="522"/>
      <c r="P144" s="523" t="s">
        <v>237</v>
      </c>
    </row>
    <row r="145" spans="1:17" ht="12.75" customHeight="1">
      <c r="A145" s="831"/>
      <c r="B145" s="503">
        <f t="shared" si="82"/>
        <v>50</v>
      </c>
      <c r="C145" s="520">
        <f t="shared" si="82"/>
        <v>4</v>
      </c>
      <c r="D145" s="520">
        <f t="shared" si="82"/>
        <v>0.1</v>
      </c>
      <c r="E145" s="520">
        <f t="shared" si="82"/>
        <v>-0.06</v>
      </c>
      <c r="F145" s="501">
        <f t="shared" si="82"/>
        <v>2.0299999999999998</v>
      </c>
      <c r="G145" s="502">
        <f t="shared" si="82"/>
        <v>0.29499999999999998</v>
      </c>
      <c r="I145" s="524">
        <f>N142</f>
        <v>10</v>
      </c>
      <c r="J145" s="525"/>
      <c r="K145" s="526">
        <f>FORECAST(I145,$E$144:$E$149,$B$144:$B$149)</f>
        <v>-0.11111430391392696</v>
      </c>
      <c r="L145" s="526"/>
      <c r="M145" s="204"/>
      <c r="N145" s="206"/>
      <c r="O145" s="207"/>
      <c r="P145" s="527" t="s">
        <v>238</v>
      </c>
    </row>
    <row r="146" spans="1:17" ht="13.5" customHeight="1" thickBot="1">
      <c r="A146" s="831"/>
      <c r="B146" s="503">
        <f t="shared" si="82"/>
        <v>100</v>
      </c>
      <c r="C146" s="520">
        <f t="shared" si="82"/>
        <v>3.6</v>
      </c>
      <c r="D146" s="520">
        <f t="shared" si="82"/>
        <v>0.2</v>
      </c>
      <c r="E146" s="520">
        <f t="shared" si="82"/>
        <v>-0.06</v>
      </c>
      <c r="F146" s="501">
        <f t="shared" si="82"/>
        <v>1.83</v>
      </c>
      <c r="G146" s="502">
        <f t="shared" si="82"/>
        <v>0.59</v>
      </c>
      <c r="I146" s="528"/>
      <c r="M146" s="204"/>
      <c r="N146" s="208"/>
      <c r="O146" s="208"/>
      <c r="P146" s="529" t="s">
        <v>394</v>
      </c>
    </row>
    <row r="147" spans="1:17" ht="13.5" customHeight="1" thickBot="1">
      <c r="A147" s="831"/>
      <c r="B147" s="503">
        <f t="shared" si="82"/>
        <v>200</v>
      </c>
      <c r="C147" s="520">
        <f t="shared" si="82"/>
        <v>2.2000000000000002</v>
      </c>
      <c r="D147" s="520">
        <f t="shared" si="82"/>
        <v>0.4</v>
      </c>
      <c r="E147" s="520">
        <f t="shared" si="82"/>
        <v>9.9999999999999995E-7</v>
      </c>
      <c r="F147" s="501">
        <f t="shared" si="82"/>
        <v>1.0999995</v>
      </c>
      <c r="G147" s="502">
        <f t="shared" si="82"/>
        <v>1.18</v>
      </c>
      <c r="H147" s="530"/>
      <c r="I147" s="531"/>
      <c r="J147" s="532"/>
      <c r="K147" s="532"/>
      <c r="L147" s="533"/>
      <c r="M147" s="217"/>
      <c r="N147" s="534">
        <f>MAX(N140:N145)</f>
        <v>660</v>
      </c>
      <c r="O147" s="534">
        <f>MAX(P140:P142)</f>
        <v>660</v>
      </c>
      <c r="P147" s="535">
        <f>IF(N147=0,"-",IF(N147=N147,O147,))</f>
        <v>660</v>
      </c>
    </row>
    <row r="148" spans="1:17" ht="12.75" customHeight="1">
      <c r="A148" s="831"/>
      <c r="B148" s="503">
        <f t="shared" si="82"/>
        <v>500</v>
      </c>
      <c r="C148" s="520">
        <f t="shared" si="82"/>
        <v>-2</v>
      </c>
      <c r="D148" s="520">
        <f t="shared" si="82"/>
        <v>3.8</v>
      </c>
      <c r="E148" s="520">
        <f t="shared" si="82"/>
        <v>-0.9</v>
      </c>
      <c r="F148" s="501">
        <f t="shared" si="82"/>
        <v>2.9</v>
      </c>
      <c r="G148" s="502">
        <f t="shared" si="82"/>
        <v>2.9499999999999997</v>
      </c>
      <c r="I148" s="219"/>
      <c r="J148" s="219"/>
      <c r="K148" s="219"/>
      <c r="L148" s="203"/>
      <c r="M148" s="203"/>
      <c r="N148" s="203"/>
      <c r="O148" s="203"/>
    </row>
    <row r="149" spans="1:17" ht="12.75" customHeight="1">
      <c r="A149" s="831"/>
      <c r="B149" s="503">
        <f t="shared" ref="B149:G149" si="84">IF($A$166=$A$167,B19,IF($A$166=$A$168,J19,IF($A$166=$A$169,R19,IF($A$166=$A$170,B50,IF($A$166=$A$171,J50,IF($A$166=$A$172,R50,IF($A$166=$A$173,B81,IF($A$166=$A$174,J81,IF($A$166=$A$175,R81,IF($A$166=$A$176,B112,IF($A$166=$A$177,J112,R112)))))))))))</f>
        <v>1000</v>
      </c>
      <c r="C149" s="520">
        <f t="shared" si="84"/>
        <v>-26</v>
      </c>
      <c r="D149" s="520">
        <f t="shared" si="84"/>
        <v>9.9999999999999995E-7</v>
      </c>
      <c r="E149" s="520">
        <f t="shared" si="84"/>
        <v>9.9999999999999995E-7</v>
      </c>
      <c r="F149" s="501">
        <f t="shared" si="84"/>
        <v>13.000000500000001</v>
      </c>
      <c r="G149" s="502">
        <f t="shared" si="84"/>
        <v>5.8999999999999995</v>
      </c>
      <c r="H149" s="536"/>
      <c r="I149" s="210"/>
      <c r="J149" s="210"/>
      <c r="K149" s="211"/>
      <c r="L149" s="204"/>
      <c r="M149" s="204"/>
      <c r="N149" s="204"/>
      <c r="O149" s="204"/>
    </row>
    <row r="150" spans="1:17" ht="12.75" customHeight="1">
      <c r="A150" s="831"/>
      <c r="B150" s="818" t="str">
        <f>IF($A$166=$A$167,B20,IF($A$166=$A$168,J20,IF($A$166=$A$169,R20,IF($A$166=$A$170,B51,IF($A$166=$A$171,J51,IF($A$166=$A$172,R51,IF($A$166=$A$173,B82,IF($A$166=$A$174,J82,IF($A$166=$A$175,R82,IF($A$166=$A$176,B113,IF($A$166=$A$177,J113,R113)))))))))))</f>
        <v>Main-PE</v>
      </c>
      <c r="C150" s="819"/>
      <c r="D150" s="819"/>
      <c r="E150" s="820"/>
      <c r="F150" s="501" t="str">
        <f>IF($A$166=$A$167,F20,IF($A$166=$A$168,N20,IF($A$166=$A$169,V20,IF($A$166=$A$170,F51,IF($A$166=$A$171,N51,IF($A$166=$A$172,V51,IF($A$166=$A$173,F82,IF($A$166=$A$174,N82,IF($A$166=$A$175,V82,IF($A$166=$A$176,F113,IF($A$166=$A$177,N113,V113)))))))))))</f>
        <v>Driff</v>
      </c>
      <c r="G150" s="502" t="str">
        <f>IF($A$166=$A$167,G20,IF($A$166=$A$168,O20,IF($A$166=$A$169,W20,IF($A$166=$A$170,G51,IF($A$166=$A$171,O51,IF($A$166=$A$172,W51,IF($A$166=$A$173,G82,IF($A$166=$A$174,O82,IF($A$166=$A$175,W82,IF($A$166=$A$176,G113,IF($A$166=$A$177,O113,W113)))))))))))</f>
        <v>U95</v>
      </c>
      <c r="L150" s="195"/>
      <c r="M150" s="195"/>
      <c r="N150" s="195"/>
      <c r="O150" s="195"/>
      <c r="P150" s="537"/>
    </row>
    <row r="151" spans="1:17" ht="12.75" customHeight="1">
      <c r="A151" s="831"/>
      <c r="B151" s="503" t="str">
        <f>IF($A$166=$A$167,B21,IF($A$166=$A$168,J21,IF($A$166=$A$169,R21,IF($A$166=$A$170,B52,IF($A$166=$A$171,J52,IF($A$166=$A$172,R52,IF($A$166=$A$173,B83,IF($A$166=$A$174,J83,IF($A$166=$A$175,R83,IF($A$166=$A$176,B114,IF($A$166=$A$177,J114,R114)))))))))))</f>
        <v>( MΩ )</v>
      </c>
      <c r="C151" s="501">
        <f>IF($A$166=$A$167,C21,IF($A$166=$A$168,K21,IF($A$166=$A$169,S21,IF($A$166=$A$170,C52,IF($A$166=$A$171,K52,IF($A$166=$A$172,S52,IF($A$166=$A$173,C83,IF($A$166=$A$174,K83,IF($A$166=$A$175,S83,IF($A$166=$A$176,C114,IF($A$166=$A$177,K114,S114)))))))))))</f>
        <v>2019</v>
      </c>
      <c r="D151" s="501">
        <f>IF($A$166=$A$167,D21,IF($A$166=$A$168,L21,IF($A$166=$A$169,T21,IF($A$166=$A$170,D52,IF($A$166=$A$171,L52,IF($A$166=$A$172,T52,IF($A$166=$A$173,D83,IF($A$166=$A$174,L83,IF($A$166=$A$175,T83,IF($A$166=$A$176,D114,IF($A$166=$A$177,L114,T114)))))))))))</f>
        <v>2019</v>
      </c>
      <c r="E151" s="501">
        <f>IF($A$166=$A$167,E21,IF($A$166=$A$168,M21,IF($A$166=$A$169,U21,IF($A$166=$A$170,E52,IF($A$166=$A$171,M52,IF($A$166=$A$172,U52,IF($A$166=$A$173,E83,IF($A$166=$A$174,M83,IF($A$166=$A$175,U83,IF($A$166=$A$176,E114,IF($A$166=$A$177,M114,U114)))))))))))</f>
        <v>2015</v>
      </c>
      <c r="F151" s="501"/>
      <c r="G151" s="502"/>
      <c r="H151" s="536"/>
      <c r="I151" s="210"/>
      <c r="J151" s="210"/>
      <c r="K151" s="211"/>
      <c r="L151" s="210"/>
      <c r="M151" s="210"/>
      <c r="N151" s="210"/>
      <c r="O151" s="211"/>
      <c r="P151" s="538"/>
    </row>
    <row r="152" spans="1:17">
      <c r="B152" s="197">
        <v>0</v>
      </c>
      <c r="C152" s="197">
        <v>0</v>
      </c>
      <c r="D152" s="197">
        <v>0</v>
      </c>
      <c r="E152" s="197">
        <v>0</v>
      </c>
      <c r="F152" s="197">
        <v>0</v>
      </c>
      <c r="G152" s="197">
        <v>0</v>
      </c>
    </row>
    <row r="153" spans="1:17" ht="12.75" customHeight="1">
      <c r="A153" s="831"/>
      <c r="B153" s="503">
        <f t="shared" ref="B153:G156" si="85">IF($A$166=$A$167,B22,IF($A$166=$A$168,J22,IF($A$166=$A$169,R22,IF($A$166=$A$170,B53,IF($A$166=$A$171,J53,IF($A$166=$A$172,R53,IF($A$166=$A$173,B84,IF($A$166=$A$174,J84,IF($A$166=$A$175,R84,IF($A$166=$A$176,B115,IF($A$166=$A$177,J115,R115)))))))))))</f>
        <v>10</v>
      </c>
      <c r="C153" s="501">
        <f t="shared" si="85"/>
        <v>9.9999999999999995E-7</v>
      </c>
      <c r="D153" s="520">
        <f t="shared" si="85"/>
        <v>-1E-3</v>
      </c>
      <c r="E153" s="520">
        <f t="shared" si="85"/>
        <v>9.9999999999999995E-7</v>
      </c>
      <c r="F153" s="501">
        <f t="shared" si="85"/>
        <v>5.0049999999999997E-4</v>
      </c>
      <c r="G153" s="502">
        <f t="shared" si="85"/>
        <v>1.4</v>
      </c>
      <c r="L153" s="204"/>
      <c r="M153" s="210"/>
      <c r="N153" s="204"/>
      <c r="O153" s="211"/>
      <c r="P153" s="539"/>
    </row>
    <row r="154" spans="1:17" ht="12.75" customHeight="1">
      <c r="A154" s="831"/>
      <c r="B154" s="503">
        <f t="shared" si="85"/>
        <v>20</v>
      </c>
      <c r="C154" s="501">
        <f t="shared" si="85"/>
        <v>0.1</v>
      </c>
      <c r="D154" s="501">
        <f t="shared" si="85"/>
        <v>9.9999999999999995E-7</v>
      </c>
      <c r="E154" s="501">
        <f t="shared" si="85"/>
        <v>9.9999999999999995E-7</v>
      </c>
      <c r="F154" s="501">
        <f t="shared" si="85"/>
        <v>4.9999500000000002E-2</v>
      </c>
      <c r="G154" s="502">
        <f t="shared" si="85"/>
        <v>1.4</v>
      </c>
      <c r="H154" s="536"/>
      <c r="I154" s="210"/>
      <c r="J154" s="210"/>
      <c r="K154" s="211"/>
      <c r="L154" s="210"/>
      <c r="M154" s="210"/>
      <c r="N154" s="210"/>
      <c r="O154" s="211"/>
      <c r="P154" s="538"/>
    </row>
    <row r="155" spans="1:17" ht="12.75" customHeight="1">
      <c r="A155" s="831"/>
      <c r="B155" s="503">
        <f t="shared" si="85"/>
        <v>50</v>
      </c>
      <c r="C155" s="501">
        <f t="shared" si="85"/>
        <v>0.3</v>
      </c>
      <c r="D155" s="501">
        <f t="shared" si="85"/>
        <v>9.9999999999999995E-7</v>
      </c>
      <c r="E155" s="501">
        <f t="shared" si="85"/>
        <v>9.9999999999999995E-7</v>
      </c>
      <c r="F155" s="501">
        <f t="shared" si="85"/>
        <v>0.14999950000000001</v>
      </c>
      <c r="G155" s="502">
        <f t="shared" si="85"/>
        <v>1.4</v>
      </c>
      <c r="L155" s="204"/>
      <c r="M155" s="204"/>
      <c r="N155" s="204"/>
      <c r="O155" s="204"/>
    </row>
    <row r="156" spans="1:17" ht="12.75" customHeight="1">
      <c r="A156" s="831"/>
      <c r="B156" s="503">
        <f t="shared" si="85"/>
        <v>100</v>
      </c>
      <c r="C156" s="501">
        <f t="shared" si="85"/>
        <v>0.4</v>
      </c>
      <c r="D156" s="501">
        <f t="shared" si="85"/>
        <v>9.9999999999999995E-7</v>
      </c>
      <c r="E156" s="501">
        <f t="shared" si="85"/>
        <v>9.9999999999999995E-7</v>
      </c>
      <c r="F156" s="501">
        <f t="shared" si="85"/>
        <v>0.19999950000000002</v>
      </c>
      <c r="G156" s="502">
        <f t="shared" si="85"/>
        <v>1.4</v>
      </c>
      <c r="H156" s="540"/>
      <c r="I156" s="541"/>
      <c r="J156" s="541"/>
      <c r="K156" s="542"/>
      <c r="L156" s="204"/>
      <c r="M156" s="204"/>
      <c r="N156" s="204"/>
      <c r="O156" s="204"/>
    </row>
    <row r="157" spans="1:17" ht="12.75" customHeight="1">
      <c r="A157" s="831"/>
      <c r="B157" s="818" t="str">
        <f t="shared" ref="B157:B162" si="86">IF($A$166=$A$167,B26,IF($A$166=$A$168,J26,IF($A$166=$A$169,R26,IF($A$166=$A$170,B57,IF($A$166=$A$171,J57,IF($A$166=$A$172,R57,IF($A$166=$A$173,B88,IF($A$166=$A$174,J88,IF($A$166=$A$175,R88,IF($A$166=$A$176,B119,IF($A$166=$A$177,J119,R119)))))))))))</f>
        <v>Resistance</v>
      </c>
      <c r="C157" s="819"/>
      <c r="D157" s="819"/>
      <c r="E157" s="820"/>
      <c r="F157" s="501" t="str">
        <f>IF($A$166=$A$167,F26,IF($A$166=$A$168,N26,IF($A$166=$A$169,V26,IF($A$166=$A$170,F57,IF($A$166=$A$171,N57,IF($A$166=$A$172,V57,IF($A$166=$A$173,F88,IF($A$166=$A$174,N88,IF($A$166=$A$175,V88,IF($A$166=$A$176,F119,IF($A$166=$A$177,N119,V119)))))))))))</f>
        <v>Driff</v>
      </c>
      <c r="G157" s="502" t="str">
        <f>IF($A$166=$A$167,G26,IF($A$166=$A$168,O26,IF($A$166=$A$169,W26,IF($A$166=$A$170,G57,IF($A$166=$A$171,O57,IF($A$166=$A$172,W57,IF($A$166=$A$173,G88,IF($A$166=$A$174,O88,IF($A$166=$A$175,W88,IF($A$166=$A$176,G119,IF($A$166=$A$177,O119,W119)))))))))))</f>
        <v>U95</v>
      </c>
      <c r="L157" s="828"/>
      <c r="M157" s="828"/>
      <c r="O157" s="204"/>
    </row>
    <row r="158" spans="1:17" ht="12.75" customHeight="1">
      <c r="A158" s="831"/>
      <c r="B158" s="503" t="str">
        <f t="shared" si="86"/>
        <v>( Ω )</v>
      </c>
      <c r="C158" s="501">
        <f t="shared" ref="C158:E162" si="87">IF($A$166=$A$167,C27,IF($A$166=$A$168,K27,IF($A$166=$A$169,S27,IF($A$166=$A$170,C58,IF($A$166=$A$171,K58,IF($A$166=$A$172,S58,IF($A$166=$A$173,C89,IF($A$166=$A$174,K89,IF($A$166=$A$175,S89,IF($A$166=$A$176,C120,IF($A$166=$A$177,K120,S120)))))))))))</f>
        <v>2022</v>
      </c>
      <c r="D158" s="501">
        <f t="shared" si="87"/>
        <v>2020</v>
      </c>
      <c r="E158" s="501">
        <f t="shared" si="87"/>
        <v>2019</v>
      </c>
      <c r="F158" s="501"/>
      <c r="G158" s="502"/>
      <c r="H158" s="540"/>
      <c r="I158" s="541"/>
      <c r="J158" s="541"/>
      <c r="K158" s="542"/>
      <c r="L158" s="543"/>
      <c r="M158" s="204"/>
      <c r="N158" s="204"/>
      <c r="O158" s="204"/>
      <c r="Q158" s="204"/>
    </row>
    <row r="159" spans="1:17" ht="12.75" customHeight="1">
      <c r="A159" s="831"/>
      <c r="B159" s="503">
        <f t="shared" si="86"/>
        <v>0.01</v>
      </c>
      <c r="C159" s="520">
        <f t="shared" si="87"/>
        <v>-2E-3</v>
      </c>
      <c r="D159" s="520">
        <f t="shared" si="87"/>
        <v>9.9999999999999995E-7</v>
      </c>
      <c r="E159" s="520">
        <f t="shared" si="87"/>
        <v>9.9999999999999995E-7</v>
      </c>
      <c r="F159" s="501">
        <f t="shared" ref="F159:G162" si="88">IF($A$166=$A$167,F28,IF($A$166=$A$168,N28,IF($A$166=$A$169,V28,IF($A$166=$A$170,F59,IF($A$166=$A$171,N59,IF($A$166=$A$172,V59,IF($A$166=$A$173,F90,IF($A$166=$A$174,N90,IF($A$166=$A$175,V90,IF($A$166=$A$176,F121,IF($A$166=$A$177,N121,V121)))))))))))</f>
        <v>1.0005000000000001E-3</v>
      </c>
      <c r="G159" s="502">
        <f t="shared" si="88"/>
        <v>1.2E-4</v>
      </c>
      <c r="I159" s="204"/>
      <c r="J159" s="212"/>
      <c r="K159" s="212"/>
      <c r="L159" s="212"/>
      <c r="M159" s="213"/>
      <c r="N159" s="204"/>
      <c r="O159" s="204"/>
      <c r="P159" s="485"/>
      <c r="Q159" s="204"/>
    </row>
    <row r="160" spans="1:17" ht="12.75" customHeight="1">
      <c r="A160" s="831"/>
      <c r="B160" s="503">
        <f t="shared" si="86"/>
        <v>0.1</v>
      </c>
      <c r="C160" s="520">
        <f t="shared" si="87"/>
        <v>1E-3</v>
      </c>
      <c r="D160" s="520">
        <f t="shared" si="87"/>
        <v>-1E-3</v>
      </c>
      <c r="E160" s="520">
        <f t="shared" si="87"/>
        <v>2E-3</v>
      </c>
      <c r="F160" s="508">
        <f t="shared" si="88"/>
        <v>1.5E-3</v>
      </c>
      <c r="G160" s="502">
        <f t="shared" si="88"/>
        <v>1.2000000000000001E-3</v>
      </c>
      <c r="I160" s="204"/>
      <c r="J160" s="213"/>
      <c r="K160" s="212"/>
      <c r="L160" s="213"/>
      <c r="M160" s="213"/>
      <c r="N160" s="204"/>
      <c r="O160" s="204"/>
      <c r="P160" s="485"/>
      <c r="Q160" s="204"/>
    </row>
    <row r="161" spans="1:38" ht="15.75" customHeight="1">
      <c r="A161" s="831"/>
      <c r="B161" s="503">
        <f t="shared" si="86"/>
        <v>1</v>
      </c>
      <c r="C161" s="520">
        <f t="shared" si="87"/>
        <v>4.0000000000000001E-3</v>
      </c>
      <c r="D161" s="520">
        <f t="shared" si="87"/>
        <v>4.0000000000000001E-3</v>
      </c>
      <c r="E161" s="520">
        <f t="shared" si="87"/>
        <v>1.2E-2</v>
      </c>
      <c r="F161" s="508">
        <f t="shared" si="88"/>
        <v>4.0000000000000001E-3</v>
      </c>
      <c r="G161" s="502">
        <f t="shared" si="88"/>
        <v>1.2E-2</v>
      </c>
      <c r="I161" s="204"/>
      <c r="J161" s="212"/>
      <c r="K161" s="212"/>
      <c r="L161" s="212"/>
      <c r="M161" s="213"/>
      <c r="N161" s="204"/>
      <c r="O161" s="204"/>
      <c r="P161" s="485"/>
      <c r="Q161" s="204"/>
    </row>
    <row r="162" spans="1:38" ht="13.5" customHeight="1" thickBot="1">
      <c r="A162" s="832"/>
      <c r="B162" s="544">
        <f t="shared" si="86"/>
        <v>2</v>
      </c>
      <c r="C162" s="545">
        <f t="shared" si="87"/>
        <v>1.2E-2</v>
      </c>
      <c r="D162" s="545">
        <f t="shared" si="87"/>
        <v>7.0000000000000001E-3</v>
      </c>
      <c r="E162" s="545">
        <f t="shared" si="87"/>
        <v>9.9999999999999995E-7</v>
      </c>
      <c r="F162" s="546">
        <f t="shared" si="88"/>
        <v>5.9995000000000005E-3</v>
      </c>
      <c r="G162" s="547">
        <f t="shared" si="88"/>
        <v>2.4E-2</v>
      </c>
      <c r="I162" s="204"/>
      <c r="J162" s="829"/>
      <c r="K162" s="829"/>
      <c r="L162" s="829"/>
      <c r="M162" s="829"/>
      <c r="N162" s="204"/>
      <c r="O162" s="204"/>
      <c r="P162" s="485"/>
      <c r="Q162" s="204"/>
    </row>
    <row r="163" spans="1:38">
      <c r="I163" s="204"/>
      <c r="J163" s="212"/>
      <c r="K163" s="212"/>
      <c r="L163" s="212"/>
      <c r="M163" s="213"/>
      <c r="N163" s="204"/>
      <c r="O163" s="204"/>
      <c r="P163" s="485"/>
      <c r="Q163" s="204"/>
    </row>
    <row r="164" spans="1:38">
      <c r="I164" s="204"/>
      <c r="J164" s="213"/>
      <c r="K164" s="212"/>
      <c r="L164" s="213"/>
      <c r="M164" s="213"/>
      <c r="N164" s="204"/>
      <c r="O164" s="204"/>
      <c r="P164" s="485"/>
      <c r="Q164" s="204"/>
    </row>
    <row r="165" spans="1:38" ht="13" thickBot="1">
      <c r="I165" s="204"/>
      <c r="J165" s="212"/>
      <c r="K165" s="212"/>
      <c r="L165" s="212"/>
      <c r="M165" s="213"/>
      <c r="N165" s="204"/>
      <c r="O165" s="204"/>
      <c r="P165" s="485"/>
      <c r="Q165" s="204"/>
    </row>
    <row r="166" spans="1:38" ht="15" customHeight="1">
      <c r="A166" s="836" t="str">
        <f>ID!B58</f>
        <v>Electrical Safety Analyzer, Merek : Fluke, Model : ESA 620, SN : 1837056</v>
      </c>
      <c r="B166" s="836"/>
      <c r="C166" s="836"/>
      <c r="D166" s="836"/>
      <c r="E166" s="836"/>
      <c r="F166" s="836"/>
      <c r="G166" s="836"/>
      <c r="H166" s="837"/>
      <c r="I166" s="837"/>
      <c r="J166" s="837"/>
      <c r="K166" s="837"/>
      <c r="L166" s="838"/>
      <c r="N166" s="1275">
        <f>A179</f>
        <v>1</v>
      </c>
      <c r="O166" s="1276"/>
      <c r="P166" s="1276"/>
      <c r="Q166" s="1276"/>
      <c r="R166" s="1276"/>
      <c r="S166" s="1276"/>
      <c r="T166" s="1276"/>
      <c r="U166" s="1276"/>
      <c r="V166" s="1276"/>
      <c r="W166" s="1276"/>
      <c r="X166" s="1276"/>
      <c r="Y166" s="1277"/>
    </row>
    <row r="167" spans="1:38" ht="14">
      <c r="A167" s="548" t="s">
        <v>395</v>
      </c>
      <c r="B167" s="549"/>
      <c r="C167" s="550"/>
      <c r="D167" s="551"/>
      <c r="E167" s="551"/>
      <c r="F167" s="551"/>
      <c r="G167" s="551"/>
      <c r="H167" s="552"/>
      <c r="I167" s="553">
        <f>C5</f>
        <v>2022</v>
      </c>
      <c r="J167" s="553">
        <f t="shared" ref="J167:K167" si="89">D5</f>
        <v>2020</v>
      </c>
      <c r="K167" s="553">
        <f t="shared" si="89"/>
        <v>2019</v>
      </c>
      <c r="L167" s="554">
        <v>1</v>
      </c>
      <c r="N167" s="555">
        <v>1</v>
      </c>
      <c r="O167" s="556" t="s">
        <v>396</v>
      </c>
      <c r="P167" s="557"/>
      <c r="Q167" s="558"/>
      <c r="R167" s="558"/>
      <c r="S167" s="558"/>
      <c r="T167" s="558"/>
      <c r="U167" s="558"/>
      <c r="V167" s="558"/>
      <c r="W167" s="558"/>
      <c r="X167" s="557"/>
      <c r="Y167" s="559"/>
    </row>
    <row r="168" spans="1:38" ht="14">
      <c r="A168" s="548" t="s">
        <v>397</v>
      </c>
      <c r="B168" s="549"/>
      <c r="C168" s="550"/>
      <c r="D168" s="551"/>
      <c r="E168" s="551"/>
      <c r="F168" s="551"/>
      <c r="G168" s="551"/>
      <c r="H168" s="552"/>
      <c r="I168" s="553">
        <f>K5</f>
        <v>2022</v>
      </c>
      <c r="J168" s="553">
        <f t="shared" ref="J168:K168" si="90">L5</f>
        <v>2019</v>
      </c>
      <c r="K168" s="553">
        <f t="shared" si="90"/>
        <v>2017</v>
      </c>
      <c r="L168" s="554">
        <v>2</v>
      </c>
      <c r="N168" s="555">
        <v>2</v>
      </c>
      <c r="O168" s="556" t="s">
        <v>396</v>
      </c>
      <c r="P168" s="557"/>
      <c r="Q168" s="558"/>
      <c r="R168" s="558"/>
      <c r="S168" s="558"/>
      <c r="T168" s="558"/>
      <c r="U168" s="558"/>
      <c r="V168" s="558"/>
      <c r="W168" s="558"/>
      <c r="X168" s="557"/>
      <c r="Y168" s="559"/>
      <c r="AL168" s="218"/>
    </row>
    <row r="169" spans="1:38" ht="14">
      <c r="A169" s="548" t="s">
        <v>266</v>
      </c>
      <c r="B169" s="549"/>
      <c r="C169" s="550"/>
      <c r="D169" s="551"/>
      <c r="E169" s="551"/>
      <c r="F169" s="551"/>
      <c r="G169" s="551"/>
      <c r="H169" s="552"/>
      <c r="I169" s="553">
        <f>S5</f>
        <v>2018</v>
      </c>
      <c r="J169" s="553">
        <f t="shared" ref="J169:K169" si="91">T5</f>
        <v>2021</v>
      </c>
      <c r="K169" s="553">
        <f t="shared" si="91"/>
        <v>2022</v>
      </c>
      <c r="L169" s="554">
        <v>3</v>
      </c>
      <c r="N169" s="555">
        <v>3</v>
      </c>
      <c r="O169" s="556" t="s">
        <v>396</v>
      </c>
      <c r="P169" s="557"/>
      <c r="Q169" s="558"/>
      <c r="R169" s="558"/>
      <c r="S169" s="558"/>
      <c r="T169" s="558"/>
      <c r="U169" s="558"/>
      <c r="V169" s="558"/>
      <c r="W169" s="558"/>
      <c r="X169" s="557"/>
      <c r="Y169" s="559"/>
      <c r="AL169" s="218"/>
    </row>
    <row r="170" spans="1:38" ht="14">
      <c r="A170" s="548" t="s">
        <v>398</v>
      </c>
      <c r="B170" s="549"/>
      <c r="C170" s="550"/>
      <c r="D170" s="551"/>
      <c r="E170" s="551"/>
      <c r="F170" s="551"/>
      <c r="G170" s="551"/>
      <c r="H170" s="552"/>
      <c r="I170" s="553">
        <f>C36</f>
        <v>2022</v>
      </c>
      <c r="J170" s="553">
        <f t="shared" ref="J170:K170" si="92">D36</f>
        <v>2021</v>
      </c>
      <c r="K170" s="553">
        <f t="shared" si="92"/>
        <v>2019</v>
      </c>
      <c r="L170" s="554">
        <v>4</v>
      </c>
      <c r="N170" s="555">
        <v>4</v>
      </c>
      <c r="O170" s="556" t="s">
        <v>396</v>
      </c>
      <c r="P170" s="557"/>
      <c r="Q170" s="558"/>
      <c r="R170" s="558"/>
      <c r="S170" s="558"/>
      <c r="T170" s="558"/>
      <c r="U170" s="558"/>
      <c r="V170" s="558"/>
      <c r="W170" s="558"/>
      <c r="X170" s="557"/>
      <c r="Y170" s="559"/>
      <c r="AL170" s="218"/>
    </row>
    <row r="171" spans="1:38" ht="14">
      <c r="A171" s="548" t="s">
        <v>399</v>
      </c>
      <c r="B171" s="550"/>
      <c r="C171" s="550"/>
      <c r="D171" s="551"/>
      <c r="E171" s="551"/>
      <c r="F171" s="551"/>
      <c r="G171" s="551"/>
      <c r="H171" s="552"/>
      <c r="I171" s="553">
        <f>K36</f>
        <v>2022</v>
      </c>
      <c r="J171" s="553">
        <f t="shared" ref="J171:K171" si="93">L36</f>
        <v>2021</v>
      </c>
      <c r="K171" s="553">
        <f t="shared" si="93"/>
        <v>2019</v>
      </c>
      <c r="L171" s="554">
        <v>5</v>
      </c>
      <c r="N171" s="555">
        <v>5</v>
      </c>
      <c r="O171" s="556" t="s">
        <v>396</v>
      </c>
      <c r="P171" s="557"/>
      <c r="Q171" s="558"/>
      <c r="R171" s="558"/>
      <c r="S171" s="558"/>
      <c r="T171" s="558"/>
      <c r="U171" s="558"/>
      <c r="V171" s="558"/>
      <c r="W171" s="558"/>
      <c r="X171" s="557"/>
      <c r="Y171" s="559"/>
      <c r="AL171" s="218"/>
    </row>
    <row r="172" spans="1:38" ht="14">
      <c r="A172" s="548" t="s">
        <v>269</v>
      </c>
      <c r="B172" s="550"/>
      <c r="C172" s="550"/>
      <c r="D172" s="551"/>
      <c r="E172" s="551"/>
      <c r="F172" s="551"/>
      <c r="G172" s="551"/>
      <c r="H172" s="552"/>
      <c r="I172" s="553">
        <f>S36</f>
        <v>2023</v>
      </c>
      <c r="J172" s="553">
        <f t="shared" ref="J172:K172" si="94">T36</f>
        <v>2022</v>
      </c>
      <c r="K172" s="553">
        <f t="shared" si="94"/>
        <v>2019</v>
      </c>
      <c r="L172" s="554">
        <v>6</v>
      </c>
      <c r="N172" s="555">
        <v>6</v>
      </c>
      <c r="O172" s="556" t="s">
        <v>396</v>
      </c>
      <c r="P172" s="557"/>
      <c r="Q172" s="558"/>
      <c r="R172" s="558"/>
      <c r="S172" s="558"/>
      <c r="T172" s="558"/>
      <c r="U172" s="558"/>
      <c r="V172" s="558"/>
      <c r="W172" s="558"/>
      <c r="X172" s="557"/>
      <c r="Y172" s="559"/>
      <c r="AL172" s="218"/>
    </row>
    <row r="173" spans="1:38" ht="14">
      <c r="A173" s="548" t="s">
        <v>270</v>
      </c>
      <c r="B173" s="550"/>
      <c r="C173" s="550"/>
      <c r="D173" s="551"/>
      <c r="E173" s="551"/>
      <c r="F173" s="551"/>
      <c r="G173" s="551"/>
      <c r="H173" s="552"/>
      <c r="I173" s="553">
        <f>C67</f>
        <v>2023</v>
      </c>
      <c r="J173" s="553">
        <f t="shared" ref="J173:K173" si="95">D67</f>
        <v>2022</v>
      </c>
      <c r="K173" s="553">
        <f t="shared" si="95"/>
        <v>2020</v>
      </c>
      <c r="L173" s="554">
        <v>7</v>
      </c>
      <c r="N173" s="555">
        <v>7</v>
      </c>
      <c r="O173" s="556" t="s">
        <v>396</v>
      </c>
      <c r="P173" s="557"/>
      <c r="Q173" s="558"/>
      <c r="R173" s="558"/>
      <c r="S173" s="558"/>
      <c r="T173" s="558"/>
      <c r="U173" s="558"/>
      <c r="V173" s="558"/>
      <c r="W173" s="558"/>
      <c r="X173" s="557"/>
      <c r="Y173" s="559"/>
      <c r="AL173" s="218"/>
    </row>
    <row r="174" spans="1:38" ht="14">
      <c r="A174" s="548" t="s">
        <v>338</v>
      </c>
      <c r="B174" s="550"/>
      <c r="C174" s="550"/>
      <c r="D174" s="551"/>
      <c r="E174" s="551"/>
      <c r="F174" s="551"/>
      <c r="G174" s="551"/>
      <c r="H174" s="552"/>
      <c r="I174" s="560">
        <f>K67</f>
        <v>2023</v>
      </c>
      <c r="J174" s="560">
        <f t="shared" ref="J174:K174" si="96">L67</f>
        <v>2022</v>
      </c>
      <c r="K174" s="560">
        <f t="shared" si="96"/>
        <v>2020</v>
      </c>
      <c r="L174" s="554">
        <v>8</v>
      </c>
      <c r="N174" s="555">
        <v>8</v>
      </c>
      <c r="O174" s="556" t="s">
        <v>396</v>
      </c>
      <c r="P174" s="557"/>
      <c r="Q174" s="558"/>
      <c r="R174" s="558"/>
      <c r="S174" s="558"/>
      <c r="T174" s="558"/>
      <c r="U174" s="558"/>
      <c r="V174" s="558"/>
      <c r="W174" s="558"/>
      <c r="X174" s="557"/>
      <c r="Y174" s="559"/>
      <c r="AL174" s="218"/>
    </row>
    <row r="175" spans="1:38" ht="14">
      <c r="A175" s="548" t="s">
        <v>339</v>
      </c>
      <c r="B175" s="550"/>
      <c r="C175" s="550"/>
      <c r="D175" s="551"/>
      <c r="E175" s="551"/>
      <c r="F175" s="551"/>
      <c r="G175" s="551"/>
      <c r="H175" s="552"/>
      <c r="I175" s="560">
        <f>S67</f>
        <v>2019</v>
      </c>
      <c r="J175" s="560">
        <f t="shared" ref="J175:K175" si="97">T67</f>
        <v>2022</v>
      </c>
      <c r="K175" s="560">
        <f t="shared" si="97"/>
        <v>2020</v>
      </c>
      <c r="L175" s="554">
        <v>9</v>
      </c>
      <c r="N175" s="555">
        <v>9</v>
      </c>
      <c r="O175" s="556" t="s">
        <v>396</v>
      </c>
      <c r="P175" s="557"/>
      <c r="Q175" s="558"/>
      <c r="R175" s="558"/>
      <c r="S175" s="558"/>
      <c r="T175" s="558"/>
      <c r="U175" s="558"/>
      <c r="V175" s="558"/>
      <c r="W175" s="558"/>
      <c r="X175" s="557"/>
      <c r="Y175" s="559"/>
      <c r="AL175" s="218"/>
    </row>
    <row r="176" spans="1:38" ht="14">
      <c r="A176" s="548" t="s">
        <v>428</v>
      </c>
      <c r="B176" s="550"/>
      <c r="C176" s="550"/>
      <c r="D176" s="551"/>
      <c r="E176" s="551"/>
      <c r="F176" s="551"/>
      <c r="G176" s="551"/>
      <c r="H176" s="552"/>
      <c r="I176" s="560">
        <f>C98</f>
        <v>2023</v>
      </c>
      <c r="J176" s="560">
        <f t="shared" ref="J176:K176" si="98">D98</f>
        <v>2024</v>
      </c>
      <c r="K176" s="560">
        <f t="shared" si="98"/>
        <v>2025</v>
      </c>
      <c r="L176" s="554">
        <v>10</v>
      </c>
      <c r="M176" s="218"/>
      <c r="N176" s="555">
        <v>10</v>
      </c>
      <c r="O176" s="556" t="s">
        <v>396</v>
      </c>
      <c r="P176" s="557"/>
      <c r="Q176" s="558"/>
      <c r="R176" s="558"/>
      <c r="S176" s="558"/>
      <c r="T176" s="558"/>
      <c r="U176" s="558"/>
      <c r="V176" s="558"/>
      <c r="W176" s="558"/>
      <c r="X176" s="557"/>
      <c r="Y176" s="559"/>
      <c r="AL176" s="218"/>
    </row>
    <row r="177" spans="1:50" ht="14">
      <c r="A177" s="548" t="s">
        <v>400</v>
      </c>
      <c r="B177" s="550"/>
      <c r="C177" s="550"/>
      <c r="D177" s="551"/>
      <c r="E177" s="551"/>
      <c r="F177" s="551"/>
      <c r="G177" s="551"/>
      <c r="H177" s="552"/>
      <c r="I177" s="560">
        <f>K98</f>
        <v>2019</v>
      </c>
      <c r="J177" s="560">
        <f t="shared" ref="J177:K177" si="99">L98</f>
        <v>2019</v>
      </c>
      <c r="K177" s="560">
        <f t="shared" si="99"/>
        <v>2020</v>
      </c>
      <c r="L177" s="554">
        <v>11</v>
      </c>
      <c r="N177" s="555">
        <v>11</v>
      </c>
      <c r="O177" s="556" t="s">
        <v>396</v>
      </c>
      <c r="P177" s="557"/>
      <c r="Q177" s="558"/>
      <c r="R177" s="558"/>
      <c r="S177" s="558"/>
      <c r="T177" s="558"/>
      <c r="U177" s="558"/>
      <c r="V177" s="558"/>
      <c r="W177" s="558"/>
      <c r="X177" s="557"/>
      <c r="Y177" s="559"/>
      <c r="AL177" s="218"/>
    </row>
    <row r="178" spans="1:50" ht="14">
      <c r="A178" s="548" t="s">
        <v>401</v>
      </c>
      <c r="B178" s="550"/>
      <c r="C178" s="550"/>
      <c r="D178" s="551"/>
      <c r="E178" s="551"/>
      <c r="F178" s="551"/>
      <c r="G178" s="551"/>
      <c r="H178" s="552"/>
      <c r="I178" s="560">
        <f>S98</f>
        <v>2019</v>
      </c>
      <c r="J178" s="560">
        <f t="shared" ref="J178:K178" si="100">T98</f>
        <v>2019</v>
      </c>
      <c r="K178" s="560">
        <f t="shared" si="100"/>
        <v>2020</v>
      </c>
      <c r="L178" s="554">
        <v>12</v>
      </c>
      <c r="N178" s="555">
        <v>12</v>
      </c>
      <c r="O178" s="556" t="s">
        <v>396</v>
      </c>
      <c r="P178" s="557"/>
      <c r="Q178" s="558"/>
      <c r="R178" s="558"/>
      <c r="S178" s="558"/>
      <c r="T178" s="558"/>
      <c r="U178" s="558"/>
      <c r="V178" s="558"/>
      <c r="W178" s="558"/>
      <c r="X178" s="557"/>
      <c r="Y178" s="559"/>
      <c r="AL178" s="218"/>
    </row>
    <row r="179" spans="1:50" ht="15.75" customHeight="1" thickBot="1">
      <c r="A179" s="1278">
        <f>VLOOKUP(A166,A167:L178,12,(FALSE))</f>
        <v>1</v>
      </c>
      <c r="B179" s="1279"/>
      <c r="C179" s="1279"/>
      <c r="D179" s="1279"/>
      <c r="E179" s="1279"/>
      <c r="F179" s="1279"/>
      <c r="G179" s="1279"/>
      <c r="H179" s="1279"/>
      <c r="I179" s="1279"/>
      <c r="J179" s="1279"/>
      <c r="K179" s="1279"/>
      <c r="L179" s="1280"/>
      <c r="O179" s="561" t="str">
        <f>VLOOKUP(N166,N167:Y178,2,FALSE)</f>
        <v>Hasil pengukuran keselamatan listrik tertelusur ke Satuan Internasional ( SI ) melalui PT. Kaliman</v>
      </c>
      <c r="P179" s="562"/>
      <c r="Q179" s="562"/>
      <c r="R179" s="562"/>
      <c r="S179" s="562"/>
      <c r="T179" s="562"/>
      <c r="U179" s="562"/>
      <c r="V179" s="562"/>
      <c r="W179" s="562"/>
      <c r="X179" s="562"/>
      <c r="Y179" s="563"/>
      <c r="AL179" s="218"/>
    </row>
    <row r="180" spans="1:50">
      <c r="AL180" s="218"/>
    </row>
    <row r="181" spans="1:50" ht="14">
      <c r="A181" s="564"/>
      <c r="AL181" s="218"/>
    </row>
    <row r="182" spans="1:50">
      <c r="AA182" s="218"/>
      <c r="AB182" s="218"/>
      <c r="AC182" s="218"/>
      <c r="AD182" s="218"/>
      <c r="AE182" s="218"/>
      <c r="AF182" s="218"/>
      <c r="AG182" s="218"/>
      <c r="AH182" s="218"/>
      <c r="AI182" s="218"/>
      <c r="AJ182" s="218"/>
      <c r="AK182" s="218"/>
      <c r="AL182" s="218"/>
      <c r="AM182" s="218"/>
      <c r="AN182" s="218"/>
      <c r="AO182" s="218"/>
      <c r="AP182" s="218"/>
      <c r="AQ182" s="218"/>
      <c r="AR182" s="218"/>
      <c r="AS182" s="218"/>
      <c r="AT182" s="218"/>
      <c r="AU182" s="218"/>
      <c r="AV182" s="218"/>
      <c r="AW182" s="218"/>
      <c r="AX182" s="218"/>
    </row>
    <row r="215" spans="27:31">
      <c r="AA215" s="215"/>
      <c r="AB215" s="204"/>
      <c r="AC215" s="204"/>
      <c r="AD215" s="204"/>
      <c r="AE215" s="204"/>
    </row>
    <row r="216" spans="27:31">
      <c r="AA216" s="215"/>
      <c r="AB216" s="204"/>
      <c r="AC216" s="204"/>
      <c r="AD216" s="204"/>
      <c r="AE216" s="204"/>
    </row>
    <row r="217" spans="27:31">
      <c r="AA217" s="215"/>
      <c r="AB217" s="204"/>
      <c r="AC217" s="204"/>
      <c r="AD217" s="204"/>
      <c r="AE217" s="204"/>
    </row>
    <row r="218" spans="27:31">
      <c r="AA218" s="215"/>
      <c r="AB218" s="204"/>
      <c r="AC218" s="204"/>
      <c r="AD218" s="204"/>
      <c r="AE218" s="204"/>
    </row>
    <row r="219" spans="27:31">
      <c r="AA219" s="215"/>
      <c r="AB219" s="204"/>
      <c r="AC219" s="204"/>
      <c r="AD219" s="204"/>
      <c r="AE219" s="204"/>
    </row>
    <row r="220" spans="27:31" ht="13" thickBot="1">
      <c r="AA220" s="216"/>
      <c r="AB220" s="217"/>
      <c r="AC220" s="217"/>
      <c r="AD220" s="217"/>
      <c r="AE220" s="217"/>
    </row>
  </sheetData>
  <mergeCells count="94">
    <mergeCell ref="B132:G132"/>
    <mergeCell ref="I134:L134"/>
    <mergeCell ref="N166:Y166"/>
    <mergeCell ref="A179:L179"/>
    <mergeCell ref="I144:L144"/>
    <mergeCell ref="I136:L136"/>
    <mergeCell ref="I138:L138"/>
    <mergeCell ref="I140:L140"/>
    <mergeCell ref="I142:L142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A64:A93"/>
    <mergeCell ref="B64:G64"/>
    <mergeCell ref="I64:I93"/>
    <mergeCell ref="J64:O64"/>
    <mergeCell ref="Q64:Q93"/>
    <mergeCell ref="B88:E88"/>
    <mergeCell ref="J88:M88"/>
    <mergeCell ref="R64:W64"/>
    <mergeCell ref="B65:E65"/>
    <mergeCell ref="B82:E82"/>
    <mergeCell ref="J82:M82"/>
    <mergeCell ref="R82:U82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634FA-78CD-4793-B021-58254383CEF6}">
  <dimension ref="A1:E100"/>
  <sheetViews>
    <sheetView workbookViewId="0">
      <selection activeCell="E19" sqref="E19"/>
    </sheetView>
  </sheetViews>
  <sheetFormatPr defaultRowHeight="12.5"/>
  <cols>
    <col min="2" max="2" width="17.7265625" customWidth="1"/>
    <col min="3" max="3" width="44.26953125" customWidth="1"/>
    <col min="4" max="4" width="57.54296875" customWidth="1"/>
    <col min="5" max="5" width="12.81640625" customWidth="1"/>
  </cols>
  <sheetData>
    <row r="1" spans="1:5">
      <c r="A1" s="1287" t="s">
        <v>102</v>
      </c>
      <c r="B1" s="1287" t="s">
        <v>33</v>
      </c>
      <c r="C1" s="1287" t="s">
        <v>413</v>
      </c>
      <c r="D1" s="1287"/>
      <c r="E1" s="1288" t="s">
        <v>414</v>
      </c>
    </row>
    <row r="2" spans="1:5">
      <c r="A2" s="1287"/>
      <c r="B2" s="1287"/>
      <c r="C2" s="728" t="s">
        <v>60</v>
      </c>
      <c r="D2" s="728" t="s">
        <v>61</v>
      </c>
      <c r="E2" s="1289"/>
    </row>
    <row r="3" spans="1:5">
      <c r="A3" s="728">
        <v>1</v>
      </c>
      <c r="B3" s="741" t="s">
        <v>417</v>
      </c>
      <c r="C3" s="728" t="s">
        <v>419</v>
      </c>
      <c r="D3" s="730" t="s">
        <v>420</v>
      </c>
      <c r="E3" s="731" t="s">
        <v>418</v>
      </c>
    </row>
    <row r="4" spans="1:5">
      <c r="A4" s="728">
        <v>2</v>
      </c>
      <c r="B4" s="732">
        <v>45176</v>
      </c>
      <c r="C4" s="733"/>
      <c r="D4" s="734" t="s">
        <v>429</v>
      </c>
      <c r="E4" s="731" t="s">
        <v>418</v>
      </c>
    </row>
    <row r="5" spans="1:5">
      <c r="A5" s="728"/>
      <c r="B5" s="732"/>
      <c r="C5" s="728"/>
      <c r="D5" s="728"/>
      <c r="E5" s="731"/>
    </row>
    <row r="6" spans="1:5">
      <c r="A6" s="728"/>
      <c r="B6" s="732"/>
      <c r="C6" s="735"/>
      <c r="D6" s="728"/>
      <c r="E6" s="731"/>
    </row>
    <row r="7" spans="1:5">
      <c r="A7" s="728"/>
      <c r="B7" s="736"/>
      <c r="C7" s="728"/>
      <c r="D7" s="728"/>
      <c r="E7" s="731"/>
    </row>
    <row r="8" spans="1:5">
      <c r="A8" s="728"/>
      <c r="B8" s="732"/>
      <c r="C8" s="735"/>
      <c r="D8" s="728"/>
      <c r="E8" s="731"/>
    </row>
    <row r="9" spans="1:5">
      <c r="A9" s="728"/>
      <c r="B9" s="729"/>
      <c r="C9" s="730"/>
      <c r="D9" s="728"/>
      <c r="E9" s="731"/>
    </row>
    <row r="10" spans="1:5">
      <c r="A10" s="728"/>
      <c r="B10" s="732"/>
      <c r="C10" s="737"/>
      <c r="D10" s="730"/>
      <c r="E10" s="738"/>
    </row>
    <row r="11" spans="1:5">
      <c r="A11" s="728"/>
      <c r="B11" s="732"/>
      <c r="C11" s="730"/>
      <c r="D11" s="730"/>
      <c r="E11" s="738"/>
    </row>
    <row r="12" spans="1:5">
      <c r="A12" s="728"/>
      <c r="B12" s="732"/>
      <c r="C12" s="728"/>
      <c r="D12" s="728"/>
      <c r="E12" s="731"/>
    </row>
    <row r="13" spans="1:5">
      <c r="A13" s="739"/>
      <c r="B13" s="740"/>
      <c r="C13" s="728"/>
      <c r="D13" s="728"/>
      <c r="E13" s="731"/>
    </row>
    <row r="14" spans="1:5" ht="13.5" customHeight="1">
      <c r="A14" s="739"/>
      <c r="B14" s="740"/>
      <c r="C14" s="728"/>
      <c r="D14" s="728"/>
      <c r="E14" s="731"/>
    </row>
    <row r="15" spans="1:5">
      <c r="A15" s="739"/>
      <c r="B15" s="740"/>
      <c r="C15" s="728"/>
      <c r="D15" s="728"/>
      <c r="E15" s="731"/>
    </row>
    <row r="16" spans="1:5">
      <c r="A16" s="728"/>
      <c r="B16" s="729"/>
      <c r="C16" s="730"/>
      <c r="D16" s="728"/>
      <c r="E16" s="731"/>
    </row>
    <row r="17" spans="1:5">
      <c r="A17" s="728"/>
      <c r="B17" s="732"/>
      <c r="C17" s="728"/>
      <c r="D17" s="728"/>
      <c r="E17" s="731"/>
    </row>
    <row r="18" spans="1:5">
      <c r="A18" s="728"/>
      <c r="B18" s="729"/>
      <c r="C18" s="737"/>
      <c r="D18" s="730"/>
      <c r="E18" s="738"/>
    </row>
    <row r="19" spans="1:5">
      <c r="A19" s="728"/>
      <c r="B19" s="729"/>
      <c r="C19" s="730"/>
      <c r="D19" s="730"/>
      <c r="E19" s="738"/>
    </row>
    <row r="20" spans="1:5">
      <c r="A20" s="728"/>
      <c r="B20" s="732"/>
      <c r="C20" s="728"/>
      <c r="D20" s="728"/>
      <c r="E20" s="731"/>
    </row>
    <row r="21" spans="1:5">
      <c r="A21" s="728"/>
      <c r="B21" s="732"/>
      <c r="C21" s="735"/>
      <c r="D21" s="728"/>
      <c r="E21" s="731"/>
    </row>
    <row r="22" spans="1:5">
      <c r="A22" s="728"/>
      <c r="B22" s="732"/>
      <c r="C22" s="728"/>
      <c r="D22" s="728"/>
      <c r="E22" s="731"/>
    </row>
    <row r="23" spans="1:5">
      <c r="A23" s="728"/>
      <c r="B23" s="732"/>
      <c r="C23" s="728"/>
      <c r="D23" s="728"/>
      <c r="E23" s="731"/>
    </row>
    <row r="24" spans="1:5">
      <c r="A24" s="728"/>
      <c r="B24" s="732"/>
      <c r="C24" s="728"/>
      <c r="D24" s="728"/>
      <c r="E24" s="731"/>
    </row>
    <row r="25" spans="1:5">
      <c r="A25" s="728"/>
      <c r="B25" s="732"/>
      <c r="C25" s="728"/>
      <c r="D25" s="728"/>
      <c r="E25" s="731"/>
    </row>
    <row r="100" spans="1:1">
      <c r="A100" s="813" t="s">
        <v>430</v>
      </c>
    </row>
  </sheetData>
  <sheetProtection algorithmName="SHA-512" hashValue="N49DnfYwu46o1rNImoue3HLRZsdAGqfI5AroB/gkL7NyzewFdYGYvYeJb+bxI2VMwwYUrs2SVeJwvNr1upRPbA==" saltValue="0eZCIcLI82ete8p+H2tODw==" spinCount="100000" sheet="1" objects="1" scenarios="1"/>
  <mergeCells count="4">
    <mergeCell ref="A1:A2"/>
    <mergeCell ref="B1:B2"/>
    <mergeCell ref="C1:D1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showGridLines="0" view="pageBreakPreview" topLeftCell="A34" zoomScaleNormal="100" zoomScaleSheetLayoutView="100" workbookViewId="0">
      <selection activeCell="W69" sqref="W69"/>
    </sheetView>
  </sheetViews>
  <sheetFormatPr defaultColWidth="9.1796875" defaultRowHeight="13"/>
  <cols>
    <col min="1" max="1" width="4.1796875" style="4" customWidth="1"/>
    <col min="2" max="2" width="4.7265625" style="4" customWidth="1"/>
    <col min="3" max="3" width="12.1796875" style="4" customWidth="1"/>
    <col min="4" max="4" width="8.81640625" style="4" customWidth="1"/>
    <col min="5" max="5" width="6.1796875" style="4" customWidth="1"/>
    <col min="6" max="6" width="3.7265625" style="4" customWidth="1"/>
    <col min="7" max="7" width="6.26953125" style="4" customWidth="1"/>
    <col min="8" max="8" width="5" style="4" customWidth="1"/>
    <col min="9" max="9" width="6.26953125" style="4" customWidth="1"/>
    <col min="10" max="10" width="4.1796875" style="4" customWidth="1"/>
    <col min="11" max="11" width="6.54296875" style="4" customWidth="1"/>
    <col min="12" max="12" width="4" style="4" customWidth="1"/>
    <col min="13" max="13" width="10.26953125" style="4" customWidth="1"/>
    <col min="14" max="14" width="10.1796875" style="4" customWidth="1"/>
    <col min="15" max="15" width="13.1796875" style="4" customWidth="1"/>
    <col min="16" max="16" width="10.453125" style="4" customWidth="1"/>
    <col min="17" max="16384" width="9.1796875" style="4"/>
  </cols>
  <sheetData>
    <row r="1" spans="1:17" ht="18">
      <c r="A1" s="1291" t="s">
        <v>212</v>
      </c>
      <c r="B1" s="1291"/>
      <c r="C1" s="1291"/>
      <c r="D1" s="1291"/>
      <c r="E1" s="1291"/>
      <c r="F1" s="1291"/>
      <c r="G1" s="1291"/>
      <c r="H1" s="1291"/>
      <c r="I1" s="1291"/>
      <c r="J1" s="1291"/>
      <c r="K1" s="1291"/>
      <c r="L1" s="1291"/>
      <c r="M1" s="1291"/>
      <c r="N1" s="1291"/>
      <c r="O1" s="1291"/>
      <c r="P1" s="1291"/>
      <c r="Q1" s="1291"/>
    </row>
    <row r="2" spans="1:17" ht="15.5">
      <c r="A2" s="1292" t="s">
        <v>121</v>
      </c>
      <c r="B2" s="1292"/>
      <c r="C2" s="1292"/>
      <c r="D2" s="1292"/>
      <c r="E2" s="1292"/>
      <c r="F2" s="1292"/>
      <c r="G2" s="1292"/>
      <c r="H2" s="1292"/>
      <c r="I2" s="1292"/>
      <c r="J2" s="1292"/>
      <c r="K2" s="1292"/>
      <c r="L2" s="1292"/>
      <c r="M2" s="1292"/>
      <c r="N2" s="1292"/>
      <c r="O2" s="1292"/>
      <c r="P2" s="1292"/>
      <c r="Q2" s="1292"/>
    </row>
    <row r="3" spans="1:17">
      <c r="B3" s="129" t="s">
        <v>122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</row>
    <row r="4" spans="1:17" ht="16.5" customHeight="1">
      <c r="A4" s="130" t="s">
        <v>20</v>
      </c>
      <c r="B4" s="130"/>
      <c r="D4" s="130"/>
      <c r="E4" s="164" t="s">
        <v>63</v>
      </c>
      <c r="F4" s="139" t="s">
        <v>81</v>
      </c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17" ht="16.5" customHeight="1">
      <c r="A5" s="130" t="s">
        <v>19</v>
      </c>
      <c r="B5" s="130"/>
      <c r="D5" s="130"/>
      <c r="E5" s="164" t="s">
        <v>63</v>
      </c>
      <c r="F5" s="139" t="s">
        <v>81</v>
      </c>
      <c r="G5" s="130"/>
      <c r="H5" s="130"/>
      <c r="I5" s="130"/>
      <c r="J5" s="130"/>
      <c r="K5" s="130"/>
      <c r="L5" s="130"/>
      <c r="M5" s="130"/>
      <c r="N5" s="130"/>
      <c r="O5" s="130"/>
      <c r="P5" s="130"/>
    </row>
    <row r="6" spans="1:17" ht="16.5" customHeight="1">
      <c r="A6" s="130" t="s">
        <v>0</v>
      </c>
      <c r="B6" s="130"/>
      <c r="D6" s="130"/>
      <c r="E6" s="164" t="s">
        <v>63</v>
      </c>
      <c r="F6" s="139" t="s">
        <v>81</v>
      </c>
      <c r="G6" s="130"/>
      <c r="H6" s="130"/>
      <c r="I6" s="130"/>
      <c r="J6" s="130"/>
      <c r="K6" s="130"/>
      <c r="L6" s="130"/>
      <c r="M6" s="130"/>
      <c r="N6" s="130"/>
      <c r="O6" s="130"/>
      <c r="P6" s="130"/>
    </row>
    <row r="7" spans="1:17" ht="16.5" customHeight="1">
      <c r="A7" s="130" t="s">
        <v>177</v>
      </c>
      <c r="B7" s="130"/>
      <c r="D7" s="130"/>
      <c r="E7" s="164" t="s">
        <v>63</v>
      </c>
      <c r="F7" s="139" t="s">
        <v>178</v>
      </c>
      <c r="G7" s="130"/>
      <c r="H7" s="130"/>
      <c r="I7" s="130"/>
      <c r="J7" s="130"/>
      <c r="K7" s="130"/>
      <c r="L7" s="130"/>
      <c r="M7" s="130"/>
      <c r="N7" s="130"/>
      <c r="O7" s="130"/>
      <c r="P7" s="130"/>
    </row>
    <row r="8" spans="1:17" ht="17.25" customHeight="1">
      <c r="A8" s="130" t="s">
        <v>317</v>
      </c>
      <c r="B8" s="130"/>
      <c r="D8" s="130"/>
      <c r="E8" s="164" t="s">
        <v>63</v>
      </c>
      <c r="F8" s="139" t="s">
        <v>81</v>
      </c>
      <c r="G8" s="130"/>
      <c r="H8" s="130"/>
      <c r="I8" s="130"/>
      <c r="J8" s="130"/>
      <c r="K8" s="130"/>
      <c r="L8" s="130"/>
      <c r="M8" s="130"/>
      <c r="N8" s="130"/>
      <c r="O8" s="130"/>
      <c r="P8" s="130"/>
    </row>
    <row r="9" spans="1:17" ht="16.5" customHeight="1">
      <c r="A9" s="130" t="s">
        <v>318</v>
      </c>
      <c r="B9" s="130"/>
      <c r="D9" s="130"/>
      <c r="E9" s="164" t="s">
        <v>63</v>
      </c>
      <c r="F9" s="139" t="s">
        <v>81</v>
      </c>
      <c r="G9" s="130"/>
      <c r="H9" s="130"/>
      <c r="I9" s="130"/>
      <c r="J9" s="130"/>
      <c r="K9" s="130"/>
      <c r="L9" s="130"/>
      <c r="M9" s="130"/>
      <c r="N9" s="130"/>
      <c r="O9" s="130"/>
      <c r="P9" s="130"/>
    </row>
    <row r="10" spans="1:17" ht="16.5" customHeight="1">
      <c r="A10" s="130" t="s">
        <v>25</v>
      </c>
      <c r="B10" s="130"/>
      <c r="D10" s="130"/>
      <c r="E10" s="164" t="s">
        <v>63</v>
      </c>
      <c r="F10" s="139" t="s">
        <v>81</v>
      </c>
      <c r="G10" s="130"/>
      <c r="H10" s="130"/>
      <c r="I10" s="130"/>
      <c r="J10" s="130"/>
      <c r="K10" s="130"/>
      <c r="L10" s="130"/>
      <c r="M10" s="130"/>
      <c r="N10" s="130"/>
      <c r="O10" s="130"/>
      <c r="P10" s="130"/>
    </row>
    <row r="11" spans="1:17" ht="14">
      <c r="A11" s="130" t="s">
        <v>80</v>
      </c>
      <c r="B11" s="130"/>
      <c r="D11" s="130"/>
      <c r="E11" s="164" t="s">
        <v>63</v>
      </c>
      <c r="F11" s="139" t="s">
        <v>301</v>
      </c>
      <c r="G11" s="130"/>
      <c r="H11" s="130"/>
      <c r="I11" s="130"/>
      <c r="J11" s="130"/>
      <c r="K11" s="130"/>
      <c r="L11" s="130"/>
      <c r="M11" s="130"/>
      <c r="N11" s="130"/>
      <c r="O11" s="130"/>
      <c r="P11" s="130"/>
    </row>
    <row r="12" spans="1:17" ht="14">
      <c r="A12" s="130"/>
      <c r="B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</row>
    <row r="13" spans="1:17" ht="20.149999999999999" customHeight="1">
      <c r="A13" s="131" t="s">
        <v>10</v>
      </c>
      <c r="B13" s="131" t="s">
        <v>11</v>
      </c>
      <c r="D13" s="131"/>
      <c r="E13" s="130"/>
      <c r="F13" s="131"/>
      <c r="G13" s="1331" t="s">
        <v>67</v>
      </c>
      <c r="H13" s="1332"/>
      <c r="I13" s="1331" t="s">
        <v>68</v>
      </c>
      <c r="J13" s="1332"/>
      <c r="K13" s="149"/>
      <c r="L13" s="130"/>
      <c r="M13" s="130"/>
      <c r="N13" s="130"/>
      <c r="O13" s="130"/>
      <c r="P13" s="130"/>
    </row>
    <row r="14" spans="1:17" ht="20.149999999999999" customHeight="1">
      <c r="A14" s="130"/>
      <c r="B14" s="130" t="s">
        <v>22</v>
      </c>
      <c r="D14" s="130"/>
      <c r="E14" s="130"/>
      <c r="F14" s="130" t="s">
        <v>24</v>
      </c>
      <c r="G14" s="1333"/>
      <c r="H14" s="1333"/>
      <c r="I14" s="1333"/>
      <c r="J14" s="1333"/>
      <c r="K14" s="130" t="s">
        <v>119</v>
      </c>
      <c r="L14" s="130"/>
      <c r="M14" s="130"/>
      <c r="N14" s="130"/>
      <c r="O14" s="130"/>
      <c r="P14" s="130"/>
    </row>
    <row r="15" spans="1:17" ht="20.149999999999999" customHeight="1">
      <c r="A15" s="130"/>
      <c r="B15" s="130" t="s">
        <v>21</v>
      </c>
      <c r="D15" s="130"/>
      <c r="E15" s="130"/>
      <c r="F15" s="130" t="s">
        <v>63</v>
      </c>
      <c r="G15" s="1333"/>
      <c r="H15" s="1333"/>
      <c r="I15" s="1333"/>
      <c r="J15" s="1333"/>
      <c r="K15" s="130" t="s">
        <v>65</v>
      </c>
      <c r="L15" s="130"/>
      <c r="M15" s="130"/>
      <c r="N15" s="130"/>
      <c r="O15" s="130"/>
      <c r="P15" s="130"/>
    </row>
    <row r="16" spans="1:17" ht="20.149999999999999" customHeight="1">
      <c r="A16" s="130"/>
      <c r="B16" s="130" t="s">
        <v>123</v>
      </c>
      <c r="D16" s="130"/>
      <c r="E16" s="141"/>
      <c r="F16" s="130" t="s">
        <v>63</v>
      </c>
      <c r="G16" s="135"/>
      <c r="H16" s="136"/>
      <c r="I16" s="136"/>
      <c r="J16" s="165"/>
      <c r="K16" s="130"/>
      <c r="L16" s="130"/>
      <c r="M16" s="130"/>
      <c r="N16" s="130"/>
      <c r="O16" s="130"/>
      <c r="P16" s="130"/>
    </row>
    <row r="17" spans="1:17" ht="14">
      <c r="A17" s="130"/>
      <c r="B17" s="130"/>
      <c r="D17" s="130"/>
      <c r="E17" s="130"/>
      <c r="F17" s="130"/>
      <c r="G17" s="130"/>
      <c r="H17" s="130"/>
      <c r="I17" s="130"/>
      <c r="J17" s="130"/>
      <c r="K17" s="130"/>
      <c r="L17" s="130"/>
      <c r="M17" s="130"/>
      <c r="N17" s="130"/>
      <c r="O17" s="130"/>
      <c r="P17" s="130"/>
    </row>
    <row r="18" spans="1:17" ht="14">
      <c r="A18" s="131" t="s">
        <v>12</v>
      </c>
      <c r="B18" s="131" t="s">
        <v>149</v>
      </c>
      <c r="D18" s="131"/>
      <c r="E18" s="130"/>
      <c r="F18" s="131"/>
      <c r="G18" s="131"/>
      <c r="H18" s="131"/>
      <c r="I18" s="131"/>
      <c r="J18" s="130"/>
      <c r="K18" s="130"/>
      <c r="L18" s="130"/>
      <c r="M18" s="130"/>
      <c r="N18" s="130"/>
      <c r="O18" s="130"/>
      <c r="P18" s="130"/>
      <c r="Q18" s="272" t="s">
        <v>197</v>
      </c>
    </row>
    <row r="19" spans="1:17" ht="16.5" customHeight="1">
      <c r="A19" s="130"/>
      <c r="B19" s="130" t="s">
        <v>13</v>
      </c>
      <c r="D19" s="130"/>
      <c r="E19" s="130"/>
      <c r="F19" s="130" t="s">
        <v>73</v>
      </c>
      <c r="G19" s="130"/>
      <c r="H19" s="130"/>
      <c r="J19" s="1337" t="s">
        <v>74</v>
      </c>
      <c r="K19" s="1337"/>
      <c r="L19" s="1337"/>
      <c r="M19" s="1337"/>
      <c r="N19" s="1337"/>
      <c r="O19" s="1337"/>
      <c r="P19" s="130"/>
      <c r="Q19" s="274">
        <v>0.05</v>
      </c>
    </row>
    <row r="20" spans="1:17" ht="16.5" customHeight="1">
      <c r="A20" s="130"/>
      <c r="B20" s="130" t="s">
        <v>1</v>
      </c>
      <c r="D20" s="130"/>
      <c r="E20" s="130"/>
      <c r="F20" s="130" t="s">
        <v>73</v>
      </c>
      <c r="G20" s="130"/>
      <c r="H20" s="130"/>
      <c r="J20" s="1337"/>
      <c r="K20" s="1337"/>
      <c r="L20" s="1337"/>
      <c r="M20" s="1337"/>
      <c r="N20" s="1337"/>
      <c r="O20" s="1337"/>
      <c r="P20" s="130"/>
      <c r="Q20" s="274">
        <v>0.05</v>
      </c>
    </row>
    <row r="21" spans="1:17" ht="6.75" customHeight="1">
      <c r="A21" s="131"/>
      <c r="B21" s="131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</row>
    <row r="22" spans="1:17" ht="14">
      <c r="A22" s="131" t="s">
        <v>2</v>
      </c>
      <c r="B22" s="131" t="s">
        <v>206</v>
      </c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</row>
    <row r="23" spans="1:17" ht="20.149999999999999" customHeight="1">
      <c r="B23" s="1344" t="s">
        <v>14</v>
      </c>
      <c r="C23" s="1338" t="s">
        <v>4</v>
      </c>
      <c r="D23" s="1339"/>
      <c r="E23" s="1339"/>
      <c r="F23" s="1339"/>
      <c r="G23" s="1339"/>
      <c r="H23" s="1339"/>
      <c r="I23" s="1339"/>
      <c r="J23" s="1339"/>
      <c r="K23" s="1339"/>
      <c r="L23" s="1340"/>
      <c r="M23" s="1328" t="s">
        <v>76</v>
      </c>
      <c r="N23" s="1334"/>
      <c r="O23" s="1327" t="s">
        <v>15</v>
      </c>
      <c r="P23" s="1328"/>
      <c r="Q23" s="1322" t="s">
        <v>197</v>
      </c>
    </row>
    <row r="24" spans="1:17" ht="15" customHeight="1">
      <c r="B24" s="1345"/>
      <c r="C24" s="1341"/>
      <c r="D24" s="1342"/>
      <c r="E24" s="1342"/>
      <c r="F24" s="1342"/>
      <c r="G24" s="1342"/>
      <c r="H24" s="1342"/>
      <c r="I24" s="1342"/>
      <c r="J24" s="1342"/>
      <c r="K24" s="1342"/>
      <c r="L24" s="1343"/>
      <c r="M24" s="1335"/>
      <c r="N24" s="1336"/>
      <c r="O24" s="1329"/>
      <c r="P24" s="1330"/>
      <c r="Q24" s="1322"/>
    </row>
    <row r="25" spans="1:17" ht="20.149999999999999" customHeight="1">
      <c r="B25" s="134">
        <v>1</v>
      </c>
      <c r="C25" s="1301" t="s">
        <v>188</v>
      </c>
      <c r="D25" s="1302"/>
      <c r="E25" s="1302"/>
      <c r="F25" s="1302"/>
      <c r="G25" s="1302"/>
      <c r="H25" s="1302"/>
      <c r="I25" s="1302"/>
      <c r="J25" s="1302"/>
      <c r="K25" s="1302"/>
      <c r="L25" s="1303"/>
      <c r="M25" s="136"/>
      <c r="N25" s="166" t="s">
        <v>124</v>
      </c>
      <c r="O25" s="137" t="s">
        <v>302</v>
      </c>
      <c r="P25" s="275" t="s">
        <v>124</v>
      </c>
      <c r="Q25" s="276">
        <v>0.1</v>
      </c>
    </row>
    <row r="26" spans="1:17" ht="20.149999999999999" customHeight="1">
      <c r="B26" s="134">
        <v>2</v>
      </c>
      <c r="C26" s="1301" t="s">
        <v>169</v>
      </c>
      <c r="D26" s="1302"/>
      <c r="E26" s="1302"/>
      <c r="F26" s="1302"/>
      <c r="G26" s="1302"/>
      <c r="H26" s="1302"/>
      <c r="I26" s="1302"/>
      <c r="J26" s="1302"/>
      <c r="K26" s="1302"/>
      <c r="L26" s="1303"/>
      <c r="M26" s="136"/>
      <c r="N26" s="166" t="s">
        <v>125</v>
      </c>
      <c r="O26" s="137" t="s">
        <v>126</v>
      </c>
      <c r="P26" s="275" t="s">
        <v>125</v>
      </c>
      <c r="Q26" s="1323">
        <v>0.1</v>
      </c>
    </row>
    <row r="27" spans="1:17" ht="20.149999999999999" customHeight="1">
      <c r="B27" s="134">
        <v>3</v>
      </c>
      <c r="C27" s="1301" t="s">
        <v>170</v>
      </c>
      <c r="D27" s="1302"/>
      <c r="E27" s="1302"/>
      <c r="F27" s="1302"/>
      <c r="G27" s="1302"/>
      <c r="H27" s="1302"/>
      <c r="I27" s="1302"/>
      <c r="J27" s="1302"/>
      <c r="K27" s="1302"/>
      <c r="L27" s="1303"/>
      <c r="M27" s="136"/>
      <c r="N27" s="166" t="s">
        <v>125</v>
      </c>
      <c r="O27" s="137" t="s">
        <v>142</v>
      </c>
      <c r="P27" s="275" t="s">
        <v>125</v>
      </c>
      <c r="Q27" s="1324"/>
    </row>
    <row r="28" spans="1:17" ht="20.149999999999999" customHeight="1">
      <c r="B28" s="134">
        <v>4</v>
      </c>
      <c r="C28" s="1301" t="s">
        <v>181</v>
      </c>
      <c r="D28" s="1302"/>
      <c r="E28" s="1302"/>
      <c r="F28" s="1302"/>
      <c r="G28" s="1302"/>
      <c r="H28" s="1302"/>
      <c r="I28" s="1302"/>
      <c r="J28" s="1302"/>
      <c r="K28" s="1302"/>
      <c r="L28" s="1303"/>
      <c r="M28" s="136"/>
      <c r="N28" s="166" t="s">
        <v>84</v>
      </c>
      <c r="O28" s="137" t="s">
        <v>127</v>
      </c>
      <c r="P28" s="275" t="s">
        <v>84</v>
      </c>
      <c r="Q28" s="1325">
        <v>0.1</v>
      </c>
    </row>
    <row r="29" spans="1:17" ht="20.149999999999999" customHeight="1">
      <c r="B29" s="134">
        <v>5</v>
      </c>
      <c r="C29" s="1301" t="s">
        <v>182</v>
      </c>
      <c r="D29" s="1302"/>
      <c r="E29" s="1302"/>
      <c r="F29" s="1302"/>
      <c r="G29" s="1302"/>
      <c r="H29" s="1302"/>
      <c r="I29" s="1302"/>
      <c r="J29" s="1302"/>
      <c r="K29" s="1302"/>
      <c r="L29" s="1303"/>
      <c r="M29" s="136"/>
      <c r="N29" s="166" t="s">
        <v>84</v>
      </c>
      <c r="O29" s="137" t="s">
        <v>128</v>
      </c>
      <c r="P29" s="275" t="s">
        <v>84</v>
      </c>
      <c r="Q29" s="1326"/>
    </row>
    <row r="30" spans="1:17" ht="20.149999999999999" customHeight="1">
      <c r="B30" s="134">
        <v>6</v>
      </c>
      <c r="C30" s="1301" t="s">
        <v>155</v>
      </c>
      <c r="D30" s="1302"/>
      <c r="E30" s="1302"/>
      <c r="F30" s="1302"/>
      <c r="G30" s="1302"/>
      <c r="H30" s="1302"/>
      <c r="I30" s="1302"/>
      <c r="J30" s="1302"/>
      <c r="K30" s="1302"/>
      <c r="L30" s="1303"/>
      <c r="M30" s="136"/>
      <c r="N30" s="166" t="s">
        <v>84</v>
      </c>
      <c r="O30" s="137" t="s">
        <v>321</v>
      </c>
      <c r="P30" s="275" t="s">
        <v>84</v>
      </c>
      <c r="Q30" s="276">
        <v>0.1</v>
      </c>
    </row>
    <row r="31" spans="1:17" ht="14">
      <c r="B31" s="167"/>
      <c r="C31" s="130"/>
      <c r="D31" s="130"/>
      <c r="E31" s="130"/>
      <c r="F31" s="130"/>
      <c r="G31" s="130"/>
      <c r="H31" s="129"/>
      <c r="I31" s="129"/>
      <c r="J31" s="168"/>
      <c r="K31" s="168"/>
      <c r="L31" s="130"/>
      <c r="M31" s="130"/>
      <c r="N31" s="169" t="s">
        <v>173</v>
      </c>
      <c r="O31" s="132" t="s">
        <v>172</v>
      </c>
      <c r="P31" s="129"/>
    </row>
    <row r="32" spans="1:17" ht="14">
      <c r="B32" s="167"/>
      <c r="C32" s="130"/>
      <c r="D32" s="130"/>
      <c r="E32" s="130"/>
      <c r="F32" s="130"/>
      <c r="G32" s="130"/>
      <c r="H32" s="129"/>
      <c r="I32" s="129"/>
      <c r="J32" s="168"/>
      <c r="K32" s="168"/>
      <c r="L32" s="130"/>
      <c r="M32" s="130"/>
      <c r="N32" s="164" t="s">
        <v>171</v>
      </c>
      <c r="O32" s="132" t="s">
        <v>172</v>
      </c>
      <c r="P32" s="129"/>
    </row>
    <row r="33" spans="1:17" ht="7.5" customHeight="1">
      <c r="B33" s="167"/>
      <c r="C33" s="130"/>
      <c r="D33" s="130"/>
      <c r="E33" s="130"/>
      <c r="F33" s="130"/>
      <c r="G33" s="130"/>
      <c r="H33" s="130"/>
      <c r="I33" s="133"/>
      <c r="J33" s="168"/>
      <c r="K33" s="168"/>
      <c r="L33" s="130"/>
      <c r="M33" s="130"/>
      <c r="N33" s="130"/>
      <c r="O33" s="130"/>
      <c r="P33" s="158"/>
    </row>
    <row r="34" spans="1:17" ht="14">
      <c r="A34" s="138" t="s">
        <v>3</v>
      </c>
      <c r="B34" s="138" t="s">
        <v>207</v>
      </c>
      <c r="D34" s="138"/>
      <c r="E34" s="138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</row>
    <row r="35" spans="1:17" ht="14">
      <c r="B35" s="138" t="s">
        <v>210</v>
      </c>
      <c r="E35" s="6"/>
      <c r="F35" s="5"/>
      <c r="G35" s="5"/>
      <c r="H35" s="5"/>
      <c r="I35" s="5"/>
      <c r="J35" s="5"/>
      <c r="K35" s="5"/>
      <c r="L35" s="5"/>
      <c r="M35" s="5"/>
      <c r="N35" s="5"/>
    </row>
    <row r="36" spans="1:17" ht="14">
      <c r="A36" s="138"/>
      <c r="B36" s="138" t="s">
        <v>120</v>
      </c>
      <c r="D36" s="138"/>
      <c r="E36" s="138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</row>
    <row r="37" spans="1:17" s="3" customFormat="1" ht="15" customHeight="1">
      <c r="B37" s="1310" t="s">
        <v>14</v>
      </c>
      <c r="C37" s="1346" t="s">
        <v>4</v>
      </c>
      <c r="D37" s="1300" t="s">
        <v>75</v>
      </c>
      <c r="E37" s="1300"/>
      <c r="F37" s="1300"/>
      <c r="G37" s="1317" t="s">
        <v>162</v>
      </c>
      <c r="H37" s="1318"/>
      <c r="I37" s="1318"/>
      <c r="J37" s="1318"/>
      <c r="K37" s="1318"/>
      <c r="L37" s="1318"/>
      <c r="M37" s="1318"/>
      <c r="N37" s="1319"/>
      <c r="O37" s="1310" t="s">
        <v>72</v>
      </c>
      <c r="P37" s="160"/>
      <c r="Q37" s="1305" t="s">
        <v>197</v>
      </c>
    </row>
    <row r="38" spans="1:17" s="3" customFormat="1" ht="14">
      <c r="B38" s="1311"/>
      <c r="C38" s="1347"/>
      <c r="D38" s="1299" t="s">
        <v>37</v>
      </c>
      <c r="E38" s="1299"/>
      <c r="F38" s="1299"/>
      <c r="G38" s="1297" t="s">
        <v>5</v>
      </c>
      <c r="H38" s="1315"/>
      <c r="I38" s="1297" t="s">
        <v>6</v>
      </c>
      <c r="J38" s="1315"/>
      <c r="K38" s="1297" t="s">
        <v>7</v>
      </c>
      <c r="L38" s="1315"/>
      <c r="M38" s="1297" t="s">
        <v>8</v>
      </c>
      <c r="N38" s="1299" t="s">
        <v>9</v>
      </c>
      <c r="O38" s="1311"/>
      <c r="P38" s="170"/>
      <c r="Q38" s="1305"/>
    </row>
    <row r="39" spans="1:17" s="3" customFormat="1" ht="14">
      <c r="B39" s="1312"/>
      <c r="C39" s="1348"/>
      <c r="D39" s="243" t="s">
        <v>304</v>
      </c>
      <c r="E39" s="1317" t="s">
        <v>305</v>
      </c>
      <c r="F39" s="1319"/>
      <c r="G39" s="1298"/>
      <c r="H39" s="1316"/>
      <c r="I39" s="1298"/>
      <c r="J39" s="1316"/>
      <c r="K39" s="1298"/>
      <c r="L39" s="1316"/>
      <c r="M39" s="1298"/>
      <c r="N39" s="1299"/>
      <c r="O39" s="1312"/>
      <c r="P39" s="171"/>
      <c r="Q39" s="1305"/>
    </row>
    <row r="40" spans="1:17" ht="15" customHeight="1">
      <c r="B40" s="140">
        <v>1</v>
      </c>
      <c r="C40" s="1349" t="s">
        <v>101</v>
      </c>
      <c r="D40" s="140">
        <v>1</v>
      </c>
      <c r="E40" s="1321">
        <v>1</v>
      </c>
      <c r="F40" s="1321"/>
      <c r="G40" s="1296"/>
      <c r="H40" s="1296"/>
      <c r="I40" s="1296"/>
      <c r="J40" s="1296"/>
      <c r="K40" s="1294"/>
      <c r="L40" s="1295"/>
      <c r="M40" s="247"/>
      <c r="N40" s="246"/>
      <c r="O40" s="1306" t="s">
        <v>77</v>
      </c>
      <c r="P40" s="172"/>
      <c r="Q40" s="1309">
        <v>0.4</v>
      </c>
    </row>
    <row r="41" spans="1:17" ht="14.25" customHeight="1">
      <c r="B41" s="140">
        <v>2</v>
      </c>
      <c r="C41" s="1350"/>
      <c r="D41" s="140">
        <v>1.5</v>
      </c>
      <c r="E41" s="1321">
        <v>2</v>
      </c>
      <c r="F41" s="1321"/>
      <c r="G41" s="1296"/>
      <c r="H41" s="1296"/>
      <c r="I41" s="1296"/>
      <c r="J41" s="1296"/>
      <c r="K41" s="1294"/>
      <c r="L41" s="1295"/>
      <c r="M41" s="247"/>
      <c r="N41" s="246"/>
      <c r="O41" s="1307"/>
      <c r="P41" s="172"/>
      <c r="Q41" s="1309"/>
    </row>
    <row r="42" spans="1:17" ht="14.25" customHeight="1">
      <c r="B42" s="140">
        <v>3</v>
      </c>
      <c r="C42" s="1350"/>
      <c r="D42" s="140">
        <v>2</v>
      </c>
      <c r="E42" s="1321">
        <v>6</v>
      </c>
      <c r="F42" s="1321"/>
      <c r="G42" s="1296"/>
      <c r="H42" s="1296"/>
      <c r="I42" s="1296"/>
      <c r="J42" s="1296"/>
      <c r="K42" s="1294"/>
      <c r="L42" s="1295"/>
      <c r="M42" s="247"/>
      <c r="N42" s="246"/>
      <c r="O42" s="1307"/>
      <c r="P42" s="172"/>
      <c r="Q42" s="1309"/>
    </row>
    <row r="43" spans="1:17" ht="14.25" customHeight="1">
      <c r="B43" s="140">
        <v>4</v>
      </c>
      <c r="C43" s="1350"/>
      <c r="D43" s="140">
        <v>2.5</v>
      </c>
      <c r="E43" s="1321">
        <v>8</v>
      </c>
      <c r="F43" s="1321"/>
      <c r="G43" s="1296"/>
      <c r="H43" s="1296"/>
      <c r="I43" s="1296"/>
      <c r="J43" s="1296"/>
      <c r="K43" s="1294"/>
      <c r="L43" s="1295"/>
      <c r="M43" s="247"/>
      <c r="N43" s="246"/>
      <c r="O43" s="1307"/>
      <c r="P43" s="172"/>
      <c r="Q43" s="1309"/>
    </row>
    <row r="44" spans="1:17" ht="14.25" customHeight="1">
      <c r="B44" s="140">
        <v>5</v>
      </c>
      <c r="C44" s="1351"/>
      <c r="D44" s="140">
        <v>3</v>
      </c>
      <c r="E44" s="1321">
        <v>10</v>
      </c>
      <c r="F44" s="1321"/>
      <c r="G44" s="1296"/>
      <c r="H44" s="1296"/>
      <c r="I44" s="1296"/>
      <c r="J44" s="1296"/>
      <c r="K44" s="1294"/>
      <c r="L44" s="1295"/>
      <c r="M44" s="247"/>
      <c r="N44" s="246"/>
      <c r="O44" s="1308"/>
      <c r="P44" s="172"/>
      <c r="Q44" s="1309"/>
    </row>
    <row r="45" spans="1:17" ht="5.25" customHeight="1"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72"/>
    </row>
    <row r="46" spans="1:17" ht="5.25" customHeight="1"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</row>
    <row r="47" spans="1:17" ht="14">
      <c r="B47" s="138" t="s">
        <v>208</v>
      </c>
      <c r="D47" s="138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</row>
    <row r="48" spans="1:17" ht="42">
      <c r="B48" s="143" t="s">
        <v>102</v>
      </c>
      <c r="C48" s="144" t="s">
        <v>4</v>
      </c>
      <c r="D48" s="145" t="s">
        <v>103</v>
      </c>
      <c r="E48" s="1313" t="s">
        <v>5</v>
      </c>
      <c r="F48" s="1314"/>
      <c r="G48" s="1313" t="s">
        <v>6</v>
      </c>
      <c r="H48" s="1314"/>
      <c r="I48" s="1353" t="s">
        <v>7</v>
      </c>
      <c r="J48" s="1353"/>
      <c r="K48" s="1313" t="s">
        <v>8</v>
      </c>
      <c r="L48" s="1314"/>
      <c r="M48" s="244" t="s">
        <v>9</v>
      </c>
      <c r="N48" s="173" t="s">
        <v>72</v>
      </c>
      <c r="P48" s="174"/>
      <c r="Q48" s="272" t="s">
        <v>197</v>
      </c>
    </row>
    <row r="49" spans="1:17" ht="28">
      <c r="B49" s="146">
        <v>1</v>
      </c>
      <c r="C49" s="147" t="s">
        <v>147</v>
      </c>
      <c r="D49" s="142">
        <v>300</v>
      </c>
      <c r="E49" s="1294"/>
      <c r="F49" s="1295"/>
      <c r="G49" s="1294"/>
      <c r="H49" s="1295"/>
      <c r="I49" s="1296"/>
      <c r="J49" s="1296"/>
      <c r="K49" s="1294"/>
      <c r="L49" s="1295"/>
      <c r="M49" s="245"/>
      <c r="N49" s="175" t="s">
        <v>423</v>
      </c>
      <c r="P49" s="176"/>
      <c r="Q49" s="273">
        <v>0.1</v>
      </c>
    </row>
    <row r="50" spans="1:17" ht="19.5" customHeight="1">
      <c r="B50" s="1320" t="s">
        <v>312</v>
      </c>
      <c r="C50" s="1320"/>
      <c r="D50" s="1320"/>
      <c r="E50" s="1320"/>
      <c r="F50" s="1320"/>
      <c r="G50" s="1320"/>
      <c r="H50" s="1320"/>
      <c r="I50" s="1320"/>
      <c r="J50" s="1320"/>
      <c r="K50" s="1320"/>
      <c r="L50" s="1320"/>
      <c r="M50" s="1320"/>
      <c r="N50" s="1320"/>
      <c r="O50" s="1320"/>
      <c r="P50" s="1320"/>
      <c r="Q50" s="1320"/>
    </row>
    <row r="51" spans="1:17" ht="12.75" customHeight="1">
      <c r="B51" s="130"/>
      <c r="C51" s="130"/>
      <c r="D51" s="130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81"/>
    </row>
    <row r="52" spans="1:17" ht="14">
      <c r="A52" s="148" t="s">
        <v>168</v>
      </c>
      <c r="B52" s="148" t="s">
        <v>18</v>
      </c>
      <c r="D52" s="14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</row>
    <row r="53" spans="1:17" ht="14">
      <c r="B53" s="1290" t="s">
        <v>71</v>
      </c>
      <c r="C53" s="1290"/>
      <c r="D53" s="14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</row>
    <row r="54" spans="1:17" ht="14" hidden="1">
      <c r="B54" s="1290" t="s">
        <v>71</v>
      </c>
      <c r="C54" s="1290"/>
      <c r="D54" s="14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</row>
    <row r="55" spans="1:17" ht="14">
      <c r="B55" s="1293" t="s">
        <v>71</v>
      </c>
      <c r="C55" s="1293"/>
      <c r="D55" s="130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</row>
    <row r="56" spans="1:17" ht="6.75" customHeight="1">
      <c r="B56" s="131"/>
      <c r="C56" s="163"/>
      <c r="D56" s="130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</row>
    <row r="57" spans="1:17" ht="14">
      <c r="A57" s="131" t="s">
        <v>167</v>
      </c>
      <c r="B57" s="131" t="s">
        <v>16</v>
      </c>
      <c r="D57" s="130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</row>
    <row r="58" spans="1:17" ht="20">
      <c r="B58" s="241" t="s">
        <v>130</v>
      </c>
      <c r="C58" s="177" t="s">
        <v>421</v>
      </c>
      <c r="D58" s="50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</row>
    <row r="59" spans="1:17" ht="20">
      <c r="B59" s="241" t="s">
        <v>130</v>
      </c>
      <c r="C59" s="177" t="s">
        <v>427</v>
      </c>
      <c r="D59" s="50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</row>
    <row r="60" spans="1:17" ht="20">
      <c r="B60" s="241" t="s">
        <v>130</v>
      </c>
      <c r="C60" s="162" t="s">
        <v>131</v>
      </c>
      <c r="D60" s="129"/>
      <c r="E60" s="129"/>
      <c r="F60" s="129"/>
      <c r="G60" s="129"/>
      <c r="H60" s="129"/>
      <c r="I60" s="129"/>
      <c r="J60" s="129"/>
      <c r="K60" s="129"/>
      <c r="L60" s="150"/>
      <c r="M60" s="150"/>
      <c r="N60" s="150"/>
      <c r="O60" s="130"/>
      <c r="P60" s="178"/>
    </row>
    <row r="61" spans="1:17" ht="20">
      <c r="B61" s="241" t="s">
        <v>130</v>
      </c>
      <c r="C61" s="162" t="s">
        <v>143</v>
      </c>
      <c r="D61" s="129"/>
      <c r="E61" s="129"/>
      <c r="F61" s="129"/>
      <c r="G61" s="129"/>
      <c r="H61" s="129"/>
      <c r="I61" s="129"/>
      <c r="J61" s="129"/>
      <c r="K61" s="129"/>
      <c r="L61" s="150"/>
      <c r="M61" s="150"/>
      <c r="N61" s="150"/>
      <c r="O61" s="130"/>
      <c r="P61" s="130"/>
    </row>
    <row r="62" spans="1:17" ht="20">
      <c r="B62" s="241"/>
      <c r="C62" s="162"/>
      <c r="D62" s="129"/>
      <c r="E62" s="129"/>
      <c r="F62" s="1352" t="s">
        <v>424</v>
      </c>
      <c r="G62" s="1352"/>
      <c r="H62" s="1352"/>
      <c r="I62" s="1352"/>
      <c r="J62" s="1352"/>
      <c r="K62" s="1352"/>
      <c r="L62" s="1352"/>
      <c r="M62" s="1352"/>
      <c r="N62" s="1352"/>
      <c r="O62" s="1352"/>
      <c r="P62" s="1352"/>
    </row>
    <row r="63" spans="1:17" ht="20">
      <c r="B63" s="241" t="s">
        <v>130</v>
      </c>
      <c r="C63" s="161" t="s">
        <v>132</v>
      </c>
      <c r="D63" s="129"/>
      <c r="E63" s="129"/>
      <c r="F63" s="129"/>
      <c r="G63" s="129"/>
      <c r="H63" s="129"/>
      <c r="I63" s="129"/>
      <c r="J63" s="129"/>
      <c r="K63" s="129"/>
      <c r="L63" s="150"/>
      <c r="M63" s="150"/>
      <c r="N63" s="150"/>
      <c r="O63" s="130"/>
      <c r="P63" s="130"/>
    </row>
    <row r="64" spans="1:17" ht="20">
      <c r="B64" s="241" t="s">
        <v>130</v>
      </c>
      <c r="C64" s="186" t="s">
        <v>377</v>
      </c>
      <c r="D64" s="284"/>
      <c r="E64" s="284"/>
      <c r="F64" s="284"/>
      <c r="G64" s="284"/>
      <c r="H64" s="284"/>
      <c r="I64" s="284"/>
      <c r="J64" s="129"/>
      <c r="K64" s="129"/>
      <c r="L64" s="150"/>
      <c r="M64" s="150"/>
      <c r="N64" s="150"/>
      <c r="O64" s="130"/>
      <c r="P64" s="130"/>
    </row>
    <row r="65" spans="1:17" ht="20">
      <c r="B65" s="241"/>
      <c r="C65" s="183"/>
      <c r="D65" s="284"/>
      <c r="E65" s="284"/>
      <c r="F65" s="130" t="s">
        <v>378</v>
      </c>
      <c r="G65" s="284"/>
      <c r="H65" s="284"/>
      <c r="I65" s="284"/>
      <c r="J65" s="129"/>
      <c r="K65" s="129"/>
      <c r="L65" s="150"/>
      <c r="M65" s="150"/>
      <c r="N65" s="150"/>
      <c r="O65" s="130"/>
      <c r="P65" s="130"/>
    </row>
    <row r="66" spans="1:17" ht="20">
      <c r="B66" s="241" t="s">
        <v>130</v>
      </c>
      <c r="C66" s="139" t="s">
        <v>144</v>
      </c>
      <c r="D66" s="130"/>
      <c r="E66" s="129"/>
      <c r="F66" s="129"/>
      <c r="G66" s="129"/>
      <c r="H66" s="129"/>
      <c r="I66" s="129"/>
      <c r="J66" s="129"/>
      <c r="K66" s="129"/>
      <c r="L66" s="150"/>
      <c r="M66" s="150"/>
      <c r="N66" s="150"/>
      <c r="O66" s="130"/>
      <c r="P66" s="130"/>
    </row>
    <row r="67" spans="1:17" ht="20">
      <c r="B67" s="241" t="s">
        <v>130</v>
      </c>
      <c r="C67" s="139" t="s">
        <v>161</v>
      </c>
      <c r="D67" s="130"/>
      <c r="E67" s="129"/>
      <c r="F67" s="129"/>
      <c r="G67" s="129"/>
      <c r="H67" s="129"/>
      <c r="I67" s="129"/>
      <c r="J67" s="129"/>
      <c r="K67" s="129"/>
      <c r="L67" s="150"/>
      <c r="M67" s="150"/>
      <c r="N67" s="150"/>
      <c r="O67" s="130"/>
      <c r="P67" s="130"/>
    </row>
    <row r="68" spans="1:17" ht="20">
      <c r="B68" s="241" t="s">
        <v>130</v>
      </c>
      <c r="C68" s="139" t="s">
        <v>145</v>
      </c>
      <c r="D68" s="130"/>
      <c r="E68" s="129"/>
      <c r="F68" s="129"/>
      <c r="G68" s="129"/>
      <c r="H68" s="129"/>
      <c r="I68" s="129"/>
      <c r="J68" s="129"/>
      <c r="K68" s="129"/>
      <c r="L68" s="150"/>
      <c r="M68" s="150"/>
      <c r="N68" s="150"/>
      <c r="O68" s="130"/>
      <c r="P68" s="130"/>
    </row>
    <row r="69" spans="1:17" ht="20">
      <c r="B69" s="241" t="s">
        <v>130</v>
      </c>
      <c r="C69" s="139" t="s">
        <v>422</v>
      </c>
      <c r="D69" s="50"/>
      <c r="E69" s="50"/>
      <c r="F69" s="50"/>
      <c r="G69" s="50"/>
      <c r="H69" s="50"/>
      <c r="I69" s="50"/>
      <c r="J69" s="50"/>
      <c r="K69" s="129"/>
      <c r="L69" s="150"/>
      <c r="M69" s="150"/>
      <c r="N69" s="150"/>
      <c r="O69" s="130"/>
      <c r="P69" s="130"/>
    </row>
    <row r="70" spans="1:17" ht="15" customHeight="1">
      <c r="B70" s="131"/>
      <c r="C70" s="50"/>
      <c r="D70" s="50"/>
      <c r="E70" s="50"/>
      <c r="F70" s="50" t="s">
        <v>379</v>
      </c>
      <c r="G70" s="50"/>
      <c r="H70" s="139"/>
      <c r="I70" s="50"/>
      <c r="J70"/>
      <c r="K70" s="130"/>
      <c r="L70" s="150"/>
      <c r="M70" s="150"/>
      <c r="N70" s="150"/>
      <c r="O70" s="179"/>
      <c r="P70" s="130"/>
    </row>
    <row r="71" spans="1:17" s="184" customFormat="1" ht="15.5">
      <c r="A71" s="181" t="s">
        <v>17</v>
      </c>
      <c r="B71" s="185" t="s">
        <v>28</v>
      </c>
      <c r="D71" s="186"/>
      <c r="E71" s="186"/>
      <c r="F71" s="186"/>
      <c r="G71" s="186"/>
      <c r="H71" s="183"/>
      <c r="I71" s="183"/>
      <c r="J71" s="183"/>
      <c r="K71" s="183"/>
      <c r="L71" s="183"/>
      <c r="M71" s="183"/>
      <c r="N71" s="183"/>
      <c r="O71" s="183"/>
      <c r="P71" s="183"/>
    </row>
    <row r="72" spans="1:17" s="184" customFormat="1" ht="15.5">
      <c r="B72" s="185" t="s">
        <v>209</v>
      </c>
      <c r="C72" s="185"/>
      <c r="D72" s="186"/>
      <c r="E72" s="186"/>
      <c r="F72" s="186"/>
      <c r="G72" s="186"/>
      <c r="H72" s="183"/>
      <c r="I72" s="183"/>
      <c r="L72" s="183"/>
      <c r="M72" s="183"/>
      <c r="N72" s="183"/>
      <c r="O72" s="183"/>
      <c r="P72" s="183"/>
    </row>
    <row r="73" spans="1:17" s="184" customFormat="1" ht="15.75" customHeight="1">
      <c r="B73" s="186"/>
      <c r="C73" s="187"/>
      <c r="D73" s="186"/>
      <c r="E73" s="186"/>
      <c r="F73" s="186"/>
      <c r="G73" s="186"/>
      <c r="H73" s="183"/>
      <c r="I73" s="183"/>
      <c r="J73" s="183"/>
      <c r="K73" s="183"/>
      <c r="L73" s="183"/>
      <c r="M73" s="183"/>
      <c r="N73" s="183"/>
      <c r="O73" s="755"/>
      <c r="P73" s="183"/>
    </row>
    <row r="74" spans="1:17" ht="14">
      <c r="A74" s="131" t="s">
        <v>17</v>
      </c>
      <c r="B74" s="131" t="s">
        <v>319</v>
      </c>
      <c r="D74" s="131"/>
      <c r="E74" s="130"/>
      <c r="F74" s="130"/>
      <c r="G74" s="130"/>
      <c r="H74" s="130"/>
      <c r="I74" s="130"/>
      <c r="J74" s="130"/>
      <c r="K74" s="130"/>
      <c r="L74" s="150"/>
      <c r="M74" s="150"/>
      <c r="N74" s="150"/>
      <c r="O74" s="756"/>
      <c r="P74" s="130"/>
      <c r="Q74" s="1304"/>
    </row>
    <row r="75" spans="1:17" ht="14">
      <c r="B75" s="1290" t="s">
        <v>70</v>
      </c>
      <c r="C75" s="1290"/>
      <c r="D75" s="130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304"/>
    </row>
    <row r="76" spans="1:17">
      <c r="B76" s="129"/>
      <c r="C76" s="129"/>
      <c r="D76" s="129"/>
      <c r="E76" s="50"/>
      <c r="F76" s="50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304"/>
    </row>
    <row r="95" spans="5:16" ht="14">
      <c r="N95" s="73"/>
      <c r="P95" s="1"/>
    </row>
    <row r="96" spans="5:16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5:16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</sheetData>
  <sheetProtection insertRows="0"/>
  <mergeCells count="73">
    <mergeCell ref="F62:P62"/>
    <mergeCell ref="I49:J49"/>
    <mergeCell ref="G48:H48"/>
    <mergeCell ref="I48:J48"/>
    <mergeCell ref="G43:H43"/>
    <mergeCell ref="I43:J43"/>
    <mergeCell ref="K43:L43"/>
    <mergeCell ref="E44:F44"/>
    <mergeCell ref="G44:H44"/>
    <mergeCell ref="I44:J44"/>
    <mergeCell ref="K44:L44"/>
    <mergeCell ref="B23:B24"/>
    <mergeCell ref="E48:F48"/>
    <mergeCell ref="E41:F41"/>
    <mergeCell ref="E42:F42"/>
    <mergeCell ref="E40:F40"/>
    <mergeCell ref="B37:B39"/>
    <mergeCell ref="D38:F38"/>
    <mergeCell ref="E39:F39"/>
    <mergeCell ref="C30:L30"/>
    <mergeCell ref="C29:L29"/>
    <mergeCell ref="C37:C39"/>
    <mergeCell ref="G38:H39"/>
    <mergeCell ref="I38:J39"/>
    <mergeCell ref="I42:J42"/>
    <mergeCell ref="C28:L28"/>
    <mergeCell ref="C40:C44"/>
    <mergeCell ref="Q23:Q24"/>
    <mergeCell ref="Q26:Q27"/>
    <mergeCell ref="Q28:Q29"/>
    <mergeCell ref="O23:P24"/>
    <mergeCell ref="I13:J13"/>
    <mergeCell ref="C25:L25"/>
    <mergeCell ref="G14:H14"/>
    <mergeCell ref="G15:H15"/>
    <mergeCell ref="M23:N24"/>
    <mergeCell ref="G13:H13"/>
    <mergeCell ref="I14:J14"/>
    <mergeCell ref="I15:J15"/>
    <mergeCell ref="J19:O20"/>
    <mergeCell ref="C23:L24"/>
    <mergeCell ref="Q74:Q76"/>
    <mergeCell ref="Q37:Q39"/>
    <mergeCell ref="O40:O44"/>
    <mergeCell ref="Q40:Q44"/>
    <mergeCell ref="G42:H42"/>
    <mergeCell ref="O37:O39"/>
    <mergeCell ref="K49:L49"/>
    <mergeCell ref="K48:L48"/>
    <mergeCell ref="G41:H41"/>
    <mergeCell ref="I41:J41"/>
    <mergeCell ref="K40:L40"/>
    <mergeCell ref="I40:J40"/>
    <mergeCell ref="K38:L39"/>
    <mergeCell ref="G37:N37"/>
    <mergeCell ref="B50:Q50"/>
    <mergeCell ref="E43:F43"/>
    <mergeCell ref="B75:C75"/>
    <mergeCell ref="A1:Q1"/>
    <mergeCell ref="A2:Q2"/>
    <mergeCell ref="B53:C53"/>
    <mergeCell ref="B54:C54"/>
    <mergeCell ref="B55:C55"/>
    <mergeCell ref="K41:L41"/>
    <mergeCell ref="K42:L42"/>
    <mergeCell ref="G40:H40"/>
    <mergeCell ref="M38:M39"/>
    <mergeCell ref="N38:N39"/>
    <mergeCell ref="D37:F37"/>
    <mergeCell ref="C27:L27"/>
    <mergeCell ref="C26:L26"/>
    <mergeCell ref="E49:F49"/>
    <mergeCell ref="G49:H49"/>
  </mergeCells>
  <printOptions horizontalCentered="1"/>
  <pageMargins left="0.196850393700787" right="7.8740157480315001E-2" top="0.35433070866141703" bottom="0.23622047244094499" header="0.15748031496063" footer="0.196850393700787"/>
  <pageSetup paperSize="9" scale="61" orientation="portrait" horizontalDpi="4294967294" verticalDpi="4294967294" r:id="rId1"/>
  <headerFooter>
    <oddHeader>&amp;R&amp;8KL.LK - 066-18 / REV : 0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47"/>
  <sheetViews>
    <sheetView showGridLines="0" view="pageBreakPreview" topLeftCell="A3" zoomScaleNormal="100" zoomScaleSheetLayoutView="100" workbookViewId="0">
      <selection activeCell="J8" sqref="J8"/>
    </sheetView>
  </sheetViews>
  <sheetFormatPr defaultColWidth="9.1796875" defaultRowHeight="13"/>
  <cols>
    <col min="1" max="1" width="4.453125" style="840" customWidth="1"/>
    <col min="2" max="2" width="5.1796875" style="840" customWidth="1"/>
    <col min="3" max="3" width="11.54296875" style="840" customWidth="1"/>
    <col min="4" max="4" width="14.81640625" style="840" customWidth="1"/>
    <col min="5" max="5" width="7.26953125" style="840" customWidth="1"/>
    <col min="6" max="6" width="8.453125" style="840" customWidth="1"/>
    <col min="7" max="7" width="8.26953125" style="840" customWidth="1"/>
    <col min="8" max="8" width="9.453125" style="840" customWidth="1"/>
    <col min="9" max="9" width="8.54296875" style="840" customWidth="1"/>
    <col min="10" max="10" width="10" style="840" customWidth="1"/>
    <col min="11" max="11" width="12.1796875" style="840" customWidth="1"/>
    <col min="12" max="12" width="10.81640625" style="840" customWidth="1"/>
    <col min="13" max="13" width="8" style="840" customWidth="1"/>
    <col min="14" max="14" width="11.26953125" style="840" customWidth="1"/>
    <col min="15" max="16384" width="9.1796875" style="840"/>
  </cols>
  <sheetData>
    <row r="1" spans="1:15" ht="17.5">
      <c r="A1" s="1354" t="s">
        <v>213</v>
      </c>
      <c r="B1" s="1354"/>
      <c r="C1" s="1354"/>
      <c r="D1" s="1354"/>
      <c r="E1" s="1354"/>
      <c r="F1" s="1354"/>
      <c r="G1" s="1354"/>
      <c r="H1" s="1354"/>
      <c r="I1" s="1354"/>
      <c r="J1" s="1354"/>
      <c r="K1" s="1354"/>
      <c r="L1" s="1354"/>
      <c r="M1" s="1354"/>
      <c r="N1" s="839"/>
    </row>
    <row r="2" spans="1:15" ht="15.5">
      <c r="A2" s="841"/>
      <c r="B2" s="842"/>
      <c r="C2" s="842"/>
      <c r="D2" s="842"/>
      <c r="E2" s="841"/>
      <c r="F2" s="843" t="str">
        <f>IF(Penyelia!K68&gt;=70,ID!L84,ID!L85)</f>
        <v>Nomor Sertifikat : 55 /</v>
      </c>
      <c r="H2" s="844"/>
      <c r="I2" s="1118" t="s">
        <v>306</v>
      </c>
      <c r="J2" s="844"/>
      <c r="K2" s="842"/>
      <c r="L2" s="842"/>
      <c r="M2" s="842"/>
    </row>
    <row r="3" spans="1:15">
      <c r="A3" s="841"/>
      <c r="B3" s="845"/>
      <c r="C3" s="845"/>
      <c r="D3" s="845"/>
      <c r="E3" s="845"/>
      <c r="F3" s="845"/>
      <c r="G3" s="845"/>
      <c r="H3" s="845"/>
      <c r="I3" s="845"/>
      <c r="J3" s="845"/>
      <c r="K3" s="845"/>
      <c r="L3" s="845"/>
      <c r="M3" s="845"/>
    </row>
    <row r="4" spans="1:15" ht="14">
      <c r="A4" s="846" t="str">
        <f>LK!A4</f>
        <v>Merek</v>
      </c>
      <c r="B4" s="846"/>
      <c r="C4" s="841"/>
      <c r="D4" s="846"/>
      <c r="E4" s="847" t="s">
        <v>63</v>
      </c>
      <c r="F4" s="848" t="s">
        <v>116</v>
      </c>
      <c r="G4" s="849"/>
      <c r="H4" s="849"/>
      <c r="I4" s="849"/>
      <c r="J4" s="846"/>
      <c r="K4" s="845"/>
      <c r="L4" s="845"/>
      <c r="M4" s="845"/>
    </row>
    <row r="5" spans="1:15" ht="14">
      <c r="A5" s="846" t="str">
        <f>LK!A5</f>
        <v>Model/Tipe</v>
      </c>
      <c r="B5" s="846"/>
      <c r="C5" s="841"/>
      <c r="D5" s="846"/>
      <c r="E5" s="847" t="s">
        <v>63</v>
      </c>
      <c r="F5" s="848" t="s">
        <v>117</v>
      </c>
      <c r="G5" s="849"/>
      <c r="H5" s="849"/>
      <c r="I5" s="849"/>
      <c r="J5" s="846"/>
      <c r="K5" s="845"/>
      <c r="L5" s="845"/>
      <c r="M5" s="845"/>
      <c r="N5" s="840" t="s">
        <v>122</v>
      </c>
    </row>
    <row r="6" spans="1:15" ht="14">
      <c r="A6" s="846" t="str">
        <f>LK!A6</f>
        <v>No. Seri</v>
      </c>
      <c r="B6" s="846"/>
      <c r="C6" s="841"/>
      <c r="D6" s="846"/>
      <c r="E6" s="847" t="s">
        <v>63</v>
      </c>
      <c r="F6" s="1104" t="s">
        <v>118</v>
      </c>
      <c r="G6" s="849"/>
      <c r="H6" s="849"/>
      <c r="I6" s="849"/>
      <c r="J6" s="846"/>
      <c r="K6" s="845"/>
      <c r="L6" s="845"/>
      <c r="M6" s="845"/>
    </row>
    <row r="7" spans="1:15" ht="14">
      <c r="A7" s="846" t="str">
        <f>LK!A7</f>
        <v>Resolusi</v>
      </c>
      <c r="B7" s="846"/>
      <c r="C7" s="841"/>
      <c r="D7" s="846"/>
      <c r="E7" s="847" t="s">
        <v>63</v>
      </c>
      <c r="F7" s="260">
        <v>0.1</v>
      </c>
      <c r="G7" s="849" t="s">
        <v>79</v>
      </c>
      <c r="H7" s="849"/>
      <c r="I7" s="849"/>
      <c r="J7" s="846"/>
      <c r="K7" s="845"/>
      <c r="L7" s="845"/>
      <c r="M7" s="845"/>
    </row>
    <row r="8" spans="1:15" ht="14">
      <c r="A8" s="846" t="s">
        <v>415</v>
      </c>
      <c r="B8" s="846"/>
      <c r="C8" s="841"/>
      <c r="D8" s="846"/>
      <c r="E8" s="847" t="s">
        <v>63</v>
      </c>
      <c r="F8" s="1108" t="s">
        <v>416</v>
      </c>
      <c r="G8" s="849"/>
      <c r="H8" s="849"/>
      <c r="I8" s="849"/>
      <c r="J8" s="846"/>
      <c r="K8" s="845"/>
      <c r="L8" s="845"/>
      <c r="M8" s="845"/>
    </row>
    <row r="9" spans="1:15" ht="14">
      <c r="A9" s="846" t="str">
        <f>LK!A8</f>
        <v>Tanggal Kalibrasi</v>
      </c>
      <c r="B9" s="846"/>
      <c r="C9" s="841"/>
      <c r="D9" s="846"/>
      <c r="E9" s="847" t="s">
        <v>63</v>
      </c>
      <c r="F9" s="1108" t="s">
        <v>416</v>
      </c>
      <c r="G9" s="849"/>
      <c r="H9" s="849"/>
      <c r="I9" s="849"/>
      <c r="J9" s="846"/>
      <c r="K9" s="845"/>
      <c r="L9" s="845"/>
      <c r="M9" s="845"/>
    </row>
    <row r="10" spans="1:15" ht="14">
      <c r="A10" s="846" t="str">
        <f>LK!A9</f>
        <v>Tempat Kalibrasi</v>
      </c>
      <c r="B10" s="846"/>
      <c r="C10" s="841"/>
      <c r="D10" s="846"/>
      <c r="E10" s="847" t="s">
        <v>63</v>
      </c>
      <c r="F10" s="850" t="s">
        <v>154</v>
      </c>
      <c r="G10" s="851"/>
      <c r="H10" s="851"/>
      <c r="I10" s="851"/>
      <c r="J10" s="846"/>
      <c r="K10" s="845"/>
      <c r="L10" s="845"/>
      <c r="M10" s="845"/>
    </row>
    <row r="11" spans="1:15" ht="14">
      <c r="A11" s="846" t="s">
        <v>25</v>
      </c>
      <c r="B11" s="846"/>
      <c r="C11" s="841"/>
      <c r="D11" s="846"/>
      <c r="E11" s="847" t="s">
        <v>63</v>
      </c>
      <c r="F11" s="1109" t="s">
        <v>198</v>
      </c>
      <c r="G11" s="849"/>
      <c r="H11" s="849"/>
      <c r="I11" s="849"/>
      <c r="J11" s="845"/>
      <c r="K11" s="845"/>
      <c r="L11" s="845"/>
      <c r="M11" s="845"/>
    </row>
    <row r="12" spans="1:15" ht="14.5">
      <c r="A12" s="846" t="s">
        <v>80</v>
      </c>
      <c r="B12" s="846"/>
      <c r="C12" s="841"/>
      <c r="D12" s="846"/>
      <c r="E12" s="847" t="s">
        <v>63</v>
      </c>
      <c r="F12" s="852" t="s">
        <v>301</v>
      </c>
      <c r="G12" s="846"/>
      <c r="H12" s="846"/>
      <c r="I12" s="846"/>
      <c r="J12" s="846"/>
      <c r="K12" s="845"/>
      <c r="L12" s="845"/>
      <c r="M12" s="845"/>
      <c r="O12" s="1110"/>
    </row>
    <row r="13" spans="1:15">
      <c r="A13" s="845"/>
      <c r="B13" s="845"/>
      <c r="C13" s="841"/>
      <c r="D13" s="845"/>
      <c r="E13" s="845"/>
      <c r="F13" s="845"/>
      <c r="G13" s="845"/>
      <c r="H13" s="845"/>
      <c r="I13" s="845"/>
      <c r="J13" s="845"/>
      <c r="K13" s="845"/>
      <c r="L13" s="845"/>
      <c r="M13" s="845"/>
    </row>
    <row r="14" spans="1:15" ht="29.25" customHeight="1">
      <c r="A14" s="853" t="s">
        <v>10</v>
      </c>
      <c r="B14" s="853" t="s">
        <v>11</v>
      </c>
      <c r="C14" s="841"/>
      <c r="D14" s="853"/>
      <c r="E14" s="845"/>
      <c r="F14" s="854" t="s">
        <v>60</v>
      </c>
      <c r="G14" s="854" t="s">
        <v>61</v>
      </c>
      <c r="H14" s="1357" t="s">
        <v>141</v>
      </c>
      <c r="I14" s="1358"/>
      <c r="J14" s="845"/>
      <c r="K14" s="845"/>
      <c r="L14" s="845"/>
      <c r="M14" s="841"/>
    </row>
    <row r="15" spans="1:15" ht="14">
      <c r="A15" s="846"/>
      <c r="B15" s="846" t="s">
        <v>22</v>
      </c>
      <c r="C15" s="841"/>
      <c r="D15" s="846"/>
      <c r="E15" s="847" t="s">
        <v>63</v>
      </c>
      <c r="F15" s="255">
        <v>26.7</v>
      </c>
      <c r="G15" s="255">
        <v>26.7</v>
      </c>
      <c r="H15" s="1359">
        <f>'DB Thermohygro'!Q377</f>
        <v>26.7</v>
      </c>
      <c r="I15" s="1360"/>
      <c r="J15" s="846" t="s">
        <v>119</v>
      </c>
      <c r="K15" s="845"/>
      <c r="L15" s="845"/>
      <c r="M15" s="841"/>
    </row>
    <row r="16" spans="1:15" ht="14">
      <c r="A16" s="846"/>
      <c r="B16" s="846" t="s">
        <v>180</v>
      </c>
      <c r="C16" s="841"/>
      <c r="D16" s="846"/>
      <c r="E16" s="847" t="s">
        <v>63</v>
      </c>
      <c r="F16" s="256">
        <v>66.400000000000006</v>
      </c>
      <c r="G16" s="256">
        <v>66.400000000000006</v>
      </c>
      <c r="H16" s="1359">
        <f>'DB Thermohygro'!Q378</f>
        <v>66.400000000000006</v>
      </c>
      <c r="I16" s="1360"/>
      <c r="J16" s="846" t="s">
        <v>94</v>
      </c>
      <c r="K16" s="845"/>
      <c r="L16" s="845"/>
      <c r="M16" s="841"/>
    </row>
    <row r="17" spans="1:22" ht="14">
      <c r="A17" s="846"/>
      <c r="B17" s="846" t="s">
        <v>123</v>
      </c>
      <c r="C17" s="841"/>
      <c r="D17" s="846"/>
      <c r="E17" s="847" t="s">
        <v>63</v>
      </c>
      <c r="F17" s="257">
        <v>224</v>
      </c>
      <c r="G17" s="855"/>
      <c r="H17" s="1369">
        <f>ESA!O137</f>
        <v>223.87822421577607</v>
      </c>
      <c r="I17" s="1360"/>
      <c r="J17" s="845" t="s">
        <v>9</v>
      </c>
      <c r="K17" s="845"/>
      <c r="L17" s="845"/>
      <c r="M17" s="841"/>
    </row>
    <row r="18" spans="1:22" ht="14">
      <c r="A18" s="846"/>
      <c r="B18" s="846"/>
      <c r="C18" s="841"/>
      <c r="D18" s="846"/>
      <c r="E18" s="845"/>
      <c r="F18" s="846"/>
      <c r="G18" s="846"/>
      <c r="H18" s="846"/>
      <c r="I18" s="845"/>
      <c r="J18" s="845"/>
      <c r="K18" s="845"/>
      <c r="L18" s="845"/>
      <c r="M18" s="845"/>
    </row>
    <row r="19" spans="1:22" ht="14">
      <c r="A19" s="853" t="s">
        <v>12</v>
      </c>
      <c r="B19" s="853" t="s">
        <v>149</v>
      </c>
      <c r="C19" s="841"/>
      <c r="D19" s="853"/>
      <c r="E19" s="845"/>
      <c r="F19" s="853"/>
      <c r="G19" s="853"/>
      <c r="H19" s="853"/>
      <c r="I19" s="856"/>
      <c r="J19" s="845"/>
      <c r="K19" s="845"/>
      <c r="L19" s="845"/>
      <c r="M19" s="845"/>
    </row>
    <row r="20" spans="1:22" ht="14">
      <c r="A20" s="846"/>
      <c r="B20" s="846" t="str">
        <f>LK!B19</f>
        <v>1. Fisik</v>
      </c>
      <c r="C20" s="841"/>
      <c r="D20" s="846"/>
      <c r="E20" s="847" t="s">
        <v>63</v>
      </c>
      <c r="F20" s="959" t="s">
        <v>69</v>
      </c>
      <c r="G20" s="846"/>
      <c r="H20" s="846"/>
      <c r="I20" s="845"/>
      <c r="J20" s="845"/>
      <c r="K20" s="845"/>
      <c r="L20" s="845"/>
      <c r="M20" s="845"/>
    </row>
    <row r="21" spans="1:22" ht="14">
      <c r="A21" s="846"/>
      <c r="B21" s="846" t="str">
        <f>LK!B20</f>
        <v>2. Fungsi</v>
      </c>
      <c r="C21" s="841"/>
      <c r="D21" s="846"/>
      <c r="E21" s="847" t="s">
        <v>63</v>
      </c>
      <c r="F21" s="959" t="s">
        <v>69</v>
      </c>
      <c r="G21" s="846"/>
      <c r="H21" s="846"/>
      <c r="I21" s="845"/>
      <c r="J21" s="845"/>
      <c r="K21" s="845"/>
      <c r="L21" s="845"/>
      <c r="M21" s="845"/>
    </row>
    <row r="22" spans="1:22" ht="14">
      <c r="A22" s="853"/>
      <c r="B22" s="853"/>
      <c r="C22" s="841"/>
      <c r="D22" s="846"/>
      <c r="E22" s="846"/>
      <c r="F22" s="846"/>
      <c r="G22" s="846"/>
      <c r="H22" s="846"/>
      <c r="I22" s="845"/>
      <c r="J22" s="845"/>
      <c r="K22" s="845"/>
      <c r="L22" s="845"/>
      <c r="M22" s="845"/>
    </row>
    <row r="23" spans="1:22" ht="14">
      <c r="A23" s="853" t="s">
        <v>2</v>
      </c>
      <c r="B23" s="853" t="s">
        <v>150</v>
      </c>
      <c r="C23" s="841"/>
      <c r="D23" s="846"/>
      <c r="E23" s="846"/>
      <c r="F23" s="846"/>
      <c r="G23" s="846"/>
      <c r="H23" s="846"/>
      <c r="I23" s="845"/>
      <c r="J23" s="845"/>
      <c r="K23" s="845"/>
      <c r="L23" s="845"/>
      <c r="M23" s="845"/>
      <c r="N23" s="857"/>
    </row>
    <row r="24" spans="1:22" ht="12.75" customHeight="1">
      <c r="A24" s="841"/>
      <c r="B24" s="1373" t="s">
        <v>14</v>
      </c>
      <c r="C24" s="1365" t="s">
        <v>4</v>
      </c>
      <c r="D24" s="1366"/>
      <c r="E24" s="1366"/>
      <c r="F24" s="1366"/>
      <c r="G24" s="1366"/>
      <c r="H24" s="1366"/>
      <c r="I24" s="1366"/>
      <c r="J24" s="1361" t="s">
        <v>76</v>
      </c>
      <c r="K24" s="1362"/>
      <c r="L24" s="1361" t="s">
        <v>15</v>
      </c>
      <c r="M24" s="1362"/>
      <c r="N24" s="857"/>
    </row>
    <row r="25" spans="1:22" ht="17.25" customHeight="1">
      <c r="A25" s="841"/>
      <c r="B25" s="1374"/>
      <c r="C25" s="1367"/>
      <c r="D25" s="1368"/>
      <c r="E25" s="1368"/>
      <c r="F25" s="1368"/>
      <c r="G25" s="1368"/>
      <c r="H25" s="1368"/>
      <c r="I25" s="1368"/>
      <c r="J25" s="1363"/>
      <c r="K25" s="1364"/>
      <c r="L25" s="1363"/>
      <c r="M25" s="1364"/>
    </row>
    <row r="26" spans="1:22" ht="14">
      <c r="A26" s="841"/>
      <c r="B26" s="858">
        <v>1</v>
      </c>
      <c r="C26" s="859" t="s">
        <v>296</v>
      </c>
      <c r="D26" s="860"/>
      <c r="E26" s="860"/>
      <c r="F26" s="860"/>
      <c r="G26" s="860"/>
      <c r="H26" s="860"/>
      <c r="I26" s="861"/>
      <c r="J26" s="258">
        <v>11</v>
      </c>
      <c r="K26" s="862" t="s">
        <v>82</v>
      </c>
      <c r="L26" s="863" t="s">
        <v>302</v>
      </c>
      <c r="M26" s="864" t="s">
        <v>124</v>
      </c>
      <c r="N26" s="865"/>
      <c r="P26" s="1123" t="s">
        <v>231</v>
      </c>
      <c r="Q26" s="867" t="str">
        <f>IF(K129&gt;0,N127,N128)</f>
        <v>PUTIH</v>
      </c>
    </row>
    <row r="27" spans="1:22" ht="15.5">
      <c r="A27" s="841"/>
      <c r="B27" s="858">
        <v>2</v>
      </c>
      <c r="C27" s="1370" t="s">
        <v>297</v>
      </c>
      <c r="D27" s="1371"/>
      <c r="E27" s="1371"/>
      <c r="F27" s="1371"/>
      <c r="G27" s="1371"/>
      <c r="H27" s="1371"/>
      <c r="I27" s="1372"/>
      <c r="J27" s="259">
        <v>0.122</v>
      </c>
      <c r="K27" s="862" t="s">
        <v>83</v>
      </c>
      <c r="L27" s="863" t="str">
        <f>IF(C27=M91,L91,L93)</f>
        <v>≤ 0.2</v>
      </c>
      <c r="M27" s="864" t="s">
        <v>125</v>
      </c>
      <c r="N27" s="865"/>
      <c r="P27" s="866" t="s">
        <v>320</v>
      </c>
      <c r="Q27" s="960">
        <v>10</v>
      </c>
      <c r="R27" s="1111"/>
      <c r="S27" s="868" t="str">
        <f>IF(OR(M127=3,M125=6),N126,N125)</f>
        <v>( SILAHKAN DIINPUT  "NC" )</v>
      </c>
      <c r="T27" s="1111"/>
    </row>
    <row r="28" spans="1:22" ht="15.5">
      <c r="A28" s="841"/>
      <c r="B28" s="858">
        <v>4</v>
      </c>
      <c r="C28" s="1370" t="s">
        <v>183</v>
      </c>
      <c r="D28" s="1371"/>
      <c r="E28" s="1371"/>
      <c r="F28" s="1371"/>
      <c r="G28" s="1371"/>
      <c r="H28" s="1371"/>
      <c r="I28" s="1372"/>
      <c r="J28" s="278">
        <v>660</v>
      </c>
      <c r="K28" s="862" t="s">
        <v>84</v>
      </c>
      <c r="L28" s="863" t="str">
        <f>IF(C28=M94,L94,L95)</f>
        <v>≤ 500</v>
      </c>
      <c r="M28" s="864" t="s">
        <v>84</v>
      </c>
      <c r="O28" s="869"/>
      <c r="P28" s="870"/>
      <c r="Q28" s="1111"/>
      <c r="R28" s="1111"/>
      <c r="S28" s="1111"/>
      <c r="T28" s="1111"/>
      <c r="U28" s="1111"/>
      <c r="V28" s="1111"/>
    </row>
    <row r="29" spans="1:22" ht="15.5">
      <c r="A29" s="841"/>
      <c r="B29" s="858">
        <v>6</v>
      </c>
      <c r="C29" s="859" t="s">
        <v>155</v>
      </c>
      <c r="D29" s="860"/>
      <c r="E29" s="860"/>
      <c r="F29" s="860"/>
      <c r="G29" s="860"/>
      <c r="H29" s="860"/>
      <c r="I29" s="861"/>
      <c r="J29" s="278" t="s">
        <v>66</v>
      </c>
      <c r="K29" s="862" t="s">
        <v>84</v>
      </c>
      <c r="L29" s="863" t="s">
        <v>376</v>
      </c>
      <c r="M29" s="864" t="s">
        <v>84</v>
      </c>
      <c r="O29" s="869"/>
      <c r="P29" s="870"/>
    </row>
    <row r="30" spans="1:22">
      <c r="A30" s="841"/>
      <c r="B30" s="871"/>
      <c r="C30" s="845"/>
      <c r="D30" s="845"/>
      <c r="E30" s="845"/>
      <c r="F30" s="845"/>
      <c r="G30" s="845"/>
      <c r="H30" s="845"/>
      <c r="I30" s="872"/>
      <c r="J30" s="873"/>
      <c r="K30" s="845"/>
      <c r="L30" s="845"/>
      <c r="M30" s="845"/>
    </row>
    <row r="31" spans="1:22" ht="15" customHeight="1">
      <c r="A31" s="874" t="s">
        <v>3</v>
      </c>
      <c r="B31" s="1355" t="str">
        <f>LK!B34</f>
        <v>Pengujian Kinerja</v>
      </c>
      <c r="C31" s="1355"/>
      <c r="D31" s="1355"/>
      <c r="E31" s="1355"/>
      <c r="F31" s="1355"/>
      <c r="G31" s="1355"/>
      <c r="H31" s="1355"/>
      <c r="I31" s="1355"/>
      <c r="J31" s="841"/>
      <c r="K31" s="841"/>
      <c r="L31" s="841"/>
      <c r="M31" s="841"/>
    </row>
    <row r="32" spans="1:22" ht="14">
      <c r="A32" s="841"/>
      <c r="B32" s="1355" t="str">
        <f>LK!B35</f>
        <v xml:space="preserve">a. Kalibrasi Energi </v>
      </c>
      <c r="C32" s="1355"/>
      <c r="D32" s="1355"/>
      <c r="E32" s="1355"/>
      <c r="F32" s="1355"/>
      <c r="G32" s="1355"/>
      <c r="H32" s="1355"/>
      <c r="I32" s="1355"/>
      <c r="J32" s="852"/>
      <c r="K32" s="852"/>
      <c r="L32" s="852"/>
      <c r="M32" s="845"/>
    </row>
    <row r="33" spans="1:19" ht="14">
      <c r="A33" s="841"/>
      <c r="B33" s="1356" t="s">
        <v>108</v>
      </c>
      <c r="C33" s="1356"/>
      <c r="D33" s="1356"/>
      <c r="E33" s="1356"/>
      <c r="F33" s="1356"/>
      <c r="G33" s="1356"/>
      <c r="H33" s="1356"/>
      <c r="I33" s="1356"/>
      <c r="J33" s="852"/>
      <c r="K33" s="852"/>
      <c r="L33" s="852"/>
      <c r="M33" s="852"/>
    </row>
    <row r="34" spans="1:19" s="877" customFormat="1" ht="14.25" customHeight="1">
      <c r="A34" s="875"/>
      <c r="B34" s="1377" t="s">
        <v>14</v>
      </c>
      <c r="C34" s="1380" t="s">
        <v>4</v>
      </c>
      <c r="D34" s="1377" t="s">
        <v>140</v>
      </c>
      <c r="E34" s="1393" t="s">
        <v>141</v>
      </c>
      <c r="F34" s="1394"/>
      <c r="G34" s="1394"/>
      <c r="H34" s="1394"/>
      <c r="I34" s="1394"/>
      <c r="J34" s="1377" t="s">
        <v>85</v>
      </c>
      <c r="K34" s="1376" t="s">
        <v>105</v>
      </c>
      <c r="L34" s="1373" t="s">
        <v>30</v>
      </c>
      <c r="M34" s="876"/>
      <c r="S34" s="1375" t="s">
        <v>105</v>
      </c>
    </row>
    <row r="35" spans="1:19" s="877" customFormat="1" ht="12.75" customHeight="1">
      <c r="A35" s="875"/>
      <c r="B35" s="1378"/>
      <c r="C35" s="1392"/>
      <c r="D35" s="1378"/>
      <c r="E35" s="1380" t="s">
        <v>5</v>
      </c>
      <c r="F35" s="1380" t="s">
        <v>6</v>
      </c>
      <c r="G35" s="1380" t="s">
        <v>7</v>
      </c>
      <c r="H35" s="1380" t="s">
        <v>8</v>
      </c>
      <c r="I35" s="1380" t="s">
        <v>9</v>
      </c>
      <c r="J35" s="1378"/>
      <c r="K35" s="1376"/>
      <c r="L35" s="1390"/>
      <c r="M35" s="846"/>
      <c r="S35" s="1375"/>
    </row>
    <row r="36" spans="1:19" s="877" customFormat="1" ht="15.5">
      <c r="A36" s="875"/>
      <c r="B36" s="1379"/>
      <c r="C36" s="1381"/>
      <c r="D36" s="1379"/>
      <c r="E36" s="1381"/>
      <c r="F36" s="1381"/>
      <c r="G36" s="1381"/>
      <c r="H36" s="1381"/>
      <c r="I36" s="1381"/>
      <c r="J36" s="1379"/>
      <c r="K36" s="1376"/>
      <c r="L36" s="1374"/>
      <c r="M36" s="878"/>
      <c r="S36" s="1375"/>
    </row>
    <row r="37" spans="1:19" ht="17.149999999999999" customHeight="1">
      <c r="A37" s="841"/>
      <c r="B37" s="879">
        <v>1</v>
      </c>
      <c r="C37" s="1387" t="s">
        <v>101</v>
      </c>
      <c r="D37" s="253">
        <v>1</v>
      </c>
      <c r="E37" s="254">
        <v>1</v>
      </c>
      <c r="F37" s="254">
        <v>1</v>
      </c>
      <c r="G37" s="254">
        <v>1</v>
      </c>
      <c r="H37" s="254">
        <v>1</v>
      </c>
      <c r="I37" s="254">
        <v>1</v>
      </c>
      <c r="J37" s="880">
        <f>AVERAGE(E37:I37)</f>
        <v>1</v>
      </c>
      <c r="K37" s="881">
        <f>IFERROR(S37,"-")</f>
        <v>1</v>
      </c>
      <c r="L37" s="881">
        <f>STDEV(E37:I37)</f>
        <v>0</v>
      </c>
      <c r="M37" s="882"/>
      <c r="S37" s="883">
        <f>J37+0</f>
        <v>1</v>
      </c>
    </row>
    <row r="38" spans="1:19" ht="17.149999999999999" customHeight="1">
      <c r="A38" s="841"/>
      <c r="B38" s="879">
        <v>2</v>
      </c>
      <c r="C38" s="1388"/>
      <c r="D38" s="253">
        <v>2</v>
      </c>
      <c r="E38" s="254">
        <v>2</v>
      </c>
      <c r="F38" s="254">
        <v>2</v>
      </c>
      <c r="G38" s="254">
        <v>2</v>
      </c>
      <c r="H38" s="254">
        <v>2</v>
      </c>
      <c r="I38" s="254">
        <v>2</v>
      </c>
      <c r="J38" s="880">
        <f>AVERAGE(E38:I38)</f>
        <v>2</v>
      </c>
      <c r="K38" s="881">
        <f>IFERROR(S38,"-")</f>
        <v>2</v>
      </c>
      <c r="L38" s="881">
        <f>STDEV(E38:I38)</f>
        <v>0</v>
      </c>
      <c r="M38" s="884"/>
      <c r="S38" s="883">
        <f>J38+0</f>
        <v>2</v>
      </c>
    </row>
    <row r="39" spans="1:19" ht="17.149999999999999" customHeight="1">
      <c r="A39" s="841"/>
      <c r="B39" s="879">
        <v>3</v>
      </c>
      <c r="C39" s="1388"/>
      <c r="D39" s="253">
        <v>3</v>
      </c>
      <c r="E39" s="254">
        <v>3</v>
      </c>
      <c r="F39" s="254">
        <v>3</v>
      </c>
      <c r="G39" s="254">
        <v>3</v>
      </c>
      <c r="H39" s="254">
        <v>3</v>
      </c>
      <c r="I39" s="254">
        <v>3</v>
      </c>
      <c r="J39" s="880">
        <f>AVERAGE(E39:I39)</f>
        <v>3</v>
      </c>
      <c r="K39" s="881">
        <f>IFERROR(S39,"-")</f>
        <v>3</v>
      </c>
      <c r="L39" s="881">
        <f>STDEV(E39:I39)</f>
        <v>0</v>
      </c>
      <c r="M39" s="882"/>
      <c r="S39" s="883">
        <f>J39+0</f>
        <v>3</v>
      </c>
    </row>
    <row r="40" spans="1:19" ht="15" customHeight="1">
      <c r="A40" s="841"/>
      <c r="B40" s="879">
        <v>4</v>
      </c>
      <c r="C40" s="1388"/>
      <c r="D40" s="253">
        <v>4</v>
      </c>
      <c r="E40" s="254">
        <v>4</v>
      </c>
      <c r="F40" s="254">
        <v>4</v>
      </c>
      <c r="G40" s="254">
        <v>4</v>
      </c>
      <c r="H40" s="254">
        <v>4</v>
      </c>
      <c r="I40" s="254">
        <v>4</v>
      </c>
      <c r="J40" s="880">
        <f>AVERAGE(E40:I40)</f>
        <v>4</v>
      </c>
      <c r="K40" s="881">
        <f>IFERROR(S40,"-")</f>
        <v>4</v>
      </c>
      <c r="L40" s="881">
        <f>STDEV(E40:I40)</f>
        <v>0</v>
      </c>
      <c r="M40" s="845"/>
      <c r="S40" s="883">
        <f>J40+0</f>
        <v>4</v>
      </c>
    </row>
    <row r="41" spans="1:19" ht="14">
      <c r="A41" s="841"/>
      <c r="B41" s="879">
        <v>5</v>
      </c>
      <c r="C41" s="1389"/>
      <c r="D41" s="253">
        <v>5</v>
      </c>
      <c r="E41" s="254">
        <v>5</v>
      </c>
      <c r="F41" s="254">
        <v>5</v>
      </c>
      <c r="G41" s="254">
        <v>5</v>
      </c>
      <c r="H41" s="254">
        <v>5</v>
      </c>
      <c r="I41" s="254">
        <v>5</v>
      </c>
      <c r="J41" s="880">
        <f>AVERAGE(E41:I41)</f>
        <v>5</v>
      </c>
      <c r="K41" s="881">
        <f>IFERROR(S41,"-")</f>
        <v>5</v>
      </c>
      <c r="L41" s="881">
        <f>STDEV(E41:I41)</f>
        <v>0</v>
      </c>
      <c r="M41" s="845"/>
      <c r="S41" s="883">
        <f>J41+0</f>
        <v>5</v>
      </c>
    </row>
    <row r="42" spans="1:19">
      <c r="A42" s="841"/>
      <c r="B42" s="845"/>
      <c r="C42" s="845"/>
      <c r="D42" s="845"/>
      <c r="E42" s="845"/>
      <c r="F42" s="845"/>
      <c r="G42" s="845"/>
      <c r="H42" s="845"/>
      <c r="I42" s="845"/>
      <c r="J42" s="845"/>
      <c r="K42" s="845"/>
      <c r="L42" s="845"/>
      <c r="M42" s="845"/>
    </row>
    <row r="43" spans="1:19" ht="14">
      <c r="A43" s="841"/>
      <c r="B43" s="874" t="str">
        <f>LK!B47</f>
        <v>b. Kalibrasi Waktu Therapy</v>
      </c>
      <c r="C43" s="841"/>
      <c r="D43" s="874"/>
      <c r="E43" s="845"/>
      <c r="F43" s="845"/>
      <c r="G43" s="845"/>
      <c r="H43" s="845"/>
      <c r="I43" s="845"/>
      <c r="J43" s="845"/>
      <c r="K43" s="845"/>
      <c r="L43" s="845"/>
      <c r="M43" s="845"/>
    </row>
    <row r="44" spans="1:19" ht="45" customHeight="1">
      <c r="A44" s="841"/>
      <c r="B44" s="885" t="s">
        <v>102</v>
      </c>
      <c r="C44" s="854" t="s">
        <v>4</v>
      </c>
      <c r="D44" s="1106" t="s">
        <v>140</v>
      </c>
      <c r="E44" s="886" t="s">
        <v>5</v>
      </c>
      <c r="F44" s="886" t="s">
        <v>6</v>
      </c>
      <c r="G44" s="886" t="s">
        <v>7</v>
      </c>
      <c r="H44" s="886" t="s">
        <v>8</v>
      </c>
      <c r="I44" s="886" t="s">
        <v>9</v>
      </c>
      <c r="J44" s="887" t="s">
        <v>104</v>
      </c>
      <c r="K44" s="888" t="s">
        <v>105</v>
      </c>
      <c r="L44" s="889" t="s">
        <v>30</v>
      </c>
      <c r="M44" s="845"/>
      <c r="S44" s="890" t="s">
        <v>105</v>
      </c>
    </row>
    <row r="45" spans="1:19" ht="28">
      <c r="A45" s="841"/>
      <c r="B45" s="891">
        <v>1</v>
      </c>
      <c r="C45" s="892" t="s">
        <v>147</v>
      </c>
      <c r="D45" s="961">
        <v>300</v>
      </c>
      <c r="E45" s="271">
        <v>350</v>
      </c>
      <c r="F45" s="271">
        <v>350</v>
      </c>
      <c r="G45" s="271">
        <v>350</v>
      </c>
      <c r="H45" s="271">
        <v>350</v>
      </c>
      <c r="I45" s="271">
        <v>350</v>
      </c>
      <c r="J45" s="893">
        <f>AVERAGE(E45:I45)</f>
        <v>350</v>
      </c>
      <c r="K45" s="894">
        <f>IFERROR(S45,"-")</f>
        <v>350.00590098378376</v>
      </c>
      <c r="L45" s="894">
        <f>STDEV(E45:I45)</f>
        <v>0</v>
      </c>
      <c r="M45" s="845"/>
      <c r="S45" s="895">
        <f>'DB Stopwatch'!D227</f>
        <v>350.00590098378376</v>
      </c>
    </row>
    <row r="46" spans="1:19">
      <c r="A46" s="841"/>
      <c r="B46" s="845"/>
      <c r="C46" s="845"/>
      <c r="D46" s="845"/>
      <c r="E46" s="845"/>
      <c r="F46" s="845"/>
      <c r="G46" s="845"/>
      <c r="H46" s="845"/>
      <c r="I46" s="845"/>
      <c r="J46" s="845"/>
      <c r="K46" s="845"/>
      <c r="L46" s="845"/>
      <c r="M46" s="845"/>
    </row>
    <row r="47" spans="1:19" ht="13.5" customHeight="1">
      <c r="A47" s="896" t="s">
        <v>168</v>
      </c>
      <c r="B47" s="896" t="s">
        <v>18</v>
      </c>
      <c r="C47" s="897"/>
      <c r="D47" s="898"/>
      <c r="E47" s="899"/>
      <c r="F47" s="899"/>
      <c r="G47" s="899"/>
      <c r="H47" s="899"/>
      <c r="I47" s="899"/>
      <c r="J47" s="900"/>
      <c r="K47" s="900"/>
      <c r="L47" s="900"/>
      <c r="M47" s="900"/>
      <c r="N47" s="877"/>
    </row>
    <row r="48" spans="1:19" ht="13.5" customHeight="1">
      <c r="A48" s="896"/>
      <c r="B48" s="901" t="s">
        <v>308</v>
      </c>
      <c r="C48" s="897"/>
      <c r="D48" s="898"/>
      <c r="E48" s="899"/>
      <c r="F48" s="899"/>
      <c r="G48" s="899"/>
      <c r="H48" s="899"/>
      <c r="I48" s="899"/>
      <c r="J48" s="900"/>
      <c r="K48" s="900"/>
      <c r="L48" s="900"/>
      <c r="M48" s="900"/>
      <c r="N48" s="877"/>
    </row>
    <row r="49" spans="1:23" ht="13.5" customHeight="1">
      <c r="A49" s="896"/>
      <c r="B49" s="902" t="s">
        <v>200</v>
      </c>
      <c r="C49" s="897"/>
      <c r="D49" s="898"/>
      <c r="E49" s="899"/>
      <c r="F49" s="899"/>
      <c r="G49" s="899"/>
      <c r="H49" s="899"/>
      <c r="I49" s="899"/>
      <c r="J49" s="900"/>
      <c r="K49" s="900"/>
      <c r="L49" s="900"/>
      <c r="M49" s="900"/>
      <c r="N49" s="877"/>
      <c r="W49" s="903"/>
    </row>
    <row r="50" spans="1:23" ht="14">
      <c r="A50" s="904"/>
      <c r="B50" s="905" t="str">
        <f>ESA!O179</f>
        <v>Hasil pengukuran keselamatan listrik tertelusur ke Satuan Internasional ( SI ) melalui PT. Kaliman</v>
      </c>
      <c r="C50" s="897"/>
      <c r="D50" s="1107"/>
      <c r="E50" s="1107"/>
      <c r="F50" s="1107"/>
      <c r="G50" s="1107"/>
      <c r="H50" s="1107"/>
      <c r="I50" s="1107"/>
      <c r="J50" s="1107"/>
      <c r="K50" s="900"/>
      <c r="L50" s="900"/>
      <c r="M50" s="900"/>
      <c r="N50" s="907"/>
    </row>
    <row r="51" spans="1:23" ht="14.5">
      <c r="A51" s="904"/>
      <c r="B51" s="908" t="s">
        <v>201</v>
      </c>
      <c r="C51" s="897"/>
      <c r="D51" s="1107"/>
      <c r="E51" s="1107"/>
      <c r="F51" s="1107"/>
      <c r="G51" s="1107"/>
      <c r="H51" s="1107"/>
      <c r="I51" s="1107"/>
      <c r="J51" s="1107"/>
      <c r="K51" s="900"/>
      <c r="L51" s="900"/>
      <c r="M51" s="900"/>
      <c r="N51" s="907"/>
      <c r="O51" s="1110"/>
    </row>
    <row r="52" spans="1:23" ht="14">
      <c r="A52" s="904"/>
      <c r="B52" s="909" t="str">
        <f>'DB Stopwatch'!O248</f>
        <v>Hasil pengukuran akurasi waktu tertelusur ke Satuan Internasional ( SI ) melalui PT KALIMAN</v>
      </c>
      <c r="C52" s="897"/>
      <c r="D52" s="1107"/>
      <c r="E52" s="1107"/>
      <c r="F52" s="1107"/>
      <c r="G52" s="1107"/>
      <c r="H52" s="1107"/>
      <c r="I52" s="1107"/>
      <c r="J52" s="1107"/>
      <c r="K52" s="900"/>
      <c r="L52" s="900"/>
      <c r="M52" s="900"/>
      <c r="N52" s="907"/>
    </row>
    <row r="53" spans="1:23" ht="14" customHeight="1">
      <c r="A53" s="897"/>
      <c r="B53" s="901" t="str">
        <f>IF(OR(P26=L125,K129=0),C131,C130)</f>
        <v>-</v>
      </c>
      <c r="C53" s="909"/>
      <c r="D53" s="909"/>
      <c r="E53" s="909"/>
      <c r="F53" s="909"/>
      <c r="G53" s="1121"/>
      <c r="H53" s="1121"/>
      <c r="I53" s="1121"/>
      <c r="J53" s="1121"/>
      <c r="K53" s="900"/>
      <c r="L53" s="900"/>
      <c r="M53" s="900"/>
      <c r="N53" s="907"/>
    </row>
    <row r="54" spans="1:23" ht="14">
      <c r="A54" s="897"/>
      <c r="B54" s="1391" t="str">
        <f>IF(AND(S27=N125,L132=1),C129,C131)</f>
        <v>Alat tidak boleh digunakan pada ruangan yang tidak dilengkapi instalasi grounding</v>
      </c>
      <c r="C54" s="1391"/>
      <c r="D54" s="1391"/>
      <c r="E54" s="1391"/>
      <c r="F54" s="1391"/>
      <c r="G54" s="1391"/>
      <c r="H54" s="1391"/>
      <c r="I54" s="1391"/>
      <c r="J54" s="1391"/>
      <c r="K54" s="1391"/>
      <c r="L54" s="1391"/>
      <c r="M54" s="900"/>
      <c r="N54" s="907"/>
    </row>
    <row r="55" spans="1:23" ht="14">
      <c r="A55" s="897"/>
      <c r="B55" s="904"/>
      <c r="C55" s="910" t="s">
        <v>153</v>
      </c>
      <c r="D55" s="1107"/>
      <c r="E55" s="1107"/>
      <c r="F55" s="1107"/>
      <c r="G55" s="1107"/>
      <c r="H55" s="1107"/>
      <c r="I55" s="1107"/>
      <c r="J55" s="1107"/>
      <c r="K55" s="900"/>
      <c r="L55" s="900"/>
      <c r="M55" s="900"/>
      <c r="N55" s="907"/>
    </row>
    <row r="56" spans="1:23" ht="14">
      <c r="A56" s="904" t="s">
        <v>167</v>
      </c>
      <c r="B56" s="904" t="s">
        <v>16</v>
      </c>
      <c r="C56" s="897"/>
      <c r="D56" s="1107"/>
      <c r="E56" s="911"/>
      <c r="F56" s="911"/>
      <c r="G56" s="911"/>
      <c r="H56" s="911"/>
      <c r="I56" s="911"/>
      <c r="J56" s="911"/>
      <c r="K56" s="911"/>
      <c r="L56" s="911"/>
      <c r="M56" s="911"/>
    </row>
    <row r="57" spans="1:23" ht="14">
      <c r="A57" s="897"/>
      <c r="B57" s="1385" t="s">
        <v>299</v>
      </c>
      <c r="C57" s="1385"/>
      <c r="D57" s="1385"/>
      <c r="E57" s="1385"/>
      <c r="F57" s="1385"/>
      <c r="G57" s="1385"/>
      <c r="H57" s="1385"/>
      <c r="I57" s="1385"/>
      <c r="J57" s="1385"/>
      <c r="K57" s="1385"/>
      <c r="L57" s="1385"/>
      <c r="M57" s="911"/>
    </row>
    <row r="58" spans="1:23" ht="14">
      <c r="A58" s="897"/>
      <c r="B58" s="1386" t="s">
        <v>395</v>
      </c>
      <c r="C58" s="1386"/>
      <c r="D58" s="1386"/>
      <c r="E58" s="1386"/>
      <c r="F58" s="1386"/>
      <c r="G58" s="1386"/>
      <c r="H58" s="1386"/>
      <c r="I58" s="1386"/>
      <c r="J58" s="1386"/>
      <c r="K58" s="1386"/>
      <c r="L58" s="1386"/>
      <c r="M58" s="911"/>
    </row>
    <row r="59" spans="1:23" ht="12.75" customHeight="1">
      <c r="A59" s="897"/>
      <c r="B59" s="1386" t="s">
        <v>391</v>
      </c>
      <c r="C59" s="1386"/>
      <c r="D59" s="1386"/>
      <c r="E59" s="1386"/>
      <c r="F59" s="1386"/>
      <c r="G59" s="1386"/>
      <c r="H59" s="1386"/>
      <c r="I59" s="1386"/>
      <c r="J59" s="1386"/>
      <c r="K59" s="1386"/>
      <c r="L59" s="1386"/>
      <c r="M59" s="911"/>
    </row>
    <row r="60" spans="1:23" ht="12.75" customHeight="1">
      <c r="A60" s="897"/>
      <c r="B60" s="1386" t="s">
        <v>409</v>
      </c>
      <c r="C60" s="1386"/>
      <c r="D60" s="1386"/>
      <c r="E60" s="1386"/>
      <c r="F60" s="1386"/>
      <c r="G60" s="1386"/>
      <c r="H60" s="1386"/>
      <c r="I60" s="1386"/>
      <c r="J60" s="1386"/>
      <c r="K60" s="1386"/>
      <c r="L60" s="1386"/>
      <c r="M60" s="911"/>
    </row>
    <row r="61" spans="1:23" ht="6.75" customHeight="1">
      <c r="A61" s="897"/>
      <c r="B61" s="1107"/>
      <c r="C61" s="908"/>
      <c r="D61" s="908"/>
      <c r="E61" s="908"/>
      <c r="F61" s="908"/>
      <c r="G61" s="908"/>
      <c r="H61" s="908"/>
      <c r="I61" s="908"/>
      <c r="J61" s="908"/>
      <c r="K61" s="908"/>
      <c r="L61" s="911"/>
      <c r="M61" s="911"/>
    </row>
    <row r="62" spans="1:23" ht="12.75" customHeight="1">
      <c r="A62" s="904" t="s">
        <v>17</v>
      </c>
      <c r="B62" s="814" t="s">
        <v>28</v>
      </c>
      <c r="C62" s="897"/>
      <c r="D62" s="1107"/>
      <c r="E62" s="911"/>
      <c r="F62" s="911"/>
      <c r="G62" s="911"/>
      <c r="H62" s="911"/>
      <c r="I62" s="911"/>
      <c r="J62" s="911"/>
      <c r="K62" s="911"/>
      <c r="L62" s="911"/>
      <c r="M62" s="911"/>
    </row>
    <row r="63" spans="1:23" s="913" customFormat="1" ht="15" customHeight="1">
      <c r="A63" s="912"/>
      <c r="B63" s="1383" t="str">
        <f>LOOKUP(F2,L84:L85,M84:M85)</f>
        <v>Alat yang diuji dalam batas toleransi dan dinyatakan LAIK PAKAI, dimana hasil atau skor akhir sama dengan atau melampaui 70 % berdasarkan Keputusan Direktur Jenderal Pelayanan Kesehatan No : HK.02.02/V/0412/2020</v>
      </c>
      <c r="C63" s="1383"/>
      <c r="D63" s="1383"/>
      <c r="E63" s="1383"/>
      <c r="F63" s="1383"/>
      <c r="G63" s="1383"/>
      <c r="H63" s="1383"/>
      <c r="I63" s="1383"/>
      <c r="J63" s="1383"/>
      <c r="K63" s="1383"/>
      <c r="L63" s="1383"/>
      <c r="M63" s="1383"/>
    </row>
    <row r="64" spans="1:23" s="913" customFormat="1" ht="15" customHeight="1">
      <c r="A64" s="912"/>
      <c r="B64" s="1383"/>
      <c r="C64" s="1383"/>
      <c r="D64" s="1383"/>
      <c r="E64" s="1383"/>
      <c r="F64" s="1383"/>
      <c r="G64" s="1383"/>
      <c r="H64" s="1383"/>
      <c r="I64" s="1383"/>
      <c r="J64" s="1383"/>
      <c r="K64" s="1383"/>
      <c r="L64" s="1383"/>
      <c r="M64" s="1383"/>
    </row>
    <row r="65" spans="1:13" ht="3" customHeight="1">
      <c r="A65" s="897"/>
      <c r="B65" s="904"/>
      <c r="C65" s="814"/>
      <c r="D65" s="1107"/>
      <c r="E65" s="911"/>
      <c r="F65" s="911"/>
      <c r="G65" s="911"/>
      <c r="H65" s="911"/>
      <c r="I65" s="911"/>
      <c r="J65" s="911"/>
      <c r="K65" s="911"/>
      <c r="L65" s="911"/>
      <c r="M65" s="911"/>
    </row>
    <row r="66" spans="1:13" ht="14">
      <c r="A66" s="904" t="s">
        <v>29</v>
      </c>
      <c r="B66" s="904" t="s">
        <v>319</v>
      </c>
      <c r="C66" s="897"/>
      <c r="D66" s="904"/>
      <c r="E66" s="911"/>
      <c r="F66" s="911"/>
      <c r="G66" s="911"/>
      <c r="H66" s="911"/>
      <c r="I66" s="911"/>
      <c r="J66" s="911"/>
      <c r="K66" s="911"/>
      <c r="L66" s="911"/>
      <c r="M66" s="911"/>
    </row>
    <row r="67" spans="1:13" ht="14">
      <c r="A67" s="897"/>
      <c r="B67" s="1384" t="s">
        <v>192</v>
      </c>
      <c r="C67" s="1384"/>
      <c r="D67" s="1384"/>
      <c r="E67" s="1384"/>
      <c r="F67" s="911"/>
      <c r="G67" s="911"/>
      <c r="H67" s="911"/>
      <c r="I67" s="911"/>
      <c r="J67" s="911"/>
      <c r="K67" s="911"/>
      <c r="L67" s="911"/>
      <c r="M67" s="911"/>
    </row>
    <row r="68" spans="1:13" ht="6" customHeight="1">
      <c r="A68" s="897"/>
      <c r="B68" s="1107"/>
      <c r="C68" s="901"/>
      <c r="D68" s="1107"/>
      <c r="E68" s="911"/>
      <c r="F68" s="911"/>
      <c r="G68" s="911"/>
      <c r="H68" s="911"/>
      <c r="I68" s="911"/>
      <c r="J68" s="911"/>
      <c r="K68" s="911"/>
      <c r="L68" s="911"/>
      <c r="M68" s="911"/>
    </row>
    <row r="69" spans="1:13" ht="14">
      <c r="A69" s="904"/>
      <c r="B69" s="896"/>
      <c r="C69" s="897"/>
      <c r="D69" s="1107"/>
      <c r="E69" s="911"/>
      <c r="F69" s="911"/>
      <c r="G69" s="911"/>
      <c r="H69" s="911"/>
      <c r="I69" s="911"/>
      <c r="J69" s="911"/>
      <c r="K69" s="911"/>
      <c r="L69" s="911"/>
      <c r="M69" s="902"/>
    </row>
    <row r="70" spans="1:13" ht="14">
      <c r="A70" s="897"/>
      <c r="B70" s="1382"/>
      <c r="C70" s="1382"/>
      <c r="D70" s="1382"/>
      <c r="E70" s="911"/>
      <c r="F70" s="911"/>
      <c r="G70" s="911"/>
      <c r="H70" s="911"/>
      <c r="I70" s="911"/>
      <c r="J70" s="911"/>
      <c r="K70" s="911"/>
      <c r="L70" s="911"/>
      <c r="M70" s="902"/>
    </row>
    <row r="71" spans="1:13">
      <c r="B71" s="914"/>
      <c r="C71" s="840" t="s">
        <v>122</v>
      </c>
    </row>
    <row r="74" spans="1:13" ht="14.5">
      <c r="L74" s="1112"/>
    </row>
    <row r="80" spans="1:13" ht="14.5">
      <c r="C80" s="1113" t="s">
        <v>299</v>
      </c>
    </row>
    <row r="81" spans="3:20" ht="14.5">
      <c r="C81" s="1113" t="s">
        <v>300</v>
      </c>
      <c r="L81" s="915" t="s">
        <v>202</v>
      </c>
    </row>
    <row r="82" spans="3:20" ht="14.5">
      <c r="C82" s="1113" t="s">
        <v>425</v>
      </c>
      <c r="L82" s="916" t="s">
        <v>66</v>
      </c>
    </row>
    <row r="83" spans="3:20" ht="14.5">
      <c r="C83" s="1113" t="s">
        <v>426</v>
      </c>
    </row>
    <row r="84" spans="3:20" ht="15.5">
      <c r="C84" s="1113" t="s">
        <v>203</v>
      </c>
      <c r="L84" s="917" t="s">
        <v>146</v>
      </c>
      <c r="M84" s="918" t="s">
        <v>310</v>
      </c>
    </row>
    <row r="85" spans="3:20" ht="15.5">
      <c r="C85" s="1113" t="s">
        <v>203</v>
      </c>
      <c r="L85" s="919" t="s">
        <v>309</v>
      </c>
      <c r="M85" s="920" t="s">
        <v>311</v>
      </c>
    </row>
    <row r="86" spans="3:20" ht="14.5">
      <c r="C86" s="1113" t="s">
        <v>203</v>
      </c>
    </row>
    <row r="87" spans="3:20" ht="14.5">
      <c r="C87" s="1113" t="s">
        <v>203</v>
      </c>
      <c r="L87" s="1114" t="s">
        <v>69</v>
      </c>
    </row>
    <row r="88" spans="3:20">
      <c r="L88" s="840" t="s">
        <v>148</v>
      </c>
    </row>
    <row r="89" spans="3:20" ht="14">
      <c r="C89" s="922" t="s">
        <v>264</v>
      </c>
    </row>
    <row r="90" spans="3:20" ht="14">
      <c r="C90" s="922" t="s">
        <v>265</v>
      </c>
      <c r="L90" s="840">
        <f>IF(L27=L91,0.2,0.3)</f>
        <v>0.2</v>
      </c>
    </row>
    <row r="91" spans="3:20" ht="14.5">
      <c r="C91" s="922" t="s">
        <v>266</v>
      </c>
      <c r="K91" s="840">
        <f>IF(L27=L91,0.2,0.3)</f>
        <v>0.2</v>
      </c>
      <c r="L91" s="923" t="s">
        <v>126</v>
      </c>
      <c r="M91" s="1115" t="s">
        <v>297</v>
      </c>
      <c r="T91" s="924" t="s">
        <v>189</v>
      </c>
    </row>
    <row r="92" spans="3:20" ht="14">
      <c r="C92" s="922" t="s">
        <v>267</v>
      </c>
      <c r="T92" s="925" t="s">
        <v>26</v>
      </c>
    </row>
    <row r="93" spans="3:20" ht="14.5">
      <c r="C93" s="922" t="s">
        <v>268</v>
      </c>
      <c r="L93" s="923" t="s">
        <v>142</v>
      </c>
      <c r="M93" s="1115" t="s">
        <v>298</v>
      </c>
      <c r="T93" s="925" t="s">
        <v>134</v>
      </c>
    </row>
    <row r="94" spans="3:20" ht="14.5">
      <c r="C94" s="922" t="s">
        <v>269</v>
      </c>
      <c r="K94" s="926">
        <f>IF(L28=L94,500,100)</f>
        <v>500</v>
      </c>
      <c r="L94" s="923" t="s">
        <v>127</v>
      </c>
      <c r="M94" s="1115" t="s">
        <v>183</v>
      </c>
      <c r="T94" s="925" t="s">
        <v>133</v>
      </c>
    </row>
    <row r="95" spans="3:20" ht="14.5">
      <c r="C95" s="922" t="s">
        <v>270</v>
      </c>
      <c r="K95" s="877"/>
      <c r="L95" s="923" t="s">
        <v>128</v>
      </c>
      <c r="M95" s="1115" t="s">
        <v>184</v>
      </c>
      <c r="T95" s="924" t="s">
        <v>190</v>
      </c>
    </row>
    <row r="96" spans="3:20" ht="14">
      <c r="C96" s="922" t="s">
        <v>271</v>
      </c>
      <c r="T96" s="924" t="s">
        <v>191</v>
      </c>
    </row>
    <row r="97" spans="3:20" ht="14">
      <c r="C97" s="922" t="s">
        <v>272</v>
      </c>
      <c r="T97" s="925" t="s">
        <v>179</v>
      </c>
    </row>
    <row r="98" spans="3:20" ht="14.5">
      <c r="C98" s="1112"/>
      <c r="T98" s="925" t="s">
        <v>151</v>
      </c>
    </row>
    <row r="99" spans="3:20" ht="14.5">
      <c r="C99" s="1112"/>
      <c r="T99" s="925" t="s">
        <v>138</v>
      </c>
    </row>
    <row r="100" spans="3:20" ht="14">
      <c r="C100" s="927" t="s">
        <v>289</v>
      </c>
      <c r="K100" s="928"/>
      <c r="T100" s="925" t="s">
        <v>136</v>
      </c>
    </row>
    <row r="101" spans="3:20" ht="14">
      <c r="C101" s="927" t="s">
        <v>290</v>
      </c>
      <c r="K101" s="928"/>
      <c r="T101" s="925" t="s">
        <v>106</v>
      </c>
    </row>
    <row r="102" spans="3:20" ht="14">
      <c r="C102" s="927" t="s">
        <v>291</v>
      </c>
      <c r="K102" s="928" t="s">
        <v>294</v>
      </c>
      <c r="T102" s="924" t="s">
        <v>192</v>
      </c>
    </row>
    <row r="103" spans="3:20" ht="14">
      <c r="C103" s="929" t="s">
        <v>292</v>
      </c>
      <c r="K103" s="928" t="s">
        <v>295</v>
      </c>
      <c r="T103" s="924" t="s">
        <v>152</v>
      </c>
    </row>
    <row r="104" spans="3:20" ht="14">
      <c r="C104" s="929" t="s">
        <v>293</v>
      </c>
      <c r="T104" s="925" t="s">
        <v>137</v>
      </c>
    </row>
    <row r="105" spans="3:20" ht="14">
      <c r="C105" s="929" t="s">
        <v>293</v>
      </c>
      <c r="T105" s="925" t="s">
        <v>135</v>
      </c>
    </row>
    <row r="106" spans="3:20" ht="14">
      <c r="C106" s="929" t="s">
        <v>293</v>
      </c>
      <c r="L106" s="930" t="s">
        <v>163</v>
      </c>
      <c r="T106" s="924" t="s">
        <v>193</v>
      </c>
    </row>
    <row r="107" spans="3:20" ht="14">
      <c r="C107" s="929" t="s">
        <v>293</v>
      </c>
      <c r="L107" s="930" t="s">
        <v>113</v>
      </c>
      <c r="T107" s="924" t="s">
        <v>194</v>
      </c>
    </row>
    <row r="108" spans="3:20" ht="14">
      <c r="C108" s="929" t="s">
        <v>293</v>
      </c>
      <c r="L108" s="930" t="s">
        <v>114</v>
      </c>
      <c r="T108" s="924" t="s">
        <v>195</v>
      </c>
    </row>
    <row r="109" spans="3:20" ht="14">
      <c r="C109" s="929" t="s">
        <v>293</v>
      </c>
      <c r="L109" s="930" t="s">
        <v>115</v>
      </c>
      <c r="T109" s="924" t="s">
        <v>196</v>
      </c>
    </row>
    <row r="111" spans="3:20">
      <c r="L111" s="840" t="s">
        <v>159</v>
      </c>
    </row>
    <row r="113" spans="3:19" ht="14.5">
      <c r="C113" s="931" t="s">
        <v>241</v>
      </c>
      <c r="L113" s="932" t="s">
        <v>108</v>
      </c>
      <c r="Q113" s="1105" t="s">
        <v>304</v>
      </c>
      <c r="R113" s="933" t="s">
        <v>305</v>
      </c>
      <c r="S113" s="934"/>
    </row>
    <row r="114" spans="3:19" ht="14.5">
      <c r="C114" s="931" t="s">
        <v>242</v>
      </c>
      <c r="L114" s="932" t="s">
        <v>434</v>
      </c>
      <c r="Q114" s="935">
        <v>1</v>
      </c>
      <c r="R114" s="936">
        <v>1</v>
      </c>
      <c r="S114" s="937"/>
    </row>
    <row r="115" spans="3:19" ht="14.5">
      <c r="C115" s="931" t="s">
        <v>243</v>
      </c>
      <c r="L115" s="932" t="s">
        <v>109</v>
      </c>
      <c r="Q115" s="935">
        <v>1.5</v>
      </c>
      <c r="R115" s="936">
        <v>2</v>
      </c>
      <c r="S115" s="937"/>
    </row>
    <row r="116" spans="3:19" ht="14.5">
      <c r="C116" s="931" t="s">
        <v>244</v>
      </c>
      <c r="L116" s="932" t="s">
        <v>435</v>
      </c>
      <c r="Q116" s="935">
        <v>2</v>
      </c>
      <c r="R116" s="936">
        <v>6</v>
      </c>
      <c r="S116" s="937"/>
    </row>
    <row r="117" spans="3:19" ht="14">
      <c r="C117" s="931" t="s">
        <v>245</v>
      </c>
      <c r="Q117" s="935">
        <v>2.5</v>
      </c>
      <c r="R117" s="936">
        <v>8</v>
      </c>
      <c r="S117" s="937"/>
    </row>
    <row r="118" spans="3:19" ht="14">
      <c r="C118" s="931" t="s">
        <v>246</v>
      </c>
      <c r="Q118" s="935">
        <v>3</v>
      </c>
      <c r="R118" s="936">
        <v>10</v>
      </c>
      <c r="S118" s="937"/>
    </row>
    <row r="119" spans="3:19">
      <c r="C119" s="931" t="s">
        <v>247</v>
      </c>
    </row>
    <row r="120" spans="3:19" ht="14.5">
      <c r="C120" s="931" t="s">
        <v>247</v>
      </c>
      <c r="L120" s="1116" t="s">
        <v>202</v>
      </c>
    </row>
    <row r="121" spans="3:19">
      <c r="C121" s="931" t="s">
        <v>248</v>
      </c>
    </row>
    <row r="122" spans="3:19">
      <c r="C122" s="931" t="s">
        <v>249</v>
      </c>
    </row>
    <row r="123" spans="3:19">
      <c r="C123" s="931" t="s">
        <v>250</v>
      </c>
    </row>
    <row r="124" spans="3:19">
      <c r="C124" s="938">
        <v>12</v>
      </c>
    </row>
    <row r="125" spans="3:19" ht="14.5">
      <c r="C125" s="1117"/>
      <c r="L125" s="940" t="s">
        <v>231</v>
      </c>
      <c r="M125" s="941">
        <f>IF(P26=L125,4,6)</f>
        <v>4</v>
      </c>
      <c r="N125" s="840" t="s">
        <v>368</v>
      </c>
    </row>
    <row r="126" spans="3:19" ht="15" thickBot="1">
      <c r="C126" s="1117"/>
      <c r="L126" s="942" t="s">
        <v>369</v>
      </c>
      <c r="M126" s="943"/>
      <c r="N126" s="840" t="s">
        <v>370</v>
      </c>
    </row>
    <row r="127" spans="3:19" ht="14.5">
      <c r="C127" s="1117"/>
      <c r="L127" s="944">
        <f>Penyelia!J28</f>
        <v>660</v>
      </c>
      <c r="M127" s="945">
        <f>IF(L127="-",3,IF(L127&lt;=L128,3,IF(L127&gt;=L128,0,)))</f>
        <v>0</v>
      </c>
      <c r="N127" s="840" t="s">
        <v>371</v>
      </c>
    </row>
    <row r="128" spans="3:19" ht="13.5" thickBot="1">
      <c r="L128" s="946">
        <f>K94</f>
        <v>500</v>
      </c>
      <c r="M128" s="947" t="str">
        <f>IF(M127=4,N132,N131)</f>
        <v>NO</v>
      </c>
      <c r="N128" s="840" t="s">
        <v>372</v>
      </c>
    </row>
    <row r="129" spans="3:14">
      <c r="C129" s="948" t="s">
        <v>375</v>
      </c>
      <c r="K129" s="949">
        <f>IF(P26="G",M130,IF(P26="NG",M129))</f>
        <v>1</v>
      </c>
      <c r="L129" s="950">
        <f>M127</f>
        <v>0</v>
      </c>
      <c r="M129" s="941">
        <f>M127</f>
        <v>0</v>
      </c>
      <c r="N129" s="840" t="s">
        <v>369</v>
      </c>
    </row>
    <row r="130" spans="3:14" ht="13.5" thickBot="1">
      <c r="C130" s="951" t="s">
        <v>412</v>
      </c>
      <c r="L130" s="943">
        <f>L132</f>
        <v>1</v>
      </c>
      <c r="M130" s="952">
        <f>L129+L130</f>
        <v>1</v>
      </c>
      <c r="N130" s="840" t="s">
        <v>231</v>
      </c>
    </row>
    <row r="131" spans="3:14">
      <c r="C131" s="1592" t="s">
        <v>66</v>
      </c>
      <c r="L131" s="953">
        <v>100</v>
      </c>
      <c r="M131" s="954" t="str">
        <f>IF(L132=1,N132,N131)</f>
        <v>YES</v>
      </c>
      <c r="N131" s="955" t="s">
        <v>373</v>
      </c>
    </row>
    <row r="132" spans="3:14" ht="13.5" thickBot="1">
      <c r="L132" s="956">
        <f>IF(Q27&lt;=L131,1,IF(Q27="-",1,IF(Q27&gt;=L131,0)))</f>
        <v>1</v>
      </c>
      <c r="M132" s="957"/>
      <c r="N132" s="958" t="s">
        <v>374</v>
      </c>
    </row>
    <row r="147" spans="13:13">
      <c r="M147" s="1122"/>
    </row>
  </sheetData>
  <sheetProtection insertRows="0"/>
  <mergeCells count="36">
    <mergeCell ref="B54:L54"/>
    <mergeCell ref="C34:C36"/>
    <mergeCell ref="I35:I36"/>
    <mergeCell ref="B34:B36"/>
    <mergeCell ref="G35:G36"/>
    <mergeCell ref="E34:I34"/>
    <mergeCell ref="S34:S36"/>
    <mergeCell ref="K34:K36"/>
    <mergeCell ref="J34:J36"/>
    <mergeCell ref="F35:F36"/>
    <mergeCell ref="B70:D70"/>
    <mergeCell ref="D34:D36"/>
    <mergeCell ref="B63:M64"/>
    <mergeCell ref="B67:E67"/>
    <mergeCell ref="B57:L57"/>
    <mergeCell ref="B58:L58"/>
    <mergeCell ref="B59:L59"/>
    <mergeCell ref="B60:L60"/>
    <mergeCell ref="C37:C41"/>
    <mergeCell ref="L34:L36"/>
    <mergeCell ref="E35:E36"/>
    <mergeCell ref="H35:H36"/>
    <mergeCell ref="A1:M1"/>
    <mergeCell ref="B31:I31"/>
    <mergeCell ref="B32:I32"/>
    <mergeCell ref="B33:I33"/>
    <mergeCell ref="H14:I14"/>
    <mergeCell ref="H15:I15"/>
    <mergeCell ref="H16:I16"/>
    <mergeCell ref="J24:K25"/>
    <mergeCell ref="C24:I25"/>
    <mergeCell ref="L24:M25"/>
    <mergeCell ref="H17:I17"/>
    <mergeCell ref="C27:I27"/>
    <mergeCell ref="C28:I28"/>
    <mergeCell ref="B24:B25"/>
  </mergeCells>
  <conditionalFormatting sqref="P28:P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8">
    <dataValidation allowBlank="1" showInputMessage="1" sqref="F10:I10 F2" xr:uid="{00000000-0002-0000-0100-000000000000}"/>
    <dataValidation type="list" allowBlank="1" showInputMessage="1" sqref="C28:I28" xr:uid="{00000000-0002-0000-0100-000001000000}">
      <formula1>$M$94:$M$95</formula1>
    </dataValidation>
    <dataValidation type="list" allowBlank="1" showInputMessage="1" sqref="C27:I27" xr:uid="{00000000-0002-0000-0100-000002000000}">
      <formula1>$M$91:$M$93</formula1>
    </dataValidation>
    <dataValidation type="list" allowBlank="1" showInputMessage="1" sqref="B67" xr:uid="{00000000-0002-0000-0100-000007000000}">
      <formula1>$T$91:$T$109</formula1>
    </dataValidation>
    <dataValidation type="list" allowBlank="1" showInputMessage="1" showErrorMessage="1" sqref="B33:I33" xr:uid="{00000000-0002-0000-0100-000008000000}">
      <formula1>$L$113:$L$116</formula1>
    </dataValidation>
    <dataValidation type="list" allowBlank="1" showInputMessage="1" sqref="F20:F21" xr:uid="{00000000-0002-0000-0100-000009000000}">
      <formula1>$L$87:$L$88</formula1>
    </dataValidation>
    <dataValidation type="list" showInputMessage="1" showErrorMessage="1" sqref="P26" xr:uid="{C0E2F7DC-1BA6-4ABC-ABC6-27AD0A992857}">
      <formula1>$N$129:$N$130</formula1>
    </dataValidation>
    <dataValidation type="list" allowBlank="1" showInputMessage="1" sqref="B57:L57" xr:uid="{B5E68A73-6819-4B16-8591-3394EE65083E}">
      <formula1>$C$80:$C$83</formula1>
    </dataValidation>
  </dataValidations>
  <printOptions horizontalCentered="1"/>
  <pageMargins left="0.35433070866141736" right="0.31496062992125984" top="0.47244094488188981" bottom="7.874015748031496E-2" header="0.23622047244094491" footer="0.27559055118110237"/>
  <pageSetup paperSize="9" scale="62" orientation="portrait" horizontalDpi="4294967294" verticalDpi="4294967294" r:id="rId1"/>
  <headerFooter>
    <oddHeader>&amp;R&amp;"Calibri,Regular"&amp;9KL.ID - 066-18 / REV : 0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EF5568C8-03A6-434B-B323-25C6CE2F6EDA}">
          <x14:formula1>
            <xm:f>ESA!$A$167:$A$177</xm:f>
          </x14:formula1>
          <xm:sqref>B58:L58</xm:sqref>
        </x14:dataValidation>
        <x14:dataValidation type="list" allowBlank="1" showInputMessage="1" showErrorMessage="1" xr:uid="{571B2185-581B-491D-846C-1458D1212281}">
          <x14:formula1>
            <xm:f>'DB Stopwatch'!$A$231:$A$247</xm:f>
          </x14:formula1>
          <xm:sqref>B59:L59</xm:sqref>
        </x14:dataValidation>
        <x14:dataValidation type="list" allowBlank="1" showInputMessage="1" showErrorMessage="1" xr:uid="{B992607E-75F9-470F-A80D-475CBE0E3752}">
          <x14:formula1>
            <xm:f>'DB Thermohygro'!$A$393:$A$411</xm:f>
          </x14:formula1>
          <xm:sqref>B60:L60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3"/>
  <sheetViews>
    <sheetView view="pageBreakPreview" topLeftCell="A61" zoomScale="90" zoomScaleNormal="100" zoomScaleSheetLayoutView="90" workbookViewId="0">
      <selection activeCell="J96" sqref="J96"/>
    </sheetView>
  </sheetViews>
  <sheetFormatPr defaultRowHeight="12.5"/>
  <cols>
    <col min="1" max="1" width="22" customWidth="1"/>
    <col min="3" max="3" width="17" customWidth="1"/>
    <col min="4" max="4" width="7.54296875" customWidth="1"/>
    <col min="6" max="6" width="9.1796875" customWidth="1"/>
    <col min="8" max="8" width="12.7265625" customWidth="1"/>
    <col min="9" max="9" width="11.453125" customWidth="1"/>
    <col min="10" max="10" width="11.1796875" customWidth="1"/>
    <col min="11" max="11" width="12" customWidth="1"/>
    <col min="12" max="12" width="6.453125" customWidth="1"/>
    <col min="13" max="13" width="15.1796875" customWidth="1"/>
    <col min="14" max="14" width="9" customWidth="1"/>
    <col min="15" max="15" width="14.54296875" customWidth="1"/>
    <col min="16" max="16" width="8.7265625" customWidth="1"/>
    <col min="17" max="17" width="14.54296875" customWidth="1"/>
    <col min="18" max="18" width="12.54296875" customWidth="1"/>
    <col min="19" max="20" width="10.7265625" customWidth="1"/>
    <col min="21" max="21" width="12.81640625" customWidth="1"/>
    <col min="23" max="23" width="10.7265625" customWidth="1"/>
  </cols>
  <sheetData>
    <row r="1" spans="1:23" ht="15" thickBot="1">
      <c r="W1" s="100" t="s">
        <v>187</v>
      </c>
    </row>
    <row r="2" spans="1:23" ht="13">
      <c r="A2" s="1415" t="s">
        <v>35</v>
      </c>
      <c r="B2" s="1416"/>
      <c r="C2" s="1416"/>
      <c r="D2" s="1416"/>
      <c r="E2" s="1416"/>
      <c r="F2" s="1416"/>
      <c r="G2" s="1416"/>
      <c r="H2" s="1416"/>
      <c r="I2" s="1416"/>
      <c r="J2" s="1416"/>
      <c r="K2" s="1416"/>
      <c r="L2" s="1416"/>
      <c r="M2" s="1416"/>
      <c r="N2" s="1416"/>
      <c r="O2" s="1416"/>
      <c r="P2" s="1416"/>
      <c r="Q2" s="1416"/>
      <c r="R2" s="1416"/>
      <c r="S2" s="1416"/>
      <c r="T2" s="1416"/>
      <c r="U2" s="1416"/>
      <c r="V2" s="1416"/>
      <c r="W2" s="1417"/>
    </row>
    <row r="3" spans="1:23" ht="13">
      <c r="A3" s="1428" t="s">
        <v>303</v>
      </c>
      <c r="B3" s="1429"/>
      <c r="C3" s="1429"/>
      <c r="D3" s="1429"/>
      <c r="E3" s="1429"/>
      <c r="F3" s="1429"/>
      <c r="G3" s="1429"/>
      <c r="H3" s="1429"/>
      <c r="I3" s="1429"/>
      <c r="J3" s="1429"/>
      <c r="K3" s="1429"/>
      <c r="L3" s="1429"/>
      <c r="M3" s="1429"/>
      <c r="N3" s="1429"/>
      <c r="O3" s="1429"/>
      <c r="P3" s="1429"/>
      <c r="Q3" s="1429"/>
      <c r="R3" s="1429"/>
      <c r="S3" s="1429"/>
      <c r="T3" s="1429"/>
      <c r="U3" s="1429"/>
      <c r="V3" s="1429"/>
      <c r="W3" s="1430"/>
    </row>
    <row r="4" spans="1:23" ht="13">
      <c r="A4" s="34" t="s">
        <v>78</v>
      </c>
      <c r="B4" s="35"/>
      <c r="C4" s="74">
        <f>ID!D37</f>
        <v>1</v>
      </c>
      <c r="D4" s="36"/>
      <c r="E4" s="37"/>
      <c r="F4" s="37"/>
      <c r="G4" s="37"/>
      <c r="H4" s="37"/>
      <c r="I4" s="37"/>
      <c r="J4" s="37"/>
      <c r="K4" s="37"/>
      <c r="M4" s="34" t="s">
        <v>78</v>
      </c>
      <c r="N4" s="35"/>
      <c r="O4" s="74">
        <f>ID!D40</f>
        <v>4</v>
      </c>
      <c r="P4" s="36"/>
      <c r="Q4" s="37"/>
      <c r="R4" s="37"/>
      <c r="S4" s="37"/>
      <c r="T4" s="37"/>
      <c r="U4" s="37"/>
      <c r="V4" s="37"/>
      <c r="W4" s="75"/>
    </row>
    <row r="5" spans="1:23" ht="14">
      <c r="A5" s="38" t="s">
        <v>36</v>
      </c>
      <c r="B5" s="39" t="s">
        <v>37</v>
      </c>
      <c r="C5" s="40" t="s">
        <v>38</v>
      </c>
      <c r="D5" s="39" t="s">
        <v>39</v>
      </c>
      <c r="E5" s="41" t="s">
        <v>40</v>
      </c>
      <c r="F5" s="39" t="s">
        <v>41</v>
      </c>
      <c r="G5" s="40" t="s">
        <v>42</v>
      </c>
      <c r="H5" s="39" t="s">
        <v>43</v>
      </c>
      <c r="I5" s="40" t="s">
        <v>44</v>
      </c>
      <c r="J5" s="39" t="s">
        <v>45</v>
      </c>
      <c r="K5" s="51" t="s">
        <v>46</v>
      </c>
      <c r="M5" s="38" t="s">
        <v>36</v>
      </c>
      <c r="N5" s="39" t="s">
        <v>37</v>
      </c>
      <c r="O5" s="40" t="s">
        <v>38</v>
      </c>
      <c r="P5" s="39" t="s">
        <v>39</v>
      </c>
      <c r="Q5" s="41" t="s">
        <v>40</v>
      </c>
      <c r="R5" s="39" t="s">
        <v>41</v>
      </c>
      <c r="S5" s="40" t="s">
        <v>42</v>
      </c>
      <c r="T5" s="39" t="s">
        <v>43</v>
      </c>
      <c r="U5" s="40" t="s">
        <v>44</v>
      </c>
      <c r="V5" s="39" t="s">
        <v>45</v>
      </c>
      <c r="W5" s="76" t="s">
        <v>46</v>
      </c>
    </row>
    <row r="6" spans="1:23" ht="13">
      <c r="A6" s="7" t="s">
        <v>47</v>
      </c>
      <c r="B6" s="8" t="s">
        <v>79</v>
      </c>
      <c r="C6" s="9" t="s">
        <v>48</v>
      </c>
      <c r="D6" s="42">
        <f>ID!L37</f>
        <v>0</v>
      </c>
      <c r="E6" s="10">
        <f>SQRT(5)</f>
        <v>2.2360679774997898</v>
      </c>
      <c r="F6" s="8">
        <v>4</v>
      </c>
      <c r="G6" s="11">
        <f>D6/E6</f>
        <v>0</v>
      </c>
      <c r="H6" s="12">
        <v>1</v>
      </c>
      <c r="I6" s="11">
        <f>G6*H6</f>
        <v>0</v>
      </c>
      <c r="J6" s="13">
        <f>I6^2</f>
        <v>0</v>
      </c>
      <c r="K6" s="52">
        <f>I6^4/F6</f>
        <v>0</v>
      </c>
      <c r="M6" s="7" t="s">
        <v>47</v>
      </c>
      <c r="N6" s="8" t="s">
        <v>79</v>
      </c>
      <c r="O6" s="9" t="s">
        <v>48</v>
      </c>
      <c r="P6" s="42">
        <f>ID!L40</f>
        <v>0</v>
      </c>
      <c r="Q6" s="763">
        <f>SQRT(5)</f>
        <v>2.2360679774997898</v>
      </c>
      <c r="R6" s="8">
        <v>4</v>
      </c>
      <c r="S6" s="11">
        <f>P6/Q6</f>
        <v>0</v>
      </c>
      <c r="T6" s="12">
        <v>1</v>
      </c>
      <c r="U6" s="11">
        <f>S6*T6</f>
        <v>0</v>
      </c>
      <c r="V6" s="13">
        <f>U6^2</f>
        <v>0</v>
      </c>
      <c r="W6" s="77">
        <f>U6^4/R6</f>
        <v>0</v>
      </c>
    </row>
    <row r="7" spans="1:23" ht="13">
      <c r="A7" s="14" t="s">
        <v>49</v>
      </c>
      <c r="B7" s="8" t="s">
        <v>79</v>
      </c>
      <c r="C7" s="15" t="s">
        <v>50</v>
      </c>
      <c r="D7" s="70">
        <f>0.5*ID!$F$7</f>
        <v>0.05</v>
      </c>
      <c r="E7" s="70">
        <f>SQRT(3)</f>
        <v>1.7320508075688772</v>
      </c>
      <c r="F7" s="8">
        <v>50</v>
      </c>
      <c r="G7" s="16">
        <f>D7/E7</f>
        <v>2.8867513459481291E-2</v>
      </c>
      <c r="H7" s="8">
        <v>1</v>
      </c>
      <c r="I7" s="16">
        <f>G7*H7</f>
        <v>2.8867513459481291E-2</v>
      </c>
      <c r="J7" s="17">
        <f>I7^2</f>
        <v>8.333333333333335E-4</v>
      </c>
      <c r="K7" s="53">
        <f>I7^4/F7</f>
        <v>1.3888888888888894E-8</v>
      </c>
      <c r="M7" s="14" t="s">
        <v>49</v>
      </c>
      <c r="N7" s="8" t="s">
        <v>79</v>
      </c>
      <c r="O7" s="15" t="s">
        <v>50</v>
      </c>
      <c r="P7" s="70">
        <f>0.5*ID!$F$7</f>
        <v>0.05</v>
      </c>
      <c r="Q7" s="70">
        <f>SQRT(3)</f>
        <v>1.7320508075688772</v>
      </c>
      <c r="R7" s="8">
        <v>50</v>
      </c>
      <c r="S7" s="16">
        <f>P7/Q7</f>
        <v>2.8867513459481291E-2</v>
      </c>
      <c r="T7" s="8">
        <v>1</v>
      </c>
      <c r="U7" s="16">
        <f>S7*T7</f>
        <v>2.8867513459481291E-2</v>
      </c>
      <c r="V7" s="17">
        <f>U7^2</f>
        <v>8.333333333333335E-4</v>
      </c>
      <c r="W7" s="78">
        <f>U7^4/R7</f>
        <v>1.3888888888888894E-8</v>
      </c>
    </row>
    <row r="8" spans="1:23" ht="14">
      <c r="A8" s="18" t="s">
        <v>51</v>
      </c>
      <c r="B8" s="19"/>
      <c r="C8" s="19"/>
      <c r="D8" s="19"/>
      <c r="E8" s="20"/>
      <c r="F8" s="19"/>
      <c r="G8" s="19"/>
      <c r="H8" s="19"/>
      <c r="I8" s="19"/>
      <c r="J8" s="43">
        <f>SUM(J6:J7)</f>
        <v>8.333333333333335E-4</v>
      </c>
      <c r="K8" s="13">
        <f>SUM(K6:K7)</f>
        <v>1.3888888888888894E-8</v>
      </c>
      <c r="M8" s="18" t="s">
        <v>51</v>
      </c>
      <c r="N8" s="19"/>
      <c r="O8" s="19"/>
      <c r="P8" s="19"/>
      <c r="Q8" s="20"/>
      <c r="R8" s="19"/>
      <c r="S8" s="19"/>
      <c r="T8" s="19"/>
      <c r="U8" s="19"/>
      <c r="V8" s="43">
        <f>SUM(V6:V7)</f>
        <v>8.333333333333335E-4</v>
      </c>
      <c r="W8" s="79">
        <f>SUM(W6:W7)</f>
        <v>1.3888888888888894E-8</v>
      </c>
    </row>
    <row r="9" spans="1:23" ht="17">
      <c r="A9" s="21" t="s">
        <v>52</v>
      </c>
      <c r="B9" s="22"/>
      <c r="C9" s="22"/>
      <c r="D9" s="22"/>
      <c r="E9" s="23"/>
      <c r="F9" s="22"/>
      <c r="G9" s="44" t="s">
        <v>53</v>
      </c>
      <c r="H9" s="22"/>
      <c r="I9" s="22"/>
      <c r="J9" s="24">
        <f>SQRT(J8)</f>
        <v>2.8867513459481291E-2</v>
      </c>
      <c r="K9" s="54"/>
      <c r="M9" s="21" t="s">
        <v>52</v>
      </c>
      <c r="N9" s="22"/>
      <c r="O9" s="22"/>
      <c r="P9" s="22"/>
      <c r="Q9" s="23"/>
      <c r="R9" s="22"/>
      <c r="S9" s="44" t="s">
        <v>53</v>
      </c>
      <c r="T9" s="22"/>
      <c r="U9" s="22"/>
      <c r="V9" s="24">
        <f>SQRT(V8)</f>
        <v>2.8867513459481291E-2</v>
      </c>
      <c r="W9" s="80"/>
    </row>
    <row r="10" spans="1:23" ht="17.5">
      <c r="A10" s="18" t="s">
        <v>54</v>
      </c>
      <c r="B10" s="25"/>
      <c r="C10" s="25"/>
      <c r="D10" s="25"/>
      <c r="E10" s="26"/>
      <c r="F10" s="25"/>
      <c r="G10" s="45" t="s">
        <v>55</v>
      </c>
      <c r="H10" s="25"/>
      <c r="I10" s="25"/>
      <c r="J10" s="27">
        <f>J9^4/(K8)</f>
        <v>50</v>
      </c>
      <c r="K10" s="55"/>
      <c r="M10" s="18" t="s">
        <v>54</v>
      </c>
      <c r="N10" s="25"/>
      <c r="O10" s="25"/>
      <c r="P10" s="25"/>
      <c r="Q10" s="26"/>
      <c r="R10" s="25"/>
      <c r="S10" s="45" t="s">
        <v>55</v>
      </c>
      <c r="T10" s="25"/>
      <c r="U10" s="25"/>
      <c r="V10" s="27">
        <f>V9^4/(W8)</f>
        <v>50</v>
      </c>
      <c r="W10" s="81"/>
    </row>
    <row r="11" spans="1:23" ht="15.75" customHeight="1">
      <c r="A11" s="21" t="s">
        <v>56</v>
      </c>
      <c r="B11" s="22"/>
      <c r="C11" s="22"/>
      <c r="D11" s="22"/>
      <c r="E11" s="23"/>
      <c r="F11" s="22"/>
      <c r="G11" s="46" t="s">
        <v>57</v>
      </c>
      <c r="H11" s="22"/>
      <c r="I11" s="22"/>
      <c r="J11" s="47">
        <f>1.95996+(2.37356/J10)+(2.818745/J10^2)+(2.546662/J10^3)+(1.761829/J10^4)+(0.245458/J10^5)+(1.000764/J10^6)</f>
        <v>2.008579354038154</v>
      </c>
      <c r="K11" s="54"/>
      <c r="M11" s="21" t="s">
        <v>56</v>
      </c>
      <c r="N11" s="22"/>
      <c r="O11" s="22"/>
      <c r="P11" s="22"/>
      <c r="Q11" s="23"/>
      <c r="R11" s="22"/>
      <c r="S11" s="46" t="s">
        <v>57</v>
      </c>
      <c r="T11" s="22"/>
      <c r="U11" s="22"/>
      <c r="V11" s="47">
        <f>1.95996+(2.37356/V10)+(2.818745/V10^2)+(2.546662/V10^3)+(1.761829/V10^4)+(0.245458/V10^5)+(1.000764/V10^6)</f>
        <v>2.008579354038154</v>
      </c>
      <c r="W11" s="80"/>
    </row>
    <row r="12" spans="1:23" ht="14">
      <c r="A12" s="28" t="s">
        <v>58</v>
      </c>
      <c r="B12" s="29"/>
      <c r="C12" s="29"/>
      <c r="D12" s="29"/>
      <c r="E12" s="30"/>
      <c r="F12" s="29"/>
      <c r="G12" s="48" t="s">
        <v>59</v>
      </c>
      <c r="H12" s="29"/>
      <c r="I12" s="29"/>
      <c r="J12" s="31">
        <f>J9*J11</f>
        <v>5.7982691537132647E-2</v>
      </c>
      <c r="K12" s="36" t="s">
        <v>79</v>
      </c>
      <c r="M12" s="28" t="s">
        <v>58</v>
      </c>
      <c r="N12" s="29"/>
      <c r="O12" s="29"/>
      <c r="P12" s="29"/>
      <c r="Q12" s="30"/>
      <c r="R12" s="29"/>
      <c r="S12" s="48" t="s">
        <v>59</v>
      </c>
      <c r="T12" s="29"/>
      <c r="U12" s="29"/>
      <c r="V12" s="31">
        <f>V9*V11</f>
        <v>5.7982691537132647E-2</v>
      </c>
      <c r="W12" s="82" t="s">
        <v>79</v>
      </c>
    </row>
    <row r="13" spans="1:23">
      <c r="A13" s="33"/>
      <c r="M13" s="33"/>
      <c r="W13" s="69"/>
    </row>
    <row r="14" spans="1:23" ht="13">
      <c r="A14" s="34" t="s">
        <v>78</v>
      </c>
      <c r="B14" s="35"/>
      <c r="C14" s="74">
        <f>ID!D38</f>
        <v>2</v>
      </c>
      <c r="D14" s="36"/>
      <c r="E14" s="37"/>
      <c r="F14" s="37"/>
      <c r="G14" s="37"/>
      <c r="H14" s="37"/>
      <c r="I14" s="37"/>
      <c r="J14" s="37"/>
      <c r="K14" s="37"/>
      <c r="M14" s="34" t="s">
        <v>78</v>
      </c>
      <c r="N14" s="35"/>
      <c r="O14" s="74">
        <f>ID!D41</f>
        <v>5</v>
      </c>
      <c r="P14" s="36"/>
      <c r="Q14" s="37"/>
      <c r="R14" s="37"/>
      <c r="S14" s="37"/>
      <c r="T14" s="37"/>
      <c r="U14" s="37"/>
      <c r="V14" s="37"/>
      <c r="W14" s="75"/>
    </row>
    <row r="15" spans="1:23" ht="14">
      <c r="A15" s="38" t="s">
        <v>36</v>
      </c>
      <c r="B15" s="39" t="s">
        <v>37</v>
      </c>
      <c r="C15" s="40" t="s">
        <v>38</v>
      </c>
      <c r="D15" s="39" t="s">
        <v>39</v>
      </c>
      <c r="E15" s="41" t="s">
        <v>40</v>
      </c>
      <c r="F15" s="39" t="s">
        <v>41</v>
      </c>
      <c r="G15" s="40" t="s">
        <v>42</v>
      </c>
      <c r="H15" s="39" t="s">
        <v>43</v>
      </c>
      <c r="I15" s="40" t="s">
        <v>44</v>
      </c>
      <c r="J15" s="39" t="s">
        <v>45</v>
      </c>
      <c r="K15" s="51" t="s">
        <v>46</v>
      </c>
      <c r="M15" s="38" t="s">
        <v>36</v>
      </c>
      <c r="N15" s="39" t="s">
        <v>37</v>
      </c>
      <c r="O15" s="40" t="s">
        <v>38</v>
      </c>
      <c r="P15" s="39" t="s">
        <v>39</v>
      </c>
      <c r="Q15" s="41" t="s">
        <v>40</v>
      </c>
      <c r="R15" s="39" t="s">
        <v>41</v>
      </c>
      <c r="S15" s="40" t="s">
        <v>42</v>
      </c>
      <c r="T15" s="39" t="s">
        <v>43</v>
      </c>
      <c r="U15" s="40" t="s">
        <v>44</v>
      </c>
      <c r="V15" s="39" t="s">
        <v>45</v>
      </c>
      <c r="W15" s="76" t="s">
        <v>46</v>
      </c>
    </row>
    <row r="16" spans="1:23" ht="13">
      <c r="A16" s="7" t="s">
        <v>47</v>
      </c>
      <c r="B16" s="8" t="s">
        <v>79</v>
      </c>
      <c r="C16" s="9" t="s">
        <v>48</v>
      </c>
      <c r="D16" s="42">
        <f>ID!L38</f>
        <v>0</v>
      </c>
      <c r="E16" s="10">
        <f>SQRT(5)</f>
        <v>2.2360679774997898</v>
      </c>
      <c r="F16" s="8">
        <v>4</v>
      </c>
      <c r="G16" s="11">
        <f>D16/E16</f>
        <v>0</v>
      </c>
      <c r="H16" s="12">
        <v>1</v>
      </c>
      <c r="I16" s="11">
        <f>G16*H16</f>
        <v>0</v>
      </c>
      <c r="J16" s="13">
        <f>I16^2</f>
        <v>0</v>
      </c>
      <c r="K16" s="52">
        <f>I16^4/F16</f>
        <v>0</v>
      </c>
      <c r="M16" s="7" t="s">
        <v>47</v>
      </c>
      <c r="N16" s="8" t="s">
        <v>79</v>
      </c>
      <c r="O16" s="9" t="s">
        <v>48</v>
      </c>
      <c r="P16" s="42">
        <f>ID!L41</f>
        <v>0</v>
      </c>
      <c r="Q16" s="763">
        <f>SQRT(5)</f>
        <v>2.2360679774997898</v>
      </c>
      <c r="R16" s="8">
        <v>4</v>
      </c>
      <c r="S16" s="11">
        <f>P16/Q16</f>
        <v>0</v>
      </c>
      <c r="T16" s="12">
        <v>1</v>
      </c>
      <c r="U16" s="11">
        <f>S16*T16</f>
        <v>0</v>
      </c>
      <c r="V16" s="13">
        <f>U16^2</f>
        <v>0</v>
      </c>
      <c r="W16" s="77">
        <f>U16^4/R16</f>
        <v>0</v>
      </c>
    </row>
    <row r="17" spans="1:23" ht="13">
      <c r="A17" s="14" t="s">
        <v>49</v>
      </c>
      <c r="B17" s="8" t="s">
        <v>79</v>
      </c>
      <c r="C17" s="15" t="s">
        <v>50</v>
      </c>
      <c r="D17" s="70">
        <f>0.5*ID!$F$7</f>
        <v>0.05</v>
      </c>
      <c r="E17" s="70">
        <f>SQRT(3)</f>
        <v>1.7320508075688772</v>
      </c>
      <c r="F17" s="8">
        <v>50</v>
      </c>
      <c r="G17" s="16">
        <f>D17/E17</f>
        <v>2.8867513459481291E-2</v>
      </c>
      <c r="H17" s="8">
        <v>1</v>
      </c>
      <c r="I17" s="16">
        <f>G17*H17</f>
        <v>2.8867513459481291E-2</v>
      </c>
      <c r="J17" s="17">
        <f>I17^2</f>
        <v>8.333333333333335E-4</v>
      </c>
      <c r="K17" s="53">
        <f>I17^4/F17</f>
        <v>1.3888888888888894E-8</v>
      </c>
      <c r="M17" s="14" t="s">
        <v>49</v>
      </c>
      <c r="N17" s="8" t="s">
        <v>79</v>
      </c>
      <c r="O17" s="15" t="s">
        <v>50</v>
      </c>
      <c r="P17" s="70">
        <f>0.5*ID!$F$7</f>
        <v>0.05</v>
      </c>
      <c r="Q17" s="70">
        <f>SQRT(3)</f>
        <v>1.7320508075688772</v>
      </c>
      <c r="R17" s="8">
        <v>50</v>
      </c>
      <c r="S17" s="16">
        <f>P17/Q17</f>
        <v>2.8867513459481291E-2</v>
      </c>
      <c r="T17" s="8">
        <v>1</v>
      </c>
      <c r="U17" s="16">
        <f>S17*T17</f>
        <v>2.8867513459481291E-2</v>
      </c>
      <c r="V17" s="17">
        <f>U17^2</f>
        <v>8.333333333333335E-4</v>
      </c>
      <c r="W17" s="78">
        <f>U17^4/R17</f>
        <v>1.3888888888888894E-8</v>
      </c>
    </row>
    <row r="18" spans="1:23" ht="14">
      <c r="A18" s="18" t="s">
        <v>51</v>
      </c>
      <c r="B18" s="19"/>
      <c r="C18" s="19"/>
      <c r="D18" s="19"/>
      <c r="E18" s="20"/>
      <c r="F18" s="19"/>
      <c r="G18" s="19"/>
      <c r="H18" s="19"/>
      <c r="I18" s="19"/>
      <c r="J18" s="43">
        <f>SUM(J16:J17)</f>
        <v>8.333333333333335E-4</v>
      </c>
      <c r="K18" s="13">
        <f>SUM(K16:K17)</f>
        <v>1.3888888888888894E-8</v>
      </c>
      <c r="M18" s="18" t="s">
        <v>51</v>
      </c>
      <c r="N18" s="19"/>
      <c r="O18" s="19"/>
      <c r="P18" s="19"/>
      <c r="Q18" s="20"/>
      <c r="R18" s="19"/>
      <c r="S18" s="19"/>
      <c r="T18" s="19"/>
      <c r="U18" s="19"/>
      <c r="V18" s="43">
        <f>SUM(V16:V17)</f>
        <v>8.333333333333335E-4</v>
      </c>
      <c r="W18" s="79">
        <f>SUM(W16:W17)</f>
        <v>1.3888888888888894E-8</v>
      </c>
    </row>
    <row r="19" spans="1:23" ht="17">
      <c r="A19" s="21" t="s">
        <v>52</v>
      </c>
      <c r="B19" s="22"/>
      <c r="C19" s="22"/>
      <c r="D19" s="22"/>
      <c r="E19" s="23"/>
      <c r="F19" s="22"/>
      <c r="G19" s="44" t="s">
        <v>53</v>
      </c>
      <c r="H19" s="22"/>
      <c r="I19" s="22"/>
      <c r="J19" s="24">
        <f>SQRT(J18)</f>
        <v>2.8867513459481291E-2</v>
      </c>
      <c r="K19" s="54"/>
      <c r="M19" s="21" t="s">
        <v>52</v>
      </c>
      <c r="N19" s="22"/>
      <c r="O19" s="22"/>
      <c r="P19" s="22"/>
      <c r="Q19" s="23"/>
      <c r="R19" s="22"/>
      <c r="S19" s="44" t="s">
        <v>53</v>
      </c>
      <c r="T19" s="22"/>
      <c r="U19" s="22"/>
      <c r="V19" s="24">
        <f>SQRT(V18)</f>
        <v>2.8867513459481291E-2</v>
      </c>
      <c r="W19" s="80"/>
    </row>
    <row r="20" spans="1:23" ht="18.75" customHeight="1">
      <c r="A20" s="18" t="s">
        <v>54</v>
      </c>
      <c r="B20" s="25"/>
      <c r="C20" s="25"/>
      <c r="D20" s="25"/>
      <c r="E20" s="26"/>
      <c r="F20" s="25"/>
      <c r="G20" s="45" t="s">
        <v>55</v>
      </c>
      <c r="H20" s="25"/>
      <c r="I20" s="25"/>
      <c r="J20" s="27">
        <f>J19^4/(K18)</f>
        <v>50</v>
      </c>
      <c r="K20" s="55"/>
      <c r="M20" s="18" t="s">
        <v>54</v>
      </c>
      <c r="N20" s="25"/>
      <c r="O20" s="25"/>
      <c r="P20" s="25"/>
      <c r="Q20" s="26"/>
      <c r="R20" s="25"/>
      <c r="S20" s="45" t="s">
        <v>55</v>
      </c>
      <c r="T20" s="25"/>
      <c r="U20" s="25"/>
      <c r="V20" s="27">
        <f>V19^4/(W18)</f>
        <v>50</v>
      </c>
      <c r="W20" s="81"/>
    </row>
    <row r="21" spans="1:23" ht="15.5">
      <c r="A21" s="21" t="s">
        <v>56</v>
      </c>
      <c r="B21" s="22"/>
      <c r="C21" s="22"/>
      <c r="D21" s="22"/>
      <c r="E21" s="23"/>
      <c r="F21" s="22"/>
      <c r="G21" s="46" t="s">
        <v>57</v>
      </c>
      <c r="H21" s="22"/>
      <c r="I21" s="22"/>
      <c r="J21" s="47">
        <f>1.95996+(2.37356/J20)+(2.818745/J20^2)+(2.546662/J20^3)+(1.761829/J20^4)+(0.245458/J20^5)+(1.000764/J20^6)</f>
        <v>2.008579354038154</v>
      </c>
      <c r="K21" s="54"/>
      <c r="M21" s="21" t="s">
        <v>56</v>
      </c>
      <c r="N21" s="22"/>
      <c r="O21" s="22"/>
      <c r="P21" s="22"/>
      <c r="Q21" s="23"/>
      <c r="R21" s="22"/>
      <c r="S21" s="46" t="s">
        <v>57</v>
      </c>
      <c r="T21" s="22"/>
      <c r="U21" s="22"/>
      <c r="V21" s="47">
        <f>1.95996+(2.37356/V20)+(2.818745/V20^2)+(2.546662/V20^3)+(1.761829/V20^4)+(0.245458/V20^5)+(1.000764/V20^6)</f>
        <v>2.008579354038154</v>
      </c>
      <c r="W21" s="80"/>
    </row>
    <row r="22" spans="1:23" ht="14">
      <c r="A22" s="28" t="s">
        <v>58</v>
      </c>
      <c r="B22" s="29"/>
      <c r="C22" s="29"/>
      <c r="D22" s="29"/>
      <c r="E22" s="30"/>
      <c r="F22" s="29"/>
      <c r="G22" s="48" t="s">
        <v>59</v>
      </c>
      <c r="H22" s="29"/>
      <c r="I22" s="29"/>
      <c r="J22" s="31">
        <f>J19*J21</f>
        <v>5.7982691537132647E-2</v>
      </c>
      <c r="K22" s="36" t="s">
        <v>79</v>
      </c>
      <c r="M22" s="28" t="s">
        <v>58</v>
      </c>
      <c r="N22" s="29"/>
      <c r="O22" s="29"/>
      <c r="P22" s="29"/>
      <c r="Q22" s="30"/>
      <c r="R22" s="29"/>
      <c r="S22" s="48" t="s">
        <v>59</v>
      </c>
      <c r="T22" s="29"/>
      <c r="U22" s="29"/>
      <c r="V22" s="31">
        <f>V19*V21</f>
        <v>5.7982691537132647E-2</v>
      </c>
      <c r="W22" s="82" t="s">
        <v>79</v>
      </c>
    </row>
    <row r="23" spans="1:23">
      <c r="A23" s="33"/>
      <c r="M23" s="33"/>
      <c r="W23" s="69"/>
    </row>
    <row r="24" spans="1:23" ht="13">
      <c r="A24" s="34" t="s">
        <v>78</v>
      </c>
      <c r="B24" s="35"/>
      <c r="C24" s="74">
        <f>ID!D39</f>
        <v>3</v>
      </c>
      <c r="D24" s="36"/>
      <c r="E24" s="37"/>
      <c r="F24" s="37"/>
      <c r="G24" s="37"/>
      <c r="H24" s="37"/>
      <c r="I24" s="37"/>
      <c r="J24" s="37"/>
      <c r="K24" s="37"/>
      <c r="M24" s="34" t="s">
        <v>78</v>
      </c>
      <c r="N24" s="35"/>
      <c r="O24" s="74" t="e">
        <f>ID!#REF!</f>
        <v>#REF!</v>
      </c>
      <c r="P24" s="36"/>
      <c r="Q24" s="37"/>
      <c r="R24" s="37"/>
      <c r="S24" s="37"/>
      <c r="T24" s="37"/>
      <c r="U24" s="37"/>
      <c r="V24" s="37"/>
      <c r="W24" s="75"/>
    </row>
    <row r="25" spans="1:23" ht="14">
      <c r="A25" s="38" t="s">
        <v>36</v>
      </c>
      <c r="B25" s="39" t="s">
        <v>37</v>
      </c>
      <c r="C25" s="40" t="s">
        <v>38</v>
      </c>
      <c r="D25" s="39" t="s">
        <v>39</v>
      </c>
      <c r="E25" s="41" t="s">
        <v>40</v>
      </c>
      <c r="F25" s="39" t="s">
        <v>41</v>
      </c>
      <c r="G25" s="40" t="s">
        <v>42</v>
      </c>
      <c r="H25" s="39" t="s">
        <v>43</v>
      </c>
      <c r="I25" s="40" t="s">
        <v>44</v>
      </c>
      <c r="J25" s="39" t="s">
        <v>45</v>
      </c>
      <c r="K25" s="51" t="s">
        <v>46</v>
      </c>
      <c r="M25" s="38" t="s">
        <v>36</v>
      </c>
      <c r="N25" s="39" t="s">
        <v>37</v>
      </c>
      <c r="O25" s="40" t="s">
        <v>38</v>
      </c>
      <c r="P25" s="39" t="s">
        <v>39</v>
      </c>
      <c r="Q25" s="41" t="s">
        <v>40</v>
      </c>
      <c r="R25" s="39" t="s">
        <v>41</v>
      </c>
      <c r="S25" s="40" t="s">
        <v>42</v>
      </c>
      <c r="T25" s="39" t="s">
        <v>43</v>
      </c>
      <c r="U25" s="40" t="s">
        <v>44</v>
      </c>
      <c r="V25" s="39" t="s">
        <v>45</v>
      </c>
      <c r="W25" s="76" t="s">
        <v>46</v>
      </c>
    </row>
    <row r="26" spans="1:23" ht="13">
      <c r="A26" s="7" t="s">
        <v>47</v>
      </c>
      <c r="B26" s="8" t="s">
        <v>79</v>
      </c>
      <c r="C26" s="9" t="s">
        <v>48</v>
      </c>
      <c r="D26" s="70">
        <f>ID!L39</f>
        <v>0</v>
      </c>
      <c r="E26" s="10">
        <f>SQRT(5)</f>
        <v>2.2360679774997898</v>
      </c>
      <c r="F26" s="762">
        <v>4</v>
      </c>
      <c r="G26" s="11">
        <f>D26/E26</f>
        <v>0</v>
      </c>
      <c r="H26" s="12">
        <v>1</v>
      </c>
      <c r="I26" s="11">
        <f>G26*H26</f>
        <v>0</v>
      </c>
      <c r="J26" s="13">
        <f>I26^2</f>
        <v>0</v>
      </c>
      <c r="K26" s="52">
        <f>I26^4/F26</f>
        <v>0</v>
      </c>
      <c r="M26" s="7" t="s">
        <v>47</v>
      </c>
      <c r="N26" s="8" t="s">
        <v>79</v>
      </c>
      <c r="O26" s="9" t="s">
        <v>48</v>
      </c>
      <c r="P26" s="70" t="e">
        <f>ID!#REF!</f>
        <v>#REF!</v>
      </c>
      <c r="Q26" s="763">
        <f>SQRT(5)</f>
        <v>2.2360679774997898</v>
      </c>
      <c r="R26" s="8">
        <v>4</v>
      </c>
      <c r="S26" s="11" t="e">
        <f>P26/Q26</f>
        <v>#REF!</v>
      </c>
      <c r="T26" s="12">
        <v>1</v>
      </c>
      <c r="U26" s="11" t="e">
        <f>S26*T26</f>
        <v>#REF!</v>
      </c>
      <c r="V26" s="13" t="e">
        <f>U26^2</f>
        <v>#REF!</v>
      </c>
      <c r="W26" s="77" t="e">
        <f>U26^4/R26</f>
        <v>#REF!</v>
      </c>
    </row>
    <row r="27" spans="1:23" ht="13">
      <c r="A27" s="14" t="s">
        <v>49</v>
      </c>
      <c r="B27" s="8" t="s">
        <v>79</v>
      </c>
      <c r="C27" s="15" t="s">
        <v>50</v>
      </c>
      <c r="D27" s="70">
        <f>0.5*ID!$F$7</f>
        <v>0.05</v>
      </c>
      <c r="E27" s="70">
        <f>SQRT(3)</f>
        <v>1.7320508075688772</v>
      </c>
      <c r="F27" s="8">
        <v>50</v>
      </c>
      <c r="G27" s="16">
        <f>D27/E27</f>
        <v>2.8867513459481291E-2</v>
      </c>
      <c r="H27" s="8">
        <v>1</v>
      </c>
      <c r="I27" s="16">
        <f>G27*H27</f>
        <v>2.8867513459481291E-2</v>
      </c>
      <c r="J27" s="17">
        <f>I27^2</f>
        <v>8.333333333333335E-4</v>
      </c>
      <c r="K27" s="53">
        <f>I27^4/F27</f>
        <v>1.3888888888888894E-8</v>
      </c>
      <c r="M27" s="14" t="s">
        <v>49</v>
      </c>
      <c r="N27" s="8" t="s">
        <v>79</v>
      </c>
      <c r="O27" s="15" t="s">
        <v>50</v>
      </c>
      <c r="P27" s="70">
        <f>0.5*ID!$F$7</f>
        <v>0.05</v>
      </c>
      <c r="Q27" s="70">
        <f>SQRT(3)</f>
        <v>1.7320508075688772</v>
      </c>
      <c r="R27" s="8">
        <v>50</v>
      </c>
      <c r="S27" s="16">
        <f>P27/Q27</f>
        <v>2.8867513459481291E-2</v>
      </c>
      <c r="T27" s="8">
        <v>1</v>
      </c>
      <c r="U27" s="16">
        <f>S27*T27</f>
        <v>2.8867513459481291E-2</v>
      </c>
      <c r="V27" s="17">
        <f>U27^2</f>
        <v>8.333333333333335E-4</v>
      </c>
      <c r="W27" s="78">
        <f>U27^4/R27</f>
        <v>1.3888888888888894E-8</v>
      </c>
    </row>
    <row r="28" spans="1:23" ht="14">
      <c r="A28" s="18" t="s">
        <v>51</v>
      </c>
      <c r="B28" s="19"/>
      <c r="C28" s="19"/>
      <c r="D28" s="19"/>
      <c r="E28" s="20"/>
      <c r="F28" s="19"/>
      <c r="G28" s="19"/>
      <c r="H28" s="19"/>
      <c r="I28" s="19"/>
      <c r="J28" s="43">
        <f>SUM(J26:J27)</f>
        <v>8.333333333333335E-4</v>
      </c>
      <c r="K28" s="13">
        <f>SUM(K26:K27)</f>
        <v>1.3888888888888894E-8</v>
      </c>
      <c r="M28" s="18" t="s">
        <v>51</v>
      </c>
      <c r="N28" s="19"/>
      <c r="O28" s="19"/>
      <c r="P28" s="19"/>
      <c r="Q28" s="20"/>
      <c r="R28" s="19"/>
      <c r="S28" s="19"/>
      <c r="T28" s="19"/>
      <c r="U28" s="19"/>
      <c r="V28" s="43" t="e">
        <f>SUM(V26:V27)</f>
        <v>#REF!</v>
      </c>
      <c r="W28" s="79" t="e">
        <f>SUM(W26:W27)</f>
        <v>#REF!</v>
      </c>
    </row>
    <row r="29" spans="1:23" ht="17">
      <c r="A29" s="21" t="s">
        <v>52</v>
      </c>
      <c r="B29" s="22"/>
      <c r="C29" s="22"/>
      <c r="D29" s="22"/>
      <c r="E29" s="23"/>
      <c r="F29" s="22"/>
      <c r="G29" s="44" t="s">
        <v>53</v>
      </c>
      <c r="H29" s="22"/>
      <c r="I29" s="22"/>
      <c r="J29" s="24">
        <f>SQRT(J28)</f>
        <v>2.8867513459481291E-2</v>
      </c>
      <c r="K29" s="54"/>
      <c r="M29" s="21" t="s">
        <v>52</v>
      </c>
      <c r="N29" s="22"/>
      <c r="O29" s="22"/>
      <c r="P29" s="22"/>
      <c r="Q29" s="23"/>
      <c r="R29" s="22"/>
      <c r="S29" s="44" t="s">
        <v>53</v>
      </c>
      <c r="T29" s="22"/>
      <c r="U29" s="22"/>
      <c r="V29" s="24" t="e">
        <f>SQRT(V28)</f>
        <v>#REF!</v>
      </c>
      <c r="W29" s="80"/>
    </row>
    <row r="30" spans="1:23" ht="17.5">
      <c r="A30" s="18" t="s">
        <v>54</v>
      </c>
      <c r="B30" s="25"/>
      <c r="C30" s="25"/>
      <c r="D30" s="25"/>
      <c r="E30" s="26"/>
      <c r="F30" s="25"/>
      <c r="G30" s="45" t="s">
        <v>55</v>
      </c>
      <c r="H30" s="25"/>
      <c r="I30" s="25"/>
      <c r="J30" s="27">
        <f>J29^4/(K28)</f>
        <v>50</v>
      </c>
      <c r="K30" s="55"/>
      <c r="M30" s="18" t="s">
        <v>54</v>
      </c>
      <c r="N30" s="25"/>
      <c r="O30" s="25"/>
      <c r="P30" s="25"/>
      <c r="Q30" s="26"/>
      <c r="R30" s="25"/>
      <c r="S30" s="45" t="s">
        <v>55</v>
      </c>
      <c r="T30" s="25"/>
      <c r="U30" s="25"/>
      <c r="V30" s="27" t="e">
        <f>V29^4/(W28)</f>
        <v>#REF!</v>
      </c>
      <c r="W30" s="81"/>
    </row>
    <row r="31" spans="1:23" ht="15.5">
      <c r="A31" s="21" t="s">
        <v>56</v>
      </c>
      <c r="B31" s="22"/>
      <c r="C31" s="22"/>
      <c r="D31" s="22"/>
      <c r="E31" s="23"/>
      <c r="F31" s="22"/>
      <c r="G31" s="46" t="s">
        <v>57</v>
      </c>
      <c r="H31" s="22"/>
      <c r="I31" s="22"/>
      <c r="J31" s="47">
        <f>1.95996+(2.37356/J30)+(2.818745/J30^2)+(2.546662/J30^3)+(1.761829/J30^4)+(0.245458/J30^5)+(1.000764/J30^6)</f>
        <v>2.008579354038154</v>
      </c>
      <c r="K31" s="54"/>
      <c r="M31" s="21" t="s">
        <v>56</v>
      </c>
      <c r="N31" s="22"/>
      <c r="O31" s="22"/>
      <c r="P31" s="22"/>
      <c r="Q31" s="23"/>
      <c r="R31" s="22"/>
      <c r="S31" s="46" t="s">
        <v>57</v>
      </c>
      <c r="T31" s="22"/>
      <c r="U31" s="22"/>
      <c r="V31" s="47" t="e">
        <f>1.95996+(2.37356/V30)+(2.818745/V30^2)+(2.546662/V30^3)+(1.761829/V30^4)+(0.245458/V30^5)+(1.000764/V30^6)</f>
        <v>#REF!</v>
      </c>
      <c r="W31" s="80"/>
    </row>
    <row r="32" spans="1:23" ht="14">
      <c r="A32" s="28" t="s">
        <v>58</v>
      </c>
      <c r="B32" s="29"/>
      <c r="C32" s="29"/>
      <c r="D32" s="29"/>
      <c r="E32" s="30"/>
      <c r="F32" s="29"/>
      <c r="G32" s="48" t="s">
        <v>59</v>
      </c>
      <c r="H32" s="29"/>
      <c r="I32" s="29"/>
      <c r="J32" s="31">
        <f>J29*J31</f>
        <v>5.7982691537132647E-2</v>
      </c>
      <c r="K32" s="36" t="s">
        <v>79</v>
      </c>
      <c r="M32" s="28" t="s">
        <v>58</v>
      </c>
      <c r="N32" s="29"/>
      <c r="O32" s="29"/>
      <c r="P32" s="29"/>
      <c r="Q32" s="30"/>
      <c r="R32" s="29"/>
      <c r="S32" s="48" t="s">
        <v>59</v>
      </c>
      <c r="T32" s="29"/>
      <c r="U32" s="29"/>
      <c r="V32" s="31" t="e">
        <f>V29*V31</f>
        <v>#REF!</v>
      </c>
      <c r="W32" s="82" t="s">
        <v>79</v>
      </c>
    </row>
    <row r="33" spans="1:23" ht="13" thickBot="1">
      <c r="A33" s="117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17"/>
      <c r="N33" s="71"/>
      <c r="O33" s="71"/>
      <c r="P33" s="71"/>
      <c r="Q33" s="71"/>
      <c r="R33" s="71"/>
      <c r="S33" s="71"/>
      <c r="T33" s="71"/>
      <c r="U33" s="71"/>
      <c r="V33" s="71"/>
      <c r="W33" s="72"/>
    </row>
    <row r="34" spans="1:23" ht="14.5" thickBot="1">
      <c r="V34" s="32"/>
    </row>
    <row r="35" spans="1:23" ht="13">
      <c r="A35" s="89" t="s">
        <v>96</v>
      </c>
      <c r="B35" s="90"/>
      <c r="C35" s="91">
        <f>ID!D45</f>
        <v>300</v>
      </c>
      <c r="D35" s="92" t="s">
        <v>95</v>
      </c>
      <c r="E35" s="93"/>
      <c r="F35" s="93"/>
      <c r="G35" s="93"/>
      <c r="H35" s="93"/>
      <c r="I35" s="93"/>
      <c r="J35" s="93"/>
      <c r="K35" s="93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5"/>
    </row>
    <row r="36" spans="1:23" ht="14">
      <c r="A36" s="38" t="s">
        <v>36</v>
      </c>
      <c r="B36" s="39" t="s">
        <v>37</v>
      </c>
      <c r="C36" s="40" t="s">
        <v>38</v>
      </c>
      <c r="D36" s="39" t="s">
        <v>39</v>
      </c>
      <c r="E36" s="41" t="s">
        <v>40</v>
      </c>
      <c r="F36" s="39" t="s">
        <v>41</v>
      </c>
      <c r="G36" s="40" t="s">
        <v>42</v>
      </c>
      <c r="H36" s="39" t="s">
        <v>43</v>
      </c>
      <c r="I36" s="40" t="s">
        <v>44</v>
      </c>
      <c r="J36" s="39" t="s">
        <v>45</v>
      </c>
      <c r="K36" s="51" t="s">
        <v>46</v>
      </c>
      <c r="W36" s="69"/>
    </row>
    <row r="37" spans="1:23" ht="13">
      <c r="A37" s="7" t="s">
        <v>47</v>
      </c>
      <c r="B37" s="8" t="s">
        <v>95</v>
      </c>
      <c r="C37" s="9" t="s">
        <v>48</v>
      </c>
      <c r="D37" s="42">
        <f>ID!L45</f>
        <v>0</v>
      </c>
      <c r="E37" s="763">
        <f>SQRT(5)</f>
        <v>2.2360679774997898</v>
      </c>
      <c r="F37" s="762">
        <v>4</v>
      </c>
      <c r="G37" s="11">
        <f>D37/E37</f>
        <v>0</v>
      </c>
      <c r="H37" s="12">
        <v>1</v>
      </c>
      <c r="I37" s="11">
        <f>G37*H37</f>
        <v>0</v>
      </c>
      <c r="J37" s="13">
        <f>I37^2</f>
        <v>0</v>
      </c>
      <c r="K37" s="52">
        <f>I37^4/F37</f>
        <v>0</v>
      </c>
      <c r="W37" s="69"/>
    </row>
    <row r="38" spans="1:23" ht="13">
      <c r="A38" s="14" t="s">
        <v>49</v>
      </c>
      <c r="B38" s="8" t="s">
        <v>95</v>
      </c>
      <c r="C38" s="15" t="s">
        <v>50</v>
      </c>
      <c r="D38" s="70">
        <f>0.5*1</f>
        <v>0.5</v>
      </c>
      <c r="E38" s="70">
        <f>SQRT(3)</f>
        <v>1.7320508075688772</v>
      </c>
      <c r="F38" s="8">
        <v>50</v>
      </c>
      <c r="G38" s="16">
        <f>D38/E38</f>
        <v>0.28867513459481292</v>
      </c>
      <c r="H38" s="8">
        <v>1</v>
      </c>
      <c r="I38" s="16">
        <f>G38*H38</f>
        <v>0.28867513459481292</v>
      </c>
      <c r="J38" s="17">
        <f>I38^2</f>
        <v>8.3333333333333356E-2</v>
      </c>
      <c r="K38" s="53">
        <f>I38^4/F38</f>
        <v>1.3888888888888897E-4</v>
      </c>
      <c r="W38" s="69"/>
    </row>
    <row r="39" spans="1:23" ht="13">
      <c r="A39" s="14" t="s">
        <v>97</v>
      </c>
      <c r="B39" s="8" t="s">
        <v>95</v>
      </c>
      <c r="C39" s="15" t="s">
        <v>48</v>
      </c>
      <c r="D39" s="70">
        <f>'DB Stopwatch'!J227</f>
        <v>0.12000000000000002</v>
      </c>
      <c r="E39" s="10">
        <f>SQRT(6)</f>
        <v>2.4494897427831779</v>
      </c>
      <c r="F39" s="8">
        <v>50</v>
      </c>
      <c r="G39" s="16">
        <f>D39/E39</f>
        <v>4.8989794855663578E-2</v>
      </c>
      <c r="H39" s="8">
        <v>1</v>
      </c>
      <c r="I39" s="16">
        <f>G39*H39</f>
        <v>4.8989794855663578E-2</v>
      </c>
      <c r="J39" s="17">
        <f>I39^2</f>
        <v>2.4000000000000015E-3</v>
      </c>
      <c r="K39" s="53">
        <f>I39^4/F39</f>
        <v>1.1520000000000014E-7</v>
      </c>
      <c r="W39" s="69"/>
    </row>
    <row r="40" spans="1:23" ht="13">
      <c r="A40" s="14" t="s">
        <v>98</v>
      </c>
      <c r="B40" s="8" t="s">
        <v>95</v>
      </c>
      <c r="C40" s="15" t="s">
        <v>50</v>
      </c>
      <c r="D40" s="70">
        <f>'DB Stopwatch'!L227</f>
        <v>6.0019206894309533E-3</v>
      </c>
      <c r="E40" s="70">
        <f>SQRT(3)</f>
        <v>1.7320508075688772</v>
      </c>
      <c r="F40" s="8">
        <v>50</v>
      </c>
      <c r="G40" s="16">
        <f>D40/E40</f>
        <v>3.4652105256977451E-3</v>
      </c>
      <c r="H40" s="8">
        <v>1</v>
      </c>
      <c r="I40" s="16">
        <f>G40*H40</f>
        <v>3.4652105256977451E-3</v>
      </c>
      <c r="J40" s="17">
        <f>I40^2</f>
        <v>1.2007683987406443E-5</v>
      </c>
      <c r="K40" s="53">
        <f>I40^4/F40</f>
        <v>2.8836894948283415E-12</v>
      </c>
      <c r="W40" s="69"/>
    </row>
    <row r="41" spans="1:23" ht="14">
      <c r="A41" s="18" t="s">
        <v>51</v>
      </c>
      <c r="B41" s="19"/>
      <c r="C41" s="19"/>
      <c r="D41" s="19"/>
      <c r="E41" s="20"/>
      <c r="F41" s="19"/>
      <c r="G41" s="19"/>
      <c r="H41" s="19"/>
      <c r="I41" s="19"/>
      <c r="J41" s="43">
        <f>SUM(J37:J40)</f>
        <v>8.5745341017320759E-2</v>
      </c>
      <c r="K41" s="13">
        <f>SUM(K37:K40)</f>
        <v>1.3900409177257847E-4</v>
      </c>
      <c r="W41" s="69"/>
    </row>
    <row r="42" spans="1:23" ht="17">
      <c r="A42" s="21" t="s">
        <v>52</v>
      </c>
      <c r="B42" s="22"/>
      <c r="C42" s="22"/>
      <c r="D42" s="22"/>
      <c r="E42" s="23"/>
      <c r="F42" s="22"/>
      <c r="G42" s="44" t="s">
        <v>53</v>
      </c>
      <c r="H42" s="22"/>
      <c r="I42" s="22"/>
      <c r="J42" s="24">
        <f>SQRT(J41)</f>
        <v>0.29282305410831427</v>
      </c>
      <c r="K42" s="54"/>
      <c r="W42" s="69"/>
    </row>
    <row r="43" spans="1:23" ht="17.5">
      <c r="A43" s="18" t="s">
        <v>54</v>
      </c>
      <c r="B43" s="25"/>
      <c r="C43" s="25"/>
      <c r="D43" s="25"/>
      <c r="E43" s="26"/>
      <c r="F43" s="25"/>
      <c r="G43" s="45" t="s">
        <v>55</v>
      </c>
      <c r="H43" s="25"/>
      <c r="I43" s="25"/>
      <c r="J43" s="27">
        <f>J42^4/(K41)</f>
        <v>52.892425053253135</v>
      </c>
      <c r="K43" s="55"/>
      <c r="W43" s="69"/>
    </row>
    <row r="44" spans="1:23" ht="15.5">
      <c r="A44" s="21" t="s">
        <v>56</v>
      </c>
      <c r="B44" s="22"/>
      <c r="C44" s="22"/>
      <c r="D44" s="22"/>
      <c r="E44" s="23"/>
      <c r="F44" s="22"/>
      <c r="G44" s="46" t="s">
        <v>57</v>
      </c>
      <c r="H44" s="22"/>
      <c r="I44" s="22"/>
      <c r="J44" s="47">
        <f>1.95996+(2.37356/J43)+(2.818745/J43^2)+(2.546662/J43^3)+(1.761829/J43^4)+(0.245458/J43^5)+(1.000764/J43^6)</f>
        <v>2.0058602262238581</v>
      </c>
      <c r="K44" s="54"/>
      <c r="W44" s="69"/>
    </row>
    <row r="45" spans="1:23" ht="14">
      <c r="A45" s="28" t="s">
        <v>58</v>
      </c>
      <c r="B45" s="29"/>
      <c r="C45" s="29"/>
      <c r="D45" s="29"/>
      <c r="E45" s="30"/>
      <c r="F45" s="29"/>
      <c r="G45" s="48" t="s">
        <v>59</v>
      </c>
      <c r="H45" s="29"/>
      <c r="I45" s="29"/>
      <c r="J45" s="31">
        <f>J42*J44</f>
        <v>0.58736211755726431</v>
      </c>
      <c r="K45" s="36" t="s">
        <v>95</v>
      </c>
      <c r="W45" s="69"/>
    </row>
    <row r="46" spans="1:23" ht="14.5" thickBot="1">
      <c r="A46" s="83"/>
      <c r="B46" s="84"/>
      <c r="C46" s="84"/>
      <c r="D46" s="84"/>
      <c r="E46" s="85"/>
      <c r="F46" s="84"/>
      <c r="G46" s="86"/>
      <c r="H46" s="84"/>
      <c r="I46" s="84"/>
      <c r="J46" s="87"/>
      <c r="K46" s="88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2"/>
    </row>
    <row r="47" spans="1:23">
      <c r="A47" s="33"/>
      <c r="W47" s="69"/>
    </row>
    <row r="48" spans="1:23" ht="14.5" thickBot="1">
      <c r="A48" s="1403"/>
      <c r="B48" s="1403"/>
      <c r="C48" s="220"/>
      <c r="D48" s="220"/>
      <c r="E48" s="220"/>
      <c r="F48" s="220"/>
      <c r="G48" s="221"/>
      <c r="H48" s="222"/>
      <c r="I48" s="221"/>
      <c r="J48" s="221"/>
      <c r="K48" s="221"/>
      <c r="L48" s="221"/>
      <c r="W48" s="69"/>
    </row>
    <row r="49" spans="1:23" ht="14">
      <c r="A49" s="1404"/>
      <c r="B49" s="1405"/>
      <c r="C49" s="1404"/>
      <c r="D49" s="1405"/>
      <c r="E49" s="1404"/>
      <c r="F49" s="1405"/>
      <c r="G49" s="221"/>
      <c r="H49" s="1403"/>
      <c r="I49" s="1403"/>
      <c r="J49" s="1403"/>
      <c r="K49" s="1425"/>
      <c r="L49" s="1426"/>
      <c r="N49" s="114"/>
      <c r="O49" s="1418"/>
      <c r="P49" s="1419"/>
      <c r="Q49" s="1419"/>
      <c r="R49" s="1420"/>
      <c r="S49" s="1422"/>
      <c r="W49" s="69"/>
    </row>
    <row r="50" spans="1:23" ht="14">
      <c r="A50" s="223"/>
      <c r="B50" s="223"/>
      <c r="C50" s="223"/>
      <c r="D50" s="223"/>
      <c r="E50" s="223"/>
      <c r="F50" s="223"/>
      <c r="G50" s="221"/>
      <c r="H50" s="224"/>
      <c r="I50" s="1425"/>
      <c r="J50" s="1425"/>
      <c r="K50" s="1425"/>
      <c r="L50" s="1427"/>
      <c r="N50" s="114"/>
      <c r="O50" s="120"/>
      <c r="P50" s="1424"/>
      <c r="Q50" s="1424"/>
      <c r="R50" s="1421"/>
      <c r="S50" s="1423"/>
      <c r="W50" s="69"/>
    </row>
    <row r="51" spans="1:23" ht="14">
      <c r="A51" s="223"/>
      <c r="B51" s="225"/>
      <c r="C51" s="223"/>
      <c r="D51" s="225"/>
      <c r="E51" s="223"/>
      <c r="F51" s="225"/>
      <c r="G51" s="221"/>
      <c r="H51" s="223"/>
      <c r="I51" s="224"/>
      <c r="J51" s="224"/>
      <c r="K51" s="1425"/>
      <c r="L51" s="1427"/>
      <c r="N51" s="114"/>
      <c r="O51" s="118"/>
      <c r="P51" s="118"/>
      <c r="Q51" s="118"/>
      <c r="R51" s="1421"/>
      <c r="S51" s="1423"/>
      <c r="W51" s="69"/>
    </row>
    <row r="52" spans="1:23" ht="14">
      <c r="A52" s="223"/>
      <c r="B52" s="225"/>
      <c r="C52" s="223"/>
      <c r="D52" s="225"/>
      <c r="E52" s="223"/>
      <c r="F52" s="225"/>
      <c r="G52" s="221"/>
      <c r="H52" s="224"/>
      <c r="I52" s="226"/>
      <c r="J52" s="226"/>
      <c r="K52" s="226"/>
      <c r="L52" s="224"/>
      <c r="N52" s="111"/>
      <c r="O52" s="118"/>
      <c r="P52" s="119"/>
      <c r="Q52" s="119"/>
      <c r="R52" s="119"/>
      <c r="S52" s="119"/>
      <c r="W52" s="69"/>
    </row>
    <row r="53" spans="1:23" ht="14">
      <c r="A53" s="223"/>
      <c r="B53" s="225"/>
      <c r="C53" s="223"/>
      <c r="D53" s="225"/>
      <c r="E53" s="223"/>
      <c r="F53" s="225"/>
      <c r="G53" s="221"/>
      <c r="H53" s="224"/>
      <c r="I53" s="226"/>
      <c r="J53" s="226"/>
      <c r="K53" s="226"/>
      <c r="L53" s="221"/>
      <c r="N53" s="111"/>
      <c r="O53" s="118"/>
      <c r="P53" s="119"/>
      <c r="Q53" s="119"/>
      <c r="R53" s="119"/>
      <c r="S53" s="119"/>
      <c r="W53" s="69"/>
    </row>
    <row r="54" spans="1:23" ht="14">
      <c r="A54" s="223"/>
      <c r="B54" s="225"/>
      <c r="C54" s="223"/>
      <c r="D54" s="225"/>
      <c r="E54" s="223"/>
      <c r="F54" s="225"/>
      <c r="G54" s="221"/>
      <c r="H54" s="224"/>
      <c r="I54" s="226"/>
      <c r="J54" s="226"/>
      <c r="K54" s="226"/>
      <c r="L54" s="221"/>
      <c r="N54" s="111"/>
      <c r="O54" s="118"/>
      <c r="P54" s="119"/>
      <c r="Q54" s="119"/>
      <c r="R54" s="119"/>
      <c r="S54" s="119"/>
      <c r="W54" s="69"/>
    </row>
    <row r="55" spans="1:23" ht="14">
      <c r="A55" s="223"/>
      <c r="B55" s="225"/>
      <c r="C55" s="223"/>
      <c r="D55" s="225"/>
      <c r="E55" s="223"/>
      <c r="F55" s="225"/>
      <c r="G55" s="221"/>
      <c r="H55" s="224"/>
      <c r="I55" s="226"/>
      <c r="J55" s="226"/>
      <c r="K55" s="226"/>
      <c r="L55" s="221"/>
      <c r="N55" s="111"/>
      <c r="O55" s="50"/>
      <c r="W55" s="69"/>
    </row>
    <row r="56" spans="1:23" ht="14.5" thickBot="1">
      <c r="A56" s="223"/>
      <c r="B56" s="225"/>
      <c r="C56" s="223"/>
      <c r="D56" s="225"/>
      <c r="E56" s="223"/>
      <c r="F56" s="225"/>
      <c r="G56" s="221"/>
      <c r="H56" s="224"/>
      <c r="I56" s="226"/>
      <c r="J56" s="226"/>
      <c r="K56" s="226"/>
      <c r="L56" s="221"/>
      <c r="N56" s="111"/>
      <c r="O56" s="50"/>
      <c r="W56" s="69"/>
    </row>
    <row r="57" spans="1:23" ht="15">
      <c r="A57" s="1398"/>
      <c r="B57" s="1399"/>
      <c r="C57" s="221"/>
      <c r="D57" s="221"/>
      <c r="E57" s="221"/>
      <c r="F57" s="221"/>
      <c r="G57" s="221"/>
      <c r="H57" s="224"/>
      <c r="I57" s="226"/>
      <c r="J57" s="226"/>
      <c r="K57" s="226"/>
      <c r="L57" s="221"/>
      <c r="N57" s="111"/>
      <c r="O57" s="1412"/>
      <c r="P57" s="1413"/>
      <c r="Q57" s="1413"/>
      <c r="R57" s="1414"/>
      <c r="W57" s="69"/>
    </row>
    <row r="58" spans="1:23" ht="14">
      <c r="A58" s="223"/>
      <c r="B58" s="223"/>
      <c r="C58" s="221"/>
      <c r="D58" s="221"/>
      <c r="E58" s="221"/>
      <c r="F58" s="221"/>
      <c r="G58" s="221"/>
      <c r="H58" s="224"/>
      <c r="I58" s="226"/>
      <c r="J58" s="226"/>
      <c r="K58" s="226"/>
      <c r="L58" s="221"/>
      <c r="N58" s="111"/>
      <c r="O58" s="64"/>
      <c r="P58" s="57"/>
      <c r="Q58" s="57"/>
      <c r="R58" s="58"/>
    </row>
    <row r="59" spans="1:23" ht="14">
      <c r="A59" s="223"/>
      <c r="B59" s="225"/>
      <c r="C59" s="221"/>
      <c r="D59" s="221"/>
      <c r="E59" s="221"/>
      <c r="F59" s="221"/>
      <c r="G59" s="221"/>
      <c r="H59" s="1404"/>
      <c r="I59" s="1406"/>
      <c r="J59" s="1405"/>
      <c r="K59" s="1407"/>
      <c r="L59" s="1410"/>
      <c r="N59" s="114"/>
      <c r="O59" s="65"/>
      <c r="P59" s="57"/>
      <c r="Q59" s="121"/>
      <c r="R59" s="61"/>
    </row>
    <row r="60" spans="1:23" ht="15.75" customHeight="1" thickBot="1">
      <c r="A60" s="223"/>
      <c r="B60" s="225"/>
      <c r="C60" s="221"/>
      <c r="D60" s="221"/>
      <c r="E60" s="221"/>
      <c r="F60" s="221"/>
      <c r="G60" s="221"/>
      <c r="H60" s="224"/>
      <c r="I60" s="1404"/>
      <c r="J60" s="1405"/>
      <c r="K60" s="1408"/>
      <c r="L60" s="1411"/>
      <c r="N60" s="114"/>
      <c r="O60" s="67"/>
      <c r="P60" s="63"/>
      <c r="Q60" s="63"/>
      <c r="R60" s="68"/>
    </row>
    <row r="61" spans="1:23" ht="15">
      <c r="A61" s="223"/>
      <c r="B61" s="225"/>
      <c r="C61" s="221"/>
      <c r="D61" s="221"/>
      <c r="E61" s="221"/>
      <c r="F61" s="221"/>
      <c r="G61" s="221"/>
      <c r="H61" s="224"/>
      <c r="I61" s="227"/>
      <c r="J61" s="227"/>
      <c r="K61" s="1409"/>
      <c r="L61" s="1411"/>
      <c r="N61" s="114"/>
      <c r="O61" s="1400"/>
      <c r="P61" s="1401"/>
      <c r="Q61" s="1401"/>
      <c r="R61" s="1402"/>
    </row>
    <row r="62" spans="1:23" ht="14">
      <c r="A62" s="223"/>
      <c r="B62" s="225"/>
      <c r="C62" s="221"/>
      <c r="D62" s="221"/>
      <c r="E62" s="221"/>
      <c r="F62" s="221"/>
      <c r="G62" s="221"/>
      <c r="H62" s="228"/>
      <c r="I62" s="226"/>
      <c r="J62" s="226"/>
      <c r="K62" s="226"/>
      <c r="L62" s="224"/>
      <c r="N62" s="111"/>
      <c r="O62" s="56"/>
      <c r="P62" s="57"/>
      <c r="Q62" s="57"/>
      <c r="R62" s="58"/>
    </row>
    <row r="63" spans="1:23" ht="14">
      <c r="A63" s="223"/>
      <c r="B63" s="225"/>
      <c r="C63" s="221"/>
      <c r="D63" s="221"/>
      <c r="E63" s="221"/>
      <c r="F63" s="221"/>
      <c r="G63" s="221"/>
      <c r="H63" s="228"/>
      <c r="I63" s="226"/>
      <c r="J63" s="226"/>
      <c r="K63" s="226"/>
      <c r="L63" s="221"/>
      <c r="N63" s="111"/>
      <c r="O63" s="59"/>
      <c r="P63" s="57"/>
      <c r="Q63" s="66"/>
      <c r="R63" s="61"/>
    </row>
    <row r="64" spans="1:23" ht="14.5" thickBot="1">
      <c r="A64" s="223"/>
      <c r="B64" s="225"/>
      <c r="C64" s="221"/>
      <c r="D64" s="221"/>
      <c r="E64" s="221"/>
      <c r="F64" s="221"/>
      <c r="G64" s="221"/>
      <c r="H64" s="228"/>
      <c r="I64" s="226"/>
      <c r="J64" s="226"/>
      <c r="K64" s="226"/>
      <c r="L64" s="221"/>
      <c r="N64" s="115"/>
      <c r="O64" s="62"/>
      <c r="P64" s="63"/>
      <c r="Q64" s="63"/>
      <c r="R64" s="68"/>
    </row>
    <row r="65" spans="1:23" ht="15">
      <c r="A65" s="223"/>
      <c r="B65" s="225"/>
      <c r="C65" s="221"/>
      <c r="D65" s="221"/>
      <c r="E65" s="221"/>
      <c r="F65" s="221"/>
      <c r="G65" s="221"/>
      <c r="H65" s="228"/>
      <c r="I65" s="226"/>
      <c r="J65" s="226"/>
      <c r="K65" s="226"/>
      <c r="L65" s="221"/>
      <c r="N65" s="115"/>
      <c r="O65" s="1400"/>
      <c r="P65" s="1401"/>
      <c r="Q65" s="1401"/>
      <c r="R65" s="1402"/>
    </row>
    <row r="66" spans="1:23" ht="14">
      <c r="A66" s="1398"/>
      <c r="B66" s="1399"/>
      <c r="C66" s="221"/>
      <c r="D66" s="221"/>
      <c r="E66" s="221"/>
      <c r="F66" s="221"/>
      <c r="G66" s="221"/>
      <c r="H66" s="228"/>
      <c r="I66" s="226"/>
      <c r="J66" s="226"/>
      <c r="K66" s="226"/>
      <c r="L66" s="221"/>
      <c r="N66" s="115"/>
      <c r="O66" s="56"/>
      <c r="P66" s="57"/>
      <c r="Q66" s="57"/>
      <c r="R66" s="58"/>
    </row>
    <row r="67" spans="1:23" ht="14">
      <c r="A67" s="223"/>
      <c r="B67" s="223"/>
      <c r="C67" s="221"/>
      <c r="D67" s="221"/>
      <c r="E67" s="221"/>
      <c r="F67" s="221"/>
      <c r="G67" s="221"/>
      <c r="H67" s="228"/>
      <c r="I67" s="226"/>
      <c r="J67" s="226"/>
      <c r="K67" s="226"/>
      <c r="L67" s="221"/>
      <c r="N67" s="115"/>
      <c r="O67" s="59"/>
      <c r="P67" s="57"/>
      <c r="Q67" s="60"/>
      <c r="R67" s="61"/>
    </row>
    <row r="68" spans="1:23" ht="14.5" thickBot="1">
      <c r="A68" s="223"/>
      <c r="B68" s="225"/>
      <c r="C68" s="221"/>
      <c r="D68" s="221"/>
      <c r="E68" s="221"/>
      <c r="F68" s="221"/>
      <c r="G68" s="221"/>
      <c r="H68" s="228"/>
      <c r="I68" s="226"/>
      <c r="J68" s="226"/>
      <c r="K68" s="226"/>
      <c r="L68" s="221"/>
      <c r="N68" s="115"/>
      <c r="O68" s="62"/>
      <c r="P68" s="63"/>
      <c r="Q68" s="63"/>
      <c r="R68" s="68"/>
    </row>
    <row r="69" spans="1:23" ht="14">
      <c r="A69" s="223"/>
      <c r="B69" s="225"/>
      <c r="C69" s="221"/>
      <c r="D69" s="221"/>
      <c r="E69" s="221"/>
      <c r="F69" s="221"/>
      <c r="G69" s="221"/>
      <c r="H69" s="221"/>
      <c r="I69" s="221"/>
      <c r="J69" s="221"/>
      <c r="K69" s="221"/>
      <c r="L69" s="221"/>
    </row>
    <row r="70" spans="1:23" ht="14.5" thickBot="1">
      <c r="A70" s="223"/>
      <c r="B70" s="225"/>
      <c r="C70" s="221"/>
      <c r="D70" s="221"/>
      <c r="E70" s="221"/>
      <c r="F70" s="221"/>
      <c r="G70" s="221"/>
      <c r="H70" s="221"/>
      <c r="I70" s="221"/>
      <c r="J70" s="221"/>
      <c r="K70" s="221"/>
      <c r="L70" s="221"/>
    </row>
    <row r="71" spans="1:23" ht="15">
      <c r="A71" s="223"/>
      <c r="B71" s="225"/>
      <c r="C71" s="221"/>
      <c r="D71" s="221"/>
      <c r="E71" s="221"/>
      <c r="F71" s="221"/>
      <c r="G71" s="221"/>
      <c r="H71" s="1395"/>
      <c r="I71" s="1396"/>
      <c r="J71" s="1396"/>
      <c r="K71" s="1397"/>
      <c r="L71" s="221"/>
    </row>
    <row r="72" spans="1:23" ht="14">
      <c r="A72" s="223"/>
      <c r="B72" s="225"/>
      <c r="C72" s="221"/>
      <c r="D72" s="221"/>
      <c r="E72" s="221"/>
      <c r="F72" s="221"/>
      <c r="G72" s="221"/>
      <c r="H72" s="229"/>
      <c r="I72" s="230"/>
      <c r="J72" s="230"/>
      <c r="K72" s="231"/>
      <c r="L72" s="221"/>
    </row>
    <row r="73" spans="1:23" ht="14">
      <c r="A73" s="223"/>
      <c r="B73" s="225"/>
      <c r="C73" s="221"/>
      <c r="D73" s="221"/>
      <c r="E73" s="221"/>
      <c r="F73" s="221"/>
      <c r="G73" s="221"/>
      <c r="H73" s="232"/>
      <c r="I73" s="230"/>
      <c r="J73" s="233"/>
      <c r="K73" s="234"/>
      <c r="L73" s="235"/>
    </row>
    <row r="74" spans="1:23" ht="14.5" thickBot="1">
      <c r="A74" s="223"/>
      <c r="B74" s="225"/>
      <c r="C74" s="221"/>
      <c r="D74" s="221"/>
      <c r="E74" s="221"/>
      <c r="F74" s="221"/>
      <c r="G74" s="221"/>
      <c r="H74" s="236"/>
      <c r="I74" s="230"/>
      <c r="J74" s="237"/>
      <c r="K74" s="238"/>
      <c r="L74" s="221"/>
    </row>
    <row r="75" spans="1:23" ht="14.5" thickBot="1">
      <c r="A75" s="1398"/>
      <c r="B75" s="1399"/>
      <c r="C75" s="221"/>
      <c r="D75" s="221"/>
      <c r="E75" s="221"/>
      <c r="F75" s="221"/>
      <c r="G75" s="221"/>
      <c r="H75" s="239"/>
      <c r="I75" s="239"/>
      <c r="J75" s="239"/>
      <c r="K75" s="239"/>
      <c r="L75" s="221"/>
    </row>
    <row r="76" spans="1:23" ht="15">
      <c r="A76" s="223"/>
      <c r="B76" s="223"/>
      <c r="C76" s="221"/>
      <c r="D76" s="221"/>
      <c r="E76" s="221"/>
      <c r="F76" s="221"/>
      <c r="G76" s="221"/>
      <c r="H76" s="1395"/>
      <c r="I76" s="1396"/>
      <c r="J76" s="1396"/>
      <c r="K76" s="1397"/>
      <c r="L76" s="221"/>
    </row>
    <row r="77" spans="1:23" ht="14">
      <c r="A77" s="223"/>
      <c r="B77" s="240"/>
      <c r="C77" s="221"/>
      <c r="D77" s="221"/>
      <c r="E77" s="221"/>
      <c r="F77" s="221"/>
      <c r="G77" s="221"/>
      <c r="H77" s="229"/>
      <c r="I77" s="230"/>
      <c r="J77" s="230"/>
      <c r="K77" s="231"/>
      <c r="L77" s="221"/>
    </row>
    <row r="78" spans="1:23" ht="14">
      <c r="A78" s="223"/>
      <c r="B78" s="240"/>
      <c r="C78" s="221"/>
      <c r="D78" s="221"/>
      <c r="E78" s="221"/>
      <c r="F78" s="221"/>
      <c r="G78" s="221"/>
      <c r="H78" s="232"/>
      <c r="I78" s="230"/>
      <c r="J78" s="233"/>
      <c r="K78" s="234"/>
      <c r="L78" s="221"/>
      <c r="W78" s="69"/>
    </row>
    <row r="79" spans="1:23" ht="14.5" thickBot="1">
      <c r="A79" s="223"/>
      <c r="B79" s="240"/>
      <c r="C79" s="221"/>
      <c r="D79" s="221"/>
      <c r="E79" s="221"/>
      <c r="F79" s="221"/>
      <c r="G79" s="221"/>
      <c r="H79" s="236"/>
      <c r="I79" s="230"/>
      <c r="J79" s="237"/>
      <c r="K79" s="238"/>
      <c r="L79" s="221"/>
      <c r="W79" s="69"/>
    </row>
    <row r="80" spans="1:23" ht="14">
      <c r="A80" s="223"/>
      <c r="B80" s="240"/>
      <c r="C80" s="221"/>
      <c r="D80" s="221"/>
      <c r="E80" s="221"/>
      <c r="F80" s="221"/>
      <c r="G80" s="221"/>
      <c r="H80" s="221"/>
      <c r="I80" s="221"/>
      <c r="J80" s="221"/>
      <c r="K80" s="221"/>
      <c r="L80" s="221"/>
      <c r="W80" s="69"/>
    </row>
    <row r="81" spans="1:23">
      <c r="A81" s="221"/>
      <c r="B81" s="221"/>
      <c r="C81" s="221"/>
      <c r="D81" s="221"/>
      <c r="E81" s="221"/>
      <c r="F81" s="221"/>
      <c r="G81" s="221"/>
      <c r="H81" s="221"/>
      <c r="I81" s="221"/>
      <c r="J81" s="221"/>
      <c r="K81" s="221"/>
      <c r="L81" s="221"/>
      <c r="W81" s="69"/>
    </row>
    <row r="82" spans="1:23">
      <c r="A82" s="221"/>
      <c r="B82" s="221"/>
      <c r="C82" s="221"/>
      <c r="D82" s="221"/>
      <c r="E82" s="221"/>
      <c r="F82" s="221"/>
      <c r="G82" s="221"/>
      <c r="H82" s="221"/>
      <c r="I82" s="221"/>
      <c r="J82" s="221"/>
      <c r="K82" s="221"/>
      <c r="L82" s="221"/>
      <c r="W82" s="69"/>
    </row>
    <row r="83" spans="1:23" ht="13" thickBot="1">
      <c r="A83" s="221"/>
      <c r="B83" s="221"/>
      <c r="C83" s="239"/>
      <c r="D83" s="239"/>
      <c r="E83" s="239"/>
      <c r="F83" s="239"/>
      <c r="G83" s="239"/>
      <c r="H83" s="221"/>
      <c r="I83" s="221"/>
      <c r="J83" s="221"/>
      <c r="K83" s="221"/>
      <c r="L83" s="239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2"/>
    </row>
    <row r="84" spans="1:23" ht="15">
      <c r="A84" s="221"/>
      <c r="B84" s="221"/>
      <c r="C84" s="1395"/>
      <c r="D84" s="1396"/>
      <c r="E84" s="1396"/>
      <c r="F84" s="1397"/>
      <c r="G84" s="221"/>
      <c r="H84" s="221"/>
      <c r="I84" s="221"/>
      <c r="J84" s="221"/>
      <c r="K84" s="221"/>
      <c r="L84" s="221"/>
    </row>
    <row r="85" spans="1:23" ht="15.75" customHeight="1">
      <c r="A85" s="221"/>
      <c r="B85" s="221"/>
      <c r="C85" s="229"/>
      <c r="D85" s="230"/>
      <c r="E85" s="230"/>
      <c r="F85" s="231"/>
      <c r="G85" s="221"/>
      <c r="H85" s="221"/>
      <c r="I85" s="221"/>
      <c r="J85" s="221"/>
      <c r="K85" s="221"/>
      <c r="L85" s="221"/>
    </row>
    <row r="86" spans="1:23" ht="12.75" customHeight="1">
      <c r="A86" s="221"/>
      <c r="B86" s="221"/>
      <c r="C86" s="232"/>
      <c r="D86" s="230"/>
      <c r="E86" s="233"/>
      <c r="F86" s="234"/>
      <c r="G86" s="221"/>
      <c r="H86" s="221"/>
      <c r="I86" s="221"/>
      <c r="J86" s="221"/>
      <c r="K86" s="221"/>
      <c r="L86" s="221"/>
    </row>
    <row r="87" spans="1:23" ht="12.75" customHeight="1" thickBot="1">
      <c r="A87" s="221"/>
      <c r="B87" s="221"/>
      <c r="C87" s="236"/>
      <c r="D87" s="230"/>
      <c r="E87" s="237"/>
      <c r="F87" s="238"/>
      <c r="G87" s="221"/>
      <c r="H87" s="221"/>
      <c r="I87" s="221"/>
      <c r="J87" s="221"/>
      <c r="K87" s="221"/>
      <c r="L87" s="221"/>
    </row>
    <row r="88" spans="1:23" ht="12.75" customHeight="1">
      <c r="A88" s="221"/>
      <c r="B88" s="221"/>
      <c r="C88" s="1395"/>
      <c r="D88" s="1396"/>
      <c r="E88" s="1396"/>
      <c r="F88" s="1397"/>
      <c r="G88" s="221"/>
      <c r="H88" s="221"/>
      <c r="I88" s="221"/>
      <c r="J88" s="221"/>
      <c r="K88" s="221"/>
      <c r="L88" s="221"/>
    </row>
    <row r="89" spans="1:23" ht="12.75" customHeight="1">
      <c r="A89" s="221"/>
      <c r="B89" s="221"/>
      <c r="C89" s="229"/>
      <c r="D89" s="230"/>
      <c r="E89" s="230"/>
      <c r="F89" s="231"/>
      <c r="G89" s="221"/>
      <c r="H89" s="221"/>
      <c r="I89" s="221"/>
      <c r="J89" s="221"/>
      <c r="K89" s="221"/>
      <c r="L89" s="221"/>
      <c r="O89" s="113"/>
      <c r="P89" s="116"/>
    </row>
    <row r="90" spans="1:23" ht="12.75" customHeight="1">
      <c r="A90" s="221"/>
      <c r="B90" s="221"/>
      <c r="C90" s="232"/>
      <c r="D90" s="230"/>
      <c r="E90" s="233"/>
      <c r="F90" s="234"/>
      <c r="G90" s="221"/>
      <c r="H90" s="221"/>
      <c r="I90" s="221"/>
      <c r="J90" s="221"/>
      <c r="K90" s="221"/>
      <c r="L90" s="221"/>
      <c r="O90" s="113"/>
      <c r="P90" s="116"/>
    </row>
    <row r="91" spans="1:23" ht="12.75" customHeight="1" thickBot="1">
      <c r="A91" s="221"/>
      <c r="B91" s="221"/>
      <c r="C91" s="236"/>
      <c r="D91" s="230"/>
      <c r="E91" s="237"/>
      <c r="F91" s="238"/>
      <c r="G91" s="221"/>
      <c r="H91" s="221"/>
      <c r="I91" s="221"/>
      <c r="J91" s="221"/>
      <c r="K91" s="221"/>
      <c r="L91" s="221"/>
      <c r="O91" s="113"/>
      <c r="P91" s="116"/>
    </row>
    <row r="92" spans="1:23" ht="12.75" customHeight="1">
      <c r="A92" s="221"/>
      <c r="B92" s="221"/>
      <c r="C92" s="1395"/>
      <c r="D92" s="1396"/>
      <c r="E92" s="1396"/>
      <c r="F92" s="1397"/>
      <c r="G92" s="221"/>
      <c r="H92" s="221"/>
      <c r="I92" s="221"/>
      <c r="J92" s="221"/>
      <c r="K92" s="221"/>
      <c r="L92" s="221"/>
      <c r="O92" s="112"/>
      <c r="P92" s="112"/>
    </row>
    <row r="93" spans="1:23" ht="12.75" customHeight="1">
      <c r="A93" s="221"/>
      <c r="B93" s="221"/>
      <c r="C93" s="229"/>
      <c r="D93" s="230"/>
      <c r="E93" s="230"/>
      <c r="F93" s="231"/>
      <c r="G93" s="221"/>
      <c r="H93" s="221"/>
      <c r="I93" s="221"/>
      <c r="J93" s="221"/>
      <c r="K93" s="221"/>
      <c r="L93" s="221"/>
      <c r="M93" s="112"/>
      <c r="N93" s="112"/>
      <c r="O93" s="112"/>
      <c r="P93" s="112"/>
    </row>
    <row r="94" spans="1:23" ht="12.75" customHeight="1">
      <c r="A94" s="221"/>
      <c r="B94" s="221"/>
      <c r="C94" s="232"/>
      <c r="D94" s="230"/>
      <c r="E94" s="233"/>
      <c r="F94" s="234"/>
      <c r="G94" s="221"/>
      <c r="H94" s="221"/>
      <c r="I94" s="221"/>
      <c r="J94" s="221"/>
      <c r="K94" s="221"/>
      <c r="L94" s="221"/>
      <c r="M94" s="112"/>
      <c r="N94" s="112"/>
      <c r="O94" s="112"/>
      <c r="P94" s="112"/>
    </row>
    <row r="95" spans="1:23" ht="12.75" customHeight="1" thickBot="1">
      <c r="A95" s="221"/>
      <c r="B95" s="221"/>
      <c r="C95" s="236"/>
      <c r="D95" s="230"/>
      <c r="E95" s="237"/>
      <c r="F95" s="238"/>
      <c r="G95" s="221"/>
      <c r="H95" s="221"/>
      <c r="I95" s="221"/>
      <c r="J95" s="221"/>
      <c r="K95" s="221"/>
      <c r="L95" s="221"/>
    </row>
    <row r="96" spans="1:23" ht="13.5" customHeight="1">
      <c r="A96" s="221"/>
      <c r="B96" s="221"/>
      <c r="C96" s="1395"/>
      <c r="D96" s="1396"/>
      <c r="E96" s="1396"/>
      <c r="F96" s="1397"/>
      <c r="G96" s="221"/>
      <c r="H96" s="221"/>
      <c r="I96" s="221"/>
      <c r="J96" s="221"/>
      <c r="K96" s="221"/>
      <c r="L96" s="221"/>
    </row>
    <row r="97" spans="1:12">
      <c r="A97" s="221"/>
      <c r="B97" s="221"/>
      <c r="C97" s="229"/>
      <c r="D97" s="230"/>
      <c r="E97" s="230"/>
      <c r="F97" s="231"/>
      <c r="G97" s="221"/>
      <c r="H97" s="221"/>
      <c r="I97" s="221"/>
      <c r="J97" s="221"/>
      <c r="K97" s="221"/>
      <c r="L97" s="221"/>
    </row>
    <row r="98" spans="1:12">
      <c r="A98" s="221"/>
      <c r="B98" s="221"/>
      <c r="C98" s="232"/>
      <c r="D98" s="230"/>
      <c r="E98" s="233"/>
      <c r="F98" s="234"/>
      <c r="G98" s="221"/>
      <c r="H98" s="221"/>
      <c r="I98" s="221"/>
      <c r="J98" s="221"/>
      <c r="K98" s="221"/>
      <c r="L98" s="221"/>
    </row>
    <row r="99" spans="1:12" ht="13" thickBot="1">
      <c r="A99" s="221"/>
      <c r="B99" s="221"/>
      <c r="C99" s="236"/>
      <c r="D99" s="230"/>
      <c r="E99" s="237"/>
      <c r="F99" s="238"/>
      <c r="G99" s="221"/>
      <c r="H99" s="221"/>
      <c r="I99" s="221"/>
      <c r="J99" s="221"/>
      <c r="K99" s="221"/>
      <c r="L99" s="221"/>
    </row>
    <row r="100" spans="1:12" ht="15">
      <c r="A100" s="221"/>
      <c r="B100" s="221"/>
      <c r="C100" s="1395"/>
      <c r="D100" s="1396"/>
      <c r="E100" s="1396"/>
      <c r="F100" s="1397"/>
      <c r="G100" s="221"/>
      <c r="H100" s="221"/>
      <c r="I100" s="221"/>
      <c r="J100" s="221"/>
      <c r="K100" s="221"/>
      <c r="L100" s="221"/>
    </row>
    <row r="101" spans="1:12">
      <c r="A101" s="221"/>
      <c r="B101" s="221"/>
      <c r="C101" s="229"/>
      <c r="D101" s="230"/>
      <c r="E101" s="230"/>
      <c r="F101" s="231"/>
      <c r="G101" s="221"/>
      <c r="H101" s="221"/>
      <c r="I101" s="221"/>
      <c r="J101" s="221"/>
      <c r="K101" s="221"/>
      <c r="L101" s="221"/>
    </row>
    <row r="102" spans="1:12">
      <c r="A102" s="221"/>
      <c r="B102" s="221"/>
      <c r="C102" s="232"/>
      <c r="D102" s="230"/>
      <c r="E102" s="233"/>
      <c r="F102" s="234"/>
      <c r="G102" s="221"/>
      <c r="H102" s="221"/>
      <c r="I102" s="221"/>
      <c r="J102" s="221"/>
      <c r="K102" s="221"/>
      <c r="L102" s="221"/>
    </row>
    <row r="103" spans="1:12" ht="13" thickBot="1">
      <c r="A103" s="221"/>
      <c r="B103" s="221"/>
      <c r="C103" s="236"/>
      <c r="D103" s="230"/>
      <c r="E103" s="237"/>
      <c r="F103" s="238"/>
      <c r="G103" s="221"/>
      <c r="H103" s="221"/>
      <c r="I103" s="221"/>
      <c r="J103" s="221"/>
      <c r="K103" s="221"/>
      <c r="L103" s="221"/>
    </row>
  </sheetData>
  <mergeCells count="31">
    <mergeCell ref="A2:W2"/>
    <mergeCell ref="A49:B49"/>
    <mergeCell ref="O49:Q49"/>
    <mergeCell ref="R49:R51"/>
    <mergeCell ref="S49:S51"/>
    <mergeCell ref="P50:Q50"/>
    <mergeCell ref="H49:J49"/>
    <mergeCell ref="K49:K51"/>
    <mergeCell ref="I50:J50"/>
    <mergeCell ref="L49:L51"/>
    <mergeCell ref="A3:W3"/>
    <mergeCell ref="O65:R65"/>
    <mergeCell ref="A48:B48"/>
    <mergeCell ref="C49:D49"/>
    <mergeCell ref="E49:F49"/>
    <mergeCell ref="H59:J59"/>
    <mergeCell ref="I60:J60"/>
    <mergeCell ref="K59:K61"/>
    <mergeCell ref="L59:L61"/>
    <mergeCell ref="O57:R57"/>
    <mergeCell ref="O61:R61"/>
    <mergeCell ref="H71:K71"/>
    <mergeCell ref="H76:K76"/>
    <mergeCell ref="A57:B57"/>
    <mergeCell ref="A66:B66"/>
    <mergeCell ref="A75:B75"/>
    <mergeCell ref="C84:F84"/>
    <mergeCell ref="C88:F88"/>
    <mergeCell ref="C92:F92"/>
    <mergeCell ref="C96:F96"/>
    <mergeCell ref="C100:F100"/>
  </mergeCells>
  <printOptions horizontalCentered="1" verticalCentered="1"/>
  <pageMargins left="0.25" right="0.19" top="0.19" bottom="0.27" header="0.15" footer="0.2"/>
  <pageSetup paperSize="9" scale="55" orientation="landscape" horizontalDpi="4294967294" vertic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E71"/>
  <sheetViews>
    <sheetView showGridLines="0" view="pageBreakPreview" topLeftCell="A49" zoomScale="90" zoomScaleNormal="100" zoomScaleSheetLayoutView="90" workbookViewId="0">
      <selection activeCell="B53" sqref="B53"/>
    </sheetView>
  </sheetViews>
  <sheetFormatPr defaultColWidth="9.1796875" defaultRowHeight="13"/>
  <cols>
    <col min="1" max="1" width="3.81640625" style="4" customWidth="1"/>
    <col min="2" max="2" width="4.26953125" style="4" customWidth="1"/>
    <col min="3" max="3" width="11.26953125" style="4" customWidth="1"/>
    <col min="4" max="4" width="11.7265625" style="4" customWidth="1"/>
    <col min="5" max="5" width="14.54296875" style="4" customWidth="1"/>
    <col min="6" max="6" width="8.7265625" style="4" customWidth="1"/>
    <col min="7" max="7" width="11.54296875" style="4" customWidth="1"/>
    <col min="8" max="8" width="11.26953125" style="4" customWidth="1"/>
    <col min="9" max="9" width="9.1796875" style="4" customWidth="1"/>
    <col min="10" max="10" width="7.26953125" style="4" customWidth="1"/>
    <col min="11" max="11" width="5" style="4" customWidth="1"/>
    <col min="12" max="12" width="8.54296875" style="4" customWidth="1"/>
    <col min="13" max="13" width="7.54296875" style="4" customWidth="1"/>
    <col min="14" max="14" width="13.1796875" style="4" customWidth="1"/>
    <col min="15" max="18" width="8.453125" style="4" customWidth="1"/>
    <col min="19" max="21" width="6.7265625" style="4" customWidth="1"/>
    <col min="22" max="22" width="24.26953125" style="4" customWidth="1"/>
    <col min="23" max="23" width="4.54296875" style="4" customWidth="1"/>
    <col min="24" max="16384" width="9.1796875" style="4"/>
  </cols>
  <sheetData>
    <row r="1" spans="1:18" ht="18.5">
      <c r="A1" s="1455" t="s">
        <v>316</v>
      </c>
      <c r="B1" s="1455"/>
      <c r="C1" s="1455"/>
      <c r="D1" s="1455"/>
      <c r="E1" s="1455"/>
      <c r="F1" s="1455"/>
      <c r="G1" s="1455"/>
      <c r="H1" s="1455"/>
      <c r="I1" s="1455"/>
      <c r="J1" s="1455"/>
      <c r="K1" s="1455"/>
      <c r="L1" s="1455"/>
      <c r="M1" s="1455"/>
      <c r="N1" s="109"/>
      <c r="O1" s="109"/>
      <c r="P1" s="109"/>
      <c r="Q1" s="96"/>
      <c r="R1" s="96"/>
    </row>
    <row r="2" spans="1:18" ht="17">
      <c r="A2" s="1456" t="str">
        <f>ID!F2&amp;N2&amp;ID!I2</f>
        <v>Nomor Sertifikat : 55 / 12 / XI - 12 / E - 067.001 DL</v>
      </c>
      <c r="B2" s="1456"/>
      <c r="C2" s="1456"/>
      <c r="D2" s="1456"/>
      <c r="E2" s="1456"/>
      <c r="F2" s="1456"/>
      <c r="G2" s="1456"/>
      <c r="H2" s="1456"/>
      <c r="I2" s="1456"/>
      <c r="J2" s="1456"/>
      <c r="K2" s="1456"/>
      <c r="L2" s="1456"/>
      <c r="M2" s="1456"/>
      <c r="N2" s="110" t="s">
        <v>122</v>
      </c>
      <c r="O2" s="110"/>
      <c r="P2" s="110"/>
      <c r="Q2" s="97"/>
      <c r="R2" s="97"/>
    </row>
    <row r="3" spans="1:18">
      <c r="A3" s="787"/>
      <c r="B3" s="764"/>
      <c r="C3" s="764"/>
      <c r="D3" s="764"/>
      <c r="E3" s="764"/>
      <c r="F3" s="764"/>
      <c r="G3" s="764"/>
      <c r="H3" s="764"/>
      <c r="I3" s="764"/>
      <c r="J3" s="764"/>
      <c r="K3" s="764"/>
      <c r="L3" s="764"/>
      <c r="M3" s="764"/>
      <c r="N3" s="98"/>
      <c r="O3" s="98"/>
      <c r="P3" s="98"/>
    </row>
    <row r="4" spans="1:18" ht="14">
      <c r="A4" s="765" t="str">
        <f>ID!A4</f>
        <v>Merek</v>
      </c>
      <c r="B4" s="765"/>
      <c r="C4" s="787"/>
      <c r="D4" s="766"/>
      <c r="E4" s="767" t="str">
        <f>$R$17&amp;$R$19&amp;ID!F4</f>
        <v>: PHYSIOMED</v>
      </c>
      <c r="F4" s="764"/>
      <c r="G4" s="765"/>
      <c r="H4" s="765"/>
      <c r="I4" s="765"/>
      <c r="J4" s="765"/>
      <c r="K4" s="764"/>
      <c r="L4" s="764"/>
      <c r="M4" s="764"/>
      <c r="N4" s="98"/>
      <c r="O4" s="98"/>
      <c r="P4" s="98"/>
    </row>
    <row r="5" spans="1:18" ht="14">
      <c r="A5" s="765" t="str">
        <f>ID!A5</f>
        <v>Model/Tipe</v>
      </c>
      <c r="B5" s="765"/>
      <c r="C5" s="787"/>
      <c r="D5" s="766"/>
      <c r="E5" s="767" t="str">
        <f>$R$17&amp;$R$19&amp;ID!F5</f>
        <v>: PHYSISON Expert</v>
      </c>
      <c r="F5" s="764"/>
      <c r="G5" s="765"/>
      <c r="H5" s="765"/>
      <c r="I5" s="765"/>
      <c r="J5" s="765"/>
      <c r="K5" s="764"/>
      <c r="L5" s="764"/>
      <c r="M5" s="764"/>
      <c r="N5" s="98"/>
      <c r="O5" s="98"/>
      <c r="P5" s="98"/>
    </row>
    <row r="6" spans="1:18" ht="14">
      <c r="A6" s="765" t="str">
        <f>ID!A6</f>
        <v>No. Seri</v>
      </c>
      <c r="B6" s="765"/>
      <c r="C6" s="787"/>
      <c r="D6" s="766"/>
      <c r="E6" s="767" t="str">
        <f>$R$17&amp;$R$19&amp;ID!F6</f>
        <v>: PSE-0810207 gb</v>
      </c>
      <c r="F6" s="764"/>
      <c r="G6" s="765"/>
      <c r="H6" s="765"/>
      <c r="I6" s="765"/>
      <c r="J6" s="765"/>
      <c r="K6" s="764"/>
      <c r="L6" s="764"/>
      <c r="M6" s="764"/>
      <c r="N6" s="98"/>
      <c r="O6" s="98"/>
      <c r="P6" s="98"/>
    </row>
    <row r="7" spans="1:18" ht="14">
      <c r="A7" s="765" t="str">
        <f>ID!A7</f>
        <v>Resolusi</v>
      </c>
      <c r="B7" s="765"/>
      <c r="C7" s="787"/>
      <c r="D7" s="766" t="s">
        <v>63</v>
      </c>
      <c r="E7" s="1120">
        <f>ID!F7</f>
        <v>0.1</v>
      </c>
      <c r="F7" s="764" t="s">
        <v>79</v>
      </c>
      <c r="G7" s="765"/>
      <c r="H7" s="765"/>
      <c r="I7" s="765"/>
      <c r="J7" s="765"/>
      <c r="K7" s="764"/>
      <c r="L7" s="764"/>
      <c r="M7" s="764"/>
      <c r="N7" s="98"/>
      <c r="O7" s="98"/>
      <c r="P7" s="98"/>
    </row>
    <row r="8" spans="1:18" ht="14">
      <c r="A8" s="765" t="str">
        <f>ID!A8</f>
        <v>Tanggal Penerimaan Alat</v>
      </c>
      <c r="B8" s="765"/>
      <c r="C8" s="787"/>
      <c r="D8" s="766"/>
      <c r="E8" s="767" t="str">
        <f>$R$17&amp;$R$19&amp;ID!F8</f>
        <v>: 9 September 2023</v>
      </c>
      <c r="F8" s="764"/>
      <c r="G8" s="765"/>
      <c r="H8" s="765"/>
      <c r="I8" s="765"/>
      <c r="J8" s="765"/>
      <c r="K8" s="764"/>
      <c r="L8" s="764"/>
      <c r="M8" s="764"/>
      <c r="N8" s="98"/>
      <c r="O8" s="98"/>
      <c r="P8" s="98"/>
    </row>
    <row r="9" spans="1:18" ht="14">
      <c r="A9" s="765" t="str">
        <f>ID!A9</f>
        <v>Tanggal Kalibrasi</v>
      </c>
      <c r="B9" s="765"/>
      <c r="C9" s="787"/>
      <c r="D9" s="766"/>
      <c r="E9" s="767" t="str">
        <f>$R$17&amp;$R$19&amp;ID!F9</f>
        <v>: 9 September 2023</v>
      </c>
      <c r="F9" s="764"/>
      <c r="G9" s="765"/>
      <c r="H9" s="765"/>
      <c r="I9" s="765"/>
      <c r="J9" s="765"/>
      <c r="K9" s="764"/>
      <c r="L9" s="764"/>
      <c r="M9" s="764"/>
      <c r="N9" s="98"/>
      <c r="O9" s="98"/>
      <c r="P9" s="98"/>
    </row>
    <row r="10" spans="1:18" ht="14">
      <c r="A10" s="765" t="str">
        <f>ID!A10</f>
        <v>Tempat Kalibrasi</v>
      </c>
      <c r="B10" s="765"/>
      <c r="C10" s="787"/>
      <c r="D10" s="766"/>
      <c r="E10" s="767" t="str">
        <f>$R$17&amp;$R$19&amp;ID!F10</f>
        <v>: Laboratorium Kalibrasi LPFK Banjarbaru</v>
      </c>
      <c r="F10" s="764"/>
      <c r="G10" s="765"/>
      <c r="H10" s="765"/>
      <c r="I10" s="765"/>
      <c r="J10" s="765"/>
      <c r="K10" s="764"/>
      <c r="L10" s="768"/>
      <c r="M10" s="764"/>
      <c r="N10" s="98"/>
      <c r="O10" s="98"/>
      <c r="P10" s="98"/>
    </row>
    <row r="11" spans="1:18" ht="14">
      <c r="A11" s="765" t="str">
        <f>ID!A11</f>
        <v>Nama Ruang</v>
      </c>
      <c r="B11" s="765"/>
      <c r="C11" s="787"/>
      <c r="D11" s="766"/>
      <c r="E11" s="767" t="str">
        <f>$R$17&amp;$R$19&amp;ID!F11</f>
        <v>: Ruang Fisiotherapy</v>
      </c>
      <c r="F11" s="764"/>
      <c r="G11" s="765"/>
      <c r="H11" s="765"/>
      <c r="I11" s="765"/>
      <c r="J11" s="765"/>
      <c r="K11" s="764"/>
      <c r="L11" s="768"/>
      <c r="M11" s="764"/>
      <c r="N11" s="98"/>
      <c r="O11" s="98"/>
      <c r="P11" s="98"/>
    </row>
    <row r="12" spans="1:18" ht="14">
      <c r="A12" s="765" t="str">
        <f>ID!A12</f>
        <v>Metode Kerja</v>
      </c>
      <c r="B12" s="765"/>
      <c r="C12" s="787"/>
      <c r="D12" s="766"/>
      <c r="E12" s="767" t="str">
        <f>$R$17&amp;$R$19&amp;ID!F12</f>
        <v>: MK.066-18</v>
      </c>
      <c r="F12" s="764"/>
      <c r="G12" s="765"/>
      <c r="H12" s="765"/>
      <c r="I12" s="765"/>
      <c r="J12" s="765"/>
      <c r="K12" s="764"/>
      <c r="L12" s="764"/>
      <c r="M12" s="764"/>
      <c r="N12" s="98"/>
      <c r="O12" s="98"/>
      <c r="P12" s="98"/>
      <c r="R12" s="108" t="s">
        <v>139</v>
      </c>
    </row>
    <row r="13" spans="1:18" ht="14">
      <c r="A13" s="765"/>
      <c r="B13" s="765"/>
      <c r="C13" s="787"/>
      <c r="D13" s="765"/>
      <c r="E13" s="764"/>
      <c r="F13" s="765"/>
      <c r="G13" s="765"/>
      <c r="H13" s="765"/>
      <c r="I13" s="765"/>
      <c r="J13" s="765"/>
      <c r="K13" s="764"/>
      <c r="L13" s="764"/>
      <c r="M13" s="764"/>
      <c r="N13" s="98"/>
      <c r="O13" s="98"/>
      <c r="P13" s="98"/>
      <c r="Q13" s="4" t="s">
        <v>185</v>
      </c>
      <c r="R13" s="107" t="s">
        <v>110</v>
      </c>
    </row>
    <row r="14" spans="1:18" ht="14">
      <c r="A14" s="769" t="s">
        <v>10</v>
      </c>
      <c r="B14" s="769" t="s">
        <v>11</v>
      </c>
      <c r="C14" s="787"/>
      <c r="D14" s="769"/>
      <c r="E14" s="764"/>
      <c r="F14" s="769"/>
      <c r="G14" s="769"/>
      <c r="H14" s="765"/>
      <c r="I14" s="764"/>
      <c r="J14" s="764"/>
      <c r="K14" s="764"/>
      <c r="L14" s="764"/>
      <c r="M14" s="764"/>
      <c r="N14" s="98"/>
      <c r="O14" s="98"/>
      <c r="P14" s="98"/>
      <c r="Q14" s="4" t="s">
        <v>186</v>
      </c>
      <c r="R14" s="4" t="s">
        <v>119</v>
      </c>
    </row>
    <row r="15" spans="1:18" ht="14">
      <c r="A15" s="765"/>
      <c r="B15" s="765" t="s">
        <v>22</v>
      </c>
      <c r="C15" s="787"/>
      <c r="D15" s="765"/>
      <c r="E15" s="770" t="str">
        <f>$R$17&amp;$R$19&amp;'DB Thermohygro'!Q381</f>
        <v>: ( 26.5 ± 0.3 ) °C</v>
      </c>
      <c r="F15" s="764"/>
      <c r="G15" s="771"/>
      <c r="H15" s="764"/>
      <c r="I15" s="764"/>
      <c r="J15" s="764"/>
      <c r="K15" s="764"/>
      <c r="L15" s="764"/>
      <c r="M15" s="764"/>
      <c r="N15" s="98"/>
      <c r="O15" s="98"/>
      <c r="P15" s="98"/>
      <c r="R15" s="4" t="s">
        <v>94</v>
      </c>
    </row>
    <row r="16" spans="1:18" ht="14">
      <c r="A16" s="765"/>
      <c r="B16" s="765" t="s">
        <v>180</v>
      </c>
      <c r="C16" s="787"/>
      <c r="D16" s="765"/>
      <c r="E16" s="770" t="str">
        <f>$R$17&amp;$R$19&amp;'DB Thermohygro'!Q382</f>
        <v>: ( 62.4 ± 1.3 ) %RH</v>
      </c>
      <c r="F16" s="764"/>
      <c r="G16" s="772"/>
      <c r="H16" s="764"/>
      <c r="I16" s="764"/>
      <c r="J16" s="764"/>
      <c r="K16" s="764"/>
      <c r="L16" s="764"/>
      <c r="M16" s="764"/>
      <c r="N16" s="98"/>
      <c r="O16" s="98"/>
      <c r="P16" s="98"/>
      <c r="R16" s="4" t="s">
        <v>273</v>
      </c>
    </row>
    <row r="17" spans="1:22" ht="15.5">
      <c r="A17" s="765"/>
      <c r="B17" s="765" t="s">
        <v>123</v>
      </c>
      <c r="C17" s="787"/>
      <c r="D17" s="765"/>
      <c r="E17" s="772" t="str">
        <f>R17&amp;Q17&amp;ESA!N144</f>
        <v>: ( 223.9 ± 2.7 ) Volt</v>
      </c>
      <c r="F17" s="764"/>
      <c r="G17" s="772"/>
      <c r="H17" s="787"/>
      <c r="I17" s="764"/>
      <c r="J17" s="764"/>
      <c r="K17" s="764"/>
      <c r="L17" s="764"/>
      <c r="M17" s="764"/>
      <c r="N17" s="98"/>
      <c r="O17" s="122"/>
      <c r="P17" s="98"/>
      <c r="Q17" s="4" t="s">
        <v>122</v>
      </c>
      <c r="R17" s="4" t="s">
        <v>63</v>
      </c>
      <c r="S17" s="4" t="s">
        <v>122</v>
      </c>
    </row>
    <row r="18" spans="1:22" ht="6" customHeight="1">
      <c r="A18" s="765"/>
      <c r="B18" s="765"/>
      <c r="C18" s="787"/>
      <c r="D18" s="765"/>
      <c r="E18" s="764"/>
      <c r="F18" s="765"/>
      <c r="G18" s="765"/>
      <c r="H18" s="765"/>
      <c r="I18" s="764"/>
      <c r="J18" s="764"/>
      <c r="K18" s="764"/>
      <c r="L18" s="764"/>
      <c r="M18" s="764"/>
      <c r="N18" s="98"/>
      <c r="O18" s="98"/>
      <c r="P18" s="98"/>
    </row>
    <row r="19" spans="1:22" ht="14">
      <c r="A19" s="769" t="s">
        <v>12</v>
      </c>
      <c r="B19" s="769" t="s">
        <v>149</v>
      </c>
      <c r="C19" s="787"/>
      <c r="D19" s="769"/>
      <c r="E19" s="764"/>
      <c r="F19" s="769"/>
      <c r="G19" s="769"/>
      <c r="H19" s="769"/>
      <c r="I19" s="773"/>
      <c r="J19" s="764"/>
      <c r="K19" s="764"/>
      <c r="L19" s="764"/>
      <c r="M19" s="764"/>
      <c r="N19" s="98"/>
      <c r="P19" s="4" t="s">
        <v>156</v>
      </c>
      <c r="R19" s="108" t="s">
        <v>122</v>
      </c>
    </row>
    <row r="20" spans="1:22" ht="14">
      <c r="A20" s="765"/>
      <c r="B20" s="765" t="s">
        <v>13</v>
      </c>
      <c r="C20" s="787"/>
      <c r="D20" s="765"/>
      <c r="E20" s="765" t="str">
        <f>$R$17&amp;$R$19&amp;ID!F20</f>
        <v>: Baik</v>
      </c>
      <c r="F20" s="764"/>
      <c r="G20" s="765"/>
      <c r="H20" s="765"/>
      <c r="I20" s="764"/>
      <c r="J20" s="764"/>
      <c r="K20" s="764"/>
      <c r="L20" s="764"/>
      <c r="M20" s="764"/>
      <c r="N20" s="98"/>
      <c r="P20" s="261">
        <f>IF(ID!F20="Baik",5,"0")</f>
        <v>5</v>
      </c>
    </row>
    <row r="21" spans="1:22" ht="14">
      <c r="A21" s="765"/>
      <c r="B21" s="765" t="s">
        <v>1</v>
      </c>
      <c r="C21" s="787"/>
      <c r="D21" s="765"/>
      <c r="E21" s="765" t="str">
        <f>$R$17&amp;$R$19&amp;ID!F21</f>
        <v>: Baik</v>
      </c>
      <c r="F21" s="764"/>
      <c r="G21" s="765"/>
      <c r="H21" s="765"/>
      <c r="I21" s="764"/>
      <c r="J21" s="764"/>
      <c r="K21" s="764"/>
      <c r="L21" s="764"/>
      <c r="M21" s="764"/>
      <c r="N21" s="98"/>
      <c r="P21" s="261">
        <f>IF(ID!F21="Baik",5,"0")</f>
        <v>5</v>
      </c>
    </row>
    <row r="22" spans="1:22" ht="6" customHeight="1">
      <c r="A22" s="769"/>
      <c r="B22" s="769"/>
      <c r="C22" s="787"/>
      <c r="D22" s="765"/>
      <c r="E22" s="765"/>
      <c r="F22" s="765"/>
      <c r="G22" s="765"/>
      <c r="H22" s="765"/>
      <c r="I22" s="764"/>
      <c r="J22" s="764"/>
      <c r="K22" s="764"/>
      <c r="L22" s="764"/>
      <c r="M22" s="764"/>
      <c r="N22" s="98"/>
      <c r="O22" s="98"/>
      <c r="P22" s="98"/>
    </row>
    <row r="23" spans="1:22" ht="14">
      <c r="A23" s="769" t="s">
        <v>2</v>
      </c>
      <c r="B23" s="769" t="s">
        <v>150</v>
      </c>
      <c r="C23" s="787"/>
      <c r="D23" s="765"/>
      <c r="E23" s="765"/>
      <c r="F23" s="765"/>
      <c r="G23" s="765"/>
      <c r="H23" s="765"/>
      <c r="I23" s="764"/>
      <c r="J23" s="764"/>
      <c r="K23" s="764"/>
      <c r="L23" s="764"/>
      <c r="M23" s="764"/>
      <c r="N23" s="98"/>
      <c r="O23" s="98"/>
      <c r="P23" s="263">
        <f>SUM(P20:P21)</f>
        <v>10</v>
      </c>
    </row>
    <row r="24" spans="1:22" ht="12.75" customHeight="1">
      <c r="A24" s="787"/>
      <c r="B24" s="1463" t="s">
        <v>14</v>
      </c>
      <c r="C24" s="1465" t="s">
        <v>4</v>
      </c>
      <c r="D24" s="1466"/>
      <c r="E24" s="1466"/>
      <c r="F24" s="1466"/>
      <c r="G24" s="1466"/>
      <c r="H24" s="1466"/>
      <c r="I24" s="1466"/>
      <c r="J24" s="1457" t="s">
        <v>76</v>
      </c>
      <c r="K24" s="1458"/>
      <c r="L24" s="1457" t="s">
        <v>15</v>
      </c>
      <c r="M24" s="1458"/>
      <c r="N24" s="98"/>
    </row>
    <row r="25" spans="1:22" ht="18.75" customHeight="1">
      <c r="A25" s="787"/>
      <c r="B25" s="1464"/>
      <c r="C25" s="1467"/>
      <c r="D25" s="1468"/>
      <c r="E25" s="1468"/>
      <c r="F25" s="1468"/>
      <c r="G25" s="1468"/>
      <c r="H25" s="1468"/>
      <c r="I25" s="1468"/>
      <c r="J25" s="1459"/>
      <c r="K25" s="1460"/>
      <c r="L25" s="1459"/>
      <c r="M25" s="1460"/>
      <c r="N25" s="98"/>
      <c r="P25" s="98" t="s">
        <v>157</v>
      </c>
    </row>
    <row r="26" spans="1:22" ht="14">
      <c r="A26" s="787"/>
      <c r="B26" s="774">
        <v>1</v>
      </c>
      <c r="C26" s="775" t="str">
        <f>ID!C26</f>
        <v>Resistansi Isolasi</v>
      </c>
      <c r="D26" s="776"/>
      <c r="E26" s="776"/>
      <c r="F26" s="776"/>
      <c r="G26" s="776"/>
      <c r="H26" s="776"/>
      <c r="I26" s="801"/>
      <c r="J26" s="802">
        <f>ESA!P138</f>
        <v>11</v>
      </c>
      <c r="K26" s="777" t="str">
        <f>IF(J26="-","",IF(J26="OL","","MΩ"))</f>
        <v>MΩ</v>
      </c>
      <c r="L26" s="778" t="str">
        <f>ID!L26</f>
        <v>&gt; 2</v>
      </c>
      <c r="M26" s="779" t="s">
        <v>129</v>
      </c>
      <c r="N26" s="98"/>
      <c r="P26" s="261">
        <f>IF(ID!J26="-",10,IF(ID!J26="OL",10,IF(ID!J26&gt;=2,10,0)))</f>
        <v>10</v>
      </c>
    </row>
    <row r="27" spans="1:22" ht="15.75" customHeight="1">
      <c r="A27" s="787"/>
      <c r="B27" s="774">
        <v>2</v>
      </c>
      <c r="C27" s="775" t="str">
        <f>ID!C27</f>
        <v>Resistansi Pembumian Protektif (kabel dapat dilepas)</v>
      </c>
      <c r="D27" s="776"/>
      <c r="E27" s="776"/>
      <c r="F27" s="776"/>
      <c r="G27" s="776"/>
      <c r="H27" s="776"/>
      <c r="I27" s="801"/>
      <c r="J27" s="780">
        <f>ESA!P139</f>
        <v>0.12200066196319018</v>
      </c>
      <c r="K27" s="777" t="str">
        <f>IF(J27="-","",IF(J27="OL","","Ω"))</f>
        <v>Ω</v>
      </c>
      <c r="L27" s="781" t="str">
        <f>ID!L27</f>
        <v>≤ 0.2</v>
      </c>
      <c r="M27" s="779" t="s">
        <v>125</v>
      </c>
      <c r="N27" s="98"/>
      <c r="P27" s="261">
        <f>IF(ID!J27="-",10,IF(ID!J27="OL",10,IF(ID!J27&lt;=ID!K91,10,0)))</f>
        <v>10</v>
      </c>
      <c r="Q27" s="99"/>
      <c r="U27" s="249" t="str">
        <f>ID!B53</f>
        <v>-</v>
      </c>
      <c r="V27" s="250" t="s">
        <v>202</v>
      </c>
    </row>
    <row r="28" spans="1:22" ht="14">
      <c r="A28" s="787"/>
      <c r="B28" s="774">
        <v>3</v>
      </c>
      <c r="C28" s="775" t="str">
        <f>ID!C28</f>
        <v>Arus bocor peralatan untuk peralatan elektromedik kelas I</v>
      </c>
      <c r="D28" s="776"/>
      <c r="E28" s="776"/>
      <c r="F28" s="776"/>
      <c r="G28" s="776"/>
      <c r="H28" s="776"/>
      <c r="I28" s="801"/>
      <c r="J28" s="803">
        <f>ESA!P140</f>
        <v>660</v>
      </c>
      <c r="K28" s="777" t="str">
        <f>IF(J28="-","",IF(J28="OL","","µA"))</f>
        <v>µA</v>
      </c>
      <c r="L28" s="781" t="str">
        <f>ID!L28</f>
        <v>≤ 500</v>
      </c>
      <c r="M28" s="779" t="s">
        <v>84</v>
      </c>
      <c r="N28" s="98"/>
      <c r="P28" s="261">
        <f>IF(ID!J28="-",0,IF(ID!J28="OL",0,IF(ID!J28&lt;=ID!K94,10,0)))</f>
        <v>0</v>
      </c>
      <c r="U28" s="251">
        <f>IF(U27=V27,0,1)</f>
        <v>1</v>
      </c>
      <c r="V28" s="252" t="s">
        <v>66</v>
      </c>
    </row>
    <row r="29" spans="1:22" ht="14">
      <c r="A29" s="787"/>
      <c r="B29" s="774">
        <v>4</v>
      </c>
      <c r="C29" s="775" t="s">
        <v>155</v>
      </c>
      <c r="D29" s="776"/>
      <c r="E29" s="776"/>
      <c r="F29" s="776"/>
      <c r="G29" s="776"/>
      <c r="H29" s="776"/>
      <c r="I29" s="801"/>
      <c r="J29" s="803" t="str">
        <f>ESA!P141</f>
        <v>-</v>
      </c>
      <c r="K29" s="777" t="str">
        <f>IF(J29="-","",IF(J29="OL","","µA"))</f>
        <v/>
      </c>
      <c r="L29" s="781" t="str">
        <f>ID!L29</f>
        <v>≤ 50</v>
      </c>
      <c r="M29" s="779" t="s">
        <v>84</v>
      </c>
      <c r="N29" s="98"/>
      <c r="P29" s="261">
        <f>IF(ID!J29="-",0,IF(ID!J29="OL",0,IF(ID!J29&lt;=50,10,0)))</f>
        <v>0</v>
      </c>
      <c r="T29" s="4" t="s">
        <v>372</v>
      </c>
      <c r="U29" s="277">
        <f>IF(P28=U28,0,IF(P29=U28,0,SUM(P26:P30)))</f>
        <v>20</v>
      </c>
    </row>
    <row r="30" spans="1:22" ht="10" customHeight="1">
      <c r="A30" s="787"/>
      <c r="B30" s="782"/>
      <c r="C30" s="764"/>
      <c r="D30" s="764"/>
      <c r="E30" s="764"/>
      <c r="F30" s="764"/>
      <c r="G30" s="764"/>
      <c r="H30" s="764"/>
      <c r="I30" s="783"/>
      <c r="J30" s="784"/>
      <c r="K30" s="764"/>
      <c r="L30" s="764"/>
      <c r="M30" s="764"/>
      <c r="N30" s="98"/>
      <c r="P30" s="754">
        <f>IF(ID!Q26=Penyelia!T29,-30,0)</f>
        <v>0</v>
      </c>
    </row>
    <row r="31" spans="1:22" ht="14">
      <c r="A31" s="785" t="s">
        <v>107</v>
      </c>
      <c r="B31" s="785" t="str">
        <f>ID!B31</f>
        <v>Pengujian Kinerja</v>
      </c>
      <c r="C31" s="787"/>
      <c r="D31" s="787"/>
      <c r="E31" s="787"/>
      <c r="F31" s="787"/>
      <c r="G31" s="787"/>
      <c r="H31" s="787"/>
      <c r="I31" s="787"/>
      <c r="J31" s="787"/>
      <c r="K31" s="787"/>
      <c r="L31" s="787"/>
      <c r="M31" s="787"/>
      <c r="P31" s="262">
        <f>IF(ID!P28&gt;=ID!K94,0,IF(ID!P29&gt;=50,0,Penyelia!U29))</f>
        <v>20</v>
      </c>
    </row>
    <row r="32" spans="1:22" ht="14.5">
      <c r="A32" s="787"/>
      <c r="B32" s="785" t="str">
        <f>ID!B32</f>
        <v xml:space="preserve">a. Kalibrasi Energi </v>
      </c>
      <c r="C32" s="787"/>
      <c r="D32" s="785"/>
      <c r="E32" s="785"/>
      <c r="F32" s="786"/>
      <c r="G32" s="786"/>
      <c r="H32" s="786"/>
      <c r="I32" s="786"/>
      <c r="J32" s="786"/>
      <c r="K32" s="786"/>
      <c r="L32" s="786"/>
      <c r="M32" s="786"/>
      <c r="N32" s="180" t="s">
        <v>174</v>
      </c>
      <c r="O32" s="100"/>
      <c r="P32" s="98"/>
    </row>
    <row r="33" spans="1:31" ht="14">
      <c r="A33" s="785"/>
      <c r="B33" s="785" t="str">
        <f>ID!B33</f>
        <v>1. Frekuensi 1 MHz dengan satuan Watt</v>
      </c>
      <c r="C33" s="787"/>
      <c r="D33" s="785"/>
      <c r="E33" s="785"/>
      <c r="F33" s="785"/>
      <c r="G33" s="785"/>
      <c r="H33" s="785"/>
      <c r="I33" s="785"/>
      <c r="J33" s="785"/>
      <c r="K33" s="785"/>
      <c r="L33" s="764"/>
      <c r="M33" s="764"/>
      <c r="N33" s="180" t="s">
        <v>175</v>
      </c>
    </row>
    <row r="34" spans="1:31" ht="15" customHeight="1">
      <c r="A34" s="787"/>
      <c r="B34" s="1462" t="s">
        <v>14</v>
      </c>
      <c r="C34" s="1461" t="s">
        <v>4</v>
      </c>
      <c r="D34" s="1462" t="s">
        <v>140</v>
      </c>
      <c r="E34" s="1462" t="s">
        <v>141</v>
      </c>
      <c r="F34" s="1469" t="s">
        <v>315</v>
      </c>
      <c r="G34" s="1469" t="s">
        <v>314</v>
      </c>
      <c r="H34" s="1469" t="s">
        <v>313</v>
      </c>
      <c r="I34" s="1472" t="s">
        <v>307</v>
      </c>
      <c r="J34" s="1473"/>
      <c r="K34" s="787"/>
      <c r="L34" s="787"/>
      <c r="M34" s="1481" t="s">
        <v>204</v>
      </c>
      <c r="P34" s="98"/>
      <c r="Q34" s="98"/>
    </row>
    <row r="35" spans="1:31" ht="15" customHeight="1">
      <c r="A35" s="787"/>
      <c r="B35" s="1462"/>
      <c r="C35" s="1461"/>
      <c r="D35" s="1462"/>
      <c r="E35" s="1462"/>
      <c r="F35" s="1470"/>
      <c r="G35" s="1470"/>
      <c r="H35" s="1470"/>
      <c r="I35" s="1474"/>
      <c r="J35" s="1475"/>
      <c r="K35" s="787"/>
      <c r="L35" s="787"/>
      <c r="M35" s="1482"/>
      <c r="N35" s="123"/>
      <c r="Q35" s="125"/>
      <c r="U35" s="248"/>
      <c r="V35" s="248"/>
      <c r="W35" s="248"/>
    </row>
    <row r="36" spans="1:31" ht="15" customHeight="1">
      <c r="A36" s="787"/>
      <c r="B36" s="1462"/>
      <c r="C36" s="1461"/>
      <c r="D36" s="1462"/>
      <c r="E36" s="1462"/>
      <c r="F36" s="1471"/>
      <c r="G36" s="1471"/>
      <c r="H36" s="1471"/>
      <c r="I36" s="1476"/>
      <c r="J36" s="1477"/>
      <c r="K36" s="787"/>
      <c r="L36" s="787"/>
      <c r="M36" s="1483"/>
      <c r="Y36" s="4" t="s">
        <v>158</v>
      </c>
      <c r="AC36" s="248"/>
      <c r="AD36" s="248"/>
      <c r="AE36" s="248"/>
    </row>
    <row r="37" spans="1:31" ht="14.25" customHeight="1">
      <c r="A37" s="804"/>
      <c r="B37" s="788">
        <v>1</v>
      </c>
      <c r="C37" s="1479" t="s">
        <v>176</v>
      </c>
      <c r="D37" s="788">
        <f>IF(E37="-","-",ID!D37)</f>
        <v>1</v>
      </c>
      <c r="E37" s="805">
        <f>IF(ID!K37="-","-",ID!K37)</f>
        <v>1</v>
      </c>
      <c r="F37" s="806">
        <f>IF(E37="-","-",((E37-D37)))</f>
        <v>0</v>
      </c>
      <c r="G37" s="806">
        <f>IF(E37="-","-",((F37)/E37*100))</f>
        <v>0</v>
      </c>
      <c r="H37" s="1480" t="str">
        <f>IF(E37:E41="-","-","± 20")</f>
        <v>± 20</v>
      </c>
      <c r="I37" s="778" t="str">
        <f>IF(J37="-","","±")</f>
        <v>±</v>
      </c>
      <c r="J37" s="807">
        <f>IF(E37="-","-",ABS(Budget!J12/D37*100))</f>
        <v>5.7982691537132647</v>
      </c>
      <c r="K37" s="808" t="str">
        <f>IF(X37="YES",$N$32,$N$33)</f>
        <v>ü</v>
      </c>
      <c r="L37" s="787"/>
      <c r="M37" s="809">
        <f>IF(E37="-","-",((ABS(G37)+ABS(J37))))</f>
        <v>5.7982691537132647</v>
      </c>
      <c r="P37" s="1478">
        <f>(COUNTIF(X37:X41,"YES")/(COUNTA(X37:X41))*100)</f>
        <v>100</v>
      </c>
      <c r="Q37" s="265">
        <f>IF(P37&gt;=70,1,0)</f>
        <v>1</v>
      </c>
      <c r="X37" s="4" t="str">
        <f>IF(M37&lt;=20,"YES","NO")</f>
        <v>YES</v>
      </c>
      <c r="Y37" s="125">
        <f>IF(E37="-",0,IF(X37="NO",0,8+$AE$37))</f>
        <v>8</v>
      </c>
      <c r="Z37" s="4" t="str">
        <f>IF(E37="-","no","yes")</f>
        <v>yes</v>
      </c>
      <c r="AA37" s="4">
        <v>1</v>
      </c>
      <c r="AC37" s="1431">
        <f>SUMIF(Z37:Z41,"yes",AA37:AA41)</f>
        <v>5</v>
      </c>
      <c r="AD37" s="1431">
        <f>ABS(8*AC37-40)</f>
        <v>0</v>
      </c>
      <c r="AE37" s="1431">
        <f>AD37/AC37</f>
        <v>0</v>
      </c>
    </row>
    <row r="38" spans="1:31" ht="14.25" customHeight="1">
      <c r="A38" s="804"/>
      <c r="B38" s="788">
        <v>2</v>
      </c>
      <c r="C38" s="1479"/>
      <c r="D38" s="788">
        <f>IF(E38="-","-",ID!D38)</f>
        <v>2</v>
      </c>
      <c r="E38" s="805">
        <f>IF(ID!K38="-","-",ID!K38)</f>
        <v>2</v>
      </c>
      <c r="F38" s="806">
        <f>IF(E38="-","-",((E38-D38)))</f>
        <v>0</v>
      </c>
      <c r="G38" s="806">
        <f t="shared" ref="G38:G40" si="0">IF(E38="-","-",((F38)/E38*100))</f>
        <v>0</v>
      </c>
      <c r="H38" s="1480"/>
      <c r="I38" s="778" t="str">
        <f>IF(J38="-","","±")</f>
        <v>±</v>
      </c>
      <c r="J38" s="807">
        <f>IF(E38="-","-",ABS(Budget!J22)/D38*100)</f>
        <v>2.8991345768566323</v>
      </c>
      <c r="K38" s="808" t="str">
        <f>IF(X38="YES",$N$32,$N$33)</f>
        <v>ü</v>
      </c>
      <c r="L38" s="787"/>
      <c r="M38" s="809">
        <f>IF(E38="-","-",((ABS(G38)+J38)))</f>
        <v>2.8991345768566323</v>
      </c>
      <c r="P38" s="1478"/>
      <c r="Q38" s="266"/>
      <c r="X38" s="4" t="str">
        <f>IF(M38&lt;=20,"YES","NO")</f>
        <v>YES</v>
      </c>
      <c r="Y38" s="125">
        <f>IF(E38="-",0,IF(X38="NO",0,8+$AE$37))</f>
        <v>8</v>
      </c>
      <c r="Z38" s="4" t="str">
        <f>IF(E38="-","no","yes")</f>
        <v>yes</v>
      </c>
      <c r="AA38" s="4">
        <v>1</v>
      </c>
      <c r="AC38" s="1431"/>
      <c r="AD38" s="1431"/>
      <c r="AE38" s="1431"/>
    </row>
    <row r="39" spans="1:31" ht="14.25" customHeight="1">
      <c r="A39" s="804"/>
      <c r="B39" s="788">
        <v>3</v>
      </c>
      <c r="C39" s="1479"/>
      <c r="D39" s="788">
        <f>IF(E39="-","-",ID!D39)</f>
        <v>3</v>
      </c>
      <c r="E39" s="805">
        <f>IF(ID!K39="-","-",ID!K39)</f>
        <v>3</v>
      </c>
      <c r="F39" s="806">
        <f>IF(E39="-","-",((E39-D39)))</f>
        <v>0</v>
      </c>
      <c r="G39" s="806">
        <f t="shared" si="0"/>
        <v>0</v>
      </c>
      <c r="H39" s="1480"/>
      <c r="I39" s="778" t="str">
        <f>IF(J39="-","","±")</f>
        <v>±</v>
      </c>
      <c r="J39" s="807">
        <f>IF(E39="-","-",ABS(Budget!J32)/D39*100)</f>
        <v>1.9327563845710882</v>
      </c>
      <c r="K39" s="808" t="str">
        <f>IF(X39="YES",$N$32,$N$33)</f>
        <v>ü</v>
      </c>
      <c r="L39" s="787"/>
      <c r="M39" s="809">
        <f>IF(E39="-","-",((ABS(G39)+J39)))</f>
        <v>1.9327563845710882</v>
      </c>
      <c r="P39" s="1478"/>
      <c r="Q39" s="266"/>
      <c r="X39" s="4" t="str">
        <f>IF(M39&lt;=20,"YES","NO")</f>
        <v>YES</v>
      </c>
      <c r="Y39" s="125">
        <f>IF(E39="-",0,IF(X39="NO",0,8+$AE$37))</f>
        <v>8</v>
      </c>
      <c r="Z39" s="4" t="str">
        <f>IF(E39="-","no","yes")</f>
        <v>yes</v>
      </c>
      <c r="AA39" s="4">
        <v>1</v>
      </c>
      <c r="AC39" s="1431"/>
      <c r="AD39" s="1431"/>
      <c r="AE39" s="1431"/>
    </row>
    <row r="40" spans="1:31" ht="14.25" customHeight="1">
      <c r="A40" s="804"/>
      <c r="B40" s="788">
        <v>4</v>
      </c>
      <c r="C40" s="1479"/>
      <c r="D40" s="788">
        <f>IF(E40="-","-",ID!D40)</f>
        <v>4</v>
      </c>
      <c r="E40" s="805">
        <f>IF(ID!K40="-","-",ID!K40)</f>
        <v>4</v>
      </c>
      <c r="F40" s="806">
        <f>IF(E40="-","-",((E40-D40)))</f>
        <v>0</v>
      </c>
      <c r="G40" s="806">
        <f t="shared" si="0"/>
        <v>0</v>
      </c>
      <c r="H40" s="1480"/>
      <c r="I40" s="778" t="str">
        <f>IF(J40="-","","±")</f>
        <v>±</v>
      </c>
      <c r="J40" s="807">
        <f>IF(E40="-","-",ABS(Budget!V12)/D40*100)</f>
        <v>1.4495672884283162</v>
      </c>
      <c r="K40" s="808" t="str">
        <f>IF(X40="YES",$N$32,$N$33)</f>
        <v>ü</v>
      </c>
      <c r="L40" s="787"/>
      <c r="M40" s="809">
        <f>IF(E40="-","-",((ABS(G40)+J40)))</f>
        <v>1.4495672884283162</v>
      </c>
      <c r="P40" s="1478"/>
      <c r="Q40" s="266"/>
      <c r="X40" s="4" t="str">
        <f>IF(M40&lt;=20,"YES","NO")</f>
        <v>YES</v>
      </c>
      <c r="Y40" s="125">
        <f>IF(E40="-",0,IF(X40="NO",0,8+$AE$37))</f>
        <v>8</v>
      </c>
      <c r="Z40" s="4" t="str">
        <f>IF(E40="-","no","yes")</f>
        <v>yes</v>
      </c>
      <c r="AA40" s="4">
        <v>1</v>
      </c>
      <c r="AC40" s="1431"/>
      <c r="AD40" s="1431"/>
      <c r="AE40" s="1431"/>
    </row>
    <row r="41" spans="1:31" ht="14.25" customHeight="1">
      <c r="A41" s="804"/>
      <c r="B41" s="788">
        <v>5</v>
      </c>
      <c r="C41" s="1479"/>
      <c r="D41" s="788">
        <f>IF(E41="-","-",ID!D41)</f>
        <v>5</v>
      </c>
      <c r="E41" s="805">
        <f>IF(ID!K41="-","-",ID!K41)</f>
        <v>5</v>
      </c>
      <c r="F41" s="806">
        <f>IF(E41="-","-",((E41-D41)))</f>
        <v>0</v>
      </c>
      <c r="G41" s="806">
        <f>IF(E41="-","-",((F41)/E41*100))</f>
        <v>0</v>
      </c>
      <c r="H41" s="1480"/>
      <c r="I41" s="778" t="str">
        <f>IF(J41="-","","±")</f>
        <v>±</v>
      </c>
      <c r="J41" s="807">
        <f>IF(E41="-","-",ABS(Budget!V22)/D41*100)</f>
        <v>1.1596538307426529</v>
      </c>
      <c r="K41" s="808" t="str">
        <f>IF(X41="YES",$N$32,$N$33)</f>
        <v>ü</v>
      </c>
      <c r="L41" s="787"/>
      <c r="M41" s="809">
        <f>IF(E41="-","-",((ABS(G41)+J41)))</f>
        <v>1.1596538307426529</v>
      </c>
      <c r="P41" s="1478"/>
      <c r="Q41" s="266"/>
      <c r="X41" s="4" t="str">
        <f>IF(M41&lt;=20,"YES","NO")</f>
        <v>YES</v>
      </c>
      <c r="Y41" s="125">
        <f>IF(E41="-",0,IF(X41="NO",0,8+$AE$37))</f>
        <v>8</v>
      </c>
      <c r="Z41" s="4" t="str">
        <f>IF(E41="-","no","yes")</f>
        <v>yes</v>
      </c>
      <c r="AA41" s="4">
        <v>1</v>
      </c>
      <c r="AC41" s="1431"/>
      <c r="AD41" s="1431"/>
      <c r="AE41" s="1431"/>
    </row>
    <row r="42" spans="1:31" s="3" customFormat="1" ht="7.5" customHeight="1">
      <c r="A42" s="804"/>
      <c r="B42" s="810"/>
      <c r="C42" s="765"/>
      <c r="D42" s="765"/>
      <c r="E42" s="765"/>
      <c r="F42" s="765"/>
      <c r="G42" s="765"/>
      <c r="H42" s="765"/>
      <c r="I42" s="765"/>
      <c r="J42" s="765"/>
      <c r="K42" s="808"/>
      <c r="L42" s="765"/>
      <c r="M42" s="765"/>
      <c r="Q42" s="267"/>
      <c r="Y42" s="125">
        <f>(SUM(Y37:Y41))</f>
        <v>40</v>
      </c>
      <c r="Z42" s="123"/>
      <c r="AA42" s="123"/>
      <c r="AB42" s="124"/>
      <c r="AC42" s="248"/>
      <c r="AD42" s="248"/>
      <c r="AE42" s="248"/>
    </row>
    <row r="43" spans="1:31" s="3" customFormat="1" ht="15" customHeight="1">
      <c r="A43" s="804"/>
      <c r="B43" s="785" t="str">
        <f>ID!B43</f>
        <v>b. Kalibrasi Waktu Therapy</v>
      </c>
      <c r="C43" s="789"/>
      <c r="D43" s="785"/>
      <c r="E43" s="765"/>
      <c r="F43" s="765"/>
      <c r="G43" s="765"/>
      <c r="H43" s="765"/>
      <c r="I43" s="765"/>
      <c r="J43" s="765"/>
      <c r="K43" s="808"/>
      <c r="L43" s="765"/>
      <c r="M43" s="765"/>
      <c r="O43" s="125"/>
      <c r="P43" s="4"/>
      <c r="Q43" s="269">
        <f>Q37+Q45</f>
        <v>2</v>
      </c>
      <c r="R43" s="270">
        <f>IF(Q43&gt;=1.5,50,0)</f>
        <v>50</v>
      </c>
      <c r="S43" s="124"/>
      <c r="T43" s="123"/>
      <c r="U43" s="248"/>
      <c r="V43" s="248"/>
      <c r="W43" s="248"/>
      <c r="Y43" s="123"/>
      <c r="Z43" s="123"/>
    </row>
    <row r="44" spans="1:31" s="3" customFormat="1" ht="32.25" customHeight="1">
      <c r="A44" s="804"/>
      <c r="B44" s="790" t="s">
        <v>102</v>
      </c>
      <c r="C44" s="794" t="s">
        <v>4</v>
      </c>
      <c r="D44" s="792" t="s">
        <v>140</v>
      </c>
      <c r="E44" s="793" t="s">
        <v>141</v>
      </c>
      <c r="F44" s="794" t="s">
        <v>27</v>
      </c>
      <c r="G44" s="791" t="s">
        <v>72</v>
      </c>
      <c r="H44" s="1440" t="s">
        <v>23</v>
      </c>
      <c r="I44" s="1441"/>
      <c r="J44" s="789"/>
      <c r="K44" s="808"/>
      <c r="L44" s="1454" t="s">
        <v>205</v>
      </c>
      <c r="M44" s="1454"/>
      <c r="Q44" s="267"/>
      <c r="U44" s="248"/>
      <c r="V44" s="248"/>
      <c r="W44" s="248"/>
      <c r="Y44" s="123"/>
      <c r="Z44" s="123"/>
    </row>
    <row r="45" spans="1:31" ht="28">
      <c r="A45" s="804"/>
      <c r="B45" s="795">
        <v>1</v>
      </c>
      <c r="C45" s="796" t="s">
        <v>100</v>
      </c>
      <c r="D45" s="788">
        <f>IF(E45="-","-",ID!D45)</f>
        <v>300</v>
      </c>
      <c r="E45" s="797">
        <f>IF(ID!K45="-","-",ID!K45)</f>
        <v>350.00590098378376</v>
      </c>
      <c r="F45" s="811">
        <f>IF(E45="-","-",E45-D45)</f>
        <v>50.005900983783761</v>
      </c>
      <c r="G45" s="798" t="str">
        <f>IF(E45="-","-","± 70 s")</f>
        <v>± 70 s</v>
      </c>
      <c r="H45" s="799" t="str">
        <f t="shared" ref="H45" si="1">IF(I45="-","","±")</f>
        <v>±</v>
      </c>
      <c r="I45" s="812">
        <f>IF(E45="-","-",Budget!J45)</f>
        <v>0.58736211755726431</v>
      </c>
      <c r="J45" s="808" t="str">
        <f>IF(Z45=10,$N$32,$N$33)</f>
        <v>ü</v>
      </c>
      <c r="K45" s="787"/>
      <c r="L45" s="1442">
        <f>IF(E45="-","-",((ABS(F45)+I45)))</f>
        <v>50.593263101341023</v>
      </c>
      <c r="M45" s="1442"/>
      <c r="P45" s="264">
        <f>(COUNTIF(X45,"YES")/(COUNTA(X45))*100)</f>
        <v>100</v>
      </c>
      <c r="Q45" s="268">
        <f>IF(P45&gt;=70,1,0)</f>
        <v>1</v>
      </c>
      <c r="S45" s="128"/>
      <c r="T45" s="127"/>
      <c r="X45" s="126" t="str">
        <f>IF(Z45=10,"YES","NO")</f>
        <v>YES</v>
      </c>
      <c r="Y45" s="127"/>
      <c r="Z45" s="125">
        <f>IF(L45&lt;=70,10,0)</f>
        <v>10</v>
      </c>
    </row>
    <row r="46" spans="1:31" ht="6" customHeight="1">
      <c r="A46" s="49"/>
      <c r="B46" s="757"/>
      <c r="C46" s="757"/>
      <c r="D46" s="759"/>
      <c r="E46" s="760"/>
      <c r="F46" s="760"/>
      <c r="G46" s="760"/>
      <c r="H46" s="760"/>
      <c r="I46" s="760"/>
      <c r="J46" s="760"/>
      <c r="K46" s="761"/>
      <c r="L46" s="761"/>
      <c r="M46" s="761"/>
      <c r="N46" s="102"/>
      <c r="P46" s="101"/>
      <c r="R46" s="102"/>
    </row>
    <row r="47" spans="1:31" ht="13.5" customHeight="1">
      <c r="A47" s="151" t="s">
        <v>168</v>
      </c>
      <c r="B47" s="151" t="s">
        <v>18</v>
      </c>
      <c r="C47" s="49"/>
      <c r="D47" s="153"/>
      <c r="E47" s="154"/>
      <c r="F47" s="154"/>
      <c r="G47" s="154"/>
      <c r="H47" s="154"/>
      <c r="I47" s="154"/>
      <c r="J47" s="155"/>
      <c r="K47" s="155"/>
      <c r="L47" s="155"/>
      <c r="M47" s="155"/>
      <c r="N47" s="99"/>
      <c r="P47" s="101"/>
      <c r="X47" s="103">
        <f>IF(E45="-",0,8)</f>
        <v>8</v>
      </c>
    </row>
    <row r="48" spans="1:31" ht="13.5" customHeight="1">
      <c r="A48" s="151"/>
      <c r="B48" s="152" t="str">
        <f>ID!B48</f>
        <v>Ketidakpastian pengukuran Ultrasound Power dari ketidakpastian tipe A dan Tipe B</v>
      </c>
      <c r="C48" s="49"/>
      <c r="D48" s="153"/>
      <c r="E48" s="154"/>
      <c r="F48" s="154"/>
      <c r="G48" s="154"/>
      <c r="H48" s="154"/>
      <c r="I48" s="154"/>
      <c r="J48" s="155"/>
      <c r="K48" s="155"/>
      <c r="L48" s="155"/>
      <c r="M48" s="155"/>
      <c r="N48" s="104"/>
      <c r="O48" s="104"/>
      <c r="P48" s="105"/>
      <c r="Q48" s="49"/>
      <c r="R48" s="49"/>
    </row>
    <row r="49" spans="1:24" ht="13.5" customHeight="1">
      <c r="A49" s="151"/>
      <c r="B49" s="152" t="str">
        <f>ID!B49</f>
        <v>Ketidakpastian pengukuran Waktu Therapy dilaporkan pada tingkat kepercayaan 95 % dengan faktor cakupan k = 2</v>
      </c>
      <c r="C49" s="49"/>
      <c r="D49" s="153"/>
      <c r="E49" s="154"/>
      <c r="F49" s="154"/>
      <c r="G49" s="154"/>
      <c r="H49" s="154"/>
      <c r="I49" s="154"/>
      <c r="J49" s="155"/>
      <c r="K49" s="155"/>
      <c r="L49" s="155"/>
      <c r="M49" s="155"/>
      <c r="N49" s="104"/>
      <c r="Q49" s="49"/>
      <c r="R49" s="49"/>
      <c r="X49" s="1432">
        <f>IF(E45="-",SUM(Q35+Y42),SUM(Q35+Y42+Z45))</f>
        <v>50</v>
      </c>
    </row>
    <row r="50" spans="1:24" ht="13.5" customHeight="1">
      <c r="A50" s="151"/>
      <c r="B50" s="152" t="str">
        <f>ID!B50</f>
        <v>Hasil pengukuran keselamatan listrik tertelusur ke Satuan Internasional ( SI ) melalui PT. Kaliman</v>
      </c>
      <c r="C50" s="49"/>
      <c r="D50" s="153"/>
      <c r="E50" s="154"/>
      <c r="F50" s="154"/>
      <c r="G50" s="154"/>
      <c r="H50" s="154"/>
      <c r="I50" s="154"/>
      <c r="J50" s="155"/>
      <c r="K50" s="155"/>
      <c r="L50" s="155"/>
      <c r="M50" s="155"/>
      <c r="N50" s="104"/>
      <c r="O50" s="242"/>
      <c r="Q50" s="49"/>
      <c r="R50" s="49"/>
      <c r="X50" s="1432"/>
    </row>
    <row r="51" spans="1:24" ht="13.5" customHeight="1">
      <c r="A51" s="151"/>
      <c r="B51" s="152" t="str">
        <f>ID!B51</f>
        <v>Hasil kalibrasi Ultrasound Therapy tertelusur ke Satuan Internasional melalui OHMiC Instrument</v>
      </c>
      <c r="C51" s="49"/>
      <c r="D51" s="153"/>
      <c r="E51" s="154"/>
      <c r="F51" s="154"/>
      <c r="G51" s="154"/>
      <c r="H51" s="154"/>
      <c r="I51" s="154"/>
      <c r="J51" s="155"/>
      <c r="K51" s="155"/>
      <c r="L51" s="155"/>
      <c r="M51" s="155"/>
      <c r="N51" s="104"/>
      <c r="O51" s="242"/>
      <c r="P51" s="242"/>
      <c r="Q51" s="49"/>
      <c r="R51" s="49"/>
    </row>
    <row r="52" spans="1:24" ht="14.5">
      <c r="A52" s="156"/>
      <c r="B52" s="152" t="str">
        <f>ID!B52</f>
        <v>Hasil pengukuran akurasi waktu tertelusur ke Satuan Internasional ( SI ) melalui PT KALIMAN</v>
      </c>
      <c r="C52" s="49"/>
      <c r="D52" s="157"/>
      <c r="E52" s="157"/>
      <c r="F52" s="157"/>
      <c r="G52" s="157"/>
      <c r="H52" s="157"/>
      <c r="I52" s="157"/>
      <c r="J52" s="157"/>
      <c r="K52" s="155"/>
      <c r="L52" s="155"/>
      <c r="M52" s="155"/>
      <c r="N52" s="106"/>
      <c r="O52" s="104"/>
      <c r="P52" s="104"/>
      <c r="Q52" s="49"/>
      <c r="R52" s="49"/>
    </row>
    <row r="53" spans="1:24" ht="14.5">
      <c r="A53" s="156"/>
      <c r="B53" s="152" t="str">
        <f>ID!B53</f>
        <v>-</v>
      </c>
      <c r="C53" s="49"/>
      <c r="D53" s="157"/>
      <c r="E53" s="157"/>
      <c r="F53" s="157"/>
      <c r="G53" s="157"/>
      <c r="H53" s="157"/>
      <c r="I53" s="157"/>
      <c r="J53" s="157"/>
      <c r="K53" s="155"/>
      <c r="L53" s="155"/>
      <c r="M53" s="155"/>
      <c r="N53" s="106"/>
      <c r="O53" s="104"/>
      <c r="P53" s="104"/>
      <c r="Q53" s="49"/>
      <c r="R53" s="49"/>
    </row>
    <row r="54" spans="1:24" ht="14.5">
      <c r="A54" s="156"/>
      <c r="B54" s="152" t="str">
        <f>ID!B54</f>
        <v>Alat tidak boleh digunakan pada ruangan yang tidak dilengkapi instalasi grounding</v>
      </c>
      <c r="C54" s="49"/>
      <c r="D54" s="157"/>
      <c r="E54" s="157"/>
      <c r="F54" s="157"/>
      <c r="G54" s="157"/>
      <c r="H54" s="157"/>
      <c r="I54" s="157"/>
      <c r="J54" s="157"/>
      <c r="K54" s="155"/>
      <c r="L54" s="155"/>
      <c r="M54" s="155"/>
      <c r="N54" s="106"/>
      <c r="O54" s="104"/>
      <c r="P54" s="104"/>
      <c r="Q54" s="49"/>
      <c r="R54" s="49"/>
    </row>
    <row r="55" spans="1:24" ht="14.5">
      <c r="A55" s="49"/>
      <c r="B55" s="156"/>
      <c r="C55" s="152"/>
      <c r="D55" s="157"/>
      <c r="E55" s="157"/>
      <c r="F55" s="157"/>
      <c r="G55" s="157"/>
      <c r="H55" s="157"/>
      <c r="I55" s="157"/>
      <c r="J55" s="157"/>
      <c r="K55" s="757"/>
      <c r="L55" s="757"/>
      <c r="M55" s="155"/>
      <c r="N55" s="106"/>
      <c r="O55" s="1439" t="s">
        <v>160</v>
      </c>
      <c r="P55" s="1439"/>
      <c r="Q55" s="49"/>
      <c r="R55" s="49"/>
    </row>
    <row r="56" spans="1:24" ht="14">
      <c r="A56" s="156" t="s">
        <v>167</v>
      </c>
      <c r="B56" s="156" t="s">
        <v>16</v>
      </c>
      <c r="C56" s="49"/>
      <c r="D56" s="157"/>
      <c r="E56" s="757"/>
      <c r="F56" s="757"/>
      <c r="G56" s="757"/>
      <c r="H56" s="757"/>
      <c r="I56" s="757"/>
      <c r="J56" s="757"/>
      <c r="K56" s="757"/>
      <c r="L56" s="757"/>
      <c r="M56" s="757"/>
      <c r="N56" s="98"/>
      <c r="O56" s="1437">
        <f>SUM(X49,U29,P20:P21)</f>
        <v>80</v>
      </c>
      <c r="P56" s="1438"/>
    </row>
    <row r="57" spans="1:24" ht="14">
      <c r="A57" s="157"/>
      <c r="B57" s="161" t="str">
        <f>ID!B57</f>
        <v>Ultrsound Power Meter, Merek : OHMiC, Model : UPM-DT-10AV, SN : B432907943</v>
      </c>
      <c r="C57" s="49"/>
      <c r="D57" s="159"/>
      <c r="E57" s="159"/>
      <c r="F57" s="159"/>
      <c r="G57" s="757"/>
      <c r="H57" s="757"/>
      <c r="I57" s="757"/>
      <c r="J57" s="757"/>
      <c r="K57" s="757"/>
      <c r="L57" s="757"/>
      <c r="M57" s="757"/>
      <c r="N57" s="98"/>
      <c r="O57" s="1438"/>
      <c r="P57" s="1438"/>
    </row>
    <row r="58" spans="1:24" ht="14">
      <c r="A58" s="157"/>
      <c r="B58" s="161" t="str">
        <f>ID!B58</f>
        <v>Electrical Safety Analyzer, Merek : Fluke, Model : ESA 620, SN : 1837056</v>
      </c>
      <c r="C58" s="49"/>
      <c r="D58" s="157"/>
      <c r="E58" s="757"/>
      <c r="F58" s="757"/>
      <c r="G58" s="757"/>
      <c r="H58" s="757"/>
      <c r="I58" s="757"/>
      <c r="J58" s="757"/>
      <c r="K58" s="757"/>
      <c r="L58" s="757"/>
      <c r="M58" s="757"/>
      <c r="N58" s="98"/>
      <c r="O58" s="1438"/>
      <c r="P58" s="1438"/>
    </row>
    <row r="59" spans="1:24" ht="14">
      <c r="A59" s="157"/>
      <c r="B59" s="161" t="str">
        <f>ID!B59</f>
        <v>Stopwatch, Merek : Casio, Model : HS - 80TW, SN :510Q061R</v>
      </c>
      <c r="C59" s="49"/>
      <c r="D59" s="157"/>
      <c r="E59" s="757"/>
      <c r="F59" s="757"/>
      <c r="G59" s="757"/>
      <c r="H59" s="757"/>
      <c r="I59" s="757"/>
      <c r="J59" s="757"/>
      <c r="K59" s="757"/>
      <c r="L59" s="757"/>
      <c r="M59" s="757"/>
      <c r="N59" s="98"/>
      <c r="O59" s="1438"/>
      <c r="P59" s="1438"/>
    </row>
    <row r="60" spans="1:24" ht="15" customHeight="1">
      <c r="A60" s="157"/>
      <c r="B60" s="161" t="str">
        <f>ID!B60</f>
        <v>Thermohygrolight, Merek : KIMO, Model : KH-210-AO, SN : 15062872</v>
      </c>
      <c r="C60" s="49"/>
      <c r="D60" s="157"/>
      <c r="E60" s="757"/>
      <c r="F60" s="757"/>
      <c r="G60" s="757"/>
      <c r="H60" s="757"/>
      <c r="I60" s="757"/>
      <c r="J60" s="757"/>
      <c r="K60" s="757"/>
      <c r="L60" s="757"/>
      <c r="M60" s="757"/>
      <c r="N60" s="98"/>
      <c r="O60" s="182"/>
      <c r="P60" s="182"/>
    </row>
    <row r="61" spans="1:24" ht="6" customHeight="1">
      <c r="A61" s="49"/>
      <c r="B61" s="157"/>
      <c r="C61" s="162"/>
      <c r="D61" s="157"/>
      <c r="E61" s="757"/>
      <c r="F61" s="757"/>
      <c r="G61" s="757"/>
      <c r="H61" s="757"/>
      <c r="I61" s="757"/>
      <c r="J61" s="757"/>
      <c r="K61" s="757"/>
      <c r="L61" s="757"/>
      <c r="M61" s="757"/>
      <c r="N61" s="98"/>
    </row>
    <row r="62" spans="1:24" ht="12.75" customHeight="1">
      <c r="A62" s="156" t="s">
        <v>17</v>
      </c>
      <c r="B62" s="758" t="s">
        <v>28</v>
      </c>
      <c r="C62" s="49"/>
      <c r="D62" s="157"/>
      <c r="E62" s="757"/>
      <c r="F62" s="757"/>
      <c r="G62" s="757"/>
      <c r="H62" s="757"/>
      <c r="I62" s="757"/>
      <c r="J62" s="757"/>
      <c r="K62" s="757"/>
      <c r="L62" s="757"/>
      <c r="M62" s="757"/>
      <c r="N62" s="98"/>
    </row>
    <row r="63" spans="1:24" ht="15" customHeight="1">
      <c r="A63" s="49"/>
      <c r="B63" s="1436" t="str">
        <f>ID!B63</f>
        <v>Alat yang diuji dalam batas toleransi dan dinyatakan LAIK PAKAI, dimana hasil atau skor akhir sama dengan atau melampaui 70 % berdasarkan Keputusan Direktur Jenderal Pelayanan Kesehatan No : HK.02.02/V/0412/2020</v>
      </c>
      <c r="C63" s="1436"/>
      <c r="D63" s="1436"/>
      <c r="E63" s="1436"/>
      <c r="F63" s="1436"/>
      <c r="G63" s="1436"/>
      <c r="H63" s="1436"/>
      <c r="I63" s="1436"/>
      <c r="J63" s="1436"/>
      <c r="K63" s="1436"/>
      <c r="L63" s="1436"/>
      <c r="M63" s="1436"/>
      <c r="N63" s="98"/>
      <c r="O63" s="98"/>
      <c r="P63" s="98"/>
    </row>
    <row r="64" spans="1:24" ht="15" customHeight="1">
      <c r="A64" s="49"/>
      <c r="B64" s="1436"/>
      <c r="C64" s="1436"/>
      <c r="D64" s="1436"/>
      <c r="E64" s="1436"/>
      <c r="F64" s="1436"/>
      <c r="G64" s="1436"/>
      <c r="H64" s="1436"/>
      <c r="I64" s="1436"/>
      <c r="J64" s="1436"/>
      <c r="K64" s="1436"/>
      <c r="L64" s="1436"/>
      <c r="M64" s="1436"/>
      <c r="N64" s="98"/>
      <c r="O64" s="98"/>
      <c r="P64" s="98"/>
    </row>
    <row r="65" spans="1:16" ht="6" customHeight="1">
      <c r="A65" s="49"/>
      <c r="B65" s="156"/>
      <c r="C65" s="758"/>
      <c r="D65" s="157"/>
      <c r="E65" s="757"/>
      <c r="F65" s="757"/>
      <c r="G65" s="757"/>
      <c r="H65" s="757"/>
      <c r="I65" s="757"/>
      <c r="J65" s="757"/>
      <c r="K65" s="757"/>
      <c r="L65" s="757"/>
      <c r="M65" s="757"/>
      <c r="N65" s="98"/>
      <c r="O65" s="98"/>
      <c r="P65" s="98"/>
    </row>
    <row r="66" spans="1:16" ht="14">
      <c r="A66" s="156" t="s">
        <v>29</v>
      </c>
      <c r="B66" s="156" t="str">
        <f>ID!B66</f>
        <v>Petugas Kalibrasi</v>
      </c>
      <c r="C66" s="49"/>
      <c r="D66" s="156"/>
      <c r="E66" s="757"/>
      <c r="F66" s="757"/>
      <c r="G66" s="757"/>
      <c r="H66" s="757"/>
      <c r="I66" s="757"/>
      <c r="J66" s="757"/>
      <c r="K66" s="49"/>
      <c r="L66" s="49"/>
      <c r="M66" s="757"/>
      <c r="N66" s="98"/>
      <c r="O66" s="98"/>
      <c r="P66" s="98"/>
    </row>
    <row r="67" spans="1:16" ht="14">
      <c r="A67" s="157"/>
      <c r="B67" s="152" t="str">
        <f>ID!B67</f>
        <v>Muhammad Iqbal Saiful Rahman</v>
      </c>
      <c r="C67" s="49"/>
      <c r="D67" s="157"/>
      <c r="E67" s="757"/>
      <c r="F67" s="757"/>
      <c r="G67" s="757"/>
      <c r="H67" s="757"/>
      <c r="I67" s="757"/>
      <c r="J67" s="757"/>
      <c r="K67" s="1435" t="s">
        <v>160</v>
      </c>
      <c r="L67" s="1435"/>
      <c r="M67" s="757"/>
      <c r="N67" s="98"/>
    </row>
    <row r="68" spans="1:16">
      <c r="A68" s="49"/>
      <c r="B68" s="757"/>
      <c r="C68" s="757"/>
      <c r="D68" s="757"/>
      <c r="E68" s="757"/>
      <c r="F68" s="757"/>
      <c r="G68" s="757"/>
      <c r="H68" s="757"/>
      <c r="I68" s="757"/>
      <c r="J68" s="757"/>
      <c r="K68" s="1433">
        <f>R43+P31+P23</f>
        <v>80</v>
      </c>
      <c r="L68" s="1434"/>
      <c r="M68" s="757"/>
    </row>
    <row r="69" spans="1:16">
      <c r="A69" s="49"/>
      <c r="B69" s="757"/>
      <c r="C69" s="1445" t="s">
        <v>31</v>
      </c>
      <c r="D69" s="1445"/>
      <c r="E69" s="1445"/>
      <c r="F69" s="1450" t="s">
        <v>33</v>
      </c>
      <c r="G69" s="1451"/>
      <c r="H69" s="1435" t="s">
        <v>34</v>
      </c>
      <c r="I69" s="1435"/>
      <c r="J69" s="757"/>
      <c r="K69" s="1434"/>
      <c r="L69" s="1434"/>
      <c r="M69" s="757"/>
    </row>
    <row r="70" spans="1:16">
      <c r="A70" s="49"/>
      <c r="B70" s="757"/>
      <c r="C70" s="800" t="s">
        <v>32</v>
      </c>
      <c r="D70" s="1446" t="str">
        <f>ID!B67</f>
        <v>Muhammad Iqbal Saiful Rahman</v>
      </c>
      <c r="E70" s="1447"/>
      <c r="F70" s="1452">
        <f ca="1">TODAY()</f>
        <v>45188</v>
      </c>
      <c r="G70" s="1453"/>
      <c r="H70" s="1443"/>
      <c r="I70" s="1444"/>
      <c r="J70" s="757"/>
      <c r="K70" s="1434"/>
      <c r="L70" s="1434"/>
      <c r="M70" s="757"/>
    </row>
    <row r="71" spans="1:16">
      <c r="A71" s="49"/>
      <c r="B71" s="757"/>
      <c r="C71" s="800" t="s">
        <v>64</v>
      </c>
      <c r="D71" s="1448"/>
      <c r="E71" s="1449"/>
      <c r="F71" s="1443"/>
      <c r="G71" s="1444"/>
      <c r="H71" s="1443"/>
      <c r="I71" s="1444"/>
      <c r="J71" s="757"/>
      <c r="K71" s="1434"/>
      <c r="L71" s="1434"/>
      <c r="M71" s="757"/>
    </row>
  </sheetData>
  <sheetProtection insertRows="0"/>
  <mergeCells count="39">
    <mergeCell ref="P37:P41"/>
    <mergeCell ref="C37:C41"/>
    <mergeCell ref="H37:H41"/>
    <mergeCell ref="M34:M36"/>
    <mergeCell ref="F34:F36"/>
    <mergeCell ref="A1:M1"/>
    <mergeCell ref="A2:M2"/>
    <mergeCell ref="L24:M25"/>
    <mergeCell ref="C34:C36"/>
    <mergeCell ref="D34:D36"/>
    <mergeCell ref="B24:B25"/>
    <mergeCell ref="B34:B36"/>
    <mergeCell ref="C24:I25"/>
    <mergeCell ref="J24:K25"/>
    <mergeCell ref="E34:E36"/>
    <mergeCell ref="G34:G36"/>
    <mergeCell ref="H34:H36"/>
    <mergeCell ref="I34:J36"/>
    <mergeCell ref="H69:I69"/>
    <mergeCell ref="H70:I70"/>
    <mergeCell ref="F69:G69"/>
    <mergeCell ref="F70:G70"/>
    <mergeCell ref="L44:M44"/>
    <mergeCell ref="AC37:AC41"/>
    <mergeCell ref="AD37:AD41"/>
    <mergeCell ref="AE37:AE41"/>
    <mergeCell ref="X49:X50"/>
    <mergeCell ref="K68:L71"/>
    <mergeCell ref="K67:L67"/>
    <mergeCell ref="B63:M64"/>
    <mergeCell ref="O56:P59"/>
    <mergeCell ref="O55:P55"/>
    <mergeCell ref="H44:I44"/>
    <mergeCell ref="L45:M45"/>
    <mergeCell ref="F71:G71"/>
    <mergeCell ref="C69:E69"/>
    <mergeCell ref="D70:E70"/>
    <mergeCell ref="H71:I71"/>
    <mergeCell ref="D71:E71"/>
  </mergeCells>
  <phoneticPr fontId="0" type="noConversion"/>
  <pageMargins left="0.31496062992125984" right="0.23622047244094491" top="0.39370078740157483" bottom="7.874015748031496E-2" header="0.27559055118110237" footer="0.35433070866141736"/>
  <pageSetup paperSize="9" scale="70" orientation="portrait" horizontalDpi="4294967294" verticalDpi="4294967294" r:id="rId1"/>
  <headerFooter>
    <oddHeader>&amp;R&amp;"Calibri,Regular"&amp;9KL.LP - 066-18 / REV : 0</oddHead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3CC63F2-C3B2-45C4-AF3A-73EC935E0C65}">
            <x14:iconSet iconSet="3Symbols2" custom="1">
              <x14:cfvo type="percent">
                <xm:f>0</xm:f>
              </x14:cfvo>
              <x14:cfvo type="num">
                <xm:f>70</xm:f>
              </x14:cfvo>
              <x14:cfvo type="num">
                <xm:f>70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K68:L71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42"/>
  <sheetViews>
    <sheetView showGridLines="0" tabSelected="1" view="pageBreakPreview" topLeftCell="A28" zoomScale="85" zoomScaleNormal="100" zoomScaleSheetLayoutView="85" workbookViewId="0">
      <selection activeCell="N40" sqref="N40"/>
    </sheetView>
  </sheetViews>
  <sheetFormatPr defaultColWidth="9.1796875" defaultRowHeight="13"/>
  <cols>
    <col min="1" max="1" width="4.26953125" style="1023" customWidth="1"/>
    <col min="2" max="2" width="5.1796875" style="1023" customWidth="1"/>
    <col min="3" max="3" width="16.81640625" style="1023" customWidth="1"/>
    <col min="4" max="4" width="14.54296875" style="1023" customWidth="1"/>
    <col min="5" max="5" width="12.453125" style="1023" customWidth="1"/>
    <col min="6" max="6" width="11.453125" style="1023" customWidth="1"/>
    <col min="7" max="7" width="10.7265625" style="1023" customWidth="1"/>
    <col min="8" max="8" width="6.54296875" style="1023" customWidth="1"/>
    <col min="9" max="9" width="9.1796875" style="1023" customWidth="1"/>
    <col min="10" max="10" width="7.7265625" style="1023" customWidth="1"/>
    <col min="11" max="11" width="9" style="1023" customWidth="1"/>
    <col min="12" max="12" width="7.81640625" style="1023" customWidth="1"/>
    <col min="13" max="13" width="13.1796875" style="840" customWidth="1"/>
    <col min="14" max="14" width="7.26953125" style="840" customWidth="1"/>
    <col min="15" max="15" width="7.7265625" style="840" customWidth="1"/>
    <col min="16" max="16" width="9.54296875" style="840" customWidth="1"/>
    <col min="17" max="17" width="15" style="840" customWidth="1"/>
    <col min="18" max="16384" width="9.1796875" style="840"/>
  </cols>
  <sheetData>
    <row r="1" spans="1:17" ht="18.5">
      <c r="A1" s="1502" t="str">
        <f>Penyelia!A1</f>
        <v>HASIL KALIBRASI ULTRASOUND THERAPY</v>
      </c>
      <c r="B1" s="1502"/>
      <c r="C1" s="1502"/>
      <c r="D1" s="1502"/>
      <c r="E1" s="1502"/>
      <c r="F1" s="1502"/>
      <c r="G1" s="1502"/>
      <c r="H1" s="1502"/>
      <c r="I1" s="1502"/>
      <c r="J1" s="1502"/>
      <c r="K1" s="1502"/>
      <c r="L1" s="1017"/>
      <c r="M1" s="1018"/>
      <c r="N1" s="1018"/>
      <c r="O1" s="1018"/>
      <c r="P1" s="1019"/>
      <c r="Q1" s="1019"/>
    </row>
    <row r="2" spans="1:17" ht="17">
      <c r="A2" s="1503" t="str">
        <f>Penyelia!A2</f>
        <v>Nomor Sertifikat : 55 / 12 / XI - 12 / E - 067.001 DL</v>
      </c>
      <c r="B2" s="1503"/>
      <c r="C2" s="1503"/>
      <c r="D2" s="1503"/>
      <c r="E2" s="1503"/>
      <c r="F2" s="1503"/>
      <c r="G2" s="1503"/>
      <c r="H2" s="1503"/>
      <c r="I2" s="1503"/>
      <c r="J2" s="1503"/>
      <c r="K2" s="1503"/>
      <c r="L2" s="1020"/>
      <c r="M2" s="1021"/>
      <c r="N2" s="1021"/>
      <c r="O2" s="1021"/>
      <c r="P2" s="1022"/>
      <c r="Q2" s="1022"/>
    </row>
    <row r="3" spans="1:17" ht="24.75" customHeight="1">
      <c r="A3" s="845"/>
      <c r="B3" s="845"/>
      <c r="C3" s="845"/>
      <c r="D3" s="845"/>
      <c r="E3" s="845"/>
      <c r="F3" s="845"/>
      <c r="G3" s="845"/>
      <c r="H3" s="845"/>
      <c r="I3" s="845"/>
      <c r="J3" s="845"/>
      <c r="K3" s="845"/>
      <c r="M3" s="1024"/>
      <c r="N3" s="1024"/>
      <c r="O3" s="1024"/>
    </row>
    <row r="4" spans="1:17" ht="14">
      <c r="A4" s="846" t="str">
        <f>Penyelia!A4</f>
        <v>Merek</v>
      </c>
      <c r="B4" s="846"/>
      <c r="C4" s="847"/>
      <c r="D4" s="1025" t="str">
        <f>Penyelia!E4</f>
        <v>: PHYSIOMED</v>
      </c>
      <c r="E4" s="845"/>
      <c r="F4" s="846"/>
      <c r="G4" s="846"/>
      <c r="H4" s="846"/>
      <c r="I4" s="846"/>
      <c r="J4" s="845"/>
      <c r="K4" s="845"/>
      <c r="M4" s="1024"/>
      <c r="N4" s="1024"/>
      <c r="O4" s="1024"/>
    </row>
    <row r="5" spans="1:17" ht="14">
      <c r="A5" s="846" t="str">
        <f>Penyelia!A5</f>
        <v>Model/Tipe</v>
      </c>
      <c r="B5" s="846"/>
      <c r="C5" s="847"/>
      <c r="D5" s="1025" t="str">
        <f>Penyelia!E5</f>
        <v>: PHYSISON Expert</v>
      </c>
      <c r="E5" s="845"/>
      <c r="F5" s="846"/>
      <c r="G5" s="846"/>
      <c r="H5" s="846"/>
      <c r="I5" s="846"/>
      <c r="J5" s="845"/>
      <c r="K5" s="845"/>
      <c r="M5" s="1024"/>
      <c r="N5" s="1024"/>
      <c r="O5" s="1024"/>
    </row>
    <row r="6" spans="1:17" ht="14">
      <c r="A6" s="846" t="str">
        <f>Penyelia!A6</f>
        <v>No. Seri</v>
      </c>
      <c r="B6" s="846"/>
      <c r="C6" s="847"/>
      <c r="D6" s="1025" t="str">
        <f>Penyelia!E6</f>
        <v>: PSE-0810207 gb</v>
      </c>
      <c r="E6" s="845"/>
      <c r="F6" s="846"/>
      <c r="G6" s="846"/>
      <c r="H6" s="846"/>
      <c r="I6" s="846"/>
      <c r="J6" s="845"/>
      <c r="K6" s="845"/>
      <c r="M6" s="1024"/>
      <c r="N6" s="1024"/>
      <c r="O6" s="1024"/>
    </row>
    <row r="7" spans="1:17" ht="14">
      <c r="A7" s="846" t="str">
        <f>Penyelia!A7</f>
        <v>Resolusi</v>
      </c>
      <c r="B7" s="846"/>
      <c r="C7" s="847" t="s">
        <v>63</v>
      </c>
      <c r="D7" s="1119">
        <f>ID!F7</f>
        <v>0.1</v>
      </c>
      <c r="E7" s="845" t="s">
        <v>79</v>
      </c>
      <c r="F7" s="846"/>
      <c r="G7" s="846"/>
      <c r="H7" s="846"/>
      <c r="I7" s="846"/>
      <c r="J7" s="845"/>
      <c r="K7" s="845"/>
      <c r="M7" s="1024"/>
      <c r="N7" s="1024"/>
      <c r="O7" s="1024"/>
    </row>
    <row r="8" spans="1:17" ht="14">
      <c r="A8" s="846" t="str">
        <f>Penyelia!A8</f>
        <v>Tanggal Penerimaan Alat</v>
      </c>
      <c r="B8" s="846"/>
      <c r="C8" s="847"/>
      <c r="D8" s="1025" t="str">
        <f>Penyelia!E8</f>
        <v>: 9 September 2023</v>
      </c>
      <c r="E8" s="845"/>
      <c r="F8" s="846"/>
      <c r="G8" s="846"/>
      <c r="H8" s="846"/>
      <c r="I8" s="846"/>
      <c r="J8" s="845"/>
      <c r="K8" s="845"/>
      <c r="M8" s="1024"/>
      <c r="N8" s="1024"/>
      <c r="O8" s="1024"/>
    </row>
    <row r="9" spans="1:17" ht="14">
      <c r="A9" s="846" t="str">
        <f>Penyelia!A9</f>
        <v>Tanggal Kalibrasi</v>
      </c>
      <c r="B9" s="846"/>
      <c r="C9" s="847"/>
      <c r="D9" s="1025" t="str">
        <f>Penyelia!E9</f>
        <v>: 9 September 2023</v>
      </c>
      <c r="E9" s="845"/>
      <c r="F9" s="846"/>
      <c r="G9" s="846"/>
      <c r="H9" s="846"/>
      <c r="I9" s="846"/>
      <c r="J9" s="845"/>
      <c r="K9" s="845"/>
      <c r="M9" s="1024"/>
      <c r="N9" s="1024"/>
      <c r="O9" s="1024"/>
    </row>
    <row r="10" spans="1:17" ht="14">
      <c r="A10" s="846" t="str">
        <f>ID!A10</f>
        <v>Tempat Kalibrasi</v>
      </c>
      <c r="B10" s="846"/>
      <c r="C10" s="847"/>
      <c r="D10" s="1025" t="str">
        <f>Penyelia!E10</f>
        <v>: Laboratorium Kalibrasi LPFK Banjarbaru</v>
      </c>
      <c r="E10" s="845"/>
      <c r="F10" s="846"/>
      <c r="G10" s="846"/>
      <c r="H10" s="846"/>
      <c r="I10" s="846"/>
      <c r="J10" s="845"/>
      <c r="K10" s="1026"/>
      <c r="M10" s="1024"/>
      <c r="N10" s="1024"/>
      <c r="O10" s="1024"/>
    </row>
    <row r="11" spans="1:17" ht="14">
      <c r="A11" s="846" t="str">
        <f>ID!A11</f>
        <v>Nama Ruang</v>
      </c>
      <c r="B11" s="846"/>
      <c r="C11" s="847"/>
      <c r="D11" s="1025" t="str">
        <f>Penyelia!E11</f>
        <v>: Ruang Fisiotherapy</v>
      </c>
      <c r="E11" s="845"/>
      <c r="F11" s="846"/>
      <c r="G11" s="846"/>
      <c r="H11" s="846"/>
      <c r="I11" s="846"/>
      <c r="J11" s="845"/>
      <c r="K11" s="1026"/>
      <c r="M11" s="1024"/>
      <c r="N11" s="1024"/>
      <c r="O11" s="1024"/>
    </row>
    <row r="12" spans="1:17" ht="14">
      <c r="A12" s="846" t="str">
        <f>ID!A12</f>
        <v>Metode Kerja</v>
      </c>
      <c r="B12" s="846"/>
      <c r="C12" s="847"/>
      <c r="D12" s="1025" t="str">
        <f>Penyelia!E12</f>
        <v>: MK.066-18</v>
      </c>
      <c r="E12" s="845"/>
      <c r="F12" s="846"/>
      <c r="G12" s="846"/>
      <c r="H12" s="846"/>
      <c r="I12" s="846"/>
      <c r="J12" s="845"/>
      <c r="K12" s="845"/>
      <c r="M12" s="1024"/>
      <c r="N12" s="1024"/>
      <c r="O12" s="1024"/>
      <c r="Q12" s="1027" t="s">
        <v>139</v>
      </c>
    </row>
    <row r="13" spans="1:17" ht="15.75" customHeight="1">
      <c r="A13" s="846"/>
      <c r="B13" s="846"/>
      <c r="C13" s="846"/>
      <c r="D13" s="845"/>
      <c r="E13" s="846"/>
      <c r="F13" s="846"/>
      <c r="G13" s="846"/>
      <c r="H13" s="846"/>
      <c r="I13" s="846"/>
      <c r="J13" s="845"/>
      <c r="K13" s="845"/>
      <c r="M13" s="1024"/>
      <c r="N13" s="1024"/>
      <c r="O13" s="1024"/>
      <c r="Q13" s="1028" t="s">
        <v>110</v>
      </c>
    </row>
    <row r="14" spans="1:17" ht="14">
      <c r="A14" s="1029" t="s">
        <v>10</v>
      </c>
      <c r="B14" s="1029" t="s">
        <v>11</v>
      </c>
      <c r="C14" s="853"/>
      <c r="D14" s="845"/>
      <c r="E14" s="853"/>
      <c r="F14" s="853"/>
      <c r="G14" s="846"/>
      <c r="H14" s="845"/>
      <c r="I14" s="845"/>
      <c r="J14" s="845"/>
      <c r="K14" s="845"/>
      <c r="M14" s="1024"/>
      <c r="N14" s="1024"/>
      <c r="O14" s="1024"/>
      <c r="Q14" s="840" t="s">
        <v>119</v>
      </c>
    </row>
    <row r="15" spans="1:17" ht="14">
      <c r="A15" s="1030"/>
      <c r="B15" s="846" t="s">
        <v>22</v>
      </c>
      <c r="C15" s="846"/>
      <c r="D15" s="1031" t="s">
        <v>63</v>
      </c>
      <c r="E15" s="959" t="str">
        <f>'DB Thermohygro'!M393</f>
        <v>26.5</v>
      </c>
      <c r="F15" s="1091" t="str">
        <f>'DB Thermohygro'!N393</f>
        <v>0.3</v>
      </c>
      <c r="G15" s="845"/>
      <c r="H15" s="845"/>
      <c r="I15" s="845"/>
      <c r="J15" s="845"/>
      <c r="K15" s="845"/>
      <c r="M15" s="1024"/>
      <c r="N15" s="1024"/>
      <c r="O15" s="1024"/>
      <c r="Q15" s="840" t="s">
        <v>65</v>
      </c>
    </row>
    <row r="16" spans="1:17" ht="14">
      <c r="A16" s="1030"/>
      <c r="B16" s="846" t="s">
        <v>21</v>
      </c>
      <c r="C16" s="846"/>
      <c r="D16" s="1031" t="s">
        <v>63</v>
      </c>
      <c r="E16" s="959" t="str">
        <f>'DB Thermohygro'!M394</f>
        <v>62.4</v>
      </c>
      <c r="F16" s="1091" t="str">
        <f>'DB Thermohygro'!N394</f>
        <v>1.3</v>
      </c>
      <c r="G16" s="845"/>
      <c r="H16" s="845"/>
      <c r="I16" s="845"/>
      <c r="J16" s="845"/>
      <c r="K16" s="845"/>
      <c r="M16" s="1024"/>
      <c r="N16" s="1024"/>
      <c r="O16" s="1024"/>
      <c r="Q16" s="840" t="s">
        <v>9</v>
      </c>
    </row>
    <row r="17" spans="1:17" ht="15.5">
      <c r="A17" s="1030"/>
      <c r="B17" s="846" t="s">
        <v>123</v>
      </c>
      <c r="C17" s="846"/>
      <c r="D17" s="1031" t="s">
        <v>63</v>
      </c>
      <c r="E17" s="1092" t="str">
        <f>ESA!Q137</f>
        <v>223.9</v>
      </c>
      <c r="F17" s="1091" t="str">
        <f>ESA!Q143</f>
        <v>2.7</v>
      </c>
      <c r="G17" s="1026"/>
      <c r="H17" s="845"/>
      <c r="I17" s="845"/>
      <c r="J17" s="845"/>
      <c r="K17" s="845"/>
      <c r="M17" s="1024"/>
      <c r="N17" s="1032"/>
      <c r="O17" s="1024"/>
      <c r="Q17" s="840" t="s">
        <v>63</v>
      </c>
    </row>
    <row r="18" spans="1:17" ht="15.75" customHeight="1">
      <c r="A18" s="1030"/>
      <c r="B18" s="846"/>
      <c r="C18" s="846"/>
      <c r="D18" s="845"/>
      <c r="E18" s="846"/>
      <c r="F18" s="846"/>
      <c r="G18" s="846"/>
      <c r="H18" s="845"/>
      <c r="I18" s="845"/>
      <c r="J18" s="845"/>
      <c r="K18" s="845"/>
      <c r="M18" s="1024"/>
      <c r="N18" s="1024"/>
      <c r="O18" s="1024"/>
    </row>
    <row r="19" spans="1:17" ht="14">
      <c r="A19" s="1029" t="s">
        <v>12</v>
      </c>
      <c r="B19" s="1029" t="s">
        <v>149</v>
      </c>
      <c r="C19" s="853"/>
      <c r="D19" s="845"/>
      <c r="E19" s="853"/>
      <c r="F19" s="853"/>
      <c r="G19" s="853"/>
      <c r="H19" s="856"/>
      <c r="I19" s="845"/>
      <c r="J19" s="845"/>
      <c r="K19" s="845"/>
      <c r="M19" s="1024"/>
      <c r="O19" s="1024"/>
      <c r="Q19" s="1027" t="s">
        <v>122</v>
      </c>
    </row>
    <row r="20" spans="1:17" ht="14">
      <c r="A20" s="1030"/>
      <c r="B20" s="846" t="s">
        <v>13</v>
      </c>
      <c r="C20" s="846"/>
      <c r="D20" s="846" t="s">
        <v>63</v>
      </c>
      <c r="E20" s="959" t="str">
        <f>ID!F20</f>
        <v>Baik</v>
      </c>
      <c r="F20" s="846"/>
      <c r="G20" s="846"/>
      <c r="H20" s="845"/>
      <c r="I20" s="845"/>
      <c r="J20" s="845"/>
      <c r="K20" s="845"/>
      <c r="M20" s="1024"/>
      <c r="N20" s="1033"/>
      <c r="O20" s="1024"/>
    </row>
    <row r="21" spans="1:17" ht="14">
      <c r="A21" s="1030"/>
      <c r="B21" s="846" t="s">
        <v>1</v>
      </c>
      <c r="C21" s="846"/>
      <c r="D21" s="846" t="s">
        <v>63</v>
      </c>
      <c r="E21" s="959" t="str">
        <f>ID!F21</f>
        <v>Baik</v>
      </c>
      <c r="F21" s="846"/>
      <c r="G21" s="846"/>
      <c r="H21" s="1093"/>
      <c r="I21" s="845"/>
      <c r="J21" s="845"/>
      <c r="K21" s="845"/>
      <c r="M21" s="1024"/>
      <c r="N21" s="1033"/>
      <c r="O21" s="1024"/>
    </row>
    <row r="22" spans="1:17" ht="15.75" customHeight="1">
      <c r="A22" s="1029"/>
      <c r="B22" s="853"/>
      <c r="C22" s="846"/>
      <c r="D22" s="846"/>
      <c r="E22" s="846"/>
      <c r="F22" s="846"/>
      <c r="G22" s="846"/>
      <c r="H22" s="845"/>
      <c r="I22" s="845"/>
      <c r="J22" s="845"/>
      <c r="K22" s="845"/>
      <c r="M22" s="1024"/>
      <c r="N22" s="1024"/>
      <c r="O22" s="1024"/>
    </row>
    <row r="23" spans="1:17" ht="18" customHeight="1">
      <c r="A23" s="1029" t="s">
        <v>2</v>
      </c>
      <c r="B23" s="1029" t="s">
        <v>150</v>
      </c>
      <c r="C23" s="846"/>
      <c r="D23" s="846"/>
      <c r="E23" s="846"/>
      <c r="F23" s="846"/>
      <c r="G23" s="846"/>
      <c r="H23" s="845"/>
      <c r="I23" s="845"/>
      <c r="J23" s="845"/>
      <c r="K23" s="845"/>
      <c r="M23" s="1024"/>
      <c r="N23" s="1024"/>
      <c r="O23" s="1024"/>
    </row>
    <row r="24" spans="1:17" ht="12.75" customHeight="1">
      <c r="A24" s="845"/>
      <c r="B24" s="1373" t="s">
        <v>14</v>
      </c>
      <c r="C24" s="1034" t="s">
        <v>4</v>
      </c>
      <c r="D24" s="1035"/>
      <c r="E24" s="1035"/>
      <c r="F24" s="1035"/>
      <c r="G24" s="1361" t="s">
        <v>76</v>
      </c>
      <c r="H24" s="1362"/>
      <c r="I24" s="1361" t="s">
        <v>15</v>
      </c>
      <c r="J24" s="1362"/>
      <c r="K24" s="845"/>
      <c r="M24" s="1024"/>
    </row>
    <row r="25" spans="1:17" ht="15.75" customHeight="1">
      <c r="A25" s="845"/>
      <c r="B25" s="1374"/>
      <c r="C25" s="1036"/>
      <c r="D25" s="1037"/>
      <c r="E25" s="1037"/>
      <c r="F25" s="1037"/>
      <c r="G25" s="1363"/>
      <c r="H25" s="1364"/>
      <c r="I25" s="1363"/>
      <c r="J25" s="1364"/>
      <c r="K25" s="845"/>
      <c r="M25" s="1024"/>
      <c r="N25" s="1024"/>
      <c r="O25" s="1024"/>
    </row>
    <row r="26" spans="1:17" ht="14">
      <c r="A26" s="845"/>
      <c r="B26" s="1038">
        <v>1</v>
      </c>
      <c r="C26" s="1039" t="str">
        <f>ID!C26</f>
        <v>Resistansi Isolasi</v>
      </c>
      <c r="D26" s="1040"/>
      <c r="E26" s="1040"/>
      <c r="F26" s="1040"/>
      <c r="G26" s="1094">
        <f>Penyelia!J26</f>
        <v>11</v>
      </c>
      <c r="H26" s="1041" t="str">
        <f>IF(G26="-","",IF(G26="OL","","MΩ"))</f>
        <v>MΩ</v>
      </c>
      <c r="I26" s="1042" t="str">
        <f>ID!L26</f>
        <v>&gt; 2</v>
      </c>
      <c r="J26" s="1043" t="s">
        <v>124</v>
      </c>
      <c r="K26" s="845"/>
      <c r="M26" s="1024"/>
      <c r="N26" s="1033"/>
      <c r="O26" s="1024"/>
    </row>
    <row r="27" spans="1:17" ht="14.5">
      <c r="A27" s="845"/>
      <c r="B27" s="1038">
        <v>2</v>
      </c>
      <c r="C27" s="1039" t="str">
        <f>Penyelia!C27</f>
        <v>Resistansi Pembumian Protektif (kabel dapat dilepas)</v>
      </c>
      <c r="D27" s="1040"/>
      <c r="E27" s="1040"/>
      <c r="F27" s="1040"/>
      <c r="G27" s="1095">
        <f>Penyelia!J27</f>
        <v>0.12200066196319018</v>
      </c>
      <c r="H27" s="1041" t="str">
        <f>IF(G27="-","",IF(G27="OL","","Ω"))</f>
        <v>Ω</v>
      </c>
      <c r="I27" s="863" t="str">
        <f>ID!L27</f>
        <v>≤ 0.2</v>
      </c>
      <c r="J27" s="1043" t="s">
        <v>125</v>
      </c>
      <c r="K27" s="845"/>
      <c r="M27" s="1024"/>
      <c r="N27" s="1033"/>
      <c r="O27" s="1024"/>
      <c r="P27" s="939"/>
    </row>
    <row r="28" spans="1:17" ht="14">
      <c r="A28" s="845"/>
      <c r="B28" s="1038">
        <v>3</v>
      </c>
      <c r="C28" s="1039" t="str">
        <f>Penyelia!C28</f>
        <v>Arus bocor peralatan untuk peralatan elektromedik kelas I</v>
      </c>
      <c r="D28" s="1040"/>
      <c r="E28" s="1040"/>
      <c r="F28" s="1040"/>
      <c r="G28" s="1094">
        <f>Penyelia!J28</f>
        <v>660</v>
      </c>
      <c r="H28" s="1041" t="str">
        <f>IF(G28="-","",IF(G28="OL","","µA"))</f>
        <v>µA</v>
      </c>
      <c r="I28" s="863" t="str">
        <f>ID!L28</f>
        <v>≤ 500</v>
      </c>
      <c r="J28" s="1043" t="s">
        <v>84</v>
      </c>
      <c r="K28" s="845"/>
      <c r="M28" s="1024"/>
      <c r="N28" s="1033"/>
      <c r="O28" s="1024"/>
    </row>
    <row r="29" spans="1:17" ht="14">
      <c r="A29" s="845"/>
      <c r="B29" s="1038">
        <v>4</v>
      </c>
      <c r="C29" s="1039" t="s">
        <v>155</v>
      </c>
      <c r="D29" s="1040"/>
      <c r="E29" s="1040"/>
      <c r="F29" s="1040"/>
      <c r="G29" s="1094" t="str">
        <f>Penyelia!J29</f>
        <v>-</v>
      </c>
      <c r="H29" s="1041" t="str">
        <f>IF(G29="-","",IF(G29="OL","","µA"))</f>
        <v/>
      </c>
      <c r="I29" s="863" t="str">
        <f>ID!L29</f>
        <v>≤ 50</v>
      </c>
      <c r="J29" s="1043" t="s">
        <v>84</v>
      </c>
      <c r="K29" s="845"/>
      <c r="M29" s="1024"/>
      <c r="N29" s="1033"/>
      <c r="O29" s="1024"/>
    </row>
    <row r="30" spans="1:17" ht="15.75" customHeight="1">
      <c r="A30" s="871"/>
      <c r="B30" s="845"/>
      <c r="C30" s="845"/>
      <c r="D30" s="845"/>
      <c r="E30" s="845"/>
      <c r="F30" s="845"/>
      <c r="G30" s="845"/>
      <c r="H30" s="872"/>
      <c r="I30" s="873"/>
      <c r="J30" s="845"/>
      <c r="K30" s="845"/>
      <c r="M30" s="1024"/>
      <c r="N30" s="1044"/>
      <c r="O30" s="1044"/>
    </row>
    <row r="31" spans="1:17" ht="14">
      <c r="A31" s="1045" t="str">
        <f>Penyelia!A31</f>
        <v>IV.</v>
      </c>
      <c r="B31" s="1045" t="str">
        <f>Penyelia!B31</f>
        <v>Pengujian Kinerja</v>
      </c>
      <c r="C31" s="845"/>
      <c r="D31" s="845"/>
      <c r="E31" s="845"/>
      <c r="F31" s="845"/>
      <c r="G31" s="845"/>
      <c r="H31" s="845"/>
      <c r="I31" s="845"/>
      <c r="J31" s="845"/>
      <c r="K31" s="845"/>
    </row>
    <row r="32" spans="1:17" ht="19.5" customHeight="1">
      <c r="A32" s="1045"/>
      <c r="B32" s="1045" t="str">
        <f>Penyelia!B32</f>
        <v xml:space="preserve">a. Kalibrasi Energi </v>
      </c>
      <c r="C32" s="874"/>
      <c r="D32" s="874"/>
      <c r="E32" s="852"/>
      <c r="F32" s="852"/>
      <c r="G32" s="852"/>
      <c r="H32" s="852"/>
      <c r="I32" s="852"/>
      <c r="J32" s="852"/>
      <c r="K32" s="852"/>
      <c r="L32" s="924"/>
      <c r="M32" s="1046"/>
      <c r="N32" s="1046"/>
      <c r="O32" s="1024"/>
    </row>
    <row r="33" spans="1:32" ht="22.5" customHeight="1">
      <c r="A33" s="1045"/>
      <c r="B33" s="1045" t="str">
        <f>Penyelia!B33</f>
        <v>1. Frekuensi 1 MHz dengan satuan Watt</v>
      </c>
      <c r="C33" s="874"/>
      <c r="D33" s="874"/>
      <c r="E33" s="874"/>
      <c r="F33" s="874"/>
      <c r="G33" s="874"/>
      <c r="H33" s="874"/>
      <c r="I33" s="874"/>
      <c r="J33" s="874"/>
      <c r="K33" s="845"/>
      <c r="M33" s="1024"/>
      <c r="N33" s="1024"/>
      <c r="O33" s="1024"/>
    </row>
    <row r="34" spans="1:32" ht="15" customHeight="1">
      <c r="A34" s="841"/>
      <c r="B34" s="1491" t="s">
        <v>14</v>
      </c>
      <c r="C34" s="1494" t="s">
        <v>4</v>
      </c>
      <c r="D34" s="1491" t="s">
        <v>140</v>
      </c>
      <c r="E34" s="1491" t="s">
        <v>141</v>
      </c>
      <c r="F34" s="1491" t="str">
        <f>Penyelia!F34</f>
        <v xml:space="preserve">Koreksi </v>
      </c>
      <c r="G34" s="1491" t="str">
        <f>Penyelia!G34</f>
        <v>Koreksi Relatif
(%)</v>
      </c>
      <c r="H34" s="1497" t="s">
        <v>313</v>
      </c>
      <c r="I34" s="1497"/>
      <c r="J34" s="1485" t="str">
        <f>Penyelia!I34</f>
        <v>Ketidakpastian Pengukuran (%)</v>
      </c>
      <c r="K34" s="1486"/>
      <c r="L34" s="840"/>
    </row>
    <row r="35" spans="1:32" ht="15" customHeight="1">
      <c r="A35" s="841"/>
      <c r="B35" s="1492"/>
      <c r="C35" s="1495"/>
      <c r="D35" s="1492"/>
      <c r="E35" s="1492"/>
      <c r="F35" s="1492"/>
      <c r="G35" s="1492"/>
      <c r="H35" s="1497"/>
      <c r="I35" s="1497"/>
      <c r="J35" s="1487"/>
      <c r="K35" s="1488"/>
      <c r="L35" s="840"/>
    </row>
    <row r="36" spans="1:32" ht="15" customHeight="1">
      <c r="A36" s="841"/>
      <c r="B36" s="1493"/>
      <c r="C36" s="1496"/>
      <c r="D36" s="1493"/>
      <c r="E36" s="1493"/>
      <c r="F36" s="1493"/>
      <c r="G36" s="1493"/>
      <c r="H36" s="1497"/>
      <c r="I36" s="1497"/>
      <c r="J36" s="1489"/>
      <c r="K36" s="1490"/>
      <c r="L36" s="840"/>
      <c r="Z36" s="1047"/>
      <c r="AA36" s="1047"/>
      <c r="AB36" s="1048"/>
      <c r="AC36" s="1047"/>
      <c r="AD36" s="1047"/>
      <c r="AE36" s="1048"/>
    </row>
    <row r="37" spans="1:32" ht="15" customHeight="1">
      <c r="A37" s="841"/>
      <c r="B37" s="879">
        <v>1</v>
      </c>
      <c r="C37" s="1387" t="s">
        <v>176</v>
      </c>
      <c r="D37" s="1049">
        <f>Penyelia!D37</f>
        <v>1</v>
      </c>
      <c r="E37" s="1096">
        <f>IFERROR(Penyelia!E37,"-")</f>
        <v>1</v>
      </c>
      <c r="F37" s="1097">
        <f>Penyelia!F37</f>
        <v>0</v>
      </c>
      <c r="G37" s="1096">
        <f>IFERROR(Penyelia!G37,"-")</f>
        <v>0</v>
      </c>
      <c r="H37" s="1501" t="str">
        <f>Penyelia!H37</f>
        <v>± 20</v>
      </c>
      <c r="I37" s="1501"/>
      <c r="J37" s="1098" t="str">
        <f>IF(K37="-","","±")</f>
        <v>±</v>
      </c>
      <c r="K37" s="1099">
        <f>IFERROR(Penyelia!J37,"-")</f>
        <v>5.7982691537132647</v>
      </c>
      <c r="L37" s="840"/>
      <c r="Z37" s="1047"/>
      <c r="AA37" s="1047"/>
      <c r="AB37" s="1048"/>
      <c r="AC37" s="1047"/>
      <c r="AD37" s="1047"/>
      <c r="AE37" s="1048"/>
    </row>
    <row r="38" spans="1:32" ht="15" customHeight="1">
      <c r="A38" s="841"/>
      <c r="B38" s="879">
        <v>2</v>
      </c>
      <c r="C38" s="1388"/>
      <c r="D38" s="1049">
        <f>Penyelia!D38</f>
        <v>2</v>
      </c>
      <c r="E38" s="1096">
        <f>IFERROR(Penyelia!E38,"-")</f>
        <v>2</v>
      </c>
      <c r="F38" s="1097">
        <f>Penyelia!F38</f>
        <v>0</v>
      </c>
      <c r="G38" s="1096">
        <f>IFERROR(Penyelia!G38,"-")</f>
        <v>0</v>
      </c>
      <c r="H38" s="1501"/>
      <c r="I38" s="1501"/>
      <c r="J38" s="1098" t="str">
        <f t="shared" ref="J38:J41" si="0">IF(K38="-","","±")</f>
        <v>±</v>
      </c>
      <c r="K38" s="1099">
        <f>IFERROR(Penyelia!J38,"-")</f>
        <v>2.8991345768566323</v>
      </c>
      <c r="L38" s="840"/>
      <c r="Z38" s="1047"/>
      <c r="AA38" s="1047"/>
      <c r="AB38" s="1048"/>
      <c r="AC38" s="1047"/>
      <c r="AD38" s="1047"/>
      <c r="AE38" s="1048"/>
    </row>
    <row r="39" spans="1:32" ht="15" customHeight="1">
      <c r="A39" s="841"/>
      <c r="B39" s="879">
        <v>3</v>
      </c>
      <c r="C39" s="1388"/>
      <c r="D39" s="1049">
        <f>Penyelia!D39</f>
        <v>3</v>
      </c>
      <c r="E39" s="1096">
        <f>IFERROR(Penyelia!E39,"-")</f>
        <v>3</v>
      </c>
      <c r="F39" s="1097">
        <f>Penyelia!F39</f>
        <v>0</v>
      </c>
      <c r="G39" s="1096">
        <f>IFERROR(Penyelia!G39,"-")</f>
        <v>0</v>
      </c>
      <c r="H39" s="1501"/>
      <c r="I39" s="1501"/>
      <c r="J39" s="1098" t="str">
        <f t="shared" si="0"/>
        <v>±</v>
      </c>
      <c r="K39" s="1099">
        <f>IFERROR(Penyelia!J39,"-")</f>
        <v>1.9327563845710882</v>
      </c>
      <c r="L39" s="840"/>
      <c r="Z39" s="1047"/>
      <c r="AA39" s="1047"/>
      <c r="AB39" s="1048"/>
      <c r="AC39" s="1047"/>
      <c r="AD39" s="1047"/>
      <c r="AE39" s="1048"/>
    </row>
    <row r="40" spans="1:32" ht="15" customHeight="1">
      <c r="A40" s="841"/>
      <c r="B40" s="879">
        <v>4</v>
      </c>
      <c r="C40" s="1388"/>
      <c r="D40" s="879">
        <f>Penyelia!D40</f>
        <v>4</v>
      </c>
      <c r="E40" s="1096">
        <f>IFERROR(Penyelia!E40,"-")</f>
        <v>4</v>
      </c>
      <c r="F40" s="1097">
        <f>Penyelia!F40</f>
        <v>0</v>
      </c>
      <c r="G40" s="1096">
        <f>IFERROR(Penyelia!G40,"-")</f>
        <v>0</v>
      </c>
      <c r="H40" s="1501"/>
      <c r="I40" s="1501"/>
      <c r="J40" s="1098" t="str">
        <f t="shared" si="0"/>
        <v>±</v>
      </c>
      <c r="K40" s="1099">
        <f>IFERROR(Penyelia!J40,"-")</f>
        <v>1.4495672884283162</v>
      </c>
      <c r="L40" s="840"/>
      <c r="Z40" s="1047"/>
      <c r="AA40" s="1047"/>
      <c r="AB40" s="1048"/>
      <c r="AC40" s="1047"/>
      <c r="AD40" s="1047"/>
      <c r="AE40" s="1048"/>
    </row>
    <row r="41" spans="1:32" ht="15" customHeight="1">
      <c r="A41" s="841"/>
      <c r="B41" s="879">
        <v>5</v>
      </c>
      <c r="C41" s="1389"/>
      <c r="D41" s="879">
        <f>Penyelia!D41</f>
        <v>5</v>
      </c>
      <c r="E41" s="1096">
        <f>IFERROR(Penyelia!E41,"-")</f>
        <v>5</v>
      </c>
      <c r="F41" s="1097">
        <f>Penyelia!F41</f>
        <v>0</v>
      </c>
      <c r="G41" s="1096">
        <f>IFERROR(Penyelia!G41,"-")</f>
        <v>0</v>
      </c>
      <c r="H41" s="1501"/>
      <c r="I41" s="1501"/>
      <c r="J41" s="1098" t="str">
        <f t="shared" si="0"/>
        <v>±</v>
      </c>
      <c r="K41" s="1099">
        <f>IFERROR(Penyelia!J41,"-")</f>
        <v>1.1596538307426529</v>
      </c>
      <c r="L41" s="840"/>
      <c r="Z41" s="1047"/>
      <c r="AA41" s="1047"/>
      <c r="AB41" s="1048"/>
      <c r="AC41" s="1047"/>
      <c r="AD41" s="1047"/>
      <c r="AE41" s="1048"/>
    </row>
    <row r="42" spans="1:32" ht="14.25" customHeight="1">
      <c r="A42" s="845"/>
      <c r="B42" s="845"/>
      <c r="C42" s="845"/>
      <c r="D42" s="845"/>
      <c r="E42" s="845"/>
      <c r="F42" s="845"/>
      <c r="G42" s="852"/>
      <c r="H42" s="852"/>
      <c r="I42" s="852"/>
      <c r="J42" s="845"/>
      <c r="K42" s="845"/>
      <c r="N42" s="1050"/>
      <c r="R42" s="1051"/>
      <c r="S42" s="1051"/>
      <c r="T42" s="1051"/>
      <c r="U42" s="1052"/>
      <c r="AA42" s="1047"/>
      <c r="AB42" s="1047"/>
      <c r="AC42" s="1048"/>
      <c r="AD42" s="1047"/>
      <c r="AE42" s="1047"/>
      <c r="AF42" s="1048"/>
    </row>
    <row r="43" spans="1:32" s="877" customFormat="1" ht="18" customHeight="1">
      <c r="A43" s="874"/>
      <c r="B43" s="1045" t="str">
        <f>Penyelia!B43</f>
        <v>b. Kalibrasi Waktu Therapy</v>
      </c>
      <c r="C43" s="874"/>
      <c r="D43" s="846"/>
      <c r="E43" s="846"/>
      <c r="F43" s="846"/>
      <c r="G43" s="846"/>
      <c r="H43" s="846"/>
      <c r="I43" s="846"/>
      <c r="J43" s="846"/>
      <c r="K43" s="846"/>
      <c r="L43" s="915"/>
      <c r="N43" s="1050"/>
      <c r="O43" s="840"/>
      <c r="P43" s="1047"/>
      <c r="Q43" s="1047"/>
      <c r="R43" s="1048"/>
      <c r="S43" s="1047"/>
      <c r="T43" s="1047"/>
      <c r="U43" s="1048"/>
    </row>
    <row r="44" spans="1:32" s="877" customFormat="1" ht="31.5" customHeight="1">
      <c r="A44" s="875"/>
      <c r="B44" s="1053" t="s">
        <v>102</v>
      </c>
      <c r="C44" s="1054" t="s">
        <v>4</v>
      </c>
      <c r="D44" s="1055" t="s">
        <v>140</v>
      </c>
      <c r="E44" s="1056" t="s">
        <v>141</v>
      </c>
      <c r="F44" s="1057" t="s">
        <v>27</v>
      </c>
      <c r="G44" s="1054" t="s">
        <v>72</v>
      </c>
      <c r="H44" s="1499" t="s">
        <v>23</v>
      </c>
      <c r="I44" s="1500"/>
      <c r="J44" s="846"/>
      <c r="K44" s="846"/>
    </row>
    <row r="45" spans="1:32" ht="28">
      <c r="A45" s="841"/>
      <c r="B45" s="1058">
        <v>1</v>
      </c>
      <c r="C45" s="892" t="s">
        <v>100</v>
      </c>
      <c r="D45" s="879">
        <f>Penyelia!D45</f>
        <v>300</v>
      </c>
      <c r="E45" s="1101">
        <f>IFERROR(Penyelia!E45,"-")</f>
        <v>350.00590098378376</v>
      </c>
      <c r="F45" s="1101">
        <f>IFERROR(Penyelia!F45,"-")</f>
        <v>50.005900983783761</v>
      </c>
      <c r="G45" s="1059" t="str">
        <f>Penyelia!G45</f>
        <v>± 70 s</v>
      </c>
      <c r="H45" s="1060" t="str">
        <f>IF(I45="-","","±")</f>
        <v>±</v>
      </c>
      <c r="I45" s="1100">
        <f>IFERROR(Penyelia!I45,"-")</f>
        <v>0.58736211755726431</v>
      </c>
      <c r="J45" s="845"/>
      <c r="K45" s="845"/>
      <c r="L45" s="840"/>
      <c r="M45" s="1050"/>
    </row>
    <row r="46" spans="1:32" ht="15.75" customHeight="1">
      <c r="A46" s="911"/>
      <c r="B46" s="911"/>
      <c r="C46" s="1061"/>
      <c r="D46" s="1062"/>
      <c r="E46" s="1062"/>
      <c r="F46" s="1062"/>
      <c r="G46" s="1062"/>
      <c r="H46" s="1062"/>
      <c r="I46" s="1062"/>
      <c r="J46" s="1063"/>
      <c r="K46" s="1063"/>
      <c r="L46" s="1064"/>
      <c r="M46" s="1065"/>
      <c r="N46" s="1065"/>
      <c r="O46" s="1066"/>
    </row>
    <row r="47" spans="1:32" ht="15.75" customHeight="1">
      <c r="A47" s="1067" t="s">
        <v>167</v>
      </c>
      <c r="B47" s="1067" t="s">
        <v>18</v>
      </c>
      <c r="C47" s="898"/>
      <c r="D47" s="899"/>
      <c r="E47" s="899"/>
      <c r="F47" s="899"/>
      <c r="G47" s="899"/>
      <c r="H47" s="899"/>
      <c r="I47" s="900"/>
      <c r="J47" s="900"/>
      <c r="K47" s="900"/>
      <c r="L47" s="1068"/>
      <c r="M47" s="939"/>
      <c r="N47" s="1069"/>
      <c r="O47" s="1066"/>
    </row>
    <row r="48" spans="1:32" ht="13.5" customHeight="1">
      <c r="A48" s="896"/>
      <c r="B48" s="1102" t="str">
        <f>Penyelia!B48</f>
        <v>Ketidakpastian pengukuran Ultrasound Power dari ketidakpastian tipe A dan Tipe B</v>
      </c>
      <c r="C48" s="898"/>
      <c r="D48" s="899"/>
      <c r="E48" s="899"/>
      <c r="F48" s="899"/>
      <c r="G48" s="899"/>
      <c r="H48" s="899"/>
      <c r="I48" s="900"/>
      <c r="J48" s="900"/>
      <c r="K48" s="900"/>
      <c r="L48" s="900"/>
      <c r="M48" s="921"/>
      <c r="N48" s="921"/>
      <c r="O48" s="1070"/>
      <c r="P48" s="897"/>
      <c r="Q48" s="897"/>
    </row>
    <row r="49" spans="1:17" ht="13.5" customHeight="1">
      <c r="A49" s="896"/>
      <c r="B49" s="1102" t="str">
        <f>Penyelia!B49</f>
        <v>Ketidakpastian pengukuran Waktu Therapy dilaporkan pada tingkat kepercayaan 95 % dengan faktor cakupan k = 2</v>
      </c>
      <c r="C49" s="898"/>
      <c r="D49" s="899"/>
      <c r="E49" s="899"/>
      <c r="F49" s="899"/>
      <c r="G49" s="899"/>
      <c r="H49" s="899"/>
      <c r="I49" s="900"/>
      <c r="J49" s="900"/>
      <c r="K49" s="900"/>
      <c r="L49" s="900"/>
      <c r="M49" s="921"/>
      <c r="N49" s="1504"/>
      <c r="O49" s="1504"/>
      <c r="P49" s="897"/>
      <c r="Q49" s="897"/>
    </row>
    <row r="50" spans="1:17" ht="13.5" customHeight="1">
      <c r="A50" s="896"/>
      <c r="B50" s="1102" t="str">
        <f>Penyelia!B50</f>
        <v>Hasil pengukuran keselamatan listrik tertelusur ke Satuan Internasional ( SI ) melalui PT. Kaliman</v>
      </c>
      <c r="C50" s="898"/>
      <c r="D50" s="899"/>
      <c r="E50" s="899"/>
      <c r="F50" s="899"/>
      <c r="G50" s="899"/>
      <c r="H50" s="899"/>
      <c r="I50" s="900"/>
      <c r="J50" s="900"/>
      <c r="K50" s="900"/>
      <c r="L50" s="900"/>
      <c r="M50" s="921"/>
      <c r="N50" s="1504"/>
      <c r="O50" s="1504"/>
      <c r="P50" s="897"/>
      <c r="Q50" s="897"/>
    </row>
    <row r="51" spans="1:17" ht="13.5" customHeight="1">
      <c r="A51" s="896"/>
      <c r="B51" s="1102" t="str">
        <f>Penyelia!B51</f>
        <v>Hasil kalibrasi Ultrasound Therapy tertelusur ke Satuan Internasional melalui OHMiC Instrument</v>
      </c>
      <c r="C51" s="898"/>
      <c r="D51" s="899"/>
      <c r="E51" s="899"/>
      <c r="F51" s="899"/>
      <c r="G51" s="899"/>
      <c r="H51" s="899"/>
      <c r="I51" s="900"/>
      <c r="J51" s="900"/>
      <c r="K51" s="900"/>
      <c r="L51" s="900"/>
      <c r="M51" s="921"/>
      <c r="N51" s="1504"/>
      <c r="O51" s="1504"/>
      <c r="P51" s="897"/>
      <c r="Q51" s="897"/>
    </row>
    <row r="52" spans="1:17" ht="14.5">
      <c r="A52" s="904"/>
      <c r="B52" s="1102" t="str">
        <f>Penyelia!B52</f>
        <v>Hasil pengukuran akurasi waktu tertelusur ke Satuan Internasional ( SI ) melalui PT KALIMAN</v>
      </c>
      <c r="C52" s="906"/>
      <c r="D52" s="906"/>
      <c r="E52" s="906"/>
      <c r="F52" s="906"/>
      <c r="G52" s="906"/>
      <c r="H52" s="906"/>
      <c r="I52" s="906"/>
      <c r="J52" s="900"/>
      <c r="K52" s="900"/>
      <c r="L52" s="900"/>
      <c r="M52" s="1071"/>
      <c r="N52" s="921"/>
      <c r="O52" s="921"/>
      <c r="P52" s="897"/>
      <c r="Q52" s="897"/>
    </row>
    <row r="53" spans="1:17" ht="14.5">
      <c r="A53" s="904"/>
      <c r="B53" s="1102" t="str">
        <f>Penyelia!B53</f>
        <v>-</v>
      </c>
      <c r="C53" s="906"/>
      <c r="D53" s="906"/>
      <c r="E53" s="906"/>
      <c r="F53" s="906"/>
      <c r="G53" s="906"/>
      <c r="H53" s="906"/>
      <c r="I53" s="906"/>
      <c r="J53" s="900"/>
      <c r="K53" s="900"/>
      <c r="L53" s="900"/>
      <c r="M53" s="1071"/>
      <c r="N53" s="921"/>
      <c r="O53" s="921"/>
      <c r="P53" s="897"/>
      <c r="Q53" s="897"/>
    </row>
    <row r="54" spans="1:17" ht="14.5">
      <c r="A54" s="904"/>
      <c r="B54" s="1102" t="str">
        <f>Penyelia!B54</f>
        <v>Alat tidak boleh digunakan pada ruangan yang tidak dilengkapi instalasi grounding</v>
      </c>
      <c r="C54" s="906"/>
      <c r="D54" s="906"/>
      <c r="E54" s="906"/>
      <c r="F54" s="906"/>
      <c r="G54" s="906"/>
      <c r="H54" s="906"/>
      <c r="I54" s="906"/>
      <c r="J54" s="900"/>
      <c r="K54" s="900"/>
      <c r="L54" s="900"/>
      <c r="M54" s="1071"/>
      <c r="N54" s="921"/>
      <c r="O54" s="921"/>
      <c r="P54" s="897"/>
      <c r="Q54" s="897"/>
    </row>
    <row r="55" spans="1:17" ht="14.5">
      <c r="A55" s="904"/>
      <c r="B55" s="901"/>
      <c r="C55" s="906"/>
      <c r="D55" s="906"/>
      <c r="E55" s="906"/>
      <c r="F55" s="906"/>
      <c r="G55" s="906"/>
      <c r="H55" s="906"/>
      <c r="I55" s="906"/>
      <c r="J55" s="900"/>
      <c r="K55" s="900"/>
      <c r="L55" s="900"/>
      <c r="M55" s="1071"/>
      <c r="N55" s="921"/>
      <c r="O55" s="921"/>
      <c r="P55" s="897"/>
      <c r="Q55" s="897"/>
    </row>
    <row r="56" spans="1:17" ht="14.5">
      <c r="A56" s="904"/>
      <c r="B56" s="901"/>
      <c r="C56" s="906"/>
      <c r="D56" s="906"/>
      <c r="E56" s="906"/>
      <c r="F56" s="906"/>
      <c r="G56" s="906"/>
      <c r="H56" s="906"/>
      <c r="I56" s="906"/>
      <c r="J56" s="900"/>
      <c r="K56" s="900"/>
      <c r="L56" s="900"/>
      <c r="M56" s="1071"/>
      <c r="N56" s="921"/>
      <c r="O56" s="921"/>
      <c r="P56" s="897"/>
      <c r="Q56" s="897"/>
    </row>
    <row r="57" spans="1:17" ht="15.75" customHeight="1">
      <c r="A57" s="904"/>
      <c r="B57" s="901"/>
      <c r="C57" s="906"/>
      <c r="D57" s="906"/>
      <c r="E57" s="906"/>
      <c r="F57" s="906"/>
      <c r="G57" s="906"/>
      <c r="H57" s="906"/>
      <c r="I57" s="906"/>
      <c r="J57" s="900"/>
      <c r="K57" s="900"/>
      <c r="L57" s="900"/>
      <c r="M57" s="1071"/>
      <c r="N57" s="921"/>
      <c r="O57" s="921"/>
      <c r="P57" s="897"/>
      <c r="Q57" s="897"/>
    </row>
    <row r="58" spans="1:17" ht="14.5">
      <c r="A58" s="904"/>
      <c r="B58" s="901"/>
      <c r="C58" s="906"/>
      <c r="D58" s="906"/>
      <c r="E58" s="906"/>
      <c r="F58" s="906"/>
      <c r="G58" s="906"/>
      <c r="H58" s="906"/>
      <c r="I58" s="906"/>
      <c r="J58" s="900"/>
      <c r="K58" s="900"/>
      <c r="L58" s="900"/>
      <c r="M58" s="1071"/>
      <c r="N58" s="921"/>
      <c r="O58" s="921"/>
      <c r="P58" s="897"/>
      <c r="Q58" s="897"/>
    </row>
    <row r="59" spans="1:17" ht="14.5">
      <c r="A59" s="904"/>
      <c r="B59" s="901"/>
      <c r="C59" s="906"/>
      <c r="D59" s="906"/>
      <c r="E59" s="906"/>
      <c r="F59" s="906"/>
      <c r="G59" s="906"/>
      <c r="H59" s="906"/>
      <c r="I59" s="906"/>
      <c r="J59" s="900"/>
      <c r="K59" s="900"/>
      <c r="L59" s="900"/>
      <c r="M59" s="1071"/>
      <c r="N59" s="921"/>
      <c r="O59" s="921"/>
      <c r="P59" s="897"/>
      <c r="Q59" s="897"/>
    </row>
    <row r="60" spans="1:17" ht="14.5">
      <c r="A60" s="904"/>
      <c r="B60" s="901"/>
      <c r="C60" s="906"/>
      <c r="D60" s="906"/>
      <c r="E60" s="906"/>
      <c r="F60" s="906"/>
      <c r="G60" s="906"/>
      <c r="H60" s="906"/>
      <c r="I60" s="906"/>
      <c r="J60" s="900"/>
      <c r="K60" s="900"/>
      <c r="L60" s="900"/>
      <c r="M60" s="1071"/>
      <c r="N60" s="921"/>
      <c r="O60" s="921"/>
      <c r="P60" s="897"/>
      <c r="Q60" s="897"/>
    </row>
    <row r="61" spans="1:17" ht="14.5">
      <c r="A61" s="904"/>
      <c r="B61" s="901"/>
      <c r="C61" s="906"/>
      <c r="D61" s="906"/>
      <c r="E61" s="906"/>
      <c r="F61" s="906"/>
      <c r="G61" s="906"/>
      <c r="H61" s="906"/>
      <c r="I61" s="906"/>
      <c r="J61" s="900"/>
      <c r="K61" s="900"/>
      <c r="L61" s="900"/>
      <c r="M61" s="1071"/>
      <c r="N61" s="921"/>
      <c r="O61" s="921"/>
      <c r="P61" s="897"/>
      <c r="Q61" s="897"/>
    </row>
    <row r="62" spans="1:17" ht="14.5">
      <c r="A62" s="904"/>
      <c r="B62" s="901"/>
      <c r="C62" s="906"/>
      <c r="D62" s="906"/>
      <c r="E62" s="906"/>
      <c r="F62" s="906"/>
      <c r="G62" s="906"/>
      <c r="H62" s="906"/>
      <c r="I62" s="906"/>
      <c r="J62" s="900"/>
      <c r="K62" s="900"/>
      <c r="L62" s="900"/>
      <c r="M62" s="1071"/>
      <c r="N62" s="921"/>
      <c r="O62" s="921"/>
      <c r="P62" s="897"/>
      <c r="Q62" s="897"/>
    </row>
    <row r="63" spans="1:17" ht="21.75" customHeight="1">
      <c r="A63" s="904"/>
      <c r="B63" s="901"/>
      <c r="C63" s="906"/>
      <c r="D63" s="906"/>
      <c r="E63" s="906"/>
      <c r="F63" s="906"/>
      <c r="G63" s="906"/>
      <c r="H63" s="906"/>
      <c r="I63" s="906"/>
      <c r="J63" s="900"/>
      <c r="K63" s="900"/>
      <c r="L63" s="900"/>
      <c r="M63" s="1071"/>
      <c r="N63" s="921"/>
      <c r="O63" s="921"/>
      <c r="P63" s="897"/>
      <c r="Q63" s="897"/>
    </row>
    <row r="64" spans="1:17" ht="18" customHeight="1">
      <c r="A64" s="904"/>
      <c r="B64" s="901"/>
      <c r="C64" s="906"/>
      <c r="D64" s="906"/>
      <c r="E64" s="906"/>
      <c r="F64" s="906"/>
      <c r="G64" s="906"/>
      <c r="H64" s="906"/>
      <c r="I64" s="906"/>
      <c r="J64" s="900"/>
      <c r="K64" s="900"/>
      <c r="L64" s="1072" t="s">
        <v>111</v>
      </c>
      <c r="M64" s="1071"/>
      <c r="N64" s="921"/>
      <c r="O64" s="921"/>
      <c r="P64" s="897"/>
      <c r="Q64" s="897"/>
    </row>
    <row r="65" spans="1:17" ht="12.75" customHeight="1">
      <c r="A65" s="904"/>
      <c r="B65" s="901"/>
      <c r="C65" s="906"/>
      <c r="D65" s="906"/>
      <c r="E65" s="906"/>
      <c r="F65" s="906"/>
      <c r="G65" s="906"/>
      <c r="H65" s="906"/>
      <c r="I65" s="906"/>
      <c r="J65" s="911"/>
      <c r="K65" s="911"/>
      <c r="L65" s="840"/>
      <c r="M65" s="1071"/>
      <c r="N65" s="1505"/>
      <c r="O65" s="1505"/>
      <c r="P65" s="897"/>
      <c r="Q65" s="897"/>
    </row>
    <row r="66" spans="1:17" ht="14.5">
      <c r="A66" s="904"/>
      <c r="B66" s="901"/>
      <c r="C66" s="906"/>
      <c r="D66" s="906"/>
      <c r="E66" s="906"/>
      <c r="F66" s="906"/>
      <c r="G66" s="906"/>
      <c r="H66" s="906"/>
      <c r="I66" s="906"/>
      <c r="J66" s="911"/>
      <c r="K66" s="911"/>
      <c r="L66" s="900"/>
      <c r="M66" s="1071"/>
      <c r="N66" s="1033"/>
      <c r="O66" s="1033"/>
      <c r="P66" s="897"/>
      <c r="Q66" s="897"/>
    </row>
    <row r="67" spans="1:17" ht="15.75" customHeight="1">
      <c r="A67" s="1073" t="s">
        <v>17</v>
      </c>
      <c r="B67" s="1073" t="s">
        <v>16</v>
      </c>
      <c r="C67" s="906"/>
      <c r="D67" s="911"/>
      <c r="E67" s="911"/>
      <c r="F67" s="911"/>
      <c r="G67" s="911"/>
      <c r="H67" s="911"/>
      <c r="I67" s="911"/>
      <c r="J67" s="911"/>
      <c r="K67" s="911"/>
      <c r="M67" s="1024"/>
      <c r="N67" s="1498"/>
      <c r="O67" s="1498"/>
    </row>
    <row r="68" spans="1:17" ht="15" customHeight="1">
      <c r="A68" s="906"/>
      <c r="B68" s="1103" t="str">
        <f>Penyelia!B57</f>
        <v>Ultrsound Power Meter, Merek : OHMiC, Model : UPM-DT-10AV, SN : B432907943</v>
      </c>
      <c r="C68" s="1074"/>
      <c r="D68" s="1074"/>
      <c r="E68" s="1074"/>
      <c r="F68" s="911"/>
      <c r="G68" s="911"/>
      <c r="H68" s="911"/>
      <c r="I68" s="911"/>
      <c r="J68" s="911"/>
      <c r="K68" s="911"/>
      <c r="M68" s="1024"/>
      <c r="N68" s="1498"/>
      <c r="O68" s="1498"/>
    </row>
    <row r="69" spans="1:17" ht="15" customHeight="1">
      <c r="A69" s="906"/>
      <c r="B69" s="1103" t="str">
        <f>Penyelia!B58</f>
        <v>Electrical Safety Analyzer, Merek : Fluke, Model : ESA 620, SN : 1837056</v>
      </c>
      <c r="C69" s="906"/>
      <c r="D69" s="911"/>
      <c r="E69" s="911"/>
      <c r="F69" s="911"/>
      <c r="G69" s="911"/>
      <c r="H69" s="911"/>
      <c r="I69" s="911"/>
      <c r="J69" s="911"/>
      <c r="K69" s="911"/>
      <c r="M69" s="1024"/>
      <c r="N69" s="1498"/>
      <c r="O69" s="1498"/>
    </row>
    <row r="70" spans="1:17" ht="15" customHeight="1">
      <c r="A70" s="906"/>
      <c r="B70" s="1103" t="str">
        <f>Penyelia!B59</f>
        <v>Stopwatch, Merek : Casio, Model : HS - 80TW, SN :510Q061R</v>
      </c>
      <c r="C70" s="906"/>
      <c r="D70" s="911"/>
      <c r="E70" s="911"/>
      <c r="F70" s="911"/>
      <c r="G70" s="911"/>
      <c r="H70" s="911"/>
      <c r="I70" s="911"/>
      <c r="J70" s="911"/>
      <c r="K70" s="911"/>
      <c r="M70" s="1024"/>
      <c r="N70" s="1498"/>
      <c r="O70" s="1498"/>
    </row>
    <row r="71" spans="1:17" ht="15.75" customHeight="1">
      <c r="A71" s="906"/>
      <c r="B71" s="902"/>
      <c r="C71" s="906"/>
      <c r="D71" s="911"/>
      <c r="E71" s="911"/>
      <c r="F71" s="911"/>
      <c r="G71" s="911"/>
      <c r="H71" s="911"/>
      <c r="I71" s="911"/>
      <c r="J71" s="911"/>
      <c r="K71" s="911"/>
      <c r="M71" s="1024"/>
    </row>
    <row r="72" spans="1:17" ht="16.5" customHeight="1">
      <c r="A72" s="1073" t="s">
        <v>29</v>
      </c>
      <c r="B72" s="1075" t="s">
        <v>28</v>
      </c>
      <c r="C72" s="906"/>
      <c r="D72" s="911"/>
      <c r="E72" s="911"/>
      <c r="F72" s="911"/>
      <c r="G72" s="911"/>
      <c r="H72" s="911"/>
      <c r="I72" s="911"/>
      <c r="J72" s="911"/>
      <c r="K72" s="911"/>
      <c r="M72" s="1024"/>
    </row>
    <row r="73" spans="1:17" ht="27.75" customHeight="1">
      <c r="A73" s="904"/>
      <c r="B73" s="1484" t="str">
        <f>Penyelia!B63</f>
        <v>Alat yang diuji dalam batas toleransi dan dinyatakan LAIK PAKAI, dimana hasil atau skor akhir sama dengan atau melampaui 70 % berdasarkan Keputusan Direktur Jenderal Pelayanan Kesehatan No : HK.02.02/V/0412/2020</v>
      </c>
      <c r="C73" s="1484"/>
      <c r="D73" s="1484"/>
      <c r="E73" s="1484"/>
      <c r="F73" s="1484"/>
      <c r="G73" s="1484"/>
      <c r="H73" s="1484"/>
      <c r="I73" s="1484"/>
      <c r="J73" s="1484"/>
      <c r="K73" s="1484"/>
      <c r="L73" s="1076"/>
      <c r="M73" s="1024"/>
      <c r="N73" s="1024"/>
      <c r="O73" s="1024"/>
    </row>
    <row r="74" spans="1:17" ht="15.75" customHeight="1">
      <c r="A74" s="904"/>
      <c r="B74" s="814"/>
      <c r="C74" s="906"/>
      <c r="D74" s="911"/>
      <c r="E74" s="911"/>
      <c r="F74" s="911"/>
      <c r="G74" s="911"/>
      <c r="H74" s="911"/>
      <c r="I74" s="911"/>
      <c r="J74" s="911"/>
      <c r="K74" s="911"/>
      <c r="M74" s="1024"/>
      <c r="N74" s="1024"/>
      <c r="O74" s="1024"/>
    </row>
    <row r="75" spans="1:17" ht="14">
      <c r="A75" s="1073" t="s">
        <v>62</v>
      </c>
      <c r="B75" s="1073" t="str">
        <f>Penyelia!B66</f>
        <v>Petugas Kalibrasi</v>
      </c>
      <c r="C75" s="904"/>
      <c r="D75" s="911"/>
      <c r="E75" s="911"/>
      <c r="F75" s="911"/>
      <c r="G75" s="911"/>
      <c r="H75" s="911"/>
      <c r="I75" s="911"/>
      <c r="J75" s="911"/>
      <c r="K75" s="911"/>
      <c r="M75" s="1024"/>
      <c r="N75" s="1024"/>
      <c r="O75" s="1024"/>
    </row>
    <row r="76" spans="1:17" ht="14">
      <c r="A76" s="906"/>
      <c r="B76" s="901" t="str">
        <f>Penyelia!B67</f>
        <v>Muhammad Iqbal Saiful Rahman</v>
      </c>
      <c r="C76" s="906"/>
      <c r="D76" s="911"/>
      <c r="E76" s="911"/>
      <c r="F76" s="911"/>
      <c r="G76" s="911"/>
      <c r="H76" s="911"/>
      <c r="I76" s="911"/>
      <c r="J76" s="911"/>
      <c r="K76" s="911"/>
      <c r="M76" s="1024"/>
      <c r="N76" s="1024"/>
      <c r="O76" s="1024"/>
    </row>
    <row r="77" spans="1:17" ht="14">
      <c r="A77" s="906"/>
      <c r="B77" s="901"/>
      <c r="C77" s="906"/>
      <c r="D77" s="911"/>
      <c r="E77" s="911"/>
      <c r="F77" s="911"/>
      <c r="G77" s="911"/>
      <c r="H77" s="911"/>
      <c r="I77" s="911"/>
      <c r="J77" s="911"/>
      <c r="K77" s="911"/>
      <c r="M77" s="1024"/>
      <c r="N77" s="1024"/>
      <c r="O77" s="1024"/>
    </row>
    <row r="78" spans="1:17" ht="14">
      <c r="A78" s="906"/>
      <c r="B78" s="901"/>
      <c r="C78" s="906"/>
      <c r="D78" s="911"/>
      <c r="E78" s="911"/>
      <c r="F78" s="911"/>
      <c r="G78" s="911"/>
      <c r="H78" s="911"/>
      <c r="I78" s="911"/>
      <c r="J78" s="911"/>
      <c r="K78" s="911"/>
      <c r="M78" s="1024"/>
      <c r="N78" s="1024"/>
      <c r="O78" s="1024"/>
    </row>
    <row r="79" spans="1:17" ht="14.5">
      <c r="A79" s="906"/>
      <c r="B79" s="901"/>
      <c r="C79" s="906"/>
      <c r="D79" s="911"/>
      <c r="E79" s="911"/>
      <c r="F79" s="911"/>
      <c r="G79" s="911"/>
      <c r="H79" s="911"/>
      <c r="I79" s="911"/>
      <c r="J79" s="911"/>
      <c r="K79" s="911"/>
      <c r="M79" s="1077"/>
      <c r="N79" s="1024"/>
      <c r="O79" s="1024"/>
    </row>
    <row r="80" spans="1:17" ht="14.5">
      <c r="A80" s="906"/>
      <c r="B80" s="911"/>
      <c r="C80" s="911"/>
      <c r="D80" s="911"/>
      <c r="E80" s="911"/>
      <c r="F80" s="911"/>
      <c r="G80" s="911"/>
      <c r="H80" s="850" t="s">
        <v>164</v>
      </c>
      <c r="I80" s="1074"/>
      <c r="J80" s="911"/>
      <c r="K80" s="911"/>
      <c r="M80" s="1077"/>
      <c r="N80" s="1024"/>
      <c r="O80" s="1024"/>
    </row>
    <row r="81" spans="1:15" ht="14">
      <c r="A81" s="906"/>
      <c r="B81" s="911"/>
      <c r="C81" s="911"/>
      <c r="D81" s="911"/>
      <c r="E81" s="911"/>
      <c r="F81" s="911"/>
      <c r="G81" s="1078" t="str">
        <f>IF(H87=A141,"a.n","")</f>
        <v/>
      </c>
      <c r="H81" s="850" t="s">
        <v>165</v>
      </c>
      <c r="I81" s="1074"/>
      <c r="J81" s="911"/>
      <c r="K81" s="911"/>
      <c r="M81" s="1079"/>
      <c r="N81" s="1024"/>
      <c r="O81" s="1024"/>
    </row>
    <row r="82" spans="1:15" ht="14">
      <c r="A82" s="911"/>
      <c r="B82" s="911"/>
      <c r="C82" s="911"/>
      <c r="D82" s="911"/>
      <c r="E82" s="911"/>
      <c r="F82" s="911"/>
      <c r="G82" s="911"/>
      <c r="H82" s="850" t="s">
        <v>166</v>
      </c>
      <c r="I82" s="1074"/>
      <c r="J82" s="911"/>
      <c r="K82" s="911"/>
      <c r="M82" s="1024"/>
      <c r="N82" s="1024"/>
      <c r="O82" s="1024"/>
    </row>
    <row r="83" spans="1:15" ht="14">
      <c r="A83" s="911"/>
      <c r="B83" s="911"/>
      <c r="C83" s="911"/>
      <c r="D83" s="911"/>
      <c r="E83" s="911"/>
      <c r="F83" s="911"/>
      <c r="G83" s="911"/>
      <c r="H83" s="850"/>
      <c r="I83" s="1074"/>
      <c r="J83" s="911"/>
      <c r="K83" s="911"/>
      <c r="M83" s="1024"/>
      <c r="N83" s="1024"/>
      <c r="O83" s="1024"/>
    </row>
    <row r="84" spans="1:15" ht="14.5">
      <c r="A84" s="911"/>
      <c r="B84" s="911"/>
      <c r="C84" s="911"/>
      <c r="D84" s="911"/>
      <c r="E84" s="911"/>
      <c r="F84" s="911"/>
      <c r="G84" s="911"/>
      <c r="H84" s="850"/>
      <c r="I84" s="1074"/>
      <c r="J84" s="911"/>
      <c r="K84" s="911"/>
      <c r="M84" s="1080"/>
      <c r="N84" s="1024"/>
      <c r="O84" s="1024"/>
    </row>
    <row r="85" spans="1:15" ht="14.5">
      <c r="A85" s="911"/>
      <c r="B85" s="911"/>
      <c r="C85" s="911"/>
      <c r="D85" s="911"/>
      <c r="E85" s="911"/>
      <c r="F85" s="911"/>
      <c r="G85" s="911"/>
      <c r="H85" s="850"/>
      <c r="I85" s="1074"/>
      <c r="J85" s="911"/>
      <c r="K85" s="911"/>
      <c r="M85" s="1080"/>
      <c r="N85" s="1024"/>
      <c r="O85" s="1024"/>
    </row>
    <row r="86" spans="1:15" ht="14.5">
      <c r="A86" s="911"/>
      <c r="B86" s="911"/>
      <c r="C86" s="911"/>
      <c r="D86" s="911"/>
      <c r="E86" s="911"/>
      <c r="F86" s="911"/>
      <c r="G86" s="911"/>
      <c r="H86" s="1081"/>
      <c r="I86" s="1074"/>
      <c r="J86" s="911"/>
      <c r="K86" s="911"/>
      <c r="M86" s="939"/>
      <c r="N86" s="1024"/>
      <c r="O86" s="1024"/>
    </row>
    <row r="87" spans="1:15" ht="14">
      <c r="A87" s="911"/>
      <c r="B87" s="911"/>
      <c r="C87" s="911"/>
      <c r="D87" s="911"/>
      <c r="E87" s="911"/>
      <c r="F87" s="911"/>
      <c r="G87" s="911"/>
      <c r="H87" s="1082" t="s">
        <v>433</v>
      </c>
      <c r="I87" s="1074"/>
      <c r="J87" s="911"/>
      <c r="K87" s="911"/>
      <c r="L87" s="915"/>
    </row>
    <row r="88" spans="1:15" ht="14">
      <c r="A88" s="911"/>
      <c r="B88" s="911"/>
      <c r="C88" s="911"/>
      <c r="D88" s="911"/>
      <c r="E88" s="911"/>
      <c r="F88" s="911"/>
      <c r="G88" s="911"/>
      <c r="H88" s="1083" t="str">
        <f>VLOOKUP(H87,A141:B142,2,0)</f>
        <v>NIP 198008062010121001</v>
      </c>
      <c r="I88" s="1074"/>
      <c r="J88" s="911"/>
      <c r="K88" s="911"/>
      <c r="L88" s="915"/>
    </row>
    <row r="89" spans="1:15">
      <c r="A89" s="911"/>
      <c r="B89" s="911"/>
      <c r="C89" s="911"/>
      <c r="D89" s="911"/>
      <c r="E89" s="911"/>
      <c r="F89" s="911"/>
      <c r="G89" s="911"/>
      <c r="H89" s="911"/>
      <c r="I89" s="911"/>
      <c r="J89" s="911"/>
      <c r="K89" s="911"/>
    </row>
    <row r="90" spans="1:15" ht="14">
      <c r="A90" s="911"/>
      <c r="B90" s="911"/>
      <c r="C90" s="911"/>
      <c r="D90" s="911"/>
      <c r="E90" s="911"/>
      <c r="F90" s="911"/>
      <c r="G90" s="911"/>
      <c r="H90" s="911"/>
      <c r="I90" s="911"/>
      <c r="J90" s="911"/>
      <c r="K90" s="911"/>
      <c r="L90" s="915"/>
    </row>
    <row r="91" spans="1:15" ht="14">
      <c r="A91" s="911"/>
      <c r="B91" s="911"/>
      <c r="C91" s="911"/>
      <c r="D91" s="911"/>
      <c r="E91" s="911"/>
      <c r="F91" s="911"/>
      <c r="G91" s="911"/>
      <c r="H91" s="911"/>
      <c r="I91" s="911"/>
      <c r="J91" s="911"/>
      <c r="K91" s="911"/>
      <c r="L91" s="915"/>
    </row>
    <row r="92" spans="1:15" ht="14">
      <c r="A92" s="911"/>
      <c r="B92" s="911"/>
      <c r="C92" s="911"/>
      <c r="D92" s="911"/>
      <c r="E92" s="911"/>
      <c r="F92" s="911"/>
      <c r="G92" s="911"/>
      <c r="H92" s="911"/>
      <c r="I92" s="911"/>
      <c r="J92" s="911"/>
      <c r="K92" s="911"/>
      <c r="L92" s="915"/>
    </row>
    <row r="93" spans="1:15" ht="14">
      <c r="A93" s="911"/>
      <c r="B93" s="911"/>
      <c r="C93" s="911"/>
      <c r="D93" s="911"/>
      <c r="E93" s="911"/>
      <c r="F93" s="911"/>
      <c r="G93" s="911"/>
      <c r="H93" s="911"/>
      <c r="I93" s="911"/>
      <c r="J93" s="911"/>
      <c r="K93" s="911"/>
      <c r="L93" s="915"/>
    </row>
    <row r="94" spans="1:15" ht="14">
      <c r="A94" s="911"/>
      <c r="B94" s="911"/>
      <c r="C94" s="911"/>
      <c r="D94" s="911"/>
      <c r="E94" s="911"/>
      <c r="F94" s="911"/>
      <c r="G94" s="911"/>
      <c r="H94" s="911"/>
      <c r="I94" s="911"/>
      <c r="J94" s="911"/>
      <c r="K94" s="911"/>
      <c r="L94" s="915"/>
    </row>
    <row r="95" spans="1:15" ht="14">
      <c r="A95" s="911"/>
      <c r="B95" s="911"/>
      <c r="C95" s="911"/>
      <c r="D95" s="911"/>
      <c r="E95" s="911"/>
      <c r="F95" s="911"/>
      <c r="G95" s="911"/>
      <c r="H95" s="911"/>
      <c r="I95" s="911"/>
      <c r="J95" s="911"/>
      <c r="K95" s="911"/>
      <c r="L95" s="915"/>
    </row>
    <row r="96" spans="1:15">
      <c r="A96" s="911"/>
      <c r="B96" s="911"/>
      <c r="C96" s="911"/>
      <c r="D96" s="911"/>
      <c r="E96" s="911"/>
      <c r="F96" s="911"/>
      <c r="G96" s="911"/>
      <c r="H96" s="911"/>
      <c r="I96" s="911"/>
      <c r="J96" s="911"/>
      <c r="K96" s="911"/>
    </row>
    <row r="97" spans="1:17">
      <c r="A97" s="1084"/>
      <c r="B97" s="1084"/>
      <c r="C97" s="1084"/>
      <c r="D97" s="1084"/>
      <c r="E97" s="1084"/>
      <c r="F97" s="1084"/>
      <c r="G97" s="1084"/>
      <c r="H97" s="1084"/>
      <c r="I97" s="1084"/>
      <c r="J97" s="1084"/>
      <c r="K97" s="1084"/>
      <c r="L97" s="1085"/>
      <c r="M97" s="916"/>
      <c r="N97" s="916"/>
      <c r="O97" s="916"/>
      <c r="P97" s="916"/>
      <c r="Q97" s="916"/>
    </row>
    <row r="98" spans="1:17">
      <c r="A98" s="1084"/>
      <c r="B98" s="1084"/>
      <c r="C98" s="1084"/>
      <c r="D98" s="1084"/>
      <c r="E98" s="1084"/>
      <c r="F98" s="1084"/>
      <c r="G98" s="1084"/>
      <c r="H98" s="1084"/>
      <c r="I98" s="1084"/>
      <c r="J98" s="1084"/>
      <c r="K98" s="1084"/>
      <c r="L98" s="1085"/>
      <c r="M98" s="916"/>
      <c r="N98" s="916"/>
      <c r="O98" s="916"/>
      <c r="P98" s="916"/>
      <c r="Q98" s="916"/>
    </row>
    <row r="99" spans="1:17">
      <c r="A99" s="1084"/>
      <c r="B99" s="1084"/>
      <c r="C99" s="1084"/>
      <c r="D99" s="1084"/>
      <c r="E99" s="1084"/>
      <c r="F99" s="1084"/>
      <c r="G99" s="1084"/>
      <c r="H99" s="1084"/>
      <c r="I99" s="1084"/>
      <c r="J99" s="1084"/>
      <c r="K99" s="1084"/>
      <c r="L99" s="1085"/>
      <c r="M99" s="916"/>
      <c r="N99" s="916"/>
      <c r="O99" s="916"/>
      <c r="P99" s="916"/>
      <c r="Q99" s="916"/>
    </row>
    <row r="100" spans="1:17">
      <c r="A100" s="1084"/>
      <c r="B100" s="1084"/>
      <c r="C100" s="1084"/>
      <c r="D100" s="1084"/>
      <c r="E100" s="1084"/>
      <c r="F100" s="1084"/>
      <c r="G100" s="1084"/>
      <c r="H100" s="1084"/>
      <c r="I100" s="1084"/>
      <c r="J100" s="1084"/>
      <c r="K100" s="1084"/>
      <c r="L100" s="1085"/>
      <c r="M100" s="916"/>
      <c r="N100" s="916"/>
      <c r="O100" s="916"/>
      <c r="P100" s="916"/>
      <c r="Q100" s="916"/>
    </row>
    <row r="101" spans="1:17">
      <c r="A101" s="1084"/>
      <c r="B101" s="1084"/>
      <c r="C101" s="1084"/>
      <c r="D101" s="1084"/>
      <c r="E101" s="1084"/>
      <c r="F101" s="1084"/>
      <c r="G101" s="1084"/>
      <c r="H101" s="1084"/>
      <c r="I101" s="1084"/>
      <c r="J101" s="1084"/>
      <c r="K101" s="1084"/>
      <c r="L101" s="1085"/>
      <c r="M101" s="916"/>
      <c r="N101" s="916"/>
      <c r="O101" s="916"/>
      <c r="P101" s="916"/>
      <c r="Q101" s="916"/>
    </row>
    <row r="102" spans="1:17">
      <c r="A102" s="1084"/>
      <c r="B102" s="1084"/>
      <c r="C102" s="1084"/>
      <c r="D102" s="1084"/>
      <c r="E102" s="1084"/>
      <c r="F102" s="1084"/>
      <c r="G102" s="1084"/>
      <c r="H102" s="1084"/>
      <c r="I102" s="1084"/>
      <c r="J102" s="1084"/>
      <c r="K102" s="1084"/>
      <c r="L102" s="1085"/>
      <c r="M102" s="916"/>
      <c r="N102" s="916"/>
      <c r="O102" s="916"/>
      <c r="P102" s="916"/>
      <c r="Q102" s="916"/>
    </row>
    <row r="103" spans="1:17">
      <c r="A103" s="1084"/>
      <c r="B103" s="1084"/>
      <c r="C103" s="1084"/>
      <c r="D103" s="1084"/>
      <c r="E103" s="1084"/>
      <c r="F103" s="1084"/>
      <c r="G103" s="1084"/>
      <c r="H103" s="1084"/>
      <c r="I103" s="1084"/>
      <c r="J103" s="1084"/>
      <c r="K103" s="1084"/>
      <c r="L103" s="1085"/>
      <c r="M103" s="916"/>
      <c r="N103" s="916"/>
      <c r="O103" s="916"/>
      <c r="P103" s="916"/>
      <c r="Q103" s="916"/>
    </row>
    <row r="104" spans="1:17">
      <c r="A104" s="1084"/>
      <c r="B104" s="1084"/>
      <c r="C104" s="1084"/>
      <c r="D104" s="1084"/>
      <c r="E104" s="1084"/>
      <c r="F104" s="1084"/>
      <c r="G104" s="1084"/>
      <c r="H104" s="1084"/>
      <c r="I104" s="1084"/>
      <c r="J104" s="1084"/>
      <c r="K104" s="1084"/>
      <c r="L104" s="1085"/>
      <c r="M104" s="916"/>
      <c r="N104" s="916"/>
      <c r="O104" s="916"/>
      <c r="P104" s="916"/>
      <c r="Q104" s="916"/>
    </row>
    <row r="105" spans="1:17">
      <c r="A105" s="1084"/>
      <c r="B105" s="1084"/>
      <c r="C105" s="1084"/>
      <c r="D105" s="1084"/>
      <c r="E105" s="1084"/>
      <c r="F105" s="1084"/>
      <c r="G105" s="1084"/>
      <c r="H105" s="1084"/>
      <c r="I105" s="1084"/>
      <c r="J105" s="1084"/>
      <c r="K105" s="1084"/>
      <c r="L105" s="1085"/>
      <c r="M105" s="916"/>
      <c r="N105" s="916"/>
      <c r="O105" s="916"/>
      <c r="P105" s="916"/>
      <c r="Q105" s="916"/>
    </row>
    <row r="106" spans="1:17">
      <c r="A106" s="1084"/>
      <c r="B106" s="1084"/>
      <c r="C106" s="1084"/>
      <c r="D106" s="1084"/>
      <c r="E106" s="1084"/>
      <c r="F106" s="1084"/>
      <c r="G106" s="1084"/>
      <c r="H106" s="1084"/>
      <c r="I106" s="1084"/>
      <c r="J106" s="1084"/>
      <c r="K106" s="1084"/>
      <c r="L106" s="1085"/>
      <c r="M106" s="916"/>
      <c r="N106" s="916"/>
      <c r="O106" s="916"/>
      <c r="P106" s="916"/>
      <c r="Q106" s="916"/>
    </row>
    <row r="107" spans="1:17">
      <c r="A107" s="1084"/>
      <c r="B107" s="1084"/>
      <c r="C107" s="1084"/>
      <c r="D107" s="1084"/>
      <c r="E107" s="1084"/>
      <c r="F107" s="1084"/>
      <c r="G107" s="1084"/>
      <c r="H107" s="1084"/>
      <c r="I107" s="1084"/>
      <c r="J107" s="1084"/>
      <c r="K107" s="1084"/>
      <c r="L107" s="1085"/>
      <c r="M107" s="916"/>
      <c r="N107" s="916"/>
      <c r="O107" s="916"/>
      <c r="P107" s="916"/>
      <c r="Q107" s="916"/>
    </row>
    <row r="108" spans="1:17">
      <c r="A108" s="1084"/>
      <c r="B108" s="1084"/>
      <c r="C108" s="1084"/>
      <c r="D108" s="1084"/>
      <c r="E108" s="1084"/>
      <c r="F108" s="1084"/>
      <c r="G108" s="1084"/>
      <c r="H108" s="1084"/>
      <c r="I108" s="1084"/>
      <c r="J108" s="1084"/>
      <c r="K108" s="1084"/>
      <c r="L108" s="1085"/>
      <c r="M108" s="916"/>
      <c r="N108" s="916"/>
      <c r="O108" s="916"/>
      <c r="P108" s="916"/>
      <c r="Q108" s="916"/>
    </row>
    <row r="109" spans="1:17">
      <c r="A109" s="1084"/>
      <c r="B109" s="1084"/>
      <c r="C109" s="1084"/>
      <c r="D109" s="1084"/>
      <c r="E109" s="1084"/>
      <c r="F109" s="1084"/>
      <c r="G109" s="1084"/>
      <c r="H109" s="1084"/>
      <c r="I109" s="1084"/>
      <c r="J109" s="1084"/>
      <c r="K109" s="1084"/>
      <c r="L109" s="1085"/>
      <c r="M109" s="916"/>
      <c r="N109" s="916"/>
      <c r="O109" s="916"/>
      <c r="P109" s="916"/>
      <c r="Q109" s="916"/>
    </row>
    <row r="110" spans="1:17">
      <c r="A110" s="1084"/>
      <c r="B110" s="1084"/>
      <c r="C110" s="1084"/>
      <c r="D110" s="1084"/>
      <c r="E110" s="1084"/>
      <c r="F110" s="1084"/>
      <c r="G110" s="1084"/>
      <c r="H110" s="1084"/>
      <c r="I110" s="1084"/>
      <c r="J110" s="1084"/>
      <c r="K110" s="1084"/>
      <c r="L110" s="1085"/>
      <c r="M110" s="916"/>
      <c r="N110" s="916"/>
      <c r="O110" s="916"/>
      <c r="P110" s="916"/>
      <c r="Q110" s="916"/>
    </row>
    <row r="111" spans="1:17">
      <c r="A111" s="1084"/>
      <c r="B111" s="1084"/>
      <c r="C111" s="1084"/>
      <c r="D111" s="1084"/>
      <c r="E111" s="1084"/>
      <c r="F111" s="1084"/>
      <c r="G111" s="1084"/>
      <c r="H111" s="1084"/>
      <c r="I111" s="1084"/>
      <c r="J111" s="1084"/>
      <c r="K111" s="1084"/>
      <c r="L111" s="1085"/>
      <c r="M111" s="916"/>
      <c r="N111" s="916"/>
      <c r="O111" s="916"/>
      <c r="P111" s="916"/>
      <c r="Q111" s="916"/>
    </row>
    <row r="112" spans="1:17">
      <c r="A112" s="1084"/>
      <c r="B112" s="1084"/>
      <c r="C112" s="1084"/>
      <c r="D112" s="1084"/>
      <c r="E112" s="1084"/>
      <c r="F112" s="1084"/>
      <c r="G112" s="1084"/>
      <c r="H112" s="1084"/>
      <c r="I112" s="1084"/>
      <c r="J112" s="1084"/>
      <c r="K112" s="1084"/>
      <c r="L112" s="1085"/>
      <c r="M112" s="916"/>
      <c r="N112" s="916"/>
      <c r="O112" s="916"/>
      <c r="P112" s="916"/>
      <c r="Q112" s="916"/>
    </row>
    <row r="113" spans="1:17">
      <c r="A113" s="1084"/>
      <c r="B113" s="1084"/>
      <c r="C113" s="1084"/>
      <c r="D113" s="1084"/>
      <c r="E113" s="1084"/>
      <c r="F113" s="1084"/>
      <c r="G113" s="1084"/>
      <c r="H113" s="1084"/>
      <c r="I113" s="1084"/>
      <c r="J113" s="1084"/>
      <c r="K113" s="1084"/>
      <c r="L113" s="1085"/>
      <c r="M113" s="916"/>
      <c r="N113" s="916"/>
      <c r="O113" s="916"/>
      <c r="P113" s="916"/>
      <c r="Q113" s="916"/>
    </row>
    <row r="114" spans="1:17">
      <c r="A114" s="1084"/>
      <c r="B114" s="1084"/>
      <c r="C114" s="1084"/>
      <c r="D114" s="1084"/>
      <c r="E114" s="1084"/>
      <c r="F114" s="1084"/>
      <c r="G114" s="1084"/>
      <c r="H114" s="1084"/>
      <c r="I114" s="1084"/>
      <c r="J114" s="1084"/>
      <c r="K114" s="1084"/>
      <c r="L114" s="1085"/>
      <c r="M114" s="916"/>
      <c r="N114" s="916"/>
      <c r="O114" s="916"/>
      <c r="P114" s="916"/>
      <c r="Q114" s="916"/>
    </row>
    <row r="115" spans="1:17">
      <c r="A115" s="1084"/>
      <c r="B115" s="1084"/>
      <c r="C115" s="1084"/>
      <c r="D115" s="1084"/>
      <c r="E115" s="1084"/>
      <c r="F115" s="1084"/>
      <c r="G115" s="1084"/>
      <c r="H115" s="1084"/>
      <c r="I115" s="1084"/>
      <c r="J115" s="1084"/>
      <c r="K115" s="1084"/>
      <c r="L115" s="1085"/>
      <c r="M115" s="916"/>
      <c r="N115" s="916"/>
      <c r="O115" s="916"/>
      <c r="P115" s="916"/>
      <c r="Q115" s="916"/>
    </row>
    <row r="116" spans="1:17">
      <c r="A116" s="1084"/>
      <c r="B116" s="1084"/>
      <c r="C116" s="1084"/>
      <c r="D116" s="1084"/>
      <c r="E116" s="1084"/>
      <c r="F116" s="1084"/>
      <c r="G116" s="1084"/>
      <c r="H116" s="1084"/>
      <c r="I116" s="1084"/>
      <c r="J116" s="1084"/>
      <c r="K116" s="1084"/>
      <c r="L116" s="1085"/>
      <c r="M116" s="916"/>
      <c r="N116" s="916"/>
      <c r="O116" s="916"/>
      <c r="P116" s="916"/>
      <c r="Q116" s="916"/>
    </row>
    <row r="117" spans="1:17">
      <c r="A117" s="1084"/>
      <c r="B117" s="1084"/>
      <c r="C117" s="1084"/>
      <c r="D117" s="1084"/>
      <c r="E117" s="1084"/>
      <c r="F117" s="1084"/>
      <c r="G117" s="1084"/>
      <c r="H117" s="1084"/>
      <c r="I117" s="1084"/>
      <c r="J117" s="1084"/>
      <c r="K117" s="1084"/>
      <c r="L117" s="1085"/>
      <c r="M117" s="916"/>
      <c r="N117" s="916"/>
      <c r="O117" s="916"/>
      <c r="P117" s="916"/>
      <c r="Q117" s="916"/>
    </row>
    <row r="118" spans="1:17">
      <c r="A118" s="1084"/>
      <c r="B118" s="1084"/>
      <c r="C118" s="1084"/>
      <c r="D118" s="1084"/>
      <c r="E118" s="1084"/>
      <c r="F118" s="1084"/>
      <c r="G118" s="1084"/>
      <c r="H118" s="1084"/>
      <c r="I118" s="1084"/>
      <c r="J118" s="1084"/>
      <c r="K118" s="1084"/>
      <c r="L118" s="1085"/>
      <c r="M118" s="916"/>
      <c r="N118" s="916"/>
      <c r="O118" s="916"/>
      <c r="P118" s="916"/>
      <c r="Q118" s="916"/>
    </row>
    <row r="119" spans="1:17">
      <c r="A119" s="1084"/>
      <c r="B119" s="1084"/>
      <c r="C119" s="1084"/>
      <c r="D119" s="1084"/>
      <c r="E119" s="1084"/>
      <c r="F119" s="1084"/>
      <c r="G119" s="1084"/>
      <c r="H119" s="1084"/>
      <c r="I119" s="1084"/>
      <c r="J119" s="1084"/>
      <c r="K119" s="1084"/>
      <c r="L119" s="1085"/>
      <c r="M119" s="916"/>
      <c r="N119" s="916"/>
      <c r="O119" s="916"/>
      <c r="P119" s="916"/>
      <c r="Q119" s="916"/>
    </row>
    <row r="120" spans="1:17">
      <c r="A120" s="1084"/>
      <c r="B120" s="1084"/>
      <c r="C120" s="1084"/>
      <c r="D120" s="1084"/>
      <c r="E120" s="1084"/>
      <c r="F120" s="1084"/>
      <c r="G120" s="1084"/>
      <c r="H120" s="1084"/>
      <c r="I120" s="1084"/>
      <c r="J120" s="1084"/>
      <c r="K120" s="1084"/>
      <c r="L120" s="1085"/>
      <c r="M120" s="916"/>
      <c r="N120" s="916"/>
      <c r="O120" s="916"/>
      <c r="P120" s="916"/>
      <c r="Q120" s="916"/>
    </row>
    <row r="121" spans="1:17">
      <c r="A121" s="1084"/>
      <c r="B121" s="1084"/>
      <c r="C121" s="1084"/>
      <c r="D121" s="1084"/>
      <c r="E121" s="1084"/>
      <c r="F121" s="1084"/>
      <c r="G121" s="1084"/>
      <c r="H121" s="1084"/>
      <c r="I121" s="1084"/>
      <c r="J121" s="1084"/>
      <c r="K121" s="1084"/>
      <c r="L121" s="1085"/>
      <c r="M121" s="916"/>
      <c r="N121" s="916"/>
      <c r="O121" s="916"/>
      <c r="P121" s="916"/>
      <c r="Q121" s="916"/>
    </row>
    <row r="122" spans="1:17">
      <c r="A122" s="1084"/>
      <c r="B122" s="1084"/>
      <c r="C122" s="1084"/>
      <c r="D122" s="1084"/>
      <c r="E122" s="1084"/>
      <c r="F122" s="1084"/>
      <c r="G122" s="1084"/>
      <c r="H122" s="1084"/>
      <c r="I122" s="1084"/>
      <c r="J122" s="1084"/>
      <c r="K122" s="1084"/>
      <c r="L122" s="1085"/>
      <c r="M122" s="916"/>
      <c r="N122" s="916"/>
      <c r="O122" s="916"/>
      <c r="P122" s="916"/>
      <c r="Q122" s="916"/>
    </row>
    <row r="123" spans="1:17">
      <c r="A123" s="1084"/>
      <c r="B123" s="1084"/>
      <c r="C123" s="1084"/>
      <c r="D123" s="1084"/>
      <c r="E123" s="1084"/>
      <c r="F123" s="1084"/>
      <c r="G123" s="1084"/>
      <c r="H123" s="1084"/>
      <c r="I123" s="1084"/>
      <c r="J123" s="1084"/>
      <c r="K123" s="1084"/>
      <c r="L123" s="1085"/>
      <c r="M123" s="916"/>
      <c r="N123" s="916"/>
      <c r="O123" s="916"/>
      <c r="P123" s="916"/>
      <c r="Q123" s="916"/>
    </row>
    <row r="124" spans="1:17">
      <c r="A124" s="1084"/>
      <c r="B124" s="1084"/>
      <c r="C124" s="1084"/>
      <c r="D124" s="1084"/>
      <c r="E124" s="1084"/>
      <c r="F124" s="1084"/>
      <c r="G124" s="1084"/>
      <c r="H124" s="1084"/>
      <c r="I124" s="1084"/>
      <c r="J124" s="1084"/>
      <c r="K124" s="1084"/>
      <c r="L124" s="1085"/>
      <c r="M124" s="916"/>
      <c r="N124" s="916"/>
      <c r="O124" s="916"/>
      <c r="P124" s="916"/>
      <c r="Q124" s="916"/>
    </row>
    <row r="125" spans="1:17">
      <c r="A125" s="1084"/>
      <c r="B125" s="1084"/>
      <c r="C125" s="1084"/>
      <c r="D125" s="1084"/>
      <c r="E125" s="1084"/>
      <c r="F125" s="1084"/>
      <c r="G125" s="1084"/>
      <c r="H125" s="1084"/>
      <c r="I125" s="1084"/>
      <c r="J125" s="1084"/>
      <c r="K125" s="1084"/>
      <c r="L125" s="1085"/>
      <c r="M125" s="916"/>
      <c r="N125" s="916"/>
      <c r="O125" s="916"/>
      <c r="P125" s="916"/>
      <c r="Q125" s="916"/>
    </row>
    <row r="126" spans="1:17">
      <c r="A126" s="1084"/>
      <c r="B126" s="1084"/>
      <c r="C126" s="1084"/>
      <c r="D126" s="1084"/>
      <c r="E126" s="1084"/>
      <c r="F126" s="1084"/>
      <c r="G126" s="1084"/>
      <c r="H126" s="1084"/>
      <c r="I126" s="1084"/>
      <c r="J126" s="1084"/>
      <c r="K126" s="1084"/>
      <c r="L126" s="1085"/>
      <c r="M126" s="916"/>
      <c r="N126" s="916"/>
      <c r="O126" s="916"/>
      <c r="P126" s="916"/>
      <c r="Q126" s="916"/>
    </row>
    <row r="127" spans="1:17">
      <c r="A127" s="911"/>
      <c r="B127" s="911"/>
      <c r="C127" s="911"/>
      <c r="D127" s="911"/>
      <c r="E127" s="911"/>
      <c r="F127" s="911"/>
      <c r="G127" s="911"/>
      <c r="H127" s="911"/>
      <c r="I127" s="911"/>
      <c r="J127" s="911"/>
      <c r="K127" s="911"/>
    </row>
    <row r="128" spans="1:17" hidden="1">
      <c r="A128" s="911"/>
      <c r="B128" s="911"/>
      <c r="C128" s="911"/>
      <c r="D128" s="911"/>
      <c r="E128" s="911"/>
      <c r="F128" s="911"/>
      <c r="G128" s="911"/>
      <c r="H128" s="911"/>
      <c r="I128" s="911"/>
      <c r="J128" s="911"/>
      <c r="K128" s="911"/>
    </row>
    <row r="129" spans="1:12" hidden="1">
      <c r="A129" s="911"/>
      <c r="B129" s="911"/>
      <c r="C129" s="911"/>
      <c r="D129" s="911"/>
      <c r="E129" s="911"/>
      <c r="F129" s="911"/>
      <c r="G129" s="911"/>
      <c r="H129" s="911"/>
      <c r="I129" s="911"/>
      <c r="J129" s="911"/>
      <c r="K129" s="911"/>
    </row>
    <row r="130" spans="1:12" hidden="1">
      <c r="A130" s="911"/>
      <c r="B130" s="911"/>
      <c r="C130" s="911"/>
      <c r="D130" s="911"/>
      <c r="E130" s="911"/>
      <c r="F130" s="911"/>
      <c r="G130" s="911"/>
      <c r="H130" s="911"/>
      <c r="I130" s="911"/>
      <c r="J130" s="911"/>
      <c r="K130" s="911"/>
    </row>
    <row r="131" spans="1:12">
      <c r="A131" s="911"/>
      <c r="B131" s="911"/>
      <c r="C131" s="911"/>
      <c r="D131" s="911"/>
      <c r="E131" s="911"/>
      <c r="F131" s="911"/>
      <c r="G131" s="911"/>
      <c r="H131" s="911"/>
      <c r="I131" s="911"/>
      <c r="J131" s="911"/>
      <c r="K131" s="911"/>
    </row>
    <row r="132" spans="1:12">
      <c r="A132" s="911"/>
      <c r="B132" s="911"/>
      <c r="C132" s="911"/>
      <c r="D132" s="911"/>
      <c r="E132" s="911"/>
      <c r="F132" s="911"/>
      <c r="G132" s="911"/>
      <c r="H132" s="911"/>
      <c r="I132" s="911"/>
      <c r="J132" s="911"/>
      <c r="K132" s="911"/>
    </row>
    <row r="133" spans="1:12">
      <c r="A133" s="911"/>
      <c r="B133" s="911"/>
      <c r="C133" s="911"/>
      <c r="D133" s="911"/>
      <c r="E133" s="911"/>
      <c r="F133" s="911"/>
      <c r="G133" s="911"/>
      <c r="H133" s="911"/>
      <c r="I133" s="911"/>
      <c r="J133" s="911"/>
      <c r="K133" s="911"/>
    </row>
    <row r="134" spans="1:12" ht="12.75" customHeight="1">
      <c r="A134" s="911"/>
      <c r="B134" s="911"/>
      <c r="C134" s="911"/>
      <c r="D134" s="911"/>
      <c r="E134" s="911"/>
      <c r="F134" s="911"/>
      <c r="G134" s="911"/>
      <c r="H134" s="911"/>
      <c r="I134" s="911"/>
      <c r="J134" s="1086"/>
      <c r="K134" s="1087"/>
    </row>
    <row r="135" spans="1:12" ht="27" customHeight="1">
      <c r="A135" s="911"/>
      <c r="B135" s="1074"/>
      <c r="C135" s="1074"/>
      <c r="D135" s="1074"/>
      <c r="E135" s="911"/>
      <c r="F135" s="911"/>
      <c r="G135" s="911"/>
      <c r="H135" s="911"/>
      <c r="I135" s="911"/>
      <c r="J135" s="1087"/>
      <c r="K135" s="1087"/>
      <c r="L135" s="1072" t="s">
        <v>112</v>
      </c>
    </row>
    <row r="136" spans="1:12" ht="12.75" customHeight="1">
      <c r="B136" s="925"/>
      <c r="C136" s="1074"/>
      <c r="D136" s="1074"/>
      <c r="J136" s="1088"/>
      <c r="K136" s="1088"/>
    </row>
    <row r="141" spans="1:12" ht="14">
      <c r="A141" s="814" t="s">
        <v>431</v>
      </c>
      <c r="B141" s="1089" t="s">
        <v>432</v>
      </c>
    </row>
    <row r="142" spans="1:12" ht="14">
      <c r="A142" s="1090" t="s">
        <v>433</v>
      </c>
      <c r="B142" s="1083" t="s">
        <v>199</v>
      </c>
    </row>
  </sheetData>
  <sheetProtection insertRows="0"/>
  <mergeCells count="20">
    <mergeCell ref="N67:O70"/>
    <mergeCell ref="H44:I44"/>
    <mergeCell ref="H37:I41"/>
    <mergeCell ref="A1:K1"/>
    <mergeCell ref="A2:K2"/>
    <mergeCell ref="C37:C41"/>
    <mergeCell ref="N49:O51"/>
    <mergeCell ref="N65:O65"/>
    <mergeCell ref="B73:K73"/>
    <mergeCell ref="J34:K36"/>
    <mergeCell ref="B24:B25"/>
    <mergeCell ref="I24:J25"/>
    <mergeCell ref="B34:B36"/>
    <mergeCell ref="C34:C36"/>
    <mergeCell ref="D34:D36"/>
    <mergeCell ref="E34:E36"/>
    <mergeCell ref="G34:G36"/>
    <mergeCell ref="F34:F36"/>
    <mergeCell ref="G24:H25"/>
    <mergeCell ref="H34:I36"/>
  </mergeCells>
  <dataValidations count="1">
    <dataValidation type="list" allowBlank="1" showInputMessage="1" showErrorMessage="1" sqref="H87" xr:uid="{F4605032-C6AC-481A-AFA3-5228483E6D68}">
      <formula1>$A$141:$A$142</formula1>
    </dataValidation>
  </dataValidations>
  <printOptions horizontalCentered="1"/>
  <pageMargins left="0.47244094488188981" right="0.31496062992125984" top="0.39370078740157483" bottom="0.35433070866141736" header="0.17" footer="0.15748031496062992"/>
  <pageSetup paperSize="9" scale="83" orientation="portrait" horizontalDpi="4294967294" verticalDpi="4294967294" r:id="rId1"/>
  <headerFooter>
    <oddHeader>&amp;R&amp;"Calibri,Regular"&amp;9KL.LHK - 066-18 / REV : 0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DB Stopwatch</vt:lpstr>
      <vt:lpstr>SERTIFIKAT</vt:lpstr>
      <vt:lpstr>ESA</vt:lpstr>
      <vt:lpstr>Riwayat Revisi</vt:lpstr>
      <vt:lpstr>LK</vt:lpstr>
      <vt:lpstr>ID</vt:lpstr>
      <vt:lpstr>Budget</vt:lpstr>
      <vt:lpstr>Penyelia</vt:lpstr>
      <vt:lpstr>LH</vt:lpstr>
      <vt:lpstr>DB Thermohygro</vt:lpstr>
      <vt:lpstr>Budget!Print_Area</vt:lpstr>
      <vt:lpstr>'DB Stopwatch'!Print_Area</vt:lpstr>
      <vt:lpstr>ESA!Print_Area</vt:lpstr>
      <vt:lpstr>ID!Print_Area</vt:lpstr>
      <vt:lpstr>LH!Print_Area</vt:lpstr>
      <vt:lpstr>LK!Print_Area</vt:lpstr>
      <vt:lpstr>Penyelia!Print_Area</vt:lpstr>
      <vt:lpstr>SERTIFIKAT!Print_Area</vt:lpstr>
    </vt:vector>
  </TitlesOfParts>
  <Company>BPFK Surabaya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Calibration Laboratory</dc:creator>
  <cp:lastModifiedBy>MyBook PRO K5</cp:lastModifiedBy>
  <cp:lastPrinted>2020-09-16T07:28:21Z</cp:lastPrinted>
  <dcterms:created xsi:type="dcterms:W3CDTF">2003-07-23T01:21:42Z</dcterms:created>
  <dcterms:modified xsi:type="dcterms:W3CDTF">2023-09-19T02:18:22Z</dcterms:modified>
</cp:coreProperties>
</file>